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uido/Desktop/"/>
    </mc:Choice>
  </mc:AlternateContent>
  <xr:revisionPtr revIDLastSave="0" documentId="13_ncr:1_{FB89D3A6-2495-F74A-B176-5D81BB6A7A13}" xr6:coauthVersionLast="47" xr6:coauthVersionMax="47" xr10:uidLastSave="{00000000-0000-0000-0000-000000000000}"/>
  <bookViews>
    <workbookView xWindow="0" yWindow="460" windowWidth="25600" windowHeight="15540" tabRatio="583" activeTab="7" xr2:uid="{00000000-000D-0000-FFFF-FFFF00000000}"/>
  </bookViews>
  <sheets>
    <sheet name="ASSUMPTIONS" sheetId="14" r:id="rId1"/>
    <sheet name="TOP SHEET" sheetId="7" r:id="rId2"/>
    <sheet name="CASH FLOW" sheetId="11" r:id="rId3"/>
    <sheet name="PRESUPUESTO" sheetId="1" r:id="rId4"/>
    <sheet name="Hoja3" sheetId="15" state="hidden" r:id="rId5"/>
    <sheet name="IMP.PRESUPUESTO" sheetId="16" r:id="rId6"/>
    <sheet name="Deposito Correa" sheetId="17" r:id="rId7"/>
    <sheet name="Taxi Premium" sheetId="18" r:id="rId8"/>
    <sheet name="ACTORES" sheetId="13" r:id="rId9"/>
    <sheet name="DOBLAJES" sheetId="12" r:id="rId10"/>
    <sheet name="PROTOCOLO COVID" sheetId="10" r:id="rId11"/>
    <sheet name="SICA" sheetId="2" r:id="rId12"/>
    <sheet name="SUTEP" sheetId="3" r:id="rId13"/>
    <sheet name="SADAIC" sheetId="6" r:id="rId14"/>
  </sheets>
  <definedNames>
    <definedName name="_xlnm.Print_Area" localSheetId="2">'CASH FLOW'!#REF!</definedName>
    <definedName name="_xlnm.Print_Area" localSheetId="5">IMP.PRESUPUESTO!$B$1:$I$1090</definedName>
    <definedName name="_xlnm.Print_Area" localSheetId="3">PRESUPUESTO!$B$1:$I$1090</definedName>
    <definedName name="_xlnm.Print_Area" localSheetId="10">'PROTOCOLO COVID'!$A$1:$D$11</definedName>
    <definedName name="_xlnm.Print_Area" localSheetId="13">SADAIC!$A$1:$F$11</definedName>
    <definedName name="_xlnm.Print_Area" localSheetId="11">SICA!$A$1:$E$52</definedName>
    <definedName name="_xlnm.Print_Area" localSheetId="12">SUTEP!$B$1:$D$22</definedName>
    <definedName name="_xlnm.Print_Area" localSheetId="1">'TOP SHEET'!$D$1:$M$70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7" l="1"/>
  <c r="F7" i="17"/>
  <c r="F8" i="17"/>
  <c r="F9" i="17"/>
  <c r="F10" i="17"/>
  <c r="F11" i="17"/>
  <c r="F12" i="17"/>
  <c r="F13" i="17"/>
  <c r="C5" i="17"/>
  <c r="C7" i="17"/>
  <c r="C8" i="17"/>
  <c r="C9" i="17"/>
  <c r="C10" i="17"/>
  <c r="C11" i="17"/>
  <c r="C12" i="17"/>
  <c r="C13" i="17"/>
  <c r="D14" i="17"/>
  <c r="E14" i="17"/>
  <c r="C19" i="18"/>
  <c r="I1077" i="16"/>
  <c r="I1061" i="16"/>
  <c r="N1141" i="16"/>
  <c r="N1140" i="16"/>
  <c r="N1139" i="16"/>
  <c r="N1138" i="16"/>
  <c r="N1137" i="16"/>
  <c r="N1136" i="16"/>
  <c r="N1135" i="16"/>
  <c r="N1134" i="16"/>
  <c r="N1133" i="16"/>
  <c r="N1132" i="16"/>
  <c r="N1131" i="16"/>
  <c r="N1130" i="16"/>
  <c r="N1129" i="16"/>
  <c r="N1128" i="16"/>
  <c r="N1127" i="16"/>
  <c r="N1126" i="16"/>
  <c r="N1125" i="16"/>
  <c r="N1124" i="16"/>
  <c r="N1123" i="16"/>
  <c r="N1122" i="16"/>
  <c r="N1121" i="16"/>
  <c r="N1120" i="16"/>
  <c r="N1119" i="16"/>
  <c r="N1118" i="16"/>
  <c r="N1117" i="16"/>
  <c r="N1116" i="16"/>
  <c r="N1115" i="16"/>
  <c r="N1114" i="16"/>
  <c r="N1113" i="16"/>
  <c r="N1112" i="16"/>
  <c r="N1111" i="16"/>
  <c r="N1110" i="16"/>
  <c r="N1109" i="16"/>
  <c r="N1108" i="16"/>
  <c r="N1107" i="16"/>
  <c r="N1106" i="16"/>
  <c r="N1105" i="16"/>
  <c r="N1104" i="16"/>
  <c r="N1103" i="16"/>
  <c r="N1102" i="16"/>
  <c r="N1101" i="16"/>
  <c r="N1100" i="16"/>
  <c r="N1099" i="16"/>
  <c r="N1098" i="16"/>
  <c r="N1097" i="16"/>
  <c r="N1096" i="16"/>
  <c r="N1095" i="16"/>
  <c r="N1094" i="16"/>
  <c r="N1093" i="16"/>
  <c r="I1085" i="16"/>
  <c r="H1076" i="16"/>
  <c r="H1075" i="16"/>
  <c r="I1075" i="16"/>
  <c r="H1074" i="16"/>
  <c r="I1074" i="16" s="1"/>
  <c r="H1073" i="16"/>
  <c r="I1073" i="16"/>
  <c r="N1071" i="16"/>
  <c r="N1070" i="16"/>
  <c r="H1068" i="16"/>
  <c r="I1068" i="16" s="1"/>
  <c r="H1066" i="16"/>
  <c r="N1066" i="16"/>
  <c r="N1065" i="16"/>
  <c r="N1063" i="16"/>
  <c r="N1062" i="16"/>
  <c r="J1062" i="16"/>
  <c r="N1061" i="16"/>
  <c r="H1060" i="16"/>
  <c r="I1060" i="16" s="1"/>
  <c r="H1059" i="16"/>
  <c r="H1058" i="16"/>
  <c r="I1058" i="16" s="1"/>
  <c r="H1057" i="16"/>
  <c r="I1057" i="16"/>
  <c r="H1056" i="16"/>
  <c r="I1056" i="16" s="1"/>
  <c r="H1055" i="16"/>
  <c r="I1055" i="16"/>
  <c r="H1054" i="16"/>
  <c r="I1054" i="16" s="1"/>
  <c r="H1053" i="16"/>
  <c r="H1052" i="16"/>
  <c r="I1052" i="16" s="1"/>
  <c r="N1049" i="16"/>
  <c r="J1049" i="16"/>
  <c r="H1048" i="16"/>
  <c r="H1047" i="16"/>
  <c r="H1046" i="16"/>
  <c r="N1046" i="16"/>
  <c r="H1045" i="16"/>
  <c r="N1045" i="16" s="1"/>
  <c r="H1044" i="16"/>
  <c r="N1044" i="16"/>
  <c r="H1043" i="16"/>
  <c r="N1042" i="16"/>
  <c r="N1040" i="16"/>
  <c r="H1038" i="16"/>
  <c r="H1037" i="16"/>
  <c r="I1037" i="16" s="1"/>
  <c r="H1036" i="16"/>
  <c r="I1036" i="16" s="1"/>
  <c r="H1035" i="16"/>
  <c r="I1035" i="16" s="1"/>
  <c r="N1031" i="16"/>
  <c r="N1030" i="16"/>
  <c r="N1029" i="16"/>
  <c r="N1028" i="16"/>
  <c r="H1027" i="16"/>
  <c r="I1027" i="16" s="1"/>
  <c r="H1026" i="16"/>
  <c r="N1025" i="16"/>
  <c r="N1024" i="16"/>
  <c r="N1023" i="16"/>
  <c r="N1022" i="16"/>
  <c r="H1021" i="16"/>
  <c r="I1021" i="16" s="1"/>
  <c r="H1020" i="16"/>
  <c r="N1020" i="16" s="1"/>
  <c r="N1019" i="16"/>
  <c r="J1018" i="16"/>
  <c r="H1018" i="16"/>
  <c r="N1018" i="16" s="1"/>
  <c r="H1017" i="16"/>
  <c r="N1017" i="16" s="1"/>
  <c r="H1016" i="16"/>
  <c r="N1016" i="16"/>
  <c r="H1015" i="16"/>
  <c r="N1014" i="16"/>
  <c r="F1014" i="16"/>
  <c r="H1013" i="16"/>
  <c r="N1013" i="16" s="1"/>
  <c r="N1012" i="16"/>
  <c r="H1011" i="16"/>
  <c r="N1010" i="16"/>
  <c r="H1009" i="16"/>
  <c r="H1008" i="16"/>
  <c r="H1007" i="16"/>
  <c r="H1006" i="16"/>
  <c r="H1005" i="16"/>
  <c r="N1005" i="16" s="1"/>
  <c r="H1004" i="16"/>
  <c r="I1004" i="16" s="1"/>
  <c r="H1003" i="16"/>
  <c r="N1002" i="16"/>
  <c r="H998" i="16"/>
  <c r="H997" i="16"/>
  <c r="N993" i="16"/>
  <c r="H993" i="16"/>
  <c r="N992" i="16"/>
  <c r="H992" i="16"/>
  <c r="N991" i="16"/>
  <c r="H991" i="16"/>
  <c r="N990" i="16"/>
  <c r="N989" i="16"/>
  <c r="N988" i="16"/>
  <c r="G988" i="16"/>
  <c r="H988" i="16"/>
  <c r="N987" i="16"/>
  <c r="N986" i="16"/>
  <c r="N984" i="16"/>
  <c r="H984" i="16"/>
  <c r="N983" i="16"/>
  <c r="N982" i="16"/>
  <c r="F982" i="16"/>
  <c r="H982" i="16"/>
  <c r="N981" i="16"/>
  <c r="N980" i="16"/>
  <c r="H980" i="16"/>
  <c r="N979" i="16"/>
  <c r="N978" i="16"/>
  <c r="H978" i="16"/>
  <c r="N977" i="16"/>
  <c r="N976" i="16"/>
  <c r="N975" i="16"/>
  <c r="N974" i="16"/>
  <c r="N973" i="16"/>
  <c r="N972" i="16"/>
  <c r="N971" i="16"/>
  <c r="N970" i="16"/>
  <c r="N969" i="16"/>
  <c r="N968" i="16"/>
  <c r="N967" i="16"/>
  <c r="N966" i="16"/>
  <c r="N965" i="16"/>
  <c r="N964" i="16"/>
  <c r="N963" i="16"/>
  <c r="N962" i="16"/>
  <c r="N961" i="16"/>
  <c r="N960" i="16"/>
  <c r="N959" i="16"/>
  <c r="N958" i="16"/>
  <c r="N957" i="16"/>
  <c r="N956" i="16"/>
  <c r="N955" i="16"/>
  <c r="N954" i="16"/>
  <c r="N953" i="16"/>
  <c r="N952" i="16"/>
  <c r="N951" i="16"/>
  <c r="N950" i="16"/>
  <c r="N949" i="16"/>
  <c r="N948" i="16"/>
  <c r="N947" i="16"/>
  <c r="N946" i="16"/>
  <c r="N945" i="16"/>
  <c r="N944" i="16"/>
  <c r="N943" i="16"/>
  <c r="N942" i="16"/>
  <c r="N941" i="16"/>
  <c r="N940" i="16"/>
  <c r="N939" i="16"/>
  <c r="N938" i="16"/>
  <c r="N937" i="16"/>
  <c r="N936" i="16"/>
  <c r="N935" i="16"/>
  <c r="N934" i="16"/>
  <c r="N933" i="16"/>
  <c r="N932" i="16"/>
  <c r="N931" i="16"/>
  <c r="N930" i="16"/>
  <c r="N929" i="16"/>
  <c r="N928" i="16"/>
  <c r="N927" i="16"/>
  <c r="N926" i="16"/>
  <c r="N925" i="16"/>
  <c r="N924" i="16"/>
  <c r="N923" i="16"/>
  <c r="N922" i="16"/>
  <c r="H922" i="16"/>
  <c r="N921" i="16"/>
  <c r="N920" i="16"/>
  <c r="N919" i="16"/>
  <c r="N918" i="16"/>
  <c r="N917" i="16"/>
  <c r="N916" i="16"/>
  <c r="N915" i="16"/>
  <c r="N914" i="16"/>
  <c r="N913" i="16"/>
  <c r="N912" i="16"/>
  <c r="N911" i="16"/>
  <c r="N910" i="16"/>
  <c r="N909" i="16"/>
  <c r="N908" i="16"/>
  <c r="N907" i="16"/>
  <c r="N906" i="16"/>
  <c r="N905" i="16"/>
  <c r="N904" i="16"/>
  <c r="N903" i="16"/>
  <c r="N902" i="16"/>
  <c r="N901" i="16"/>
  <c r="N900" i="16"/>
  <c r="N899" i="16"/>
  <c r="N898" i="16"/>
  <c r="N897" i="16"/>
  <c r="N896" i="16"/>
  <c r="N895" i="16"/>
  <c r="N894" i="16"/>
  <c r="H894" i="16"/>
  <c r="N893" i="16"/>
  <c r="N892" i="16"/>
  <c r="N891" i="16"/>
  <c r="N890" i="16"/>
  <c r="N889" i="16"/>
  <c r="N888" i="16"/>
  <c r="N887" i="16"/>
  <c r="N886" i="16"/>
  <c r="N885" i="16"/>
  <c r="N884" i="16"/>
  <c r="N883" i="16"/>
  <c r="N882" i="16"/>
  <c r="N881" i="16"/>
  <c r="N880" i="16"/>
  <c r="H880" i="16"/>
  <c r="N879" i="16"/>
  <c r="N878" i="16"/>
  <c r="N877" i="16"/>
  <c r="N876" i="16"/>
  <c r="N875" i="16"/>
  <c r="N874" i="16"/>
  <c r="N873" i="16"/>
  <c r="N872" i="16"/>
  <c r="N871" i="16"/>
  <c r="N870" i="16"/>
  <c r="N869" i="16"/>
  <c r="N868" i="16"/>
  <c r="N867" i="16"/>
  <c r="N866" i="16"/>
  <c r="N865" i="16"/>
  <c r="N863" i="16"/>
  <c r="N862" i="16"/>
  <c r="N861" i="16"/>
  <c r="N860" i="16"/>
  <c r="N859" i="16"/>
  <c r="N855" i="16"/>
  <c r="N851" i="16"/>
  <c r="N849" i="16"/>
  <c r="N848" i="16"/>
  <c r="N847" i="16"/>
  <c r="N845" i="16"/>
  <c r="N844" i="16"/>
  <c r="N843" i="16"/>
  <c r="N841" i="16"/>
  <c r="N840" i="16"/>
  <c r="N839" i="16"/>
  <c r="N837" i="16"/>
  <c r="N836" i="16"/>
  <c r="N835" i="16"/>
  <c r="N833" i="16"/>
  <c r="N832" i="16"/>
  <c r="N831" i="16"/>
  <c r="N829" i="16"/>
  <c r="N828" i="16"/>
  <c r="N827" i="16"/>
  <c r="N825" i="16"/>
  <c r="N824" i="16"/>
  <c r="N823" i="16"/>
  <c r="N821" i="16"/>
  <c r="N820" i="16"/>
  <c r="N819" i="16"/>
  <c r="N818" i="16"/>
  <c r="N814" i="16"/>
  <c r="H813" i="16"/>
  <c r="N813" i="16" s="1"/>
  <c r="N812" i="16"/>
  <c r="F811" i="16"/>
  <c r="H811" i="16" s="1"/>
  <c r="N809" i="16"/>
  <c r="N808" i="16"/>
  <c r="N807" i="16"/>
  <c r="N805" i="16"/>
  <c r="H803" i="16"/>
  <c r="H801" i="16"/>
  <c r="N801" i="16"/>
  <c r="H799" i="16"/>
  <c r="H797" i="16"/>
  <c r="N797" i="16" s="1"/>
  <c r="N796" i="16"/>
  <c r="N795" i="16"/>
  <c r="N794" i="16"/>
  <c r="N793" i="16"/>
  <c r="N792" i="16"/>
  <c r="N791" i="16"/>
  <c r="N790" i="16"/>
  <c r="N789" i="16"/>
  <c r="N788" i="16"/>
  <c r="N787" i="16"/>
  <c r="N786" i="16"/>
  <c r="N785" i="16"/>
  <c r="N784" i="16"/>
  <c r="N781" i="16"/>
  <c r="N779" i="16"/>
  <c r="N778" i="16"/>
  <c r="H777" i="16"/>
  <c r="N776" i="16"/>
  <c r="N775" i="16"/>
  <c r="N774" i="16"/>
  <c r="N773" i="16"/>
  <c r="N771" i="16"/>
  <c r="H771" i="16"/>
  <c r="N770" i="16"/>
  <c r="H770" i="16"/>
  <c r="N769" i="16"/>
  <c r="H769" i="16"/>
  <c r="I772" i="16" s="1"/>
  <c r="N768" i="16"/>
  <c r="N767" i="16"/>
  <c r="N766" i="16"/>
  <c r="N764" i="16"/>
  <c r="H764" i="16"/>
  <c r="N763" i="16"/>
  <c r="H763" i="16"/>
  <c r="N762" i="16"/>
  <c r="H762" i="16"/>
  <c r="E762" i="16"/>
  <c r="N761" i="16"/>
  <c r="H761" i="16"/>
  <c r="N760" i="16"/>
  <c r="F760" i="16"/>
  <c r="H760" i="16" s="1"/>
  <c r="N759" i="16"/>
  <c r="H759" i="16"/>
  <c r="F680" i="16" s="1"/>
  <c r="H680" i="16" s="1"/>
  <c r="N758" i="16"/>
  <c r="F758" i="16"/>
  <c r="H758" i="16"/>
  <c r="N757" i="16"/>
  <c r="N756" i="16"/>
  <c r="N754" i="16"/>
  <c r="F754" i="16"/>
  <c r="H754" i="16" s="1"/>
  <c r="I755" i="16" s="1"/>
  <c r="N753" i="16"/>
  <c r="H753" i="16"/>
  <c r="N752" i="16"/>
  <c r="N751" i="16"/>
  <c r="N749" i="16"/>
  <c r="H749" i="16"/>
  <c r="N748" i="16"/>
  <c r="H748" i="16"/>
  <c r="H746" i="16"/>
  <c r="H745" i="16"/>
  <c r="H744" i="16"/>
  <c r="H742" i="16"/>
  <c r="H741" i="16"/>
  <c r="H740" i="16"/>
  <c r="H739" i="16"/>
  <c r="H738" i="16"/>
  <c r="H737" i="16"/>
  <c r="H736" i="16"/>
  <c r="H734" i="16"/>
  <c r="H731" i="16"/>
  <c r="H730" i="16"/>
  <c r="H729" i="16"/>
  <c r="H728" i="16"/>
  <c r="H727" i="16"/>
  <c r="H726" i="16"/>
  <c r="H725" i="16"/>
  <c r="H724" i="16"/>
  <c r="N721" i="16"/>
  <c r="N720" i="16"/>
  <c r="H719" i="16"/>
  <c r="H718" i="16"/>
  <c r="N718" i="16" s="1"/>
  <c r="H717" i="16"/>
  <c r="N717" i="16" s="1"/>
  <c r="N715" i="16"/>
  <c r="N714" i="16"/>
  <c r="H713" i="16"/>
  <c r="I714" i="16" s="1"/>
  <c r="N712" i="16"/>
  <c r="N710" i="16"/>
  <c r="N709" i="16"/>
  <c r="H708" i="16"/>
  <c r="N708" i="16" s="1"/>
  <c r="H707" i="16"/>
  <c r="N707" i="16" s="1"/>
  <c r="H706" i="16"/>
  <c r="N705" i="16"/>
  <c r="H704" i="16"/>
  <c r="N704" i="16"/>
  <c r="N703" i="16"/>
  <c r="N701" i="16"/>
  <c r="N700" i="16"/>
  <c r="H699" i="16"/>
  <c r="N699" i="16" s="1"/>
  <c r="H698" i="16"/>
  <c r="N698" i="16" s="1"/>
  <c r="N697" i="16"/>
  <c r="H696" i="16"/>
  <c r="N696" i="16" s="1"/>
  <c r="N695" i="16"/>
  <c r="H694" i="16"/>
  <c r="H693" i="16"/>
  <c r="N693" i="16" s="1"/>
  <c r="N692" i="16"/>
  <c r="H691" i="16"/>
  <c r="N690" i="16"/>
  <c r="H689" i="16"/>
  <c r="H688" i="16"/>
  <c r="H687" i="16"/>
  <c r="N687" i="16"/>
  <c r="N686" i="16"/>
  <c r="H686" i="16"/>
  <c r="N679" i="16"/>
  <c r="E678" i="16"/>
  <c r="N677" i="16"/>
  <c r="E676" i="16"/>
  <c r="N675" i="16"/>
  <c r="N674" i="16"/>
  <c r="N673" i="16"/>
  <c r="M672" i="16"/>
  <c r="M1095" i="16"/>
  <c r="M1102" i="16"/>
  <c r="N671" i="16"/>
  <c r="N670" i="16"/>
  <c r="G669" i="16"/>
  <c r="F669" i="16"/>
  <c r="H669" i="16" s="1"/>
  <c r="N669" i="16" s="1"/>
  <c r="N667" i="16"/>
  <c r="H666" i="16"/>
  <c r="N666" i="16"/>
  <c r="N665" i="16"/>
  <c r="N664" i="16"/>
  <c r="G663" i="16"/>
  <c r="N661" i="16"/>
  <c r="N658" i="16"/>
  <c r="N657" i="16"/>
  <c r="G656" i="16"/>
  <c r="G651" i="16"/>
  <c r="G650" i="16"/>
  <c r="G646" i="16"/>
  <c r="H645" i="16"/>
  <c r="N639" i="16"/>
  <c r="N638" i="16"/>
  <c r="N637" i="16"/>
  <c r="N636" i="16"/>
  <c r="N635" i="16"/>
  <c r="G632" i="16"/>
  <c r="F632" i="16"/>
  <c r="E633" i="16"/>
  <c r="F633" i="16" s="1"/>
  <c r="H633" i="16" s="1"/>
  <c r="H631" i="16"/>
  <c r="H629" i="16"/>
  <c r="L628" i="16"/>
  <c r="L627" i="16"/>
  <c r="G621" i="16"/>
  <c r="G620" i="16"/>
  <c r="G618" i="16"/>
  <c r="G617" i="16"/>
  <c r="G616" i="16"/>
  <c r="N612" i="16"/>
  <c r="F612" i="16"/>
  <c r="F618" i="16"/>
  <c r="N611" i="16"/>
  <c r="G610" i="16"/>
  <c r="G609" i="16"/>
  <c r="F607" i="16"/>
  <c r="H607" i="16"/>
  <c r="G606" i="16"/>
  <c r="H606" i="16" s="1"/>
  <c r="N606" i="16" s="1"/>
  <c r="F606" i="16"/>
  <c r="G605" i="16"/>
  <c r="H605" i="16" s="1"/>
  <c r="N605" i="16" s="1"/>
  <c r="F605" i="16"/>
  <c r="G604" i="16"/>
  <c r="F604" i="16"/>
  <c r="F603" i="16"/>
  <c r="H603" i="16" s="1"/>
  <c r="G602" i="16"/>
  <c r="F602" i="16"/>
  <c r="N601" i="16"/>
  <c r="N600" i="16"/>
  <c r="G599" i="16"/>
  <c r="G598" i="16"/>
  <c r="F596" i="16"/>
  <c r="H596" i="16" s="1"/>
  <c r="G595" i="16"/>
  <c r="H595" i="16" s="1"/>
  <c r="N595" i="16" s="1"/>
  <c r="F595" i="16"/>
  <c r="G594" i="16"/>
  <c r="F594" i="16"/>
  <c r="G593" i="16"/>
  <c r="F593" i="16"/>
  <c r="F592" i="16"/>
  <c r="H592" i="16" s="1"/>
  <c r="G591" i="16"/>
  <c r="F591" i="16"/>
  <c r="H591" i="16" s="1"/>
  <c r="N590" i="16"/>
  <c r="N589" i="16"/>
  <c r="G588" i="16"/>
  <c r="G587" i="16"/>
  <c r="F585" i="16"/>
  <c r="H585" i="16" s="1"/>
  <c r="G584" i="16"/>
  <c r="F584" i="16"/>
  <c r="G583" i="16"/>
  <c r="H583" i="16" s="1"/>
  <c r="N583" i="16" s="1"/>
  <c r="F583" i="16"/>
  <c r="F582" i="16"/>
  <c r="F581" i="16"/>
  <c r="H581" i="16"/>
  <c r="N581" i="16" s="1"/>
  <c r="G580" i="16"/>
  <c r="F580" i="16"/>
  <c r="N579" i="16"/>
  <c r="N578" i="16"/>
  <c r="G577" i="16"/>
  <c r="G576" i="16"/>
  <c r="F574" i="16"/>
  <c r="H574" i="16"/>
  <c r="N574" i="16" s="1"/>
  <c r="G573" i="16"/>
  <c r="F573" i="16"/>
  <c r="G572" i="16"/>
  <c r="F572" i="16"/>
  <c r="F571" i="16"/>
  <c r="F570" i="16"/>
  <c r="H570" i="16"/>
  <c r="N570" i="16" s="1"/>
  <c r="G569" i="16"/>
  <c r="F575" i="16" s="1"/>
  <c r="F569" i="16"/>
  <c r="N568" i="16"/>
  <c r="N567" i="16"/>
  <c r="G566" i="16"/>
  <c r="G565" i="16"/>
  <c r="G563" i="16"/>
  <c r="F563" i="16"/>
  <c r="G562" i="16"/>
  <c r="H562" i="16" s="1"/>
  <c r="N562" i="16" s="1"/>
  <c r="F562" i="16"/>
  <c r="G561" i="16"/>
  <c r="F561" i="16"/>
  <c r="F560" i="16"/>
  <c r="F559" i="16"/>
  <c r="H559" i="16" s="1"/>
  <c r="F558" i="16"/>
  <c r="H558" i="16"/>
  <c r="N557" i="16"/>
  <c r="N556" i="16"/>
  <c r="G555" i="16"/>
  <c r="G554" i="16"/>
  <c r="G552" i="16"/>
  <c r="H552" i="16" s="1"/>
  <c r="N552" i="16" s="1"/>
  <c r="F552" i="16"/>
  <c r="G551" i="16"/>
  <c r="F551" i="16"/>
  <c r="H551" i="16" s="1"/>
  <c r="N551" i="16" s="1"/>
  <c r="G550" i="16"/>
  <c r="J555" i="16" s="1"/>
  <c r="F550" i="16"/>
  <c r="F549" i="16"/>
  <c r="F548" i="16"/>
  <c r="H548" i="16"/>
  <c r="F547" i="16"/>
  <c r="H547" i="16" s="1"/>
  <c r="N546" i="16"/>
  <c r="N545" i="16"/>
  <c r="G544" i="16"/>
  <c r="G543" i="16"/>
  <c r="G541" i="16"/>
  <c r="F541" i="16"/>
  <c r="G540" i="16"/>
  <c r="F540" i="16"/>
  <c r="G539" i="16"/>
  <c r="F539" i="16"/>
  <c r="H539" i="16" s="1"/>
  <c r="F538" i="16"/>
  <c r="F537" i="16"/>
  <c r="H537" i="16"/>
  <c r="G536" i="16"/>
  <c r="F536" i="16"/>
  <c r="N535" i="16"/>
  <c r="N534" i="16"/>
  <c r="G533" i="16"/>
  <c r="G532" i="16"/>
  <c r="G530" i="16"/>
  <c r="F530" i="16"/>
  <c r="G529" i="16"/>
  <c r="F529" i="16"/>
  <c r="G528" i="16"/>
  <c r="F528" i="16"/>
  <c r="F527" i="16"/>
  <c r="F526" i="16"/>
  <c r="H526" i="16" s="1"/>
  <c r="F525" i="16"/>
  <c r="H525" i="16"/>
  <c r="N524" i="16"/>
  <c r="N523" i="16"/>
  <c r="G522" i="16"/>
  <c r="G521" i="16"/>
  <c r="G519" i="16"/>
  <c r="H519" i="16" s="1"/>
  <c r="F519" i="16"/>
  <c r="G518" i="16"/>
  <c r="F518" i="16"/>
  <c r="G517" i="16"/>
  <c r="F517" i="16"/>
  <c r="F516" i="16"/>
  <c r="F515" i="16"/>
  <c r="H515" i="16"/>
  <c r="F514" i="16"/>
  <c r="H514" i="16"/>
  <c r="N513" i="16"/>
  <c r="N512" i="16"/>
  <c r="G511" i="16"/>
  <c r="G510" i="16"/>
  <c r="G508" i="16"/>
  <c r="F508" i="16"/>
  <c r="G507" i="16"/>
  <c r="F507" i="16"/>
  <c r="G506" i="16"/>
  <c r="F506" i="16"/>
  <c r="H506" i="16" s="1"/>
  <c r="G505" i="16"/>
  <c r="F505" i="16"/>
  <c r="G504" i="16"/>
  <c r="F509" i="16"/>
  <c r="F504" i="16"/>
  <c r="F503" i="16"/>
  <c r="H503" i="16"/>
  <c r="N502" i="16"/>
  <c r="F502" i="16"/>
  <c r="N501" i="16"/>
  <c r="G500" i="16"/>
  <c r="G499" i="16"/>
  <c r="F497" i="16"/>
  <c r="H497" i="16"/>
  <c r="G496" i="16"/>
  <c r="F496" i="16"/>
  <c r="G495" i="16"/>
  <c r="F495" i="16"/>
  <c r="F494" i="16"/>
  <c r="F493" i="16"/>
  <c r="H493" i="16" s="1"/>
  <c r="G492" i="16"/>
  <c r="J500" i="16" s="1"/>
  <c r="F492" i="16"/>
  <c r="N491" i="16"/>
  <c r="N490" i="16"/>
  <c r="G489" i="16"/>
  <c r="G488" i="16"/>
  <c r="G485" i="16"/>
  <c r="G484" i="16"/>
  <c r="G481" i="16"/>
  <c r="N480" i="16"/>
  <c r="E480" i="16"/>
  <c r="F483" i="16" s="1"/>
  <c r="N479" i="16"/>
  <c r="G478" i="16"/>
  <c r="J478" i="16" s="1"/>
  <c r="G477" i="16"/>
  <c r="G475" i="16"/>
  <c r="F476" i="16"/>
  <c r="F475" i="16"/>
  <c r="G474" i="16"/>
  <c r="F474" i="16"/>
  <c r="G473" i="16"/>
  <c r="F473" i="16"/>
  <c r="H473" i="16" s="1"/>
  <c r="F472" i="16"/>
  <c r="F471" i="16"/>
  <c r="H471" i="16"/>
  <c r="F470" i="16"/>
  <c r="H470" i="16" s="1"/>
  <c r="N469" i="16"/>
  <c r="N468" i="16"/>
  <c r="G467" i="16"/>
  <c r="G466" i="16"/>
  <c r="F465" i="16"/>
  <c r="F464" i="16"/>
  <c r="H464" i="16"/>
  <c r="G463" i="16"/>
  <c r="F463" i="16"/>
  <c r="G462" i="16"/>
  <c r="F462" i="16"/>
  <c r="F461" i="16"/>
  <c r="F460" i="16"/>
  <c r="H460" i="16"/>
  <c r="F459" i="16"/>
  <c r="H459" i="16" s="1"/>
  <c r="N458" i="16"/>
  <c r="N457" i="16"/>
  <c r="G456" i="16"/>
  <c r="G455" i="16"/>
  <c r="F454" i="16"/>
  <c r="G452" i="16"/>
  <c r="G451" i="16"/>
  <c r="N447" i="16"/>
  <c r="N446" i="16"/>
  <c r="G445" i="16"/>
  <c r="G444" i="16"/>
  <c r="F443" i="16"/>
  <c r="G441" i="16"/>
  <c r="G440" i="16"/>
  <c r="N436" i="16"/>
  <c r="E436" i="16"/>
  <c r="E447" i="16"/>
  <c r="N435" i="16"/>
  <c r="G434" i="16"/>
  <c r="G433" i="16"/>
  <c r="F432" i="16"/>
  <c r="F431" i="16"/>
  <c r="H431" i="16"/>
  <c r="G430" i="16"/>
  <c r="F430" i="16"/>
  <c r="G429" i="16"/>
  <c r="F429" i="16"/>
  <c r="F428" i="16"/>
  <c r="F427" i="16"/>
  <c r="H427" i="16"/>
  <c r="F426" i="16"/>
  <c r="H426" i="16" s="1"/>
  <c r="N425" i="16"/>
  <c r="N424" i="16"/>
  <c r="G423" i="16"/>
  <c r="G422" i="16"/>
  <c r="F421" i="16"/>
  <c r="F420" i="16"/>
  <c r="H420" i="16"/>
  <c r="G419" i="16"/>
  <c r="F419" i="16"/>
  <c r="H419" i="16" s="1"/>
  <c r="G418" i="16"/>
  <c r="F418" i="16"/>
  <c r="F417" i="16"/>
  <c r="F416" i="16"/>
  <c r="H416" i="16" s="1"/>
  <c r="F415" i="16"/>
  <c r="H415" i="16" s="1"/>
  <c r="E414" i="16"/>
  <c r="F414" i="16" s="1"/>
  <c r="H414" i="16" s="1"/>
  <c r="N413" i="16"/>
  <c r="N412" i="16"/>
  <c r="G411" i="16"/>
  <c r="G410" i="16"/>
  <c r="F409" i="16"/>
  <c r="F408" i="16"/>
  <c r="H408" i="16"/>
  <c r="G407" i="16"/>
  <c r="F407" i="16"/>
  <c r="G406" i="16"/>
  <c r="F406" i="16"/>
  <c r="F405" i="16"/>
  <c r="F404" i="16"/>
  <c r="H404" i="16"/>
  <c r="N404" i="16" s="1"/>
  <c r="F403" i="16"/>
  <c r="H403" i="16" s="1"/>
  <c r="N402" i="16"/>
  <c r="N401" i="16"/>
  <c r="G400" i="16"/>
  <c r="G399" i="16"/>
  <c r="F398" i="16"/>
  <c r="F397" i="16"/>
  <c r="H397" i="16"/>
  <c r="N397" i="16" s="1"/>
  <c r="G396" i="16"/>
  <c r="H396" i="16" s="1"/>
  <c r="F396" i="16"/>
  <c r="G395" i="16"/>
  <c r="F395" i="16"/>
  <c r="F394" i="16"/>
  <c r="F393" i="16"/>
  <c r="H393" i="16"/>
  <c r="F392" i="16"/>
  <c r="H392" i="16" s="1"/>
  <c r="N391" i="16"/>
  <c r="N390" i="16"/>
  <c r="G389" i="16"/>
  <c r="G388" i="16"/>
  <c r="F387" i="16"/>
  <c r="F386" i="16"/>
  <c r="H386" i="16"/>
  <c r="G385" i="16"/>
  <c r="F385" i="16"/>
  <c r="G384" i="16"/>
  <c r="F384" i="16"/>
  <c r="F383" i="16"/>
  <c r="F382" i="16"/>
  <c r="H382" i="16"/>
  <c r="F381" i="16"/>
  <c r="H381" i="16" s="1"/>
  <c r="N380" i="16"/>
  <c r="N379" i="16"/>
  <c r="G378" i="16"/>
  <c r="G377" i="16"/>
  <c r="F376" i="16"/>
  <c r="F375" i="16"/>
  <c r="H375" i="16" s="1"/>
  <c r="N375" i="16" s="1"/>
  <c r="G374" i="16"/>
  <c r="F374" i="16"/>
  <c r="G373" i="16"/>
  <c r="F373" i="16"/>
  <c r="F372" i="16"/>
  <c r="F371" i="16"/>
  <c r="H371" i="16"/>
  <c r="F370" i="16"/>
  <c r="H370" i="16" s="1"/>
  <c r="N369" i="16"/>
  <c r="N368" i="16"/>
  <c r="G367" i="16"/>
  <c r="G366" i="16"/>
  <c r="G364" i="16"/>
  <c r="F365" i="16"/>
  <c r="G363" i="16"/>
  <c r="J367" i="16" s="1"/>
  <c r="F363" i="16"/>
  <c r="G362" i="16"/>
  <c r="F362" i="16"/>
  <c r="H362" i="16" s="1"/>
  <c r="N362" i="16" s="1"/>
  <c r="F361" i="16"/>
  <c r="F360" i="16"/>
  <c r="H360" i="16" s="1"/>
  <c r="F359" i="16"/>
  <c r="F364" i="16"/>
  <c r="H364" i="16"/>
  <c r="N358" i="16"/>
  <c r="N357" i="16"/>
  <c r="G356" i="16"/>
  <c r="G355" i="16"/>
  <c r="F354" i="16"/>
  <c r="F353" i="16"/>
  <c r="H353" i="16"/>
  <c r="G352" i="16"/>
  <c r="F352" i="16"/>
  <c r="G351" i="16"/>
  <c r="F351" i="16"/>
  <c r="H351" i="16" s="1"/>
  <c r="N351" i="16" s="1"/>
  <c r="F350" i="16"/>
  <c r="F349" i="16"/>
  <c r="H349" i="16"/>
  <c r="F348" i="16"/>
  <c r="H348" i="16"/>
  <c r="E347" i="16"/>
  <c r="F347" i="16"/>
  <c r="H347" i="16"/>
  <c r="N347" i="16" s="1"/>
  <c r="N346" i="16"/>
  <c r="N345" i="16"/>
  <c r="G344" i="16"/>
  <c r="G343" i="16"/>
  <c r="G341" i="16"/>
  <c r="F341" i="16"/>
  <c r="G340" i="16"/>
  <c r="F340" i="16"/>
  <c r="G339" i="16"/>
  <c r="F339" i="16"/>
  <c r="F338" i="16"/>
  <c r="H337" i="16"/>
  <c r="F337" i="16"/>
  <c r="F336" i="16"/>
  <c r="H336" i="16"/>
  <c r="N335" i="16"/>
  <c r="N334" i="16"/>
  <c r="N333" i="16"/>
  <c r="G332" i="16"/>
  <c r="G331" i="16"/>
  <c r="F330" i="16"/>
  <c r="G328" i="16"/>
  <c r="G327" i="16"/>
  <c r="N323" i="16"/>
  <c r="F325" i="16"/>
  <c r="H325" i="16" s="1"/>
  <c r="E323" i="16"/>
  <c r="F323" i="16" s="1"/>
  <c r="N322" i="16"/>
  <c r="G321" i="16"/>
  <c r="G320" i="16"/>
  <c r="J321" i="16" s="1"/>
  <c r="F319" i="16"/>
  <c r="G317" i="16"/>
  <c r="G316" i="16"/>
  <c r="N312" i="16"/>
  <c r="F312" i="16"/>
  <c r="F318" i="16"/>
  <c r="H318" i="16" s="1"/>
  <c r="N311" i="16"/>
  <c r="G310" i="16"/>
  <c r="G309" i="16"/>
  <c r="F308" i="16"/>
  <c r="G306" i="16"/>
  <c r="G305" i="16"/>
  <c r="N301" i="16"/>
  <c r="F301" i="16"/>
  <c r="F303" i="16"/>
  <c r="N300" i="16"/>
  <c r="G299" i="16"/>
  <c r="G298" i="16"/>
  <c r="F297" i="16"/>
  <c r="F296" i="16"/>
  <c r="H296" i="16" s="1"/>
  <c r="N296" i="16" s="1"/>
  <c r="G295" i="16"/>
  <c r="F295" i="16"/>
  <c r="H295" i="16" s="1"/>
  <c r="G294" i="16"/>
  <c r="H294" i="16" s="1"/>
  <c r="N294" i="16" s="1"/>
  <c r="F294" i="16"/>
  <c r="F293" i="16"/>
  <c r="F292" i="16"/>
  <c r="H292" i="16"/>
  <c r="F291" i="16"/>
  <c r="H291" i="16" s="1"/>
  <c r="N290" i="16"/>
  <c r="N289" i="16"/>
  <c r="G288" i="16"/>
  <c r="G287" i="16"/>
  <c r="F286" i="16"/>
  <c r="F285" i="16"/>
  <c r="H285" i="16"/>
  <c r="N285" i="16" s="1"/>
  <c r="G284" i="16"/>
  <c r="F284" i="16"/>
  <c r="G283" i="16"/>
  <c r="F283" i="16"/>
  <c r="H283" i="16" s="1"/>
  <c r="F282" i="16"/>
  <c r="F281" i="16"/>
  <c r="H281" i="16"/>
  <c r="N281" i="16"/>
  <c r="F280" i="16"/>
  <c r="H280" i="16"/>
  <c r="N279" i="16"/>
  <c r="N278" i="16"/>
  <c r="G277" i="16"/>
  <c r="G276" i="16"/>
  <c r="F275" i="16"/>
  <c r="F274" i="16"/>
  <c r="H274" i="16" s="1"/>
  <c r="N274" i="16" s="1"/>
  <c r="G273" i="16"/>
  <c r="F273" i="16"/>
  <c r="G272" i="16"/>
  <c r="F272" i="16"/>
  <c r="F271" i="16"/>
  <c r="F270" i="16"/>
  <c r="H270" i="16"/>
  <c r="F269" i="16"/>
  <c r="H269" i="16"/>
  <c r="N268" i="16"/>
  <c r="G265" i="16"/>
  <c r="G264" i="16"/>
  <c r="F263" i="16"/>
  <c r="F262" i="16"/>
  <c r="H262" i="16" s="1"/>
  <c r="G261" i="16"/>
  <c r="F261" i="16"/>
  <c r="G260" i="16"/>
  <c r="F260" i="16"/>
  <c r="F259" i="16"/>
  <c r="F258" i="16"/>
  <c r="H258" i="16"/>
  <c r="F257" i="16"/>
  <c r="H257" i="16" s="1"/>
  <c r="N256" i="16"/>
  <c r="G255" i="16"/>
  <c r="G254" i="16"/>
  <c r="F253" i="16"/>
  <c r="F252" i="16"/>
  <c r="H252" i="16" s="1"/>
  <c r="G251" i="16"/>
  <c r="F251" i="16"/>
  <c r="G250" i="16"/>
  <c r="H250" i="16" s="1"/>
  <c r="N250" i="16" s="1"/>
  <c r="F250" i="16"/>
  <c r="F249" i="16"/>
  <c r="F248" i="16"/>
  <c r="H248" i="16"/>
  <c r="N248" i="16" s="1"/>
  <c r="F247" i="16"/>
  <c r="H247" i="16"/>
  <c r="N247" i="16" s="1"/>
  <c r="N246" i="16"/>
  <c r="N245" i="16"/>
  <c r="G244" i="16"/>
  <c r="G243" i="16"/>
  <c r="F242" i="16"/>
  <c r="F241" i="16"/>
  <c r="H241" i="16"/>
  <c r="G240" i="16"/>
  <c r="H240" i="16" s="1"/>
  <c r="N240" i="16" s="1"/>
  <c r="F240" i="16"/>
  <c r="G239" i="16"/>
  <c r="F239" i="16"/>
  <c r="H239" i="16" s="1"/>
  <c r="N239" i="16" s="1"/>
  <c r="F238" i="16"/>
  <c r="N235" i="16"/>
  <c r="F235" i="16"/>
  <c r="F236" i="16"/>
  <c r="H236" i="16"/>
  <c r="N234" i="16"/>
  <c r="G233" i="16"/>
  <c r="G232" i="16"/>
  <c r="F231" i="16"/>
  <c r="F230" i="16"/>
  <c r="H230" i="16" s="1"/>
  <c r="G229" i="16"/>
  <c r="F229" i="16"/>
  <c r="G228" i="16"/>
  <c r="H228" i="16" s="1"/>
  <c r="F228" i="16"/>
  <c r="F227" i="16"/>
  <c r="F226" i="16"/>
  <c r="H226" i="16"/>
  <c r="F225" i="16"/>
  <c r="H225" i="16"/>
  <c r="N224" i="16"/>
  <c r="F224" i="16"/>
  <c r="N223" i="16"/>
  <c r="G222" i="16"/>
  <c r="G221" i="16"/>
  <c r="F220" i="16"/>
  <c r="F219" i="16"/>
  <c r="H219" i="16"/>
  <c r="N219" i="16"/>
  <c r="G218" i="16"/>
  <c r="F218" i="16"/>
  <c r="G217" i="16"/>
  <c r="F217" i="16"/>
  <c r="F216" i="16"/>
  <c r="F215" i="16"/>
  <c r="H215" i="16"/>
  <c r="N215" i="16"/>
  <c r="F214" i="16"/>
  <c r="H214" i="16" s="1"/>
  <c r="N213" i="16"/>
  <c r="N212" i="16"/>
  <c r="G211" i="16"/>
  <c r="G210" i="16"/>
  <c r="F208" i="16"/>
  <c r="H208" i="16"/>
  <c r="G207" i="16"/>
  <c r="F207" i="16"/>
  <c r="G206" i="16"/>
  <c r="H206" i="16"/>
  <c r="N206" i="16"/>
  <c r="F206" i="16"/>
  <c r="F205" i="16"/>
  <c r="F204" i="16"/>
  <c r="H204" i="16"/>
  <c r="N204" i="16" s="1"/>
  <c r="G203" i="16"/>
  <c r="H203" i="16" s="1"/>
  <c r="F203" i="16"/>
  <c r="N202" i="16"/>
  <c r="N201" i="16"/>
  <c r="G200" i="16"/>
  <c r="J200" i="16" s="1"/>
  <c r="G199" i="16"/>
  <c r="F197" i="16"/>
  <c r="H197" i="16" s="1"/>
  <c r="G196" i="16"/>
  <c r="F196" i="16"/>
  <c r="H196" i="16" s="1"/>
  <c r="N196" i="16" s="1"/>
  <c r="G195" i="16"/>
  <c r="F195" i="16"/>
  <c r="F194" i="16"/>
  <c r="F193" i="16"/>
  <c r="H193" i="16" s="1"/>
  <c r="N193" i="16" s="1"/>
  <c r="G192" i="16"/>
  <c r="F192" i="16"/>
  <c r="N191" i="16"/>
  <c r="N190" i="16"/>
  <c r="G189" i="16"/>
  <c r="G188" i="16"/>
  <c r="G186" i="16"/>
  <c r="F186" i="16"/>
  <c r="G185" i="16"/>
  <c r="F185" i="16"/>
  <c r="H185" i="16" s="1"/>
  <c r="F184" i="16"/>
  <c r="H184" i="16" s="1"/>
  <c r="N184" i="16" s="1"/>
  <c r="F183" i="16"/>
  <c r="F182" i="16"/>
  <c r="H182" i="16" s="1"/>
  <c r="G181" i="16"/>
  <c r="F181" i="16"/>
  <c r="N180" i="16"/>
  <c r="N179" i="16"/>
  <c r="G178" i="16"/>
  <c r="G177" i="16"/>
  <c r="F175" i="16"/>
  <c r="H175" i="16"/>
  <c r="N175" i="16" s="1"/>
  <c r="G174" i="16"/>
  <c r="F174" i="16"/>
  <c r="G173" i="16"/>
  <c r="J178" i="16" s="1"/>
  <c r="F173" i="16"/>
  <c r="F172" i="16"/>
  <c r="F171" i="16"/>
  <c r="H171" i="16"/>
  <c r="N171" i="16" s="1"/>
  <c r="G170" i="16"/>
  <c r="F176" i="16" s="1"/>
  <c r="F170" i="16"/>
  <c r="H170" i="16" s="1"/>
  <c r="N169" i="16"/>
  <c r="N168" i="16"/>
  <c r="G167" i="16"/>
  <c r="G166" i="16"/>
  <c r="F165" i="16"/>
  <c r="F164" i="16"/>
  <c r="H164" i="16" s="1"/>
  <c r="G163" i="16"/>
  <c r="F163" i="16"/>
  <c r="H163" i="16" s="1"/>
  <c r="G162" i="16"/>
  <c r="H162" i="16" s="1"/>
  <c r="F162" i="16"/>
  <c r="F161" i="16"/>
  <c r="F160" i="16"/>
  <c r="H160" i="16"/>
  <c r="F159" i="16"/>
  <c r="H159" i="16"/>
  <c r="E158" i="16"/>
  <c r="F158" i="16"/>
  <c r="H158" i="16" s="1"/>
  <c r="N157" i="16"/>
  <c r="N156" i="16"/>
  <c r="G155" i="16"/>
  <c r="G154" i="16"/>
  <c r="G152" i="16"/>
  <c r="F152" i="16"/>
  <c r="F151" i="16"/>
  <c r="H151" i="16" s="1"/>
  <c r="N151" i="16"/>
  <c r="F150" i="16"/>
  <c r="H150" i="16"/>
  <c r="N150" i="16" s="1"/>
  <c r="F149" i="16"/>
  <c r="H149" i="16"/>
  <c r="G148" i="16"/>
  <c r="F148" i="16"/>
  <c r="F147" i="16"/>
  <c r="N146" i="16"/>
  <c r="N145" i="16"/>
  <c r="G143" i="16"/>
  <c r="G141" i="16"/>
  <c r="F142" i="16"/>
  <c r="F141" i="16"/>
  <c r="F140" i="16"/>
  <c r="H140" i="16"/>
  <c r="N140" i="16"/>
  <c r="F139" i="16"/>
  <c r="H139" i="16" s="1"/>
  <c r="N139" i="16"/>
  <c r="F138" i="16"/>
  <c r="H138" i="16"/>
  <c r="F137" i="16"/>
  <c r="H137" i="16"/>
  <c r="F136" i="16"/>
  <c r="H136" i="16"/>
  <c r="N135" i="16"/>
  <c r="N134" i="16"/>
  <c r="G133" i="16"/>
  <c r="G132" i="16"/>
  <c r="G130" i="16"/>
  <c r="F131" i="16"/>
  <c r="F130" i="16"/>
  <c r="H130" i="16" s="1"/>
  <c r="G129" i="16"/>
  <c r="H129" i="16" s="1"/>
  <c r="N129" i="16" s="1"/>
  <c r="F129" i="16"/>
  <c r="G128" i="16"/>
  <c r="F128" i="16"/>
  <c r="H128" i="16" s="1"/>
  <c r="N128" i="16" s="1"/>
  <c r="F127" i="16"/>
  <c r="H127" i="16" s="1"/>
  <c r="H131" i="16" s="1"/>
  <c r="F126" i="16"/>
  <c r="H126" i="16"/>
  <c r="F125" i="16"/>
  <c r="H125" i="16" s="1"/>
  <c r="N124" i="16"/>
  <c r="N123" i="16"/>
  <c r="G122" i="16"/>
  <c r="G121" i="16"/>
  <c r="G119" i="16"/>
  <c r="F120" i="16" s="1"/>
  <c r="F119" i="16"/>
  <c r="G118" i="16"/>
  <c r="F118" i="16"/>
  <c r="H118" i="16" s="1"/>
  <c r="G117" i="16"/>
  <c r="F117" i="16"/>
  <c r="F116" i="16"/>
  <c r="F115" i="16"/>
  <c r="H115" i="16" s="1"/>
  <c r="F114" i="16"/>
  <c r="H114" i="16" s="1"/>
  <c r="N113" i="16"/>
  <c r="N112" i="16"/>
  <c r="G111" i="16"/>
  <c r="G110" i="16"/>
  <c r="G108" i="16"/>
  <c r="F109" i="16" s="1"/>
  <c r="G107" i="16"/>
  <c r="F107" i="16"/>
  <c r="G106" i="16"/>
  <c r="F106" i="16"/>
  <c r="F105" i="16"/>
  <c r="F103" i="16"/>
  <c r="F104" i="16"/>
  <c r="H104" i="16" s="1"/>
  <c r="N104" i="16" s="1"/>
  <c r="N102" i="16"/>
  <c r="N101" i="16"/>
  <c r="G100" i="16"/>
  <c r="G99" i="16"/>
  <c r="F98" i="16"/>
  <c r="F97" i="16"/>
  <c r="H97" i="16"/>
  <c r="N97" i="16" s="1"/>
  <c r="G96" i="16"/>
  <c r="F96" i="16"/>
  <c r="G95" i="16"/>
  <c r="F95" i="16"/>
  <c r="F94" i="16"/>
  <c r="F93" i="16"/>
  <c r="H93" i="16"/>
  <c r="F92" i="16"/>
  <c r="H92" i="16" s="1"/>
  <c r="N91" i="16"/>
  <c r="N90" i="16"/>
  <c r="G89" i="16"/>
  <c r="G88" i="16"/>
  <c r="F87" i="16"/>
  <c r="F86" i="16"/>
  <c r="H86" i="16"/>
  <c r="N86" i="16" s="1"/>
  <c r="G85" i="16"/>
  <c r="F85" i="16"/>
  <c r="G84" i="16"/>
  <c r="F84" i="16"/>
  <c r="F83" i="16"/>
  <c r="F82" i="16"/>
  <c r="H82" i="16"/>
  <c r="F81" i="16"/>
  <c r="H81" i="16" s="1"/>
  <c r="N80" i="16"/>
  <c r="N79" i="16"/>
  <c r="N78" i="16"/>
  <c r="G77" i="16"/>
  <c r="G76" i="16"/>
  <c r="G74" i="16"/>
  <c r="H74" i="16" s="1"/>
  <c r="F75" i="16"/>
  <c r="F74" i="16"/>
  <c r="G73" i="16"/>
  <c r="F73" i="16"/>
  <c r="H73" i="16" s="1"/>
  <c r="N73" i="16" s="1"/>
  <c r="G72" i="16"/>
  <c r="F72" i="16"/>
  <c r="F71" i="16"/>
  <c r="F70" i="16"/>
  <c r="H70" i="16"/>
  <c r="N70" i="16" s="1"/>
  <c r="F69" i="16"/>
  <c r="H69" i="16"/>
  <c r="N68" i="16"/>
  <c r="N67" i="16"/>
  <c r="G66" i="16"/>
  <c r="G65" i="16"/>
  <c r="F64" i="16"/>
  <c r="G62" i="16"/>
  <c r="G61" i="16"/>
  <c r="N57" i="16"/>
  <c r="E57" i="16"/>
  <c r="F60" i="16" s="1"/>
  <c r="N56" i="16"/>
  <c r="G55" i="16"/>
  <c r="J55" i="16" s="1"/>
  <c r="G54" i="16"/>
  <c r="F53" i="16"/>
  <c r="G51" i="16"/>
  <c r="F51" i="16"/>
  <c r="H51" i="16" s="1"/>
  <c r="N51" i="16" s="1"/>
  <c r="G50" i="16"/>
  <c r="F50" i="16"/>
  <c r="F49" i="16"/>
  <c r="F48" i="16"/>
  <c r="H48" i="16" s="1"/>
  <c r="N48" i="16" s="1"/>
  <c r="F47" i="16"/>
  <c r="F52" i="16" s="1"/>
  <c r="H52" i="16"/>
  <c r="N46" i="16"/>
  <c r="N45" i="16"/>
  <c r="F42" i="16"/>
  <c r="F41" i="16"/>
  <c r="H41" i="16"/>
  <c r="N41" i="16" s="1"/>
  <c r="G40" i="16"/>
  <c r="H40" i="16" s="1"/>
  <c r="F40" i="16"/>
  <c r="G39" i="16"/>
  <c r="F39" i="16"/>
  <c r="F38" i="16"/>
  <c r="E38" i="16"/>
  <c r="F37" i="16"/>
  <c r="H37" i="16"/>
  <c r="N37" i="16" s="1"/>
  <c r="F36" i="16"/>
  <c r="H36" i="16"/>
  <c r="N35" i="16"/>
  <c r="N34" i="16"/>
  <c r="N32" i="16"/>
  <c r="N31" i="16"/>
  <c r="N30" i="16"/>
  <c r="J30" i="16"/>
  <c r="H29" i="16"/>
  <c r="N29" i="16"/>
  <c r="H28" i="16"/>
  <c r="H27" i="16"/>
  <c r="H26" i="16"/>
  <c r="N24" i="16"/>
  <c r="N23" i="16"/>
  <c r="J23" i="16"/>
  <c r="H22" i="16"/>
  <c r="N22" i="16"/>
  <c r="N21" i="16"/>
  <c r="H20" i="16"/>
  <c r="N18" i="16"/>
  <c r="N17" i="16"/>
  <c r="K17" i="16"/>
  <c r="J17" i="16"/>
  <c r="H16" i="16"/>
  <c r="N16" i="16"/>
  <c r="H15" i="16"/>
  <c r="N15" i="16" s="1"/>
  <c r="H14" i="16"/>
  <c r="H13" i="16"/>
  <c r="N13" i="16"/>
  <c r="H12" i="16"/>
  <c r="N12" i="16" s="1"/>
  <c r="H11" i="16"/>
  <c r="N11" i="16"/>
  <c r="H5" i="16"/>
  <c r="L6" i="7"/>
  <c r="F783" i="16" s="1"/>
  <c r="H783" i="16" s="1"/>
  <c r="X1039" i="1"/>
  <c r="N983" i="1"/>
  <c r="H984" i="1"/>
  <c r="N984" i="1"/>
  <c r="G265" i="1"/>
  <c r="G264" i="1"/>
  <c r="F263" i="1"/>
  <c r="F262" i="1"/>
  <c r="H262" i="1"/>
  <c r="G261" i="1"/>
  <c r="F261" i="1"/>
  <c r="G260" i="1"/>
  <c r="F260" i="1"/>
  <c r="H260" i="1" s="1"/>
  <c r="N260" i="1" s="1"/>
  <c r="F259" i="1"/>
  <c r="F258" i="1"/>
  <c r="W258" i="1" s="1"/>
  <c r="F257" i="1"/>
  <c r="H257" i="1"/>
  <c r="N256" i="1"/>
  <c r="E38" i="14"/>
  <c r="E34" i="14"/>
  <c r="H1055" i="1"/>
  <c r="N1010" i="1"/>
  <c r="N1022" i="1"/>
  <c r="N1023" i="1"/>
  <c r="N1024" i="1"/>
  <c r="N1025" i="1"/>
  <c r="N1028" i="1"/>
  <c r="N1029" i="1"/>
  <c r="N1030" i="1"/>
  <c r="N1031" i="1"/>
  <c r="G646" i="1"/>
  <c r="H645" i="1"/>
  <c r="E414" i="1"/>
  <c r="F414" i="1" s="1"/>
  <c r="H414" i="1" s="1"/>
  <c r="Q414" i="1" s="1"/>
  <c r="H1066" i="1"/>
  <c r="D85" i="15"/>
  <c r="D84" i="15"/>
  <c r="D83" i="15"/>
  <c r="D82" i="15"/>
  <c r="D81" i="15"/>
  <c r="D80" i="15"/>
  <c r="D79" i="15"/>
  <c r="D78" i="15"/>
  <c r="D77" i="15"/>
  <c r="D76" i="15"/>
  <c r="D75" i="15"/>
  <c r="G73" i="15"/>
  <c r="D61" i="15"/>
  <c r="D62" i="15" s="1"/>
  <c r="G59" i="15"/>
  <c r="E44" i="15"/>
  <c r="D20" i="15"/>
  <c r="D19" i="15"/>
  <c r="F18" i="15"/>
  <c r="D18" i="15"/>
  <c r="D12" i="15"/>
  <c r="F11" i="15"/>
  <c r="D9" i="15"/>
  <c r="D5" i="15"/>
  <c r="D3" i="15"/>
  <c r="H106" i="16"/>
  <c r="N106" i="16" s="1"/>
  <c r="H141" i="16"/>
  <c r="N141" i="16" s="1"/>
  <c r="H284" i="16"/>
  <c r="N284" i="16" s="1"/>
  <c r="H50" i="16"/>
  <c r="N50" i="16" s="1"/>
  <c r="N130" i="16"/>
  <c r="N396" i="16"/>
  <c r="H217" i="16"/>
  <c r="N217" i="16" s="1"/>
  <c r="H385" i="16"/>
  <c r="N385" i="16" s="1"/>
  <c r="H561" i="16"/>
  <c r="N561" i="16"/>
  <c r="H174" i="16"/>
  <c r="N174" i="16" s="1"/>
  <c r="H463" i="16"/>
  <c r="N463" i="16"/>
  <c r="F613" i="16"/>
  <c r="H613" i="16" s="1"/>
  <c r="F153" i="16"/>
  <c r="H594" i="16"/>
  <c r="N594" i="16" s="1"/>
  <c r="H1067" i="16"/>
  <c r="I1067" i="16"/>
  <c r="H38" i="16"/>
  <c r="N506" i="16"/>
  <c r="H508" i="16"/>
  <c r="N508" i="16" s="1"/>
  <c r="N539" i="16"/>
  <c r="N1021" i="16"/>
  <c r="N1056" i="16"/>
  <c r="H229" i="16"/>
  <c r="N229" i="16" s="1"/>
  <c r="H148" i="16"/>
  <c r="J211" i="16"/>
  <c r="J265" i="16"/>
  <c r="N118" i="16"/>
  <c r="N419" i="16"/>
  <c r="J467" i="16"/>
  <c r="H573" i="16"/>
  <c r="N573" i="16"/>
  <c r="I765" i="16"/>
  <c r="N163" i="16"/>
  <c r="H173" i="16"/>
  <c r="N173" i="16" s="1"/>
  <c r="N185" i="16"/>
  <c r="H195" i="16"/>
  <c r="N195" i="16"/>
  <c r="H207" i="16"/>
  <c r="N207" i="16"/>
  <c r="H273" i="16"/>
  <c r="N273" i="16" s="1"/>
  <c r="H339" i="16"/>
  <c r="N339" i="16"/>
  <c r="H363" i="16"/>
  <c r="N363" i="16" s="1"/>
  <c r="J423" i="16"/>
  <c r="H474" i="16"/>
  <c r="N474" i="16"/>
  <c r="H495" i="16"/>
  <c r="N495" i="16" s="1"/>
  <c r="H584" i="16"/>
  <c r="N584" i="16"/>
  <c r="J167" i="16"/>
  <c r="H107" i="16"/>
  <c r="N107" i="16" s="1"/>
  <c r="J122" i="16"/>
  <c r="H152" i="16"/>
  <c r="N152" i="16"/>
  <c r="H181" i="16"/>
  <c r="H186" i="16"/>
  <c r="N186" i="16" s="1"/>
  <c r="H251" i="16"/>
  <c r="N251" i="16"/>
  <c r="H261" i="16"/>
  <c r="N261" i="16" s="1"/>
  <c r="N283" i="16"/>
  <c r="F327" i="16"/>
  <c r="H327" i="16" s="1"/>
  <c r="N327" i="16" s="1"/>
  <c r="F329" i="16"/>
  <c r="H329" i="16"/>
  <c r="N329" i="16" s="1"/>
  <c r="H518" i="16"/>
  <c r="N518" i="16" s="1"/>
  <c r="H530" i="16"/>
  <c r="H540" i="16"/>
  <c r="N540" i="16" s="1"/>
  <c r="H572" i="16"/>
  <c r="N572" i="16"/>
  <c r="J577" i="16"/>
  <c r="F614" i="16"/>
  <c r="H614" i="16"/>
  <c r="N614" i="16" s="1"/>
  <c r="H653" i="16"/>
  <c r="F655" i="16" s="1"/>
  <c r="H655" i="16"/>
  <c r="I1039" i="16"/>
  <c r="N1039" i="16" s="1"/>
  <c r="N1057" i="16"/>
  <c r="N1075" i="16"/>
  <c r="I30" i="16"/>
  <c r="I23" i="16"/>
  <c r="H85" i="16"/>
  <c r="N85" i="16"/>
  <c r="J133" i="16"/>
  <c r="J189" i="16"/>
  <c r="H374" i="16"/>
  <c r="N374" i="16"/>
  <c r="J434" i="16"/>
  <c r="J566" i="16"/>
  <c r="I994" i="16"/>
  <c r="F328" i="16"/>
  <c r="H328" i="16" s="1"/>
  <c r="N328" i="16" s="1"/>
  <c r="N40" i="16"/>
  <c r="H96" i="16"/>
  <c r="N96" i="16"/>
  <c r="N228" i="16"/>
  <c r="N295" i="16"/>
  <c r="H340" i="16"/>
  <c r="N340" i="16" s="1"/>
  <c r="H407" i="16"/>
  <c r="N407" i="16"/>
  <c r="H430" i="16"/>
  <c r="N430" i="16" s="1"/>
  <c r="J445" i="16"/>
  <c r="H462" i="16"/>
  <c r="N462" i="16"/>
  <c r="H492" i="16"/>
  <c r="H496" i="16"/>
  <c r="N496" i="16"/>
  <c r="H507" i="16"/>
  <c r="N507" i="16" s="1"/>
  <c r="F520" i="16"/>
  <c r="H569" i="16"/>
  <c r="H632" i="16"/>
  <c r="I633" i="16" s="1"/>
  <c r="N633" i="16" s="1"/>
  <c r="I750" i="16"/>
  <c r="N750" i="16" s="1"/>
  <c r="I1066" i="16"/>
  <c r="N28" i="16"/>
  <c r="N52" i="16"/>
  <c r="N82" i="16"/>
  <c r="N92" i="16"/>
  <c r="N115" i="16"/>
  <c r="J44" i="16"/>
  <c r="F61" i="16"/>
  <c r="H61" i="16" s="1"/>
  <c r="N61" i="16" s="1"/>
  <c r="F62" i="16"/>
  <c r="H62" i="16"/>
  <c r="N62" i="16" s="1"/>
  <c r="N158" i="16"/>
  <c r="N181" i="16"/>
  <c r="N208" i="16"/>
  <c r="I17" i="16"/>
  <c r="N38" i="16"/>
  <c r="F59" i="16"/>
  <c r="H59" i="16"/>
  <c r="J66" i="16"/>
  <c r="N74" i="16"/>
  <c r="F108" i="16"/>
  <c r="H108" i="16"/>
  <c r="N108" i="16"/>
  <c r="H117" i="16"/>
  <c r="N117" i="16"/>
  <c r="N236" i="16"/>
  <c r="N252" i="16"/>
  <c r="E593" i="16"/>
  <c r="E604" i="16"/>
  <c r="H604" i="16" s="1"/>
  <c r="H608" i="16" s="1"/>
  <c r="E527" i="16"/>
  <c r="H527" i="16" s="1"/>
  <c r="E494" i="16"/>
  <c r="H494" i="16" s="1"/>
  <c r="E439" i="16"/>
  <c r="E461" i="16"/>
  <c r="H461" i="16" s="1"/>
  <c r="E472" i="16"/>
  <c r="H472" i="16" s="1"/>
  <c r="E293" i="16"/>
  <c r="H293" i="16" s="1"/>
  <c r="E338" i="16"/>
  <c r="H338" i="16" s="1"/>
  <c r="E372" i="16"/>
  <c r="H372" i="16" s="1"/>
  <c r="E183" i="16"/>
  <c r="H183" i="16" s="1"/>
  <c r="E259" i="16"/>
  <c r="H259" i="16" s="1"/>
  <c r="E161" i="16"/>
  <c r="H161" i="16" s="1"/>
  <c r="F166" i="16" s="1"/>
  <c r="E138" i="16"/>
  <c r="E127" i="16"/>
  <c r="N14" i="16"/>
  <c r="H47" i="16"/>
  <c r="E49" i="16"/>
  <c r="H49" i="16" s="1"/>
  <c r="F58" i="16"/>
  <c r="H103" i="16"/>
  <c r="J111" i="16"/>
  <c r="N225" i="16"/>
  <c r="N257" i="16"/>
  <c r="N20" i="16"/>
  <c r="H119" i="16"/>
  <c r="N119" i="16" s="1"/>
  <c r="F143" i="16"/>
  <c r="E144" i="16"/>
  <c r="F144" i="16" s="1"/>
  <c r="H144" i="16" s="1"/>
  <c r="N144" i="16" s="1"/>
  <c r="N197" i="16"/>
  <c r="N127" i="16"/>
  <c r="J144" i="16"/>
  <c r="L166" i="16"/>
  <c r="H192" i="16"/>
  <c r="J233" i="16"/>
  <c r="N280" i="16"/>
  <c r="N325" i="16"/>
  <c r="N381" i="16"/>
  <c r="J155" i="16"/>
  <c r="F187" i="16"/>
  <c r="J244" i="16"/>
  <c r="J255" i="16"/>
  <c r="N353" i="16"/>
  <c r="N126" i="16"/>
  <c r="H147" i="16"/>
  <c r="N162" i="16"/>
  <c r="N164" i="16"/>
  <c r="N170" i="16"/>
  <c r="F198" i="16"/>
  <c r="N203" i="16"/>
  <c r="N214" i="16"/>
  <c r="N230" i="16"/>
  <c r="F237" i="16"/>
  <c r="H260" i="16"/>
  <c r="N260" i="16" s="1"/>
  <c r="N262" i="16"/>
  <c r="N291" i="16"/>
  <c r="N348" i="16"/>
  <c r="F209" i="16"/>
  <c r="N269" i="16"/>
  <c r="H272" i="16"/>
  <c r="N272" i="16"/>
  <c r="N292" i="16"/>
  <c r="H303" i="16"/>
  <c r="N318" i="16"/>
  <c r="N364" i="16"/>
  <c r="N386" i="16"/>
  <c r="F313" i="16"/>
  <c r="H313" i="16"/>
  <c r="F314" i="16"/>
  <c r="H314" i="16" s="1"/>
  <c r="F326" i="16"/>
  <c r="N414" i="16"/>
  <c r="N420" i="16"/>
  <c r="N427" i="16"/>
  <c r="J277" i="16"/>
  <c r="J288" i="16"/>
  <c r="J299" i="16"/>
  <c r="F304" i="16"/>
  <c r="J332" i="16"/>
  <c r="N464" i="16"/>
  <c r="F305" i="16"/>
  <c r="F306" i="16"/>
  <c r="H306" i="16"/>
  <c r="N306" i="16" s="1"/>
  <c r="F307" i="16"/>
  <c r="H307" i="16" s="1"/>
  <c r="N307" i="16" s="1"/>
  <c r="F315" i="16"/>
  <c r="F324" i="16"/>
  <c r="H324" i="16" s="1"/>
  <c r="N337" i="16"/>
  <c r="H359" i="16"/>
  <c r="N408" i="16"/>
  <c r="N416" i="16"/>
  <c r="F302" i="16"/>
  <c r="H302" i="16"/>
  <c r="F316" i="16"/>
  <c r="H316" i="16" s="1"/>
  <c r="N316" i="16" s="1"/>
  <c r="F317" i="16"/>
  <c r="H317" i="16"/>
  <c r="N317" i="16" s="1"/>
  <c r="N336" i="16"/>
  <c r="N360" i="16"/>
  <c r="N371" i="16"/>
  <c r="N382" i="16"/>
  <c r="F450" i="16"/>
  <c r="F453" i="16"/>
  <c r="H453" i="16"/>
  <c r="N453" i="16" s="1"/>
  <c r="F452" i="16"/>
  <c r="H452" i="16" s="1"/>
  <c r="N452" i="16" s="1"/>
  <c r="F451" i="16"/>
  <c r="H451" i="16" s="1"/>
  <c r="N451" i="16" s="1"/>
  <c r="F448" i="16"/>
  <c r="H448" i="16"/>
  <c r="F449" i="16"/>
  <c r="H449" i="16" s="1"/>
  <c r="F437" i="16"/>
  <c r="H437" i="16"/>
  <c r="F440" i="16"/>
  <c r="H440" i="16"/>
  <c r="N440" i="16"/>
  <c r="F441" i="16"/>
  <c r="H441" i="16" s="1"/>
  <c r="N441" i="16" s="1"/>
  <c r="F442" i="16"/>
  <c r="H442" i="16" s="1"/>
  <c r="N442" i="16" s="1"/>
  <c r="J456" i="16"/>
  <c r="N473" i="16"/>
  <c r="H475" i="16"/>
  <c r="F481" i="16"/>
  <c r="F484" i="16"/>
  <c r="H484" i="16"/>
  <c r="N484" i="16" s="1"/>
  <c r="F485" i="16"/>
  <c r="H485" i="16"/>
  <c r="N485" i="16" s="1"/>
  <c r="F486" i="16"/>
  <c r="H486" i="16"/>
  <c r="F487" i="16"/>
  <c r="F498" i="16"/>
  <c r="J511" i="16"/>
  <c r="N514" i="16"/>
  <c r="H418" i="16"/>
  <c r="N418" i="16" s="1"/>
  <c r="H429" i="16"/>
  <c r="N429" i="16"/>
  <c r="F438" i="16"/>
  <c r="H438" i="16" s="1"/>
  <c r="F482" i="16"/>
  <c r="H482" i="16"/>
  <c r="N537" i="16"/>
  <c r="N547" i="16"/>
  <c r="H395" i="16"/>
  <c r="N395" i="16" s="1"/>
  <c r="N493" i="16"/>
  <c r="N497" i="16"/>
  <c r="H504" i="16"/>
  <c r="N525" i="16"/>
  <c r="N530" i="16"/>
  <c r="N548" i="16"/>
  <c r="N558" i="16"/>
  <c r="N426" i="16"/>
  <c r="F439" i="16"/>
  <c r="N515" i="16"/>
  <c r="J522" i="16"/>
  <c r="H517" i="16"/>
  <c r="N517" i="16" s="1"/>
  <c r="N519" i="16"/>
  <c r="N526" i="16"/>
  <c r="F531" i="16"/>
  <c r="F542" i="16"/>
  <c r="F553" i="16"/>
  <c r="N569" i="16"/>
  <c r="N585" i="16"/>
  <c r="N604" i="16"/>
  <c r="H528" i="16"/>
  <c r="H550" i="16"/>
  <c r="N550" i="16" s="1"/>
  <c r="N659" i="16"/>
  <c r="N607" i="16"/>
  <c r="N634" i="16"/>
  <c r="N640" i="16"/>
  <c r="H580" i="16"/>
  <c r="H618" i="16"/>
  <c r="N645" i="16"/>
  <c r="N713" i="16"/>
  <c r="F608" i="16"/>
  <c r="N994" i="16"/>
  <c r="H602" i="16"/>
  <c r="F615" i="16"/>
  <c r="F616" i="16"/>
  <c r="H616" i="16" s="1"/>
  <c r="N616" i="16" s="1"/>
  <c r="F617" i="16"/>
  <c r="H617" i="16"/>
  <c r="N617" i="16" s="1"/>
  <c r="N782" i="16"/>
  <c r="F597" i="16"/>
  <c r="F646" i="16"/>
  <c r="E647" i="16" s="1"/>
  <c r="F647" i="16" s="1"/>
  <c r="H647" i="16"/>
  <c r="N668" i="16"/>
  <c r="N755" i="16"/>
  <c r="N765" i="16"/>
  <c r="N680" i="16"/>
  <c r="N772" i="16"/>
  <c r="I815" i="16"/>
  <c r="N815" i="16"/>
  <c r="N811" i="16"/>
  <c r="I720" i="16"/>
  <c r="N1004" i="16"/>
  <c r="N689" i="16"/>
  <c r="I700" i="16"/>
  <c r="N777" i="16"/>
  <c r="N798" i="16"/>
  <c r="N799" i="16"/>
  <c r="N802" i="16"/>
  <c r="N1006" i="16"/>
  <c r="N1027" i="16"/>
  <c r="N688" i="16"/>
  <c r="N691" i="16"/>
  <c r="N694" i="16"/>
  <c r="N719" i="16"/>
  <c r="N783" i="16"/>
  <c r="N816" i="16"/>
  <c r="N822" i="16"/>
  <c r="N826" i="16"/>
  <c r="N830" i="16"/>
  <c r="N834" i="16"/>
  <c r="N838" i="16"/>
  <c r="N842" i="16"/>
  <c r="N846" i="16"/>
  <c r="I999" i="16"/>
  <c r="I1006" i="16"/>
  <c r="N810" i="16"/>
  <c r="I1003" i="16"/>
  <c r="I1005" i="16"/>
  <c r="N1007" i="16"/>
  <c r="I1007" i="16"/>
  <c r="I1008" i="16"/>
  <c r="I1009" i="16"/>
  <c r="N1009" i="16"/>
  <c r="N1015" i="16"/>
  <c r="I1020" i="16"/>
  <c r="N1048" i="16"/>
  <c r="N1052" i="16"/>
  <c r="N1055" i="16"/>
  <c r="N1060" i="16"/>
  <c r="N1068" i="16"/>
  <c r="N1074" i="16"/>
  <c r="I1078" i="16"/>
  <c r="N803" i="16"/>
  <c r="N1008" i="16"/>
  <c r="N1011" i="16"/>
  <c r="I1018" i="16"/>
  <c r="N1043" i="16"/>
  <c r="N1047" i="16"/>
  <c r="N1054" i="16"/>
  <c r="N1058" i="16"/>
  <c r="N1067" i="16"/>
  <c r="N1073" i="16"/>
  <c r="H261" i="1"/>
  <c r="N261" i="1" s="1"/>
  <c r="V257" i="1"/>
  <c r="X258" i="1"/>
  <c r="AC262" i="1"/>
  <c r="N262" i="1" s="1"/>
  <c r="H258" i="1"/>
  <c r="J265" i="1"/>
  <c r="T1055" i="1"/>
  <c r="N1055" i="1"/>
  <c r="F646" i="1"/>
  <c r="E647" i="1" s="1"/>
  <c r="F647" i="1" s="1"/>
  <c r="H647" i="1"/>
  <c r="N414" i="1"/>
  <c r="D63" i="15"/>
  <c r="E62" i="15"/>
  <c r="E57" i="15"/>
  <c r="E34" i="15"/>
  <c r="E46" i="15"/>
  <c r="E58" i="15"/>
  <c r="E35" i="15"/>
  <c r="E47" i="15"/>
  <c r="E59" i="15"/>
  <c r="E33" i="15"/>
  <c r="E21" i="15"/>
  <c r="E24" i="15"/>
  <c r="E48" i="15"/>
  <c r="E38" i="15"/>
  <c r="E50" i="15"/>
  <c r="E45" i="15"/>
  <c r="E37" i="15"/>
  <c r="E39" i="15"/>
  <c r="E51" i="15"/>
  <c r="E36" i="15"/>
  <c r="E40" i="15"/>
  <c r="E52" i="15"/>
  <c r="E49" i="15"/>
  <c r="E29" i="15"/>
  <c r="E41" i="15"/>
  <c r="F654" i="16"/>
  <c r="H654" i="16"/>
  <c r="F656" i="16"/>
  <c r="H656" i="16"/>
  <c r="H165" i="16"/>
  <c r="N1003" i="16"/>
  <c r="N646" i="16"/>
  <c r="N642" i="16"/>
  <c r="N648" i="16"/>
  <c r="N643" i="16"/>
  <c r="N618" i="16"/>
  <c r="N559" i="16"/>
  <c r="N528" i="16"/>
  <c r="N165" i="16"/>
  <c r="N644" i="16"/>
  <c r="N602" i="16"/>
  <c r="H646" i="16"/>
  <c r="I647" i="16" s="1"/>
  <c r="N641" i="16"/>
  <c r="N580" i="16"/>
  <c r="N471" i="16"/>
  <c r="N370" i="16"/>
  <c r="N131" i="16"/>
  <c r="H58" i="16"/>
  <c r="F63" i="16"/>
  <c r="H63" i="16" s="1"/>
  <c r="N63" i="16" s="1"/>
  <c r="N114" i="16"/>
  <c r="N137" i="16"/>
  <c r="N460" i="16"/>
  <c r="N431" i="16"/>
  <c r="N415" i="16"/>
  <c r="N393" i="16"/>
  <c r="N349" i="16"/>
  <c r="N392" i="16"/>
  <c r="N241" i="16"/>
  <c r="N149" i="16"/>
  <c r="N148" i="16"/>
  <c r="N69" i="16"/>
  <c r="N303" i="16"/>
  <c r="N258" i="16"/>
  <c r="N226" i="16"/>
  <c r="N159" i="16"/>
  <c r="H143" i="16"/>
  <c r="N143" i="16"/>
  <c r="N27" i="16"/>
  <c r="N459" i="16"/>
  <c r="N503" i="16"/>
  <c r="H237" i="16"/>
  <c r="H153" i="16"/>
  <c r="N153" i="16" s="1"/>
  <c r="N147" i="16"/>
  <c r="F154" i="16"/>
  <c r="N138" i="16"/>
  <c r="N270" i="16"/>
  <c r="Y258" i="1"/>
  <c r="N257" i="1"/>
  <c r="H646" i="1"/>
  <c r="I647" i="1" s="1"/>
  <c r="D64" i="15"/>
  <c r="E63" i="15"/>
  <c r="N449" i="16"/>
  <c r="N486" i="16"/>
  <c r="N504" i="16"/>
  <c r="N160" i="16"/>
  <c r="E155" i="16"/>
  <c r="F155" i="16"/>
  <c r="H155" i="16"/>
  <c r="H154" i="16"/>
  <c r="N192" i="16"/>
  <c r="N482" i="16"/>
  <c r="N592" i="16"/>
  <c r="N527" i="16"/>
  <c r="N26" i="16"/>
  <c r="N313" i="16"/>
  <c r="N438" i="16"/>
  <c r="Z258" i="1"/>
  <c r="E64" i="15"/>
  <c r="D65" i="15"/>
  <c r="E65" i="15" s="1"/>
  <c r="N359" i="16"/>
  <c r="N596" i="16"/>
  <c r="N461" i="16"/>
  <c r="N155" i="16"/>
  <c r="AA258" i="1"/>
  <c r="D66" i="15"/>
  <c r="N237" i="16"/>
  <c r="N47" i="16"/>
  <c r="N125" i="16"/>
  <c r="N58" i="16"/>
  <c r="N36" i="16"/>
  <c r="N81" i="16"/>
  <c r="N59" i="16"/>
  <c r="N372" i="16"/>
  <c r="N472" i="16"/>
  <c r="N161" i="16"/>
  <c r="N314" i="16"/>
  <c r="N103" i="16"/>
  <c r="T1061" i="1"/>
  <c r="N1042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6" i="1"/>
  <c r="N987" i="1"/>
  <c r="N988" i="1"/>
  <c r="N989" i="1"/>
  <c r="N868" i="1"/>
  <c r="AD855" i="1"/>
  <c r="N855" i="1"/>
  <c r="AD859" i="1"/>
  <c r="N859" i="1"/>
  <c r="AD860" i="1"/>
  <c r="N860" i="1"/>
  <c r="AD861" i="1"/>
  <c r="N861" i="1"/>
  <c r="AD862" i="1"/>
  <c r="N851" i="1"/>
  <c r="N863" i="1"/>
  <c r="N865" i="1"/>
  <c r="N866" i="1"/>
  <c r="N867" i="1"/>
  <c r="N990" i="1"/>
  <c r="N991" i="1"/>
  <c r="N992" i="1"/>
  <c r="N993" i="1"/>
  <c r="R784" i="1"/>
  <c r="W784" i="1"/>
  <c r="AA784" i="1"/>
  <c r="AG784" i="1"/>
  <c r="AJ784" i="1" s="1"/>
  <c r="R785" i="1"/>
  <c r="W785" i="1"/>
  <c r="AA785" i="1"/>
  <c r="AG785" i="1"/>
  <c r="AJ785" i="1" s="1"/>
  <c r="R786" i="1"/>
  <c r="W786" i="1"/>
  <c r="AA786" i="1"/>
  <c r="AG786" i="1"/>
  <c r="AJ786" i="1"/>
  <c r="R787" i="1"/>
  <c r="W787" i="1"/>
  <c r="AA787" i="1"/>
  <c r="AG787" i="1"/>
  <c r="AJ787" i="1" s="1"/>
  <c r="R788" i="1"/>
  <c r="W788" i="1"/>
  <c r="AA788" i="1"/>
  <c r="N788" i="1" s="1"/>
  <c r="AG788" i="1"/>
  <c r="AJ788" i="1" s="1"/>
  <c r="R789" i="1"/>
  <c r="W789" i="1"/>
  <c r="AA789" i="1"/>
  <c r="AG789" i="1"/>
  <c r="AJ789" i="1"/>
  <c r="R790" i="1"/>
  <c r="W790" i="1"/>
  <c r="AA790" i="1"/>
  <c r="AG790" i="1"/>
  <c r="AJ790" i="1"/>
  <c r="R791" i="1"/>
  <c r="W791" i="1"/>
  <c r="AA791" i="1"/>
  <c r="AG791" i="1"/>
  <c r="AJ791" i="1"/>
  <c r="R792" i="1"/>
  <c r="W792" i="1"/>
  <c r="AA792" i="1"/>
  <c r="AG792" i="1"/>
  <c r="AJ792" i="1" s="1"/>
  <c r="R793" i="1"/>
  <c r="W793" i="1"/>
  <c r="AA793" i="1"/>
  <c r="AG793" i="1"/>
  <c r="AJ793" i="1"/>
  <c r="R794" i="1"/>
  <c r="W794" i="1"/>
  <c r="AA794" i="1"/>
  <c r="AG794" i="1"/>
  <c r="AJ794" i="1"/>
  <c r="R795" i="1"/>
  <c r="W795" i="1"/>
  <c r="AA795" i="1"/>
  <c r="AG795" i="1"/>
  <c r="AJ795" i="1"/>
  <c r="R796" i="1"/>
  <c r="W796" i="1"/>
  <c r="AA796" i="1"/>
  <c r="AG796" i="1"/>
  <c r="AJ796" i="1" s="1"/>
  <c r="R798" i="1"/>
  <c r="W798" i="1"/>
  <c r="AA798" i="1"/>
  <c r="AG798" i="1"/>
  <c r="AJ798" i="1"/>
  <c r="R804" i="1"/>
  <c r="W804" i="1"/>
  <c r="AA804" i="1"/>
  <c r="AG804" i="1"/>
  <c r="AJ804" i="1"/>
  <c r="R805" i="1"/>
  <c r="W805" i="1"/>
  <c r="AA805" i="1"/>
  <c r="AG805" i="1"/>
  <c r="AJ805" i="1"/>
  <c r="R807" i="1"/>
  <c r="W807" i="1"/>
  <c r="AA807" i="1"/>
  <c r="R808" i="1"/>
  <c r="W808" i="1"/>
  <c r="AA808" i="1"/>
  <c r="AG808" i="1"/>
  <c r="AJ808" i="1"/>
  <c r="R809" i="1"/>
  <c r="W809" i="1"/>
  <c r="AA809" i="1"/>
  <c r="AG809" i="1"/>
  <c r="AJ809" i="1" s="1"/>
  <c r="R810" i="1"/>
  <c r="W810" i="1"/>
  <c r="AA810" i="1"/>
  <c r="AG810" i="1"/>
  <c r="AJ810" i="1" s="1"/>
  <c r="R812" i="1"/>
  <c r="W812" i="1"/>
  <c r="AA812" i="1"/>
  <c r="AG812" i="1"/>
  <c r="AJ812" i="1"/>
  <c r="R814" i="1"/>
  <c r="W814" i="1"/>
  <c r="AA814" i="1"/>
  <c r="AG814" i="1"/>
  <c r="AJ814" i="1"/>
  <c r="R815" i="1"/>
  <c r="W815" i="1"/>
  <c r="AA815" i="1"/>
  <c r="AG815" i="1"/>
  <c r="AJ815" i="1" s="1"/>
  <c r="R816" i="1"/>
  <c r="W816" i="1"/>
  <c r="AA816" i="1"/>
  <c r="AG816" i="1"/>
  <c r="AJ816" i="1"/>
  <c r="R818" i="1"/>
  <c r="W818" i="1"/>
  <c r="AA818" i="1"/>
  <c r="R819" i="1"/>
  <c r="W819" i="1"/>
  <c r="AA819" i="1"/>
  <c r="AG819" i="1"/>
  <c r="AJ819" i="1" s="1"/>
  <c r="R820" i="1"/>
  <c r="W820" i="1"/>
  <c r="AA820" i="1"/>
  <c r="AG820" i="1"/>
  <c r="AJ820" i="1"/>
  <c r="N820" i="1"/>
  <c r="R821" i="1"/>
  <c r="W821" i="1"/>
  <c r="AA821" i="1"/>
  <c r="AG821" i="1"/>
  <c r="AJ821" i="1" s="1"/>
  <c r="R822" i="1"/>
  <c r="W822" i="1"/>
  <c r="N822" i="1" s="1"/>
  <c r="AA822" i="1"/>
  <c r="AG822" i="1"/>
  <c r="AJ822" i="1" s="1"/>
  <c r="R823" i="1"/>
  <c r="W823" i="1"/>
  <c r="AA823" i="1"/>
  <c r="AG823" i="1"/>
  <c r="AJ823" i="1"/>
  <c r="R824" i="1"/>
  <c r="W824" i="1"/>
  <c r="AA824" i="1"/>
  <c r="AG824" i="1"/>
  <c r="AJ824" i="1"/>
  <c r="R825" i="1"/>
  <c r="W825" i="1"/>
  <c r="AA825" i="1"/>
  <c r="AG825" i="1"/>
  <c r="AJ825" i="1" s="1"/>
  <c r="R826" i="1"/>
  <c r="W826" i="1"/>
  <c r="AA826" i="1"/>
  <c r="AG826" i="1"/>
  <c r="AJ826" i="1"/>
  <c r="R827" i="1"/>
  <c r="W827" i="1"/>
  <c r="AA827" i="1"/>
  <c r="AG827" i="1"/>
  <c r="AJ827" i="1"/>
  <c r="R828" i="1"/>
  <c r="W828" i="1"/>
  <c r="AA828" i="1"/>
  <c r="AG828" i="1"/>
  <c r="AJ828" i="1"/>
  <c r="R829" i="1"/>
  <c r="W829" i="1"/>
  <c r="AA829" i="1"/>
  <c r="AG829" i="1"/>
  <c r="AJ829" i="1" s="1"/>
  <c r="R830" i="1"/>
  <c r="W830" i="1"/>
  <c r="AA830" i="1"/>
  <c r="AG830" i="1"/>
  <c r="AJ830" i="1" s="1"/>
  <c r="R831" i="1"/>
  <c r="W831" i="1"/>
  <c r="AA831" i="1"/>
  <c r="AG831" i="1"/>
  <c r="AJ831" i="1"/>
  <c r="R832" i="1"/>
  <c r="W832" i="1"/>
  <c r="AA832" i="1"/>
  <c r="AG832" i="1"/>
  <c r="R833" i="1"/>
  <c r="W833" i="1"/>
  <c r="AA833" i="1"/>
  <c r="N833" i="1" s="1"/>
  <c r="AG833" i="1"/>
  <c r="AJ833" i="1" s="1"/>
  <c r="R834" i="1"/>
  <c r="W834" i="1"/>
  <c r="N834" i="1" s="1"/>
  <c r="AA834" i="1"/>
  <c r="AG834" i="1"/>
  <c r="AJ834" i="1" s="1"/>
  <c r="R835" i="1"/>
  <c r="W835" i="1"/>
  <c r="N835" i="1" s="1"/>
  <c r="AA835" i="1"/>
  <c r="AG835" i="1"/>
  <c r="AJ835" i="1"/>
  <c r="R836" i="1"/>
  <c r="W836" i="1"/>
  <c r="AA836" i="1"/>
  <c r="AG836" i="1"/>
  <c r="AJ836" i="1"/>
  <c r="R837" i="1"/>
  <c r="W837" i="1"/>
  <c r="AA837" i="1"/>
  <c r="AG837" i="1"/>
  <c r="AJ837" i="1" s="1"/>
  <c r="R838" i="1"/>
  <c r="W838" i="1"/>
  <c r="AA838" i="1"/>
  <c r="AG838" i="1"/>
  <c r="AJ838" i="1" s="1"/>
  <c r="N838" i="1" s="1"/>
  <c r="R839" i="1"/>
  <c r="W839" i="1"/>
  <c r="AA839" i="1"/>
  <c r="AG839" i="1"/>
  <c r="AJ839" i="1"/>
  <c r="R840" i="1"/>
  <c r="W840" i="1"/>
  <c r="AA840" i="1"/>
  <c r="AG840" i="1"/>
  <c r="AJ840" i="1" s="1"/>
  <c r="R841" i="1"/>
  <c r="W841" i="1"/>
  <c r="AA841" i="1"/>
  <c r="N841" i="1" s="1"/>
  <c r="AG841" i="1"/>
  <c r="AJ841" i="1" s="1"/>
  <c r="R842" i="1"/>
  <c r="W842" i="1"/>
  <c r="AA842" i="1"/>
  <c r="AG842" i="1"/>
  <c r="AJ842" i="1" s="1"/>
  <c r="R843" i="1"/>
  <c r="W843" i="1"/>
  <c r="AA843" i="1"/>
  <c r="AG843" i="1"/>
  <c r="AJ843" i="1"/>
  <c r="R844" i="1"/>
  <c r="W844" i="1"/>
  <c r="AA844" i="1"/>
  <c r="AG844" i="1"/>
  <c r="AJ844" i="1"/>
  <c r="R845" i="1"/>
  <c r="W845" i="1"/>
  <c r="AA845" i="1"/>
  <c r="AG845" i="1"/>
  <c r="AJ845" i="1" s="1"/>
  <c r="R846" i="1"/>
  <c r="W846" i="1"/>
  <c r="AA846" i="1"/>
  <c r="AG846" i="1"/>
  <c r="AJ846" i="1" s="1"/>
  <c r="N846" i="1"/>
  <c r="R847" i="1"/>
  <c r="W847" i="1"/>
  <c r="AA847" i="1"/>
  <c r="AG847" i="1"/>
  <c r="AJ847" i="1" s="1"/>
  <c r="R848" i="1"/>
  <c r="W848" i="1"/>
  <c r="AA848" i="1"/>
  <c r="N848" i="1" s="1"/>
  <c r="AG848" i="1"/>
  <c r="AJ848" i="1" s="1"/>
  <c r="R849" i="1"/>
  <c r="W849" i="1"/>
  <c r="AA849" i="1"/>
  <c r="AG849" i="1"/>
  <c r="AJ849" i="1"/>
  <c r="R778" i="1"/>
  <c r="W778" i="1"/>
  <c r="AA778" i="1"/>
  <c r="AG778" i="1"/>
  <c r="AJ778" i="1"/>
  <c r="R779" i="1"/>
  <c r="N779" i="1" s="1"/>
  <c r="W779" i="1"/>
  <c r="AA779" i="1"/>
  <c r="AG779" i="1"/>
  <c r="AJ779" i="1"/>
  <c r="R781" i="1"/>
  <c r="W781" i="1"/>
  <c r="AA781" i="1"/>
  <c r="AG781" i="1"/>
  <c r="AJ781" i="1" s="1"/>
  <c r="R782" i="1"/>
  <c r="W782" i="1"/>
  <c r="AA782" i="1"/>
  <c r="AG782" i="1"/>
  <c r="AJ782" i="1" s="1"/>
  <c r="N776" i="1"/>
  <c r="N701" i="1"/>
  <c r="N705" i="1"/>
  <c r="N709" i="1"/>
  <c r="N710" i="1"/>
  <c r="N714" i="1"/>
  <c r="N715" i="1"/>
  <c r="N720" i="1"/>
  <c r="N721" i="1"/>
  <c r="N670" i="1"/>
  <c r="W661" i="1"/>
  <c r="N661" i="1" s="1"/>
  <c r="W664" i="1"/>
  <c r="N664" i="1" s="1"/>
  <c r="W665" i="1"/>
  <c r="N665" i="1"/>
  <c r="W667" i="1"/>
  <c r="N667" i="1" s="1"/>
  <c r="N657" i="1"/>
  <c r="N658" i="1"/>
  <c r="G988" i="1"/>
  <c r="E5" i="12"/>
  <c r="E6" i="12"/>
  <c r="E7" i="12"/>
  <c r="E8" i="12"/>
  <c r="E9" i="12"/>
  <c r="E10" i="12"/>
  <c r="E11" i="12"/>
  <c r="E12" i="12"/>
  <c r="E4" i="12"/>
  <c r="G2" i="12"/>
  <c r="F5" i="12"/>
  <c r="H1046" i="1"/>
  <c r="H1045" i="1"/>
  <c r="O1045" i="1"/>
  <c r="H1007" i="1"/>
  <c r="H1054" i="1"/>
  <c r="T1054" i="1"/>
  <c r="H1052" i="1"/>
  <c r="O1052" i="1"/>
  <c r="F982" i="1"/>
  <c r="F850" i="1"/>
  <c r="H850" i="1" s="1"/>
  <c r="F783" i="1"/>
  <c r="H783" i="1" s="1"/>
  <c r="F780" i="1"/>
  <c r="H780" i="1"/>
  <c r="F811" i="1"/>
  <c r="F800" i="1"/>
  <c r="H800" i="1" s="1"/>
  <c r="D6" i="3"/>
  <c r="D7" i="3"/>
  <c r="D8" i="3"/>
  <c r="D9" i="3"/>
  <c r="D10" i="3"/>
  <c r="F662" i="16" s="1"/>
  <c r="H662" i="16" s="1"/>
  <c r="N662" i="16" s="1"/>
  <c r="D11" i="3"/>
  <c r="D12" i="3"/>
  <c r="D13" i="3"/>
  <c r="D14" i="3"/>
  <c r="D15" i="3"/>
  <c r="D16" i="3"/>
  <c r="D17" i="3"/>
  <c r="F668" i="16" s="1"/>
  <c r="H668" i="16" s="1"/>
  <c r="D18" i="3"/>
  <c r="D19" i="3"/>
  <c r="D20" i="3"/>
  <c r="D21" i="3"/>
  <c r="D5" i="3"/>
  <c r="F659" i="16" s="1"/>
  <c r="H659" i="16" s="1"/>
  <c r="F4" i="12"/>
  <c r="I854" i="16" s="1"/>
  <c r="N854" i="16" s="1"/>
  <c r="I854" i="1"/>
  <c r="F9" i="12"/>
  <c r="F10" i="12"/>
  <c r="F12" i="12"/>
  <c r="F11" i="12"/>
  <c r="I857" i="16" s="1"/>
  <c r="N857" i="16" s="1"/>
  <c r="F8" i="12"/>
  <c r="F6" i="12"/>
  <c r="I852" i="16" s="1"/>
  <c r="N852" i="16" s="1"/>
  <c r="N826" i="1"/>
  <c r="I1007" i="1"/>
  <c r="O1007" i="1"/>
  <c r="N1007" i="1" s="1"/>
  <c r="T1052" i="1"/>
  <c r="N1052" i="1" s="1"/>
  <c r="N821" i="1"/>
  <c r="N844" i="1"/>
  <c r="N840" i="1"/>
  <c r="N830" i="1"/>
  <c r="N1054" i="1"/>
  <c r="N814" i="1"/>
  <c r="R780" i="1"/>
  <c r="N819" i="1"/>
  <c r="N784" i="1"/>
  <c r="AG780" i="1"/>
  <c r="AJ780" i="1"/>
  <c r="N782" i="1"/>
  <c r="N675" i="1"/>
  <c r="N677" i="1"/>
  <c r="N679" i="1"/>
  <c r="X43" i="1"/>
  <c r="Y43" i="1"/>
  <c r="Z43" i="1"/>
  <c r="AA43" i="1"/>
  <c r="AB43" i="1"/>
  <c r="N17" i="1"/>
  <c r="N18" i="1"/>
  <c r="N21" i="1"/>
  <c r="N23" i="1"/>
  <c r="N24" i="1"/>
  <c r="N30" i="1"/>
  <c r="N31" i="1"/>
  <c r="N32" i="1"/>
  <c r="N34" i="1"/>
  <c r="N35" i="1"/>
  <c r="N45" i="1"/>
  <c r="N46" i="1"/>
  <c r="N56" i="1"/>
  <c r="N57" i="1"/>
  <c r="N67" i="1"/>
  <c r="N68" i="1"/>
  <c r="N78" i="1"/>
  <c r="N79" i="1"/>
  <c r="N80" i="1"/>
  <c r="N90" i="1"/>
  <c r="N91" i="1"/>
  <c r="N101" i="1"/>
  <c r="N102" i="1"/>
  <c r="N112" i="1"/>
  <c r="N113" i="1"/>
  <c r="N123" i="1"/>
  <c r="N124" i="1"/>
  <c r="N134" i="1"/>
  <c r="N135" i="1"/>
  <c r="N145" i="1"/>
  <c r="N146" i="1"/>
  <c r="N156" i="1"/>
  <c r="N157" i="1"/>
  <c r="N168" i="1"/>
  <c r="N169" i="1"/>
  <c r="N179" i="1"/>
  <c r="N180" i="1"/>
  <c r="N190" i="1"/>
  <c r="N191" i="1"/>
  <c r="N201" i="1"/>
  <c r="N202" i="1"/>
  <c r="N212" i="1"/>
  <c r="N213" i="1"/>
  <c r="N223" i="1"/>
  <c r="N224" i="1"/>
  <c r="N234" i="1"/>
  <c r="N235" i="1"/>
  <c r="N245" i="1"/>
  <c r="N246" i="1"/>
  <c r="N268" i="1"/>
  <c r="N278" i="1"/>
  <c r="N279" i="1"/>
  <c r="N289" i="1"/>
  <c r="N290" i="1"/>
  <c r="N300" i="1"/>
  <c r="N301" i="1"/>
  <c r="N311" i="1"/>
  <c r="N312" i="1"/>
  <c r="N322" i="1"/>
  <c r="N323" i="1"/>
  <c r="N333" i="1"/>
  <c r="N334" i="1"/>
  <c r="N345" i="1"/>
  <c r="N346" i="1"/>
  <c r="N357" i="1"/>
  <c r="N358" i="1"/>
  <c r="N368" i="1"/>
  <c r="N369" i="1"/>
  <c r="N379" i="1"/>
  <c r="N380" i="1"/>
  <c r="N390" i="1"/>
  <c r="N391" i="1"/>
  <c r="N401" i="1"/>
  <c r="N402" i="1"/>
  <c r="N412" i="1"/>
  <c r="N413" i="1"/>
  <c r="N424" i="1"/>
  <c r="N425" i="1"/>
  <c r="N435" i="1"/>
  <c r="N436" i="1"/>
  <c r="N446" i="1"/>
  <c r="N447" i="1"/>
  <c r="N457" i="1"/>
  <c r="N458" i="1"/>
  <c r="N468" i="1"/>
  <c r="N469" i="1"/>
  <c r="N479" i="1"/>
  <c r="N480" i="1"/>
  <c r="N490" i="1"/>
  <c r="N491" i="1"/>
  <c r="N501" i="1"/>
  <c r="N502" i="1"/>
  <c r="N512" i="1"/>
  <c r="N513" i="1"/>
  <c r="N523" i="1"/>
  <c r="N524" i="1"/>
  <c r="N534" i="1"/>
  <c r="N535" i="1"/>
  <c r="N545" i="1"/>
  <c r="N546" i="1"/>
  <c r="N556" i="1"/>
  <c r="N557" i="1"/>
  <c r="N567" i="1"/>
  <c r="N568" i="1"/>
  <c r="N578" i="1"/>
  <c r="N579" i="1"/>
  <c r="N589" i="1"/>
  <c r="N590" i="1"/>
  <c r="N600" i="1"/>
  <c r="N601" i="1"/>
  <c r="N611" i="1"/>
  <c r="N612" i="1"/>
  <c r="P1005" i="1"/>
  <c r="T28" i="1"/>
  <c r="X28" i="1" s="1"/>
  <c r="X27" i="1"/>
  <c r="U27" i="1" s="1"/>
  <c r="AJ26" i="1"/>
  <c r="S26" i="1" s="1"/>
  <c r="W26" i="1" s="1"/>
  <c r="AB26" i="1" s="1"/>
  <c r="AE26" i="1" s="1"/>
  <c r="H26" i="1"/>
  <c r="N26" i="1" s="1"/>
  <c r="H1060" i="1"/>
  <c r="V1012" i="1"/>
  <c r="N1012" i="1"/>
  <c r="V1014" i="1"/>
  <c r="N1014" i="1" s="1"/>
  <c r="V1019" i="1"/>
  <c r="N1019" i="1"/>
  <c r="AB27" i="1"/>
  <c r="AG27" i="1" s="1"/>
  <c r="AB28" i="1"/>
  <c r="AG28" i="1"/>
  <c r="AJ28" i="1"/>
  <c r="U712" i="1"/>
  <c r="N712" i="1"/>
  <c r="V703" i="1"/>
  <c r="N703" i="1" s="1"/>
  <c r="T690" i="1"/>
  <c r="N690" i="1"/>
  <c r="T692" i="1"/>
  <c r="N692" i="1" s="1"/>
  <c r="T695" i="1"/>
  <c r="N695" i="1"/>
  <c r="T697" i="1"/>
  <c r="N697" i="1" s="1"/>
  <c r="T700" i="1"/>
  <c r="N700" i="1"/>
  <c r="N671" i="1"/>
  <c r="N673" i="1"/>
  <c r="N674" i="1"/>
  <c r="N748" i="1"/>
  <c r="N749" i="1"/>
  <c r="N751" i="1"/>
  <c r="N752" i="1"/>
  <c r="N753" i="1"/>
  <c r="N754" i="1"/>
  <c r="N756" i="1"/>
  <c r="N757" i="1"/>
  <c r="N758" i="1"/>
  <c r="N759" i="1"/>
  <c r="N760" i="1"/>
  <c r="N761" i="1"/>
  <c r="N762" i="1"/>
  <c r="N763" i="1"/>
  <c r="N764" i="1"/>
  <c r="N766" i="1"/>
  <c r="N767" i="1"/>
  <c r="N768" i="1"/>
  <c r="N769" i="1"/>
  <c r="N770" i="1"/>
  <c r="N771" i="1"/>
  <c r="N773" i="1"/>
  <c r="N774" i="1"/>
  <c r="N775" i="1"/>
  <c r="N805" i="1"/>
  <c r="N807" i="1"/>
  <c r="N808" i="1"/>
  <c r="N809" i="1"/>
  <c r="N810" i="1"/>
  <c r="N812" i="1"/>
  <c r="U634" i="1"/>
  <c r="X634" i="1"/>
  <c r="U635" i="1"/>
  <c r="X635" i="1"/>
  <c r="U636" i="1"/>
  <c r="U637" i="1"/>
  <c r="X637" i="1"/>
  <c r="U638" i="1"/>
  <c r="X638" i="1" s="1"/>
  <c r="U639" i="1"/>
  <c r="X639" i="1"/>
  <c r="U641" i="1"/>
  <c r="U642" i="1"/>
  <c r="X642" i="1"/>
  <c r="U643" i="1"/>
  <c r="U644" i="1"/>
  <c r="U645" i="1"/>
  <c r="X645" i="1"/>
  <c r="AA645" i="1" s="1"/>
  <c r="N645" i="1" s="1"/>
  <c r="U646" i="1"/>
  <c r="X646" i="1"/>
  <c r="U648" i="1"/>
  <c r="X648" i="1"/>
  <c r="V335" i="1"/>
  <c r="N335" i="1"/>
  <c r="N1002" i="1"/>
  <c r="N1040" i="1"/>
  <c r="N1049" i="1"/>
  <c r="N1061" i="1"/>
  <c r="N1062" i="1"/>
  <c r="N1063" i="1"/>
  <c r="N1065" i="1"/>
  <c r="N1070" i="1"/>
  <c r="N1071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X636" i="1"/>
  <c r="N636" i="1" s="1"/>
  <c r="AA637" i="1"/>
  <c r="X644" i="1"/>
  <c r="AA644" i="1"/>
  <c r="N644" i="1" s="1"/>
  <c r="X643" i="1"/>
  <c r="AA643" i="1"/>
  <c r="N643" i="1"/>
  <c r="AA638" i="1"/>
  <c r="N638" i="1" s="1"/>
  <c r="AA646" i="1"/>
  <c r="N646" i="1"/>
  <c r="AA634" i="1"/>
  <c r="N634" i="1"/>
  <c r="H894" i="1"/>
  <c r="H922" i="1"/>
  <c r="G181" i="1"/>
  <c r="G192" i="1"/>
  <c r="G203" i="1"/>
  <c r="AA636" i="1"/>
  <c r="M672" i="1"/>
  <c r="G467" i="1"/>
  <c r="H1017" i="1"/>
  <c r="F47" i="1"/>
  <c r="F52" i="1" s="1"/>
  <c r="E32" i="2"/>
  <c r="E22" i="2"/>
  <c r="F218" i="1"/>
  <c r="F663" i="1"/>
  <c r="H663" i="1" s="1"/>
  <c r="W663" i="1" s="1"/>
  <c r="F662" i="1"/>
  <c r="H662" i="1"/>
  <c r="W662" i="1"/>
  <c r="N662" i="1" s="1"/>
  <c r="F659" i="1"/>
  <c r="H659" i="1"/>
  <c r="W659" i="1"/>
  <c r="F668" i="1"/>
  <c r="H668" i="1" s="1"/>
  <c r="W668" i="1" s="1"/>
  <c r="N668" i="1"/>
  <c r="F669" i="1"/>
  <c r="D22" i="3"/>
  <c r="H1058" i="1"/>
  <c r="T1058" i="1"/>
  <c r="N1058" i="1" s="1"/>
  <c r="H1047" i="1"/>
  <c r="H1044" i="1"/>
  <c r="U1044" i="1"/>
  <c r="H1043" i="1"/>
  <c r="F602" i="1"/>
  <c r="F594" i="1"/>
  <c r="F571" i="1"/>
  <c r="F562" i="1"/>
  <c r="F548" i="1"/>
  <c r="H548" i="1"/>
  <c r="F551" i="1"/>
  <c r="F537" i="1"/>
  <c r="H537" i="1"/>
  <c r="F526" i="1"/>
  <c r="H526" i="1"/>
  <c r="F519" i="1"/>
  <c r="F517" i="1"/>
  <c r="F473" i="1"/>
  <c r="F459" i="1"/>
  <c r="H459" i="1" s="1"/>
  <c r="F428" i="1"/>
  <c r="F418" i="1"/>
  <c r="F405" i="1"/>
  <c r="F393" i="1"/>
  <c r="H393" i="1"/>
  <c r="F384" i="1"/>
  <c r="F235" i="1"/>
  <c r="F236" i="1" s="1"/>
  <c r="H236" i="1" s="1"/>
  <c r="F229" i="1"/>
  <c r="F186" i="1"/>
  <c r="F139" i="1"/>
  <c r="H139" i="1" s="1"/>
  <c r="N139" i="1" s="1"/>
  <c r="F114" i="1"/>
  <c r="H114" i="1"/>
  <c r="Q114" i="1" s="1"/>
  <c r="Q121" i="1" s="1"/>
  <c r="F106" i="1"/>
  <c r="F96" i="1"/>
  <c r="F71" i="1"/>
  <c r="E57" i="1"/>
  <c r="F58" i="1" s="1"/>
  <c r="F38" i="1"/>
  <c r="D5" i="2"/>
  <c r="E5" i="2"/>
  <c r="D6" i="2"/>
  <c r="E6" i="2" s="1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 s="1"/>
  <c r="D14" i="2"/>
  <c r="E14" i="2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D23" i="2"/>
  <c r="E23" i="2"/>
  <c r="D24" i="2"/>
  <c r="E24" i="2" s="1"/>
  <c r="D25" i="2"/>
  <c r="E25" i="2"/>
  <c r="D26" i="2"/>
  <c r="E26" i="2" s="1"/>
  <c r="D27" i="2"/>
  <c r="E27" i="2"/>
  <c r="D28" i="2"/>
  <c r="E28" i="2" s="1"/>
  <c r="D29" i="2"/>
  <c r="E29" i="2"/>
  <c r="D30" i="2"/>
  <c r="E30" i="2" s="1"/>
  <c r="D31" i="2"/>
  <c r="E31" i="2" s="1"/>
  <c r="D32" i="2"/>
  <c r="D33" i="2"/>
  <c r="E33" i="2" s="1"/>
  <c r="D34" i="2"/>
  <c r="E34" i="2" s="1"/>
  <c r="D35" i="2"/>
  <c r="E35" i="2"/>
  <c r="D36" i="2"/>
  <c r="E36" i="2" s="1"/>
  <c r="D37" i="2"/>
  <c r="E37" i="2"/>
  <c r="D38" i="2"/>
  <c r="E38" i="2" s="1"/>
  <c r="D39" i="2"/>
  <c r="E39" i="2" s="1"/>
  <c r="D40" i="2"/>
  <c r="E40" i="2" s="1"/>
  <c r="D41" i="2"/>
  <c r="E41" i="2" s="1"/>
  <c r="D42" i="2"/>
  <c r="E42" i="2"/>
  <c r="D43" i="2"/>
  <c r="E43" i="2" s="1"/>
  <c r="D44" i="2"/>
  <c r="E44" i="2"/>
  <c r="D45" i="2"/>
  <c r="E45" i="2" s="1"/>
  <c r="D46" i="2"/>
  <c r="E46" i="2"/>
  <c r="D47" i="2"/>
  <c r="E47" i="2" s="1"/>
  <c r="D48" i="2"/>
  <c r="E48" i="2"/>
  <c r="D49" i="2"/>
  <c r="E49" i="2" s="1"/>
  <c r="D50" i="2"/>
  <c r="E50" i="2"/>
  <c r="D51" i="2"/>
  <c r="E51" i="2" s="1"/>
  <c r="F612" i="1"/>
  <c r="D4" i="2"/>
  <c r="E4" i="2"/>
  <c r="H1076" i="1"/>
  <c r="H1074" i="1"/>
  <c r="H1056" i="1"/>
  <c r="T1056" i="1"/>
  <c r="N1056" i="1" s="1"/>
  <c r="H1057" i="1"/>
  <c r="T1057" i="1" s="1"/>
  <c r="H1009" i="1"/>
  <c r="H1004" i="1"/>
  <c r="I1004" i="1" s="1"/>
  <c r="W1004" i="1" s="1"/>
  <c r="N1004" i="1" s="1"/>
  <c r="H1006" i="1"/>
  <c r="I1006" i="1" s="1"/>
  <c r="U1006" i="1" s="1"/>
  <c r="N1006" i="1" s="1"/>
  <c r="F1014" i="1"/>
  <c r="H1020" i="1"/>
  <c r="N1020" i="1"/>
  <c r="H1021" i="1"/>
  <c r="N1021" i="1" s="1"/>
  <c r="H1003" i="1"/>
  <c r="F42" i="1"/>
  <c r="F53" i="1"/>
  <c r="F64" i="1"/>
  <c r="F87" i="1"/>
  <c r="F98" i="1"/>
  <c r="F165" i="1"/>
  <c r="F220" i="1"/>
  <c r="F231" i="1"/>
  <c r="F253" i="1"/>
  <c r="F275" i="1"/>
  <c r="F286" i="1"/>
  <c r="F297" i="1"/>
  <c r="F308" i="1"/>
  <c r="F354" i="1"/>
  <c r="F376" i="1"/>
  <c r="F387" i="1"/>
  <c r="F398" i="1"/>
  <c r="F409" i="1"/>
  <c r="F421" i="1"/>
  <c r="F432" i="1"/>
  <c r="F443" i="1"/>
  <c r="F465" i="1"/>
  <c r="G604" i="1"/>
  <c r="G148" i="1"/>
  <c r="G504" i="1"/>
  <c r="G505" i="1"/>
  <c r="J511" i="1" s="1"/>
  <c r="G593" i="1"/>
  <c r="H978" i="1"/>
  <c r="H988" i="1"/>
  <c r="H1035" i="1"/>
  <c r="H1036" i="1"/>
  <c r="H706" i="1"/>
  <c r="W706" i="1"/>
  <c r="N706" i="1"/>
  <c r="Q23" i="7"/>
  <c r="Q21" i="7"/>
  <c r="O39" i="7"/>
  <c r="O37" i="7"/>
  <c r="Q29" i="7"/>
  <c r="Q27" i="7"/>
  <c r="Q55" i="7"/>
  <c r="O31" i="7"/>
  <c r="P31" i="7"/>
  <c r="Q57" i="7"/>
  <c r="Q51" i="7"/>
  <c r="H997" i="1"/>
  <c r="X997" i="1" s="1"/>
  <c r="H998" i="1"/>
  <c r="H1005" i="1"/>
  <c r="N1005" i="1" s="1"/>
  <c r="Q45" i="7"/>
  <c r="O45" i="7"/>
  <c r="P41" i="7"/>
  <c r="F758" i="1"/>
  <c r="H758" i="1" s="1"/>
  <c r="H759" i="1"/>
  <c r="F760" i="1"/>
  <c r="H760" i="1" s="1"/>
  <c r="I765" i="1" s="1"/>
  <c r="H761" i="1"/>
  <c r="H762" i="1"/>
  <c r="H763" i="1"/>
  <c r="H764" i="1"/>
  <c r="P33" i="7"/>
  <c r="O33" i="7"/>
  <c r="Q25" i="7"/>
  <c r="H713" i="1"/>
  <c r="H686" i="1"/>
  <c r="T686" i="1"/>
  <c r="N686" i="1"/>
  <c r="H687" i="1"/>
  <c r="T687" i="1" s="1"/>
  <c r="N687" i="1" s="1"/>
  <c r="H688" i="1"/>
  <c r="H689" i="1"/>
  <c r="H691" i="1"/>
  <c r="T691" i="1"/>
  <c r="N691" i="1"/>
  <c r="H693" i="1"/>
  <c r="T693" i="1" s="1"/>
  <c r="N693" i="1" s="1"/>
  <c r="H694" i="1"/>
  <c r="H696" i="1"/>
  <c r="H698" i="1"/>
  <c r="T698" i="1"/>
  <c r="N698" i="1"/>
  <c r="H699" i="1"/>
  <c r="T699" i="1" s="1"/>
  <c r="N699" i="1" s="1"/>
  <c r="E676" i="1"/>
  <c r="H629" i="1"/>
  <c r="H631" i="1"/>
  <c r="G632" i="1"/>
  <c r="G656" i="1"/>
  <c r="G663" i="1"/>
  <c r="H666" i="1"/>
  <c r="W666" i="1"/>
  <c r="N666" i="1"/>
  <c r="G669" i="1"/>
  <c r="E678" i="1"/>
  <c r="H5" i="1"/>
  <c r="E293" i="1" s="1"/>
  <c r="G61" i="1"/>
  <c r="J66" i="1" s="1"/>
  <c r="G62" i="1"/>
  <c r="G65" i="1"/>
  <c r="G66" i="1"/>
  <c r="G316" i="1"/>
  <c r="G317" i="1"/>
  <c r="G320" i="1"/>
  <c r="F319" i="1"/>
  <c r="G321" i="1"/>
  <c r="G327" i="1"/>
  <c r="G328" i="1"/>
  <c r="G331" i="1"/>
  <c r="F330" i="1"/>
  <c r="G332" i="1"/>
  <c r="G395" i="1"/>
  <c r="G396" i="1"/>
  <c r="F397" i="1"/>
  <c r="H397" i="1" s="1"/>
  <c r="AC397" i="1" s="1"/>
  <c r="AC399" i="1" s="1"/>
  <c r="G399" i="1"/>
  <c r="G400" i="1"/>
  <c r="G406" i="1"/>
  <c r="G407" i="1"/>
  <c r="F408" i="1"/>
  <c r="H408" i="1"/>
  <c r="G410" i="1"/>
  <c r="G411" i="1"/>
  <c r="G440" i="1"/>
  <c r="G441" i="1"/>
  <c r="G444" i="1"/>
  <c r="G445" i="1"/>
  <c r="G451" i="1"/>
  <c r="G452" i="1"/>
  <c r="G455" i="1"/>
  <c r="F454" i="1"/>
  <c r="G456" i="1"/>
  <c r="E38" i="1"/>
  <c r="G39" i="1"/>
  <c r="G40" i="1"/>
  <c r="G50" i="1"/>
  <c r="G51" i="1"/>
  <c r="G54" i="1"/>
  <c r="G55" i="1"/>
  <c r="G72" i="1"/>
  <c r="F72" i="1"/>
  <c r="G73" i="1"/>
  <c r="F73" i="1"/>
  <c r="G74" i="1"/>
  <c r="G76" i="1"/>
  <c r="G77" i="1"/>
  <c r="G84" i="1"/>
  <c r="G85" i="1"/>
  <c r="G88" i="1"/>
  <c r="G89" i="1"/>
  <c r="G95" i="1"/>
  <c r="G96" i="1"/>
  <c r="G99" i="1"/>
  <c r="G100" i="1"/>
  <c r="F105" i="1"/>
  <c r="G106" i="1"/>
  <c r="G107" i="1"/>
  <c r="F107" i="1"/>
  <c r="G108" i="1"/>
  <c r="G110" i="1"/>
  <c r="G111" i="1"/>
  <c r="G117" i="1"/>
  <c r="G118" i="1"/>
  <c r="G119" i="1"/>
  <c r="F120" i="1"/>
  <c r="F119" i="1"/>
  <c r="G121" i="1"/>
  <c r="G122" i="1"/>
  <c r="F125" i="1"/>
  <c r="H125" i="1" s="1"/>
  <c r="Q125" i="1" s="1"/>
  <c r="G128" i="1"/>
  <c r="F129" i="1"/>
  <c r="G129" i="1"/>
  <c r="G130" i="1"/>
  <c r="F131" i="1" s="1"/>
  <c r="G132" i="1"/>
  <c r="G133" i="1"/>
  <c r="J133" i="1" s="1"/>
  <c r="F136" i="1"/>
  <c r="H136" i="1" s="1"/>
  <c r="F137" i="1"/>
  <c r="H137" i="1" s="1"/>
  <c r="F138" i="1"/>
  <c r="H138" i="1"/>
  <c r="F140" i="1"/>
  <c r="H140" i="1" s="1"/>
  <c r="N140" i="1" s="1"/>
  <c r="F141" i="1"/>
  <c r="G141" i="1"/>
  <c r="F142" i="1" s="1"/>
  <c r="G143" i="1"/>
  <c r="F147" i="1"/>
  <c r="Q147" i="1" s="1"/>
  <c r="P147" i="1" s="1"/>
  <c r="F148" i="1"/>
  <c r="F149" i="1"/>
  <c r="H149" i="1"/>
  <c r="W149" i="1" s="1"/>
  <c r="F150" i="1"/>
  <c r="H150" i="1" s="1"/>
  <c r="N150" i="1" s="1"/>
  <c r="F151" i="1"/>
  <c r="H151" i="1"/>
  <c r="N151" i="1" s="1"/>
  <c r="F152" i="1"/>
  <c r="G152" i="1"/>
  <c r="G154" i="1"/>
  <c r="G155" i="1"/>
  <c r="F161" i="1"/>
  <c r="G162" i="1"/>
  <c r="G163" i="1"/>
  <c r="J167" i="1" s="1"/>
  <c r="F164" i="1"/>
  <c r="H164" i="1"/>
  <c r="G166" i="1"/>
  <c r="G167" i="1"/>
  <c r="G170" i="1"/>
  <c r="F176" i="1"/>
  <c r="G173" i="1"/>
  <c r="G174" i="1"/>
  <c r="G177" i="1"/>
  <c r="G178" i="1"/>
  <c r="G185" i="1"/>
  <c r="G186" i="1"/>
  <c r="F187" i="1" s="1"/>
  <c r="G188" i="1"/>
  <c r="G189" i="1"/>
  <c r="F198" i="1"/>
  <c r="G195" i="1"/>
  <c r="G196" i="1"/>
  <c r="G199" i="1"/>
  <c r="G200" i="1"/>
  <c r="F209" i="1"/>
  <c r="G206" i="1"/>
  <c r="G207" i="1"/>
  <c r="G210" i="1"/>
  <c r="G211" i="1"/>
  <c r="G217" i="1"/>
  <c r="G218" i="1"/>
  <c r="G221" i="1"/>
  <c r="G222" i="1"/>
  <c r="J222" i="1" s="1"/>
  <c r="F227" i="1"/>
  <c r="G228" i="1"/>
  <c r="F228" i="1"/>
  <c r="G229" i="1"/>
  <c r="H229" i="1" s="1"/>
  <c r="N229" i="1" s="1"/>
  <c r="G232" i="1"/>
  <c r="G233" i="1"/>
  <c r="F238" i="1"/>
  <c r="G239" i="1"/>
  <c r="J244" i="1" s="1"/>
  <c r="F239" i="1"/>
  <c r="G240" i="1"/>
  <c r="F240" i="1"/>
  <c r="F241" i="1"/>
  <c r="H241" i="1" s="1"/>
  <c r="G243" i="1"/>
  <c r="F242" i="1"/>
  <c r="G244" i="1"/>
  <c r="G250" i="1"/>
  <c r="G251" i="1"/>
  <c r="G254" i="1"/>
  <c r="G255" i="1"/>
  <c r="F269" i="1"/>
  <c r="H269" i="1" s="1"/>
  <c r="V269" i="1"/>
  <c r="V276" i="1" s="1"/>
  <c r="G272" i="1"/>
  <c r="F272" i="1"/>
  <c r="G273" i="1"/>
  <c r="H273" i="1" s="1"/>
  <c r="N273" i="1" s="1"/>
  <c r="G276" i="1"/>
  <c r="G277" i="1"/>
  <c r="G283" i="1"/>
  <c r="G284" i="1"/>
  <c r="J288" i="1" s="1"/>
  <c r="G287" i="1"/>
  <c r="G288" i="1"/>
  <c r="G294" i="1"/>
  <c r="G295" i="1"/>
  <c r="G298" i="1"/>
  <c r="G299" i="1"/>
  <c r="G305" i="1"/>
  <c r="G306" i="1"/>
  <c r="G309" i="1"/>
  <c r="G310" i="1"/>
  <c r="G339" i="1"/>
  <c r="G340" i="1"/>
  <c r="G341" i="1"/>
  <c r="F342" i="1" s="1"/>
  <c r="G343" i="1"/>
  <c r="G344" i="1"/>
  <c r="G351" i="1"/>
  <c r="J356" i="1" s="1"/>
  <c r="G352" i="1"/>
  <c r="G355" i="1"/>
  <c r="G356" i="1"/>
  <c r="F359" i="1"/>
  <c r="G362" i="1"/>
  <c r="F362" i="1"/>
  <c r="G363" i="1"/>
  <c r="F363" i="1"/>
  <c r="G366" i="1"/>
  <c r="G364" i="1"/>
  <c r="G367" i="1"/>
  <c r="G373" i="1"/>
  <c r="G374" i="1"/>
  <c r="G377" i="1"/>
  <c r="G378" i="1"/>
  <c r="G384" i="1"/>
  <c r="G385" i="1"/>
  <c r="F386" i="1"/>
  <c r="H386" i="1" s="1"/>
  <c r="AC386" i="1" s="1"/>
  <c r="G388" i="1"/>
  <c r="G389" i="1"/>
  <c r="G418" i="1"/>
  <c r="G419" i="1"/>
  <c r="F419" i="1"/>
  <c r="F420" i="1"/>
  <c r="H420" i="1" s="1"/>
  <c r="AC420" i="1" s="1"/>
  <c r="AC422" i="1" s="1"/>
  <c r="G422" i="1"/>
  <c r="G423" i="1"/>
  <c r="G429" i="1"/>
  <c r="J434" i="1" s="1"/>
  <c r="G430" i="1"/>
  <c r="G433" i="1"/>
  <c r="G434" i="1"/>
  <c r="G462" i="1"/>
  <c r="G463" i="1"/>
  <c r="G466" i="1"/>
  <c r="F470" i="1"/>
  <c r="H470" i="1"/>
  <c r="V470" i="1" s="1"/>
  <c r="F471" i="1"/>
  <c r="H471" i="1" s="1"/>
  <c r="F472" i="1"/>
  <c r="G473" i="1"/>
  <c r="J478" i="1" s="1"/>
  <c r="G474" i="1"/>
  <c r="G475" i="1"/>
  <c r="G477" i="1"/>
  <c r="G478" i="1"/>
  <c r="G481" i="1"/>
  <c r="E480" i="1"/>
  <c r="F481" i="1"/>
  <c r="G484" i="1"/>
  <c r="G485" i="1"/>
  <c r="G488" i="1"/>
  <c r="G489" i="1"/>
  <c r="G492" i="1"/>
  <c r="F498" i="1" s="1"/>
  <c r="G495" i="1"/>
  <c r="G496" i="1"/>
  <c r="G499" i="1"/>
  <c r="G500" i="1"/>
  <c r="F503" i="1"/>
  <c r="H503" i="1"/>
  <c r="F504" i="1"/>
  <c r="F505" i="1"/>
  <c r="G506" i="1"/>
  <c r="F506" i="1"/>
  <c r="G507" i="1"/>
  <c r="F507" i="1"/>
  <c r="G508" i="1"/>
  <c r="F508" i="1"/>
  <c r="H508" i="1" s="1"/>
  <c r="G510" i="1"/>
  <c r="G511" i="1"/>
  <c r="F516" i="1"/>
  <c r="G517" i="1"/>
  <c r="G518" i="1"/>
  <c r="F518" i="1"/>
  <c r="G519" i="1"/>
  <c r="G521" i="1"/>
  <c r="G522" i="1"/>
  <c r="F525" i="1"/>
  <c r="H525" i="1" s="1"/>
  <c r="N525" i="1" s="1"/>
  <c r="V525" i="1"/>
  <c r="G528" i="1"/>
  <c r="G529" i="1"/>
  <c r="F529" i="1"/>
  <c r="H529" i="1" s="1"/>
  <c r="F532" i="1" s="1"/>
  <c r="G530" i="1"/>
  <c r="F530" i="1"/>
  <c r="G532" i="1"/>
  <c r="G533" i="1"/>
  <c r="J533" i="1" s="1"/>
  <c r="G536" i="1"/>
  <c r="G539" i="1"/>
  <c r="G540" i="1"/>
  <c r="F540" i="1"/>
  <c r="H540" i="1" s="1"/>
  <c r="N540" i="1" s="1"/>
  <c r="G541" i="1"/>
  <c r="G543" i="1"/>
  <c r="G544" i="1"/>
  <c r="F547" i="1"/>
  <c r="H547" i="1" s="1"/>
  <c r="F549" i="1"/>
  <c r="G550" i="1"/>
  <c r="G551" i="1"/>
  <c r="G552" i="1"/>
  <c r="F553" i="1"/>
  <c r="F552" i="1"/>
  <c r="H552" i="1" s="1"/>
  <c r="G554" i="1"/>
  <c r="G555" i="1"/>
  <c r="F558" i="1"/>
  <c r="F559" i="1"/>
  <c r="H559" i="1" s="1"/>
  <c r="F560" i="1"/>
  <c r="G561" i="1"/>
  <c r="F561" i="1"/>
  <c r="G562" i="1"/>
  <c r="G563" i="1"/>
  <c r="G566" i="1"/>
  <c r="G565" i="1"/>
  <c r="G569" i="1"/>
  <c r="F575" i="1"/>
  <c r="G572" i="1"/>
  <c r="G573" i="1"/>
  <c r="G577" i="1"/>
  <c r="G576" i="1"/>
  <c r="G580" i="1"/>
  <c r="F580" i="1"/>
  <c r="G583" i="1"/>
  <c r="G584" i="1"/>
  <c r="F584" i="1"/>
  <c r="G587" i="1"/>
  <c r="G588" i="1"/>
  <c r="G591" i="1"/>
  <c r="F597" i="1"/>
  <c r="F593" i="1"/>
  <c r="G594" i="1"/>
  <c r="G595" i="1"/>
  <c r="F596" i="1"/>
  <c r="H596" i="1" s="1"/>
  <c r="G598" i="1"/>
  <c r="G599" i="1"/>
  <c r="G602" i="1"/>
  <c r="G605" i="1"/>
  <c r="G606" i="1"/>
  <c r="G609" i="1"/>
  <c r="G610" i="1"/>
  <c r="G616" i="1"/>
  <c r="G617" i="1"/>
  <c r="G618" i="1"/>
  <c r="F619" i="1"/>
  <c r="G620" i="1"/>
  <c r="G621" i="1"/>
  <c r="Q17" i="7"/>
  <c r="L628" i="1"/>
  <c r="L627" i="1"/>
  <c r="H20" i="1"/>
  <c r="N20" i="1"/>
  <c r="H1008" i="1"/>
  <c r="H1011" i="1"/>
  <c r="H1013" i="1"/>
  <c r="V1013" i="1"/>
  <c r="N1013" i="1"/>
  <c r="H1015" i="1"/>
  <c r="H1016" i="1"/>
  <c r="H1026" i="1"/>
  <c r="H1027" i="1"/>
  <c r="H15" i="1"/>
  <c r="H14" i="1"/>
  <c r="AI14" i="1"/>
  <c r="H1037" i="1"/>
  <c r="H1038" i="1"/>
  <c r="N1038" i="1"/>
  <c r="Q49" i="7"/>
  <c r="H880" i="1"/>
  <c r="H980" i="1"/>
  <c r="H982" i="1"/>
  <c r="H991" i="1"/>
  <c r="H992" i="1"/>
  <c r="H993" i="1"/>
  <c r="H811" i="1"/>
  <c r="H813" i="1"/>
  <c r="AA813" i="1" s="1"/>
  <c r="N813" i="1" s="1"/>
  <c r="H777" i="1"/>
  <c r="AA777" i="1" s="1"/>
  <c r="H797" i="1"/>
  <c r="H799" i="1"/>
  <c r="H801" i="1"/>
  <c r="H803" i="1"/>
  <c r="H22" i="1"/>
  <c r="N22" i="1" s="1"/>
  <c r="H27" i="1"/>
  <c r="N27" i="1" s="1"/>
  <c r="H28" i="1"/>
  <c r="N28" i="1" s="1"/>
  <c r="H29" i="1"/>
  <c r="N29" i="1"/>
  <c r="H704" i="1"/>
  <c r="X704" i="1" s="1"/>
  <c r="N704" i="1"/>
  <c r="H707" i="1"/>
  <c r="W707" i="1" s="1"/>
  <c r="X707" i="1" s="1"/>
  <c r="Y707" i="1" s="1"/>
  <c r="H708" i="1"/>
  <c r="N708" i="1"/>
  <c r="H11" i="1"/>
  <c r="N11" i="1" s="1"/>
  <c r="H12" i="1"/>
  <c r="N12" i="1"/>
  <c r="H13" i="1"/>
  <c r="N13" i="1" s="1"/>
  <c r="H16" i="1"/>
  <c r="N16" i="1"/>
  <c r="H717" i="1"/>
  <c r="H718" i="1"/>
  <c r="U718" i="1"/>
  <c r="H719" i="1"/>
  <c r="U719" i="1"/>
  <c r="N719" i="1" s="1"/>
  <c r="H724" i="1"/>
  <c r="H725" i="1"/>
  <c r="H726" i="1"/>
  <c r="H727" i="1"/>
  <c r="H728" i="1"/>
  <c r="H729" i="1"/>
  <c r="H730" i="1"/>
  <c r="H731" i="1"/>
  <c r="H734" i="1"/>
  <c r="H736" i="1"/>
  <c r="H737" i="1"/>
  <c r="H738" i="1"/>
  <c r="H739" i="1"/>
  <c r="H740" i="1"/>
  <c r="H741" i="1"/>
  <c r="H742" i="1"/>
  <c r="H744" i="1"/>
  <c r="H745" i="1"/>
  <c r="H746" i="1"/>
  <c r="H748" i="1"/>
  <c r="H749" i="1"/>
  <c r="H753" i="1"/>
  <c r="F754" i="1"/>
  <c r="H754" i="1" s="1"/>
  <c r="I755" i="1" s="1"/>
  <c r="H769" i="1"/>
  <c r="H770" i="1"/>
  <c r="H771" i="1"/>
  <c r="H1048" i="1"/>
  <c r="H1053" i="1"/>
  <c r="T1053" i="1" s="1"/>
  <c r="H1059" i="1"/>
  <c r="T1059" i="1"/>
  <c r="P1059" i="1" s="1"/>
  <c r="H1068" i="1"/>
  <c r="H1073" i="1"/>
  <c r="V1073" i="1" s="1"/>
  <c r="H1075" i="1"/>
  <c r="D7" i="10"/>
  <c r="D10" i="10" s="1"/>
  <c r="D8" i="10"/>
  <c r="D9" i="10"/>
  <c r="H1018" i="1"/>
  <c r="G651" i="1"/>
  <c r="H653" i="1" s="1"/>
  <c r="H6" i="7"/>
  <c r="E762" i="1"/>
  <c r="D17" i="7"/>
  <c r="D41" i="7"/>
  <c r="J17" i="1"/>
  <c r="J23" i="1"/>
  <c r="J30" i="1"/>
  <c r="J1018" i="1"/>
  <c r="J1049" i="1"/>
  <c r="J1062" i="1"/>
  <c r="K17" i="1"/>
  <c r="D21" i="7"/>
  <c r="D35" i="7"/>
  <c r="D57" i="7"/>
  <c r="D51" i="7"/>
  <c r="D49" i="7"/>
  <c r="D47" i="7"/>
  <c r="D45" i="7"/>
  <c r="D43" i="7"/>
  <c r="D39" i="7"/>
  <c r="D37" i="7"/>
  <c r="D33" i="7"/>
  <c r="D31" i="7"/>
  <c r="D29" i="7"/>
  <c r="D27" i="7"/>
  <c r="D25" i="7"/>
  <c r="D23" i="7"/>
  <c r="D19" i="7"/>
  <c r="D13" i="7"/>
  <c r="F502" i="1"/>
  <c r="I1085" i="1"/>
  <c r="O41" i="7"/>
  <c r="F183" i="1"/>
  <c r="F592" i="1"/>
  <c r="H592" i="1"/>
  <c r="F591" i="1"/>
  <c r="H591" i="1" s="1"/>
  <c r="N591" i="1" s="1"/>
  <c r="F181" i="1"/>
  <c r="H181" i="1" s="1"/>
  <c r="F595" i="1"/>
  <c r="F396" i="1"/>
  <c r="F381" i="1"/>
  <c r="H381" i="1" s="1"/>
  <c r="F385" i="1"/>
  <c r="F230" i="1"/>
  <c r="H230" i="1"/>
  <c r="F225" i="1"/>
  <c r="H225" i="1" s="1"/>
  <c r="E216" i="1"/>
  <c r="E259" i="1"/>
  <c r="H259" i="1" s="1"/>
  <c r="F264" i="1" s="1"/>
  <c r="AC264" i="1"/>
  <c r="V264" i="1"/>
  <c r="U1068" i="1"/>
  <c r="R811" i="1"/>
  <c r="AG803" i="1"/>
  <c r="AJ803" i="1"/>
  <c r="W803" i="1"/>
  <c r="O1008" i="1"/>
  <c r="R801" i="1"/>
  <c r="W801" i="1"/>
  <c r="AG799" i="1"/>
  <c r="R799" i="1"/>
  <c r="W799" i="1"/>
  <c r="AA799" i="1"/>
  <c r="AG777" i="1"/>
  <c r="AJ777" i="1" s="1"/>
  <c r="W777" i="1"/>
  <c r="R777" i="1"/>
  <c r="AB656" i="1"/>
  <c r="O656" i="1"/>
  <c r="AD656" i="1"/>
  <c r="AE656" i="1"/>
  <c r="AJ656" i="1"/>
  <c r="AG797" i="1"/>
  <c r="AJ797" i="1" s="1"/>
  <c r="AA797" i="1"/>
  <c r="R797" i="1"/>
  <c r="W797" i="1"/>
  <c r="H396" i="1"/>
  <c r="N396" i="1" s="1"/>
  <c r="N529" i="1"/>
  <c r="H561" i="1"/>
  <c r="N561" i="1" s="1"/>
  <c r="H272" i="1"/>
  <c r="N272" i="1"/>
  <c r="H147" i="1"/>
  <c r="O136" i="1"/>
  <c r="O143" i="1"/>
  <c r="N663" i="1"/>
  <c r="H363" i="1"/>
  <c r="N363" i="1" s="1"/>
  <c r="I23" i="1"/>
  <c r="H11" i="7"/>
  <c r="K11" i="7" s="1"/>
  <c r="W393" i="1"/>
  <c r="X393" i="1"/>
  <c r="Y393" i="1"/>
  <c r="Z393" i="1"/>
  <c r="AB393" i="1"/>
  <c r="AA393" i="1"/>
  <c r="AC164" i="1"/>
  <c r="V1048" i="1"/>
  <c r="N1048" i="1"/>
  <c r="Z707" i="1"/>
  <c r="R459" i="1"/>
  <c r="R466" i="1" s="1"/>
  <c r="V459" i="1"/>
  <c r="V466" i="1" s="1"/>
  <c r="AA548" i="1"/>
  <c r="Y592" i="1"/>
  <c r="AA559" i="1"/>
  <c r="Y609" i="1"/>
  <c r="Z609" i="1"/>
  <c r="AA609" i="1"/>
  <c r="AB609" i="1"/>
  <c r="AD609" i="1"/>
  <c r="AE609" i="1"/>
  <c r="AF609" i="1"/>
  <c r="AH609" i="1"/>
  <c r="X609" i="1"/>
  <c r="AG609" i="1"/>
  <c r="AI609" i="1"/>
  <c r="AJ609" i="1"/>
  <c r="S166" i="1"/>
  <c r="L166" i="1"/>
  <c r="Q166" i="1"/>
  <c r="AI862" i="1"/>
  <c r="N862" i="1" s="1"/>
  <c r="AG598" i="1"/>
  <c r="AH598" i="1"/>
  <c r="AI598" i="1"/>
  <c r="AJ598" i="1"/>
  <c r="AD598" i="1"/>
  <c r="AE598" i="1"/>
  <c r="AF598" i="1"/>
  <c r="Y620" i="1"/>
  <c r="Z620" i="1"/>
  <c r="AB620" i="1"/>
  <c r="Q620" i="1"/>
  <c r="T620" i="1"/>
  <c r="S620" i="1"/>
  <c r="W471" i="1"/>
  <c r="X471" i="1"/>
  <c r="Z471" i="1"/>
  <c r="AB471" i="1"/>
  <c r="V1047" i="1"/>
  <c r="W1074" i="1"/>
  <c r="N1074" i="1"/>
  <c r="O503" i="1"/>
  <c r="O510" i="1" s="1"/>
  <c r="S503" i="1"/>
  <c r="S510" i="1"/>
  <c r="T503" i="1"/>
  <c r="T510" i="1" s="1"/>
  <c r="AC241" i="1"/>
  <c r="E405" i="1"/>
  <c r="W137" i="1"/>
  <c r="I1018" i="1"/>
  <c r="V1011" i="1"/>
  <c r="V1018" i="1"/>
  <c r="N1018" i="1"/>
  <c r="E205" i="1"/>
  <c r="V1016" i="1"/>
  <c r="N1016" i="1" s="1"/>
  <c r="Z802" i="1"/>
  <c r="AA802" i="1"/>
  <c r="AB802" i="1" s="1"/>
  <c r="AB526" i="1"/>
  <c r="Q410" i="1"/>
  <c r="O444" i="1"/>
  <c r="O521" i="1"/>
  <c r="Q554" i="1"/>
  <c r="O587" i="1"/>
  <c r="U587" i="1"/>
  <c r="P444" i="1"/>
  <c r="P455" i="1"/>
  <c r="P521" i="1"/>
  <c r="O543" i="1"/>
  <c r="AA576" i="1"/>
  <c r="P587" i="1"/>
  <c r="Q455" i="1"/>
  <c r="Q477" i="1"/>
  <c r="Q499" i="1"/>
  <c r="S521" i="1"/>
  <c r="O565" i="1"/>
  <c r="AB576" i="1"/>
  <c r="O399" i="1"/>
  <c r="R455" i="1"/>
  <c r="S477" i="1"/>
  <c r="S499" i="1"/>
  <c r="R499" i="1"/>
  <c r="R543" i="1"/>
  <c r="T554" i="1"/>
  <c r="U554" i="1"/>
  <c r="V565" i="1"/>
  <c r="W587" i="1"/>
  <c r="AC587" i="1"/>
  <c r="O388" i="1"/>
  <c r="S455" i="1"/>
  <c r="T477" i="1"/>
  <c r="T499" i="1"/>
  <c r="U499" i="1"/>
  <c r="P532" i="1"/>
  <c r="S543" i="1"/>
  <c r="X587" i="1"/>
  <c r="P388" i="1"/>
  <c r="Q532" i="1"/>
  <c r="T543" i="1"/>
  <c r="Q543" i="1"/>
  <c r="S576" i="1"/>
  <c r="Z587" i="1"/>
  <c r="O410" i="1"/>
  <c r="O433" i="1"/>
  <c r="S532" i="1"/>
  <c r="U543" i="1"/>
  <c r="V543" i="1"/>
  <c r="T576" i="1"/>
  <c r="AA587" i="1"/>
  <c r="P410" i="1"/>
  <c r="P488" i="1"/>
  <c r="O488" i="1"/>
  <c r="T532" i="1"/>
  <c r="O576" i="1"/>
  <c r="U576" i="1"/>
  <c r="AB587" i="1"/>
  <c r="P399" i="1"/>
  <c r="S410" i="1"/>
  <c r="U488" i="1"/>
  <c r="R488" i="1"/>
  <c r="R521" i="1"/>
  <c r="O532" i="1"/>
  <c r="Q565" i="1"/>
  <c r="Q576" i="1"/>
  <c r="W576" i="1"/>
  <c r="R587" i="1"/>
  <c r="T410" i="1"/>
  <c r="T455" i="1"/>
  <c r="R532" i="1"/>
  <c r="R565" i="1"/>
  <c r="S587" i="1"/>
  <c r="U455" i="1"/>
  <c r="S565" i="1"/>
  <c r="T587" i="1"/>
  <c r="Z54" i="1"/>
  <c r="AA54" i="1"/>
  <c r="AB54" i="1"/>
  <c r="AC154" i="1"/>
  <c r="Y54" i="1"/>
  <c r="Q488" i="1"/>
  <c r="Q521" i="1"/>
  <c r="AF166" i="1"/>
  <c r="S488" i="1"/>
  <c r="T521" i="1"/>
  <c r="AG166" i="1"/>
  <c r="U521" i="1"/>
  <c r="P576" i="1"/>
  <c r="AC121" i="1"/>
  <c r="AC143" i="1"/>
  <c r="R576" i="1"/>
  <c r="O554" i="1"/>
  <c r="X576" i="1"/>
  <c r="U532" i="1"/>
  <c r="V576" i="1"/>
  <c r="Z576" i="1"/>
  <c r="AC99" i="1"/>
  <c r="AC110" i="1"/>
  <c r="X54" i="1"/>
  <c r="AC132" i="1"/>
  <c r="R410" i="1"/>
  <c r="T488" i="1"/>
  <c r="P565" i="1"/>
  <c r="Z455" i="1"/>
  <c r="AB455" i="1"/>
  <c r="X455" i="1"/>
  <c r="O499" i="1"/>
  <c r="P554" i="1"/>
  <c r="V342" i="1"/>
  <c r="AA243" i="1"/>
  <c r="AB243" i="1"/>
  <c r="R177" i="1"/>
  <c r="S177" i="1"/>
  <c r="T177" i="1"/>
  <c r="U177" i="1"/>
  <c r="N1057" i="1"/>
  <c r="AB537" i="1"/>
  <c r="W537" i="1"/>
  <c r="Y537" i="1"/>
  <c r="X537" i="1"/>
  <c r="N537" i="1" s="1"/>
  <c r="Z537" i="1"/>
  <c r="AA537" i="1"/>
  <c r="AF587" i="1"/>
  <c r="AG587" i="1"/>
  <c r="AH587" i="1"/>
  <c r="AI587" i="1"/>
  <c r="AJ587" i="1"/>
  <c r="AC408" i="1"/>
  <c r="N408" i="1" s="1"/>
  <c r="W1075" i="1"/>
  <c r="N1075" i="1" s="1"/>
  <c r="V1015" i="1"/>
  <c r="N1015" i="1"/>
  <c r="V181" i="1"/>
  <c r="V188" i="1" s="1"/>
  <c r="N1073" i="1"/>
  <c r="N1053" i="1"/>
  <c r="E439" i="1"/>
  <c r="H439" i="1" s="1"/>
  <c r="E494" i="1"/>
  <c r="I1008" i="1"/>
  <c r="O25" i="7"/>
  <c r="E350" i="1"/>
  <c r="H350" i="1" s="1"/>
  <c r="E505" i="1"/>
  <c r="P27" i="7"/>
  <c r="I1027" i="1"/>
  <c r="J233" i="1"/>
  <c r="I1005" i="1"/>
  <c r="E83" i="1"/>
  <c r="I1009" i="1"/>
  <c r="U1009" i="1" s="1"/>
  <c r="N1009" i="1" s="1"/>
  <c r="E417" i="1"/>
  <c r="E282" i="1"/>
  <c r="Q43" i="7"/>
  <c r="E172" i="1"/>
  <c r="E149" i="1"/>
  <c r="E593" i="1"/>
  <c r="H593" i="1" s="1"/>
  <c r="E271" i="1"/>
  <c r="E127" i="1"/>
  <c r="E49" i="1"/>
  <c r="I1026" i="1"/>
  <c r="U1026" i="1"/>
  <c r="N1026" i="1"/>
  <c r="F586" i="1"/>
  <c r="I1020" i="1"/>
  <c r="E538" i="1"/>
  <c r="E138" i="1"/>
  <c r="E105" i="1"/>
  <c r="H105" i="1" s="1"/>
  <c r="W105" i="1" s="1"/>
  <c r="X105" i="1" s="1"/>
  <c r="Y105" i="1" s="1"/>
  <c r="Z105" i="1" s="1"/>
  <c r="AA105" i="1" s="1"/>
  <c r="AB105" i="1" s="1"/>
  <c r="E315" i="1"/>
  <c r="E304" i="1"/>
  <c r="E161" i="1"/>
  <c r="H161" i="1"/>
  <c r="E571" i="1"/>
  <c r="H571" i="1"/>
  <c r="N571" i="1" s="1"/>
  <c r="E394" i="1"/>
  <c r="E71" i="1"/>
  <c r="H71" i="1"/>
  <c r="W71" i="1" s="1"/>
  <c r="W76" i="1" s="1"/>
  <c r="E227" i="1"/>
  <c r="H227" i="1" s="1"/>
  <c r="J44" i="1"/>
  <c r="P21" i="7"/>
  <c r="E560" i="1"/>
  <c r="H560" i="1"/>
  <c r="W560" i="1"/>
  <c r="E450" i="1"/>
  <c r="E615" i="1"/>
  <c r="E372" i="1"/>
  <c r="E326" i="1"/>
  <c r="E60" i="1"/>
  <c r="E249" i="1"/>
  <c r="E116" i="1"/>
  <c r="E483" i="1"/>
  <c r="E527" i="1"/>
  <c r="P37" i="7"/>
  <c r="H669" i="1"/>
  <c r="W669" i="1"/>
  <c r="E183" i="1"/>
  <c r="H183" i="1"/>
  <c r="W183" i="1" s="1"/>
  <c r="E472" i="1"/>
  <c r="H472" i="1" s="1"/>
  <c r="W472" i="1" s="1"/>
  <c r="I1003" i="1"/>
  <c r="Q1003" i="1"/>
  <c r="N1003" i="1"/>
  <c r="H595" i="1"/>
  <c r="N595" i="1" s="1"/>
  <c r="E361" i="1"/>
  <c r="P39" i="7"/>
  <c r="H504" i="1"/>
  <c r="F632" i="1"/>
  <c r="E633" i="1"/>
  <c r="F633" i="1"/>
  <c r="H633" i="1" s="1"/>
  <c r="J411" i="1"/>
  <c r="H38" i="1"/>
  <c r="G650" i="1"/>
  <c r="J610" i="1"/>
  <c r="H584" i="1"/>
  <c r="N584" i="1" s="1"/>
  <c r="H518" i="1"/>
  <c r="N518" i="1"/>
  <c r="F59" i="1"/>
  <c r="H59" i="1" s="1"/>
  <c r="H119" i="1"/>
  <c r="N119" i="1"/>
  <c r="J100" i="1"/>
  <c r="J77" i="1"/>
  <c r="J122" i="1"/>
  <c r="F509" i="1"/>
  <c r="J144" i="1"/>
  <c r="N1044" i="1"/>
  <c r="Q41" i="7"/>
  <c r="R41" i="7"/>
  <c r="O23" i="7"/>
  <c r="P23" i="7"/>
  <c r="H240" i="1"/>
  <c r="N240" i="1"/>
  <c r="F494" i="1"/>
  <c r="F496" i="1"/>
  <c r="H496" i="1"/>
  <c r="N496" i="1"/>
  <c r="F492" i="1"/>
  <c r="I1078" i="1"/>
  <c r="H57" i="7"/>
  <c r="K57" i="7" s="1"/>
  <c r="P45" i="7"/>
  <c r="R45" i="7"/>
  <c r="E158" i="1"/>
  <c r="F158" i="1"/>
  <c r="H158" i="1" s="1"/>
  <c r="F162" i="1"/>
  <c r="H162" i="1" s="1"/>
  <c r="F159" i="1"/>
  <c r="H159" i="1"/>
  <c r="T159" i="1" s="1"/>
  <c r="F160" i="1"/>
  <c r="H160" i="1"/>
  <c r="F270" i="1"/>
  <c r="F271" i="1"/>
  <c r="F273" i="1"/>
  <c r="F274" i="1"/>
  <c r="H274" i="1" s="1"/>
  <c r="O27" i="7"/>
  <c r="R27" i="7" s="1"/>
  <c r="O9" i="7"/>
  <c r="O11" i="7"/>
  <c r="Q11" i="7"/>
  <c r="P11" i="7"/>
  <c r="F531" i="1"/>
  <c r="F86" i="1"/>
  <c r="H86" i="1"/>
  <c r="F83" i="1"/>
  <c r="H83" i="1" s="1"/>
  <c r="F85" i="1"/>
  <c r="H85" i="1" s="1"/>
  <c r="N85" i="1" s="1"/>
  <c r="F82" i="1"/>
  <c r="W82" i="1" s="1"/>
  <c r="F126" i="1"/>
  <c r="H126" i="1" s="1"/>
  <c r="F128" i="1"/>
  <c r="H128" i="1" s="1"/>
  <c r="N128" i="1"/>
  <c r="I815" i="1"/>
  <c r="H39" i="7" s="1"/>
  <c r="K39" i="7" s="1"/>
  <c r="I1062" i="1"/>
  <c r="H53" i="7" s="1"/>
  <c r="K53" i="7" s="1"/>
  <c r="P55" i="7"/>
  <c r="I30" i="1"/>
  <c r="H13" i="7" s="1"/>
  <c r="K13" i="7" s="1"/>
  <c r="F607" i="1"/>
  <c r="H607" i="1"/>
  <c r="F604" i="1"/>
  <c r="J379" i="1"/>
  <c r="H72" i="1"/>
  <c r="N72" i="1"/>
  <c r="H96" i="1"/>
  <c r="N96" i="1"/>
  <c r="H186" i="1"/>
  <c r="H517" i="1"/>
  <c r="N517" i="1" s="1"/>
  <c r="H551" i="1"/>
  <c r="N551" i="1" s="1"/>
  <c r="F606" i="1"/>
  <c r="H606" i="1" s="1"/>
  <c r="N606" i="1" s="1"/>
  <c r="H530" i="1"/>
  <c r="H506" i="1"/>
  <c r="N506" i="1" s="1"/>
  <c r="J500" i="1"/>
  <c r="J200" i="1"/>
  <c r="H152" i="1"/>
  <c r="N152" i="1" s="1"/>
  <c r="H141" i="1"/>
  <c r="N141" i="1" s="1"/>
  <c r="J456" i="1"/>
  <c r="J400" i="1"/>
  <c r="J332" i="1"/>
  <c r="H106" i="1"/>
  <c r="N106" i="1" s="1"/>
  <c r="H473" i="1"/>
  <c r="N473" i="1" s="1"/>
  <c r="H594" i="1"/>
  <c r="N594" i="1" s="1"/>
  <c r="H362" i="1"/>
  <c r="N362" i="1" s="1"/>
  <c r="H228" i="1"/>
  <c r="N228" i="1" s="1"/>
  <c r="H73" i="1"/>
  <c r="N73" i="1" s="1"/>
  <c r="H218" i="1"/>
  <c r="N218" i="1" s="1"/>
  <c r="Q13" i="7"/>
  <c r="J577" i="1"/>
  <c r="H148" i="1"/>
  <c r="F617" i="1"/>
  <c r="H617" i="1"/>
  <c r="N617" i="1" s="1"/>
  <c r="F613" i="1"/>
  <c r="H613" i="1" s="1"/>
  <c r="O613" i="1"/>
  <c r="F616" i="1"/>
  <c r="H616" i="1" s="1"/>
  <c r="N616" i="1"/>
  <c r="F615" i="1"/>
  <c r="F605" i="1"/>
  <c r="H605" i="1" s="1"/>
  <c r="N605" i="1"/>
  <c r="F603" i="1"/>
  <c r="H603" i="1"/>
  <c r="F563" i="1"/>
  <c r="H563" i="1"/>
  <c r="H562" i="1"/>
  <c r="N562" i="1"/>
  <c r="F539" i="1"/>
  <c r="H539" i="1"/>
  <c r="N539" i="1" s="1"/>
  <c r="F538" i="1"/>
  <c r="H538" i="1" s="1"/>
  <c r="H519" i="1"/>
  <c r="AC519" i="1" s="1"/>
  <c r="F515" i="1"/>
  <c r="H515" i="1" s="1"/>
  <c r="Z515" i="1" s="1"/>
  <c r="F514" i="1"/>
  <c r="H514" i="1" s="1"/>
  <c r="F493" i="1"/>
  <c r="H493" i="1" s="1"/>
  <c r="F497" i="1"/>
  <c r="H497" i="1" s="1"/>
  <c r="AC497" i="1"/>
  <c r="F495" i="1"/>
  <c r="H495" i="1" s="1"/>
  <c r="N495" i="1"/>
  <c r="F475" i="1"/>
  <c r="H475" i="1"/>
  <c r="F474" i="1"/>
  <c r="H474" i="1"/>
  <c r="F462" i="1"/>
  <c r="E436" i="1"/>
  <c r="H419" i="1"/>
  <c r="N419" i="1" s="1"/>
  <c r="F417" i="1"/>
  <c r="F382" i="1"/>
  <c r="H382" i="1"/>
  <c r="X382" i="1" s="1"/>
  <c r="H385" i="1"/>
  <c r="N385" i="1"/>
  <c r="F394" i="1"/>
  <c r="F383" i="1"/>
  <c r="F395" i="1"/>
  <c r="H395" i="1"/>
  <c r="N395" i="1" s="1"/>
  <c r="F392" i="1"/>
  <c r="H392" i="1" s="1"/>
  <c r="E347" i="1"/>
  <c r="F347" i="1" s="1"/>
  <c r="H347" i="1" s="1"/>
  <c r="Q347" i="1" s="1"/>
  <c r="N347" i="1"/>
  <c r="F348" i="1"/>
  <c r="H348" i="1"/>
  <c r="O348" i="1" s="1"/>
  <c r="F351" i="1"/>
  <c r="H351" i="1"/>
  <c r="N351" i="1" s="1"/>
  <c r="F352" i="1"/>
  <c r="H352" i="1" s="1"/>
  <c r="N352" i="1"/>
  <c r="F349" i="1"/>
  <c r="H349" i="1"/>
  <c r="F350" i="1"/>
  <c r="F353" i="1"/>
  <c r="H353" i="1" s="1"/>
  <c r="F337" i="1"/>
  <c r="H337" i="1" s="1"/>
  <c r="W337" i="1"/>
  <c r="F341" i="1"/>
  <c r="H341" i="1"/>
  <c r="AC341" i="1" s="1"/>
  <c r="N341" i="1"/>
  <c r="F336" i="1"/>
  <c r="H336" i="1"/>
  <c r="F338" i="1"/>
  <c r="F340" i="1"/>
  <c r="F339" i="1"/>
  <c r="H339" i="1" s="1"/>
  <c r="N339" i="1" s="1"/>
  <c r="F312" i="1"/>
  <c r="E323" i="1"/>
  <c r="F323" i="1" s="1"/>
  <c r="F326" i="1" s="1"/>
  <c r="H326" i="1" s="1"/>
  <c r="F301" i="1"/>
  <c r="F305" i="1"/>
  <c r="H305" i="1" s="1"/>
  <c r="N305" i="1"/>
  <c r="F293" i="1"/>
  <c r="F294" i="1"/>
  <c r="H294" i="1" s="1"/>
  <c r="N294" i="1"/>
  <c r="F296" i="1"/>
  <c r="H296" i="1"/>
  <c r="F292" i="1"/>
  <c r="F295" i="1"/>
  <c r="F291" i="1"/>
  <c r="H291" i="1"/>
  <c r="F281" i="1"/>
  <c r="F282" i="1"/>
  <c r="H282" i="1" s="1"/>
  <c r="F284" i="1"/>
  <c r="H284" i="1"/>
  <c r="N284" i="1" s="1"/>
  <c r="F283" i="1"/>
  <c r="H283" i="1" s="1"/>
  <c r="N283" i="1"/>
  <c r="F285" i="1"/>
  <c r="H285" i="1"/>
  <c r="AC285" i="1" s="1"/>
  <c r="F208" i="1"/>
  <c r="H208" i="1"/>
  <c r="AC208" i="1" s="1"/>
  <c r="F203" i="1"/>
  <c r="H203" i="1"/>
  <c r="V203" i="1" s="1"/>
  <c r="F207" i="1"/>
  <c r="H207" i="1"/>
  <c r="N207" i="1" s="1"/>
  <c r="F192" i="1"/>
  <c r="H192" i="1" s="1"/>
  <c r="V192" i="1"/>
  <c r="F195" i="1"/>
  <c r="F194" i="1"/>
  <c r="F193" i="1"/>
  <c r="F196" i="1"/>
  <c r="H196" i="1"/>
  <c r="N196" i="1" s="1"/>
  <c r="F197" i="1"/>
  <c r="H197" i="1" s="1"/>
  <c r="F174" i="1"/>
  <c r="H174" i="1" s="1"/>
  <c r="N174" i="1" s="1"/>
  <c r="F175" i="1"/>
  <c r="H175" i="1"/>
  <c r="AC175" i="1" s="1"/>
  <c r="AC177" i="1" s="1"/>
  <c r="F170" i="1"/>
  <c r="H170" i="1" s="1"/>
  <c r="F171" i="1"/>
  <c r="F172" i="1"/>
  <c r="H172" i="1" s="1"/>
  <c r="F173" i="1"/>
  <c r="H173" i="1" s="1"/>
  <c r="N173" i="1" s="1"/>
  <c r="F117" i="1"/>
  <c r="H117" i="1"/>
  <c r="N117" i="1"/>
  <c r="F116" i="1"/>
  <c r="F115" i="1"/>
  <c r="H115" i="1"/>
  <c r="F103" i="1"/>
  <c r="F97" i="1"/>
  <c r="H97" i="1"/>
  <c r="N97" i="1" s="1"/>
  <c r="F95" i="1"/>
  <c r="H95" i="1" s="1"/>
  <c r="N95" i="1" s="1"/>
  <c r="F92" i="1"/>
  <c r="H92" i="1"/>
  <c r="F93" i="1"/>
  <c r="H93" i="1"/>
  <c r="F94" i="1"/>
  <c r="F84" i="1"/>
  <c r="H84" i="1" s="1"/>
  <c r="N84" i="1" s="1"/>
  <c r="F81" i="1"/>
  <c r="H81" i="1"/>
  <c r="Q81" i="1" s="1"/>
  <c r="R81" i="1" s="1"/>
  <c r="F70" i="1"/>
  <c r="H70" i="1" s="1"/>
  <c r="F69" i="1"/>
  <c r="H69" i="1"/>
  <c r="F74" i="1"/>
  <c r="H74" i="1"/>
  <c r="H52" i="1"/>
  <c r="AC52" i="1" s="1"/>
  <c r="AC54" i="1" s="1"/>
  <c r="F62" i="1"/>
  <c r="H62" i="1" s="1"/>
  <c r="N62" i="1" s="1"/>
  <c r="F60" i="1"/>
  <c r="F61" i="1"/>
  <c r="H61" i="1"/>
  <c r="N61" i="1" s="1"/>
  <c r="F39" i="1"/>
  <c r="H39" i="1"/>
  <c r="N39" i="1"/>
  <c r="P35" i="7"/>
  <c r="J344" i="1"/>
  <c r="H507" i="1"/>
  <c r="N507" i="1"/>
  <c r="F75" i="1"/>
  <c r="J55" i="1"/>
  <c r="F371" i="1"/>
  <c r="H371" i="1" s="1"/>
  <c r="Z371" i="1" s="1"/>
  <c r="F372" i="1"/>
  <c r="F373" i="1"/>
  <c r="H373" i="1" s="1"/>
  <c r="N373" i="1" s="1"/>
  <c r="F370" i="1"/>
  <c r="H370" i="1"/>
  <c r="F374" i="1"/>
  <c r="H374" i="1" s="1"/>
  <c r="N374" i="1" s="1"/>
  <c r="F375" i="1"/>
  <c r="H375" i="1"/>
  <c r="J255" i="1"/>
  <c r="I804" i="1"/>
  <c r="F564" i="1"/>
  <c r="H558" i="1"/>
  <c r="J566" i="1"/>
  <c r="O57" i="7"/>
  <c r="Q9" i="7"/>
  <c r="F109" i="1"/>
  <c r="Q31" i="7"/>
  <c r="R31" i="7"/>
  <c r="O55" i="7"/>
  <c r="J599" i="1"/>
  <c r="F365" i="1"/>
  <c r="J367" i="1"/>
  <c r="M1095" i="1"/>
  <c r="I60" i="7"/>
  <c r="J310" i="1"/>
  <c r="J277" i="1"/>
  <c r="J445" i="1"/>
  <c r="F252" i="1"/>
  <c r="H252" i="1" s="1"/>
  <c r="F248" i="1"/>
  <c r="H248" i="1" s="1"/>
  <c r="F249" i="1"/>
  <c r="F250" i="1"/>
  <c r="H250" i="1" s="1"/>
  <c r="F251" i="1"/>
  <c r="H251" i="1"/>
  <c r="N251" i="1" s="1"/>
  <c r="F247" i="1"/>
  <c r="H247" i="1" s="1"/>
  <c r="V247" i="1" s="1"/>
  <c r="I772" i="1"/>
  <c r="H35" i="7" s="1"/>
  <c r="K35" i="7" s="1"/>
  <c r="Q35" i="7"/>
  <c r="H384" i="1"/>
  <c r="N384" i="1"/>
  <c r="J389" i="1"/>
  <c r="J522" i="1"/>
  <c r="F520" i="1"/>
  <c r="J621" i="1"/>
  <c r="F486" i="1"/>
  <c r="H486" i="1"/>
  <c r="F483" i="1"/>
  <c r="H483" i="1" s="1"/>
  <c r="W483" i="1" s="1"/>
  <c r="W488" i="1" s="1"/>
  <c r="F484" i="1"/>
  <c r="H484" i="1"/>
  <c r="N484" i="1"/>
  <c r="F485" i="1"/>
  <c r="H485" i="1" s="1"/>
  <c r="N485" i="1"/>
  <c r="F482" i="1"/>
  <c r="H482" i="1"/>
  <c r="F608" i="1"/>
  <c r="H602" i="1"/>
  <c r="H239" i="1"/>
  <c r="N239" i="1" s="1"/>
  <c r="P13" i="7"/>
  <c r="F404" i="1"/>
  <c r="H404" i="1" s="1"/>
  <c r="F406" i="1"/>
  <c r="H406" i="1"/>
  <c r="N406" i="1" s="1"/>
  <c r="F407" i="1"/>
  <c r="H407" i="1" s="1"/>
  <c r="N407" i="1"/>
  <c r="F403" i="1"/>
  <c r="H403" i="1" s="1"/>
  <c r="J321" i="1"/>
  <c r="F618" i="1"/>
  <c r="H618" i="1"/>
  <c r="AC618" i="1" s="1"/>
  <c r="F614" i="1"/>
  <c r="H614" i="1"/>
  <c r="H107" i="1"/>
  <c r="N107" i="1"/>
  <c r="E338" i="1"/>
  <c r="E582" i="1"/>
  <c r="E94" i="1"/>
  <c r="E428" i="1"/>
  <c r="H428" i="1" s="1"/>
  <c r="E516" i="1"/>
  <c r="H516" i="1"/>
  <c r="E604" i="1"/>
  <c r="E194" i="1"/>
  <c r="E238" i="1"/>
  <c r="H238" i="1"/>
  <c r="E549" i="1"/>
  <c r="H549" i="1" s="1"/>
  <c r="E461" i="1"/>
  <c r="E383" i="1"/>
  <c r="H383" i="1" s="1"/>
  <c r="W383" i="1" s="1"/>
  <c r="F182" i="1"/>
  <c r="F185" i="1"/>
  <c r="H185" i="1"/>
  <c r="N185" i="1"/>
  <c r="F184" i="1"/>
  <c r="H184" i="1" s="1"/>
  <c r="N184" i="1" s="1"/>
  <c r="J423" i="1"/>
  <c r="H418" i="1"/>
  <c r="N418" i="1" s="1"/>
  <c r="J155" i="1"/>
  <c r="F153" i="1"/>
  <c r="H129" i="1"/>
  <c r="N129" i="1" s="1"/>
  <c r="F206" i="1"/>
  <c r="H206" i="1"/>
  <c r="N206" i="1" s="1"/>
  <c r="F204" i="1"/>
  <c r="F205" i="1"/>
  <c r="H205" i="1" s="1"/>
  <c r="F426" i="1"/>
  <c r="H426" i="1" s="1"/>
  <c r="F431" i="1"/>
  <c r="H431" i="1"/>
  <c r="F427" i="1"/>
  <c r="H427" i="1" s="1"/>
  <c r="F429" i="1"/>
  <c r="H429" i="1"/>
  <c r="N429" i="1"/>
  <c r="F430" i="1"/>
  <c r="H430" i="1" s="1"/>
  <c r="N430" i="1"/>
  <c r="J555" i="1"/>
  <c r="F237" i="1"/>
  <c r="J189" i="1"/>
  <c r="I1039" i="1"/>
  <c r="H49" i="7" s="1"/>
  <c r="F219" i="1"/>
  <c r="H219" i="1" s="1"/>
  <c r="AC219" i="1"/>
  <c r="AC221" i="1" s="1"/>
  <c r="F214" i="1"/>
  <c r="H214" i="1" s="1"/>
  <c r="F215" i="1"/>
  <c r="W215" i="1" s="1"/>
  <c r="X215" i="1" s="1"/>
  <c r="F216" i="1"/>
  <c r="H216" i="1" s="1"/>
  <c r="F217" i="1"/>
  <c r="H217" i="1"/>
  <c r="N217" i="1"/>
  <c r="F570" i="1"/>
  <c r="H570" i="1" s="1"/>
  <c r="N570" i="1"/>
  <c r="F572" i="1"/>
  <c r="H572" i="1"/>
  <c r="F573" i="1"/>
  <c r="H573" i="1"/>
  <c r="N573" i="1"/>
  <c r="F569" i="1"/>
  <c r="H569" i="1"/>
  <c r="N569" i="1"/>
  <c r="F574" i="1"/>
  <c r="H574" i="1" s="1"/>
  <c r="AC574" i="1" s="1"/>
  <c r="I17" i="1"/>
  <c r="H9" i="7" s="1"/>
  <c r="J211" i="1"/>
  <c r="J89" i="1"/>
  <c r="F130" i="1"/>
  <c r="H130" i="1" s="1"/>
  <c r="N130" i="1" s="1"/>
  <c r="F127" i="1"/>
  <c r="H127" i="1"/>
  <c r="W127" i="1" s="1"/>
  <c r="X127" i="1" s="1"/>
  <c r="Y127" i="1" s="1"/>
  <c r="Z127" i="1" s="1"/>
  <c r="AA127" i="1" s="1"/>
  <c r="AB127" i="1" s="1"/>
  <c r="F463" i="1"/>
  <c r="H463" i="1"/>
  <c r="N463" i="1" s="1"/>
  <c r="F464" i="1"/>
  <c r="H464" i="1"/>
  <c r="AC464" i="1" s="1"/>
  <c r="AC466" i="1" s="1"/>
  <c r="F460" i="1"/>
  <c r="H460" i="1" s="1"/>
  <c r="Z460" i="1" s="1"/>
  <c r="F461" i="1"/>
  <c r="F585" i="1"/>
  <c r="H585" i="1"/>
  <c r="AE585" i="1" s="1"/>
  <c r="AE587" i="1" s="1"/>
  <c r="F581" i="1"/>
  <c r="H581" i="1"/>
  <c r="N581" i="1"/>
  <c r="F582" i="1"/>
  <c r="F583" i="1"/>
  <c r="H583" i="1"/>
  <c r="N583" i="1"/>
  <c r="F41" i="1"/>
  <c r="H41" i="1" s="1"/>
  <c r="AC41" i="1" s="1"/>
  <c r="AC43" i="1" s="1"/>
  <c r="F36" i="1"/>
  <c r="H36" i="1"/>
  <c r="Q36" i="1"/>
  <c r="F37" i="1"/>
  <c r="H37" i="1"/>
  <c r="N37" i="1"/>
  <c r="F40" i="1"/>
  <c r="H40" i="1" s="1"/>
  <c r="N40" i="1"/>
  <c r="F360" i="1"/>
  <c r="H360" i="1"/>
  <c r="F361" i="1"/>
  <c r="F541" i="1"/>
  <c r="H541" i="1" s="1"/>
  <c r="AC541" i="1" s="1"/>
  <c r="F536" i="1"/>
  <c r="H536" i="1" s="1"/>
  <c r="N536" i="1"/>
  <c r="F528" i="1"/>
  <c r="H528" i="1" s="1"/>
  <c r="N528" i="1" s="1"/>
  <c r="F476" i="1"/>
  <c r="F416" i="1"/>
  <c r="H416" i="1" s="1"/>
  <c r="F48" i="1"/>
  <c r="F224" i="1"/>
  <c r="J299" i="1"/>
  <c r="J544" i="1"/>
  <c r="J111" i="1"/>
  <c r="F280" i="1"/>
  <c r="H280" i="1"/>
  <c r="F118" i="1"/>
  <c r="H118" i="1"/>
  <c r="N118" i="1"/>
  <c r="F550" i="1"/>
  <c r="F527" i="1"/>
  <c r="F415" i="1"/>
  <c r="H415" i="1" s="1"/>
  <c r="O415" i="1"/>
  <c r="F226" i="1"/>
  <c r="F163" i="1"/>
  <c r="H163" i="1"/>
  <c r="N163" i="1" s="1"/>
  <c r="F51" i="1"/>
  <c r="H51" i="1" s="1"/>
  <c r="N51" i="1"/>
  <c r="F50" i="1"/>
  <c r="H50" i="1" s="1"/>
  <c r="F49" i="1"/>
  <c r="W259" i="1"/>
  <c r="H263" i="1"/>
  <c r="N420" i="1"/>
  <c r="N797" i="1"/>
  <c r="H116" i="1"/>
  <c r="W116" i="1"/>
  <c r="X116" i="1" s="1"/>
  <c r="N802" i="1"/>
  <c r="H361" i="1"/>
  <c r="W361" i="1" s="1"/>
  <c r="N181" i="1"/>
  <c r="X560" i="1"/>
  <c r="Y560" i="1" s="1"/>
  <c r="Z560" i="1" s="1"/>
  <c r="V477" i="1"/>
  <c r="N470" i="1"/>
  <c r="AC410" i="1"/>
  <c r="AG678" i="1"/>
  <c r="H293" i="1"/>
  <c r="AI678" i="1"/>
  <c r="Q43" i="1"/>
  <c r="X149" i="1"/>
  <c r="Y149" i="1"/>
  <c r="Z149" i="1"/>
  <c r="AA149" i="1" s="1"/>
  <c r="AB149" i="1" s="1"/>
  <c r="N393" i="1"/>
  <c r="AD164" i="1"/>
  <c r="AE164" i="1" s="1"/>
  <c r="AE166" i="1" s="1"/>
  <c r="N164" i="1"/>
  <c r="AC243" i="1"/>
  <c r="N241" i="1"/>
  <c r="AH678" i="1"/>
  <c r="P503" i="1"/>
  <c r="P510" i="1"/>
  <c r="AF678" i="1"/>
  <c r="P154" i="1"/>
  <c r="O147" i="1"/>
  <c r="O154" i="1"/>
  <c r="AC388" i="1"/>
  <c r="N386" i="1"/>
  <c r="N397" i="1"/>
  <c r="X137" i="1"/>
  <c r="O620" i="1"/>
  <c r="W172" i="1"/>
  <c r="W177" i="1" s="1"/>
  <c r="W161" i="1"/>
  <c r="AC508" i="1"/>
  <c r="AC510" i="1" s="1"/>
  <c r="R114" i="1"/>
  <c r="Z592" i="1"/>
  <c r="Y596" i="1"/>
  <c r="V214" i="1"/>
  <c r="H37" i="7"/>
  <c r="K37" i="7" s="1"/>
  <c r="N804" i="1"/>
  <c r="H226" i="1"/>
  <c r="F232" i="1"/>
  <c r="W226" i="1"/>
  <c r="Q132" i="1"/>
  <c r="R125" i="1"/>
  <c r="H527" i="1"/>
  <c r="W527" i="1" s="1"/>
  <c r="X527" i="1" s="1"/>
  <c r="AC563" i="1"/>
  <c r="AC565" i="1" s="1"/>
  <c r="AC210" i="1"/>
  <c r="Q143" i="1"/>
  <c r="H215" i="1"/>
  <c r="H220" i="1" s="1"/>
  <c r="N220" i="1" s="1"/>
  <c r="W160" i="1"/>
  <c r="U92" i="1"/>
  <c r="U99" i="1" s="1"/>
  <c r="S92" i="1"/>
  <c r="S99" i="1" s="1"/>
  <c r="Q154" i="1"/>
  <c r="R147" i="1"/>
  <c r="H461" i="1"/>
  <c r="V236" i="1"/>
  <c r="R370" i="1"/>
  <c r="R377" i="1" s="1"/>
  <c r="T370" i="1"/>
  <c r="T377" i="1" s="1"/>
  <c r="U370" i="1"/>
  <c r="U377" i="1" s="1"/>
  <c r="O370" i="1"/>
  <c r="P370" i="1" s="1"/>
  <c r="H60" i="1"/>
  <c r="AC197" i="1"/>
  <c r="AC475" i="1"/>
  <c r="W603" i="1"/>
  <c r="N603" i="1" s="1"/>
  <c r="V199" i="1"/>
  <c r="AC86" i="1"/>
  <c r="S392" i="1"/>
  <c r="S399" i="1" s="1"/>
  <c r="U392" i="1"/>
  <c r="U399" i="1" s="1"/>
  <c r="Q392" i="1"/>
  <c r="R392" i="1"/>
  <c r="AC186" i="1"/>
  <c r="W504" i="1"/>
  <c r="X504" i="1"/>
  <c r="Y504" i="1"/>
  <c r="Z504" i="1"/>
  <c r="N504" i="1" s="1"/>
  <c r="AA504" i="1"/>
  <c r="AB504" i="1"/>
  <c r="AC530" i="1"/>
  <c r="H193" i="1"/>
  <c r="W193" i="1"/>
  <c r="Q426" i="1"/>
  <c r="Q433" i="1" s="1"/>
  <c r="W349" i="1"/>
  <c r="AA93" i="1"/>
  <c r="Y93" i="1"/>
  <c r="X93" i="1"/>
  <c r="W93" i="1"/>
  <c r="Q415" i="1"/>
  <c r="Q422" i="1"/>
  <c r="R415" i="1"/>
  <c r="R422" i="1" s="1"/>
  <c r="S415" i="1"/>
  <c r="S422" i="1" s="1"/>
  <c r="U415" i="1"/>
  <c r="U422" i="1" s="1"/>
  <c r="T415" i="1"/>
  <c r="T422" i="1"/>
  <c r="V415" i="1"/>
  <c r="V422" i="1" s="1"/>
  <c r="W549" i="1"/>
  <c r="X460" i="1"/>
  <c r="Y460" i="1"/>
  <c r="AA460" i="1"/>
  <c r="AB460" i="1"/>
  <c r="W460" i="1"/>
  <c r="H281" i="1"/>
  <c r="W281" i="1"/>
  <c r="W287" i="1" s="1"/>
  <c r="AC486" i="1"/>
  <c r="W336" i="1"/>
  <c r="N336" i="1"/>
  <c r="W428" i="1"/>
  <c r="H292" i="1"/>
  <c r="W292" i="1"/>
  <c r="H82" i="1"/>
  <c r="H494" i="1"/>
  <c r="W248" i="1"/>
  <c r="W254" i="1" s="1"/>
  <c r="H171" i="1"/>
  <c r="W171" i="1"/>
  <c r="X171" i="1" s="1"/>
  <c r="W148" i="1"/>
  <c r="Y482" i="1"/>
  <c r="Z482" i="1"/>
  <c r="AA482" i="1"/>
  <c r="W482" i="1"/>
  <c r="V291" i="1"/>
  <c r="N291" i="1" s="1"/>
  <c r="Z360" i="1"/>
  <c r="Y360" i="1"/>
  <c r="X360" i="1"/>
  <c r="AB360" i="1"/>
  <c r="W371" i="1"/>
  <c r="X371" i="1"/>
  <c r="Y371" i="1"/>
  <c r="AA371" i="1"/>
  <c r="AB371" i="1"/>
  <c r="Y427" i="1"/>
  <c r="W427" i="1"/>
  <c r="W433" i="1" s="1"/>
  <c r="W70" i="1"/>
  <c r="H271" i="1"/>
  <c r="H204" i="1"/>
  <c r="W204" i="1"/>
  <c r="K49" i="7"/>
  <c r="V1039" i="1"/>
  <c r="N1039" i="1" s="1"/>
  <c r="AC74" i="1"/>
  <c r="H632" i="1"/>
  <c r="W216" i="1"/>
  <c r="W221" i="1" s="1"/>
  <c r="H249" i="1"/>
  <c r="P81" i="1"/>
  <c r="AC353" i="1"/>
  <c r="W382" i="1"/>
  <c r="Z382" i="1"/>
  <c r="Y382" i="1"/>
  <c r="AA382" i="1"/>
  <c r="W515" i="1"/>
  <c r="X515" i="1"/>
  <c r="Y515" i="1"/>
  <c r="AA515" i="1"/>
  <c r="AB515" i="1"/>
  <c r="H270" i="1"/>
  <c r="W270" i="1"/>
  <c r="AC552" i="1"/>
  <c r="AC499" i="1"/>
  <c r="U1027" i="1"/>
  <c r="R55" i="7"/>
  <c r="Q33" i="7"/>
  <c r="R33" i="7"/>
  <c r="H338" i="1"/>
  <c r="H372" i="1"/>
  <c r="W372" i="1" s="1"/>
  <c r="H615" i="1"/>
  <c r="H49" i="1"/>
  <c r="H417" i="1"/>
  <c r="W417" i="1" s="1"/>
  <c r="X417" i="1" s="1"/>
  <c r="H394" i="1"/>
  <c r="F399" i="1" s="1"/>
  <c r="H399" i="1" s="1"/>
  <c r="H48" i="1"/>
  <c r="W48" i="1"/>
  <c r="F654" i="1"/>
  <c r="H654" i="1"/>
  <c r="H194" i="1"/>
  <c r="W194" i="1" s="1"/>
  <c r="Q37" i="7"/>
  <c r="R37" i="7"/>
  <c r="P57" i="7"/>
  <c r="R57" i="7"/>
  <c r="W38" i="1"/>
  <c r="F63" i="1"/>
  <c r="H63" i="1"/>
  <c r="N63" i="1"/>
  <c r="H58" i="1"/>
  <c r="Q53" i="7"/>
  <c r="O51" i="7"/>
  <c r="F655" i="1"/>
  <c r="H655" i="1"/>
  <c r="O43" i="7"/>
  <c r="R43" i="7" s="1"/>
  <c r="O29" i="7"/>
  <c r="R29" i="7" s="1"/>
  <c r="R23" i="7"/>
  <c r="P53" i="7"/>
  <c r="H604" i="1"/>
  <c r="N604" i="1"/>
  <c r="F304" i="1"/>
  <c r="H304" i="1" s="1"/>
  <c r="W304" i="1" s="1"/>
  <c r="X304" i="1" s="1"/>
  <c r="Y304" i="1" s="1"/>
  <c r="Z304" i="1" s="1"/>
  <c r="F307" i="1"/>
  <c r="H307" i="1" s="1"/>
  <c r="AC307" i="1" s="1"/>
  <c r="H103" i="1"/>
  <c r="F328" i="1"/>
  <c r="H328" i="1" s="1"/>
  <c r="N328" i="1" s="1"/>
  <c r="P43" i="7"/>
  <c r="P25" i="7"/>
  <c r="R25" i="7"/>
  <c r="Q39" i="7"/>
  <c r="R39" i="7"/>
  <c r="H47" i="1"/>
  <c r="F437" i="1"/>
  <c r="H437" i="1" s="1"/>
  <c r="R437" i="1" s="1"/>
  <c r="F440" i="1"/>
  <c r="H440" i="1" s="1"/>
  <c r="N440" i="1" s="1"/>
  <c r="F441" i="1"/>
  <c r="H441" i="1"/>
  <c r="N441" i="1"/>
  <c r="F439" i="1"/>
  <c r="F442" i="1"/>
  <c r="H442" i="1"/>
  <c r="AC442" i="1" s="1"/>
  <c r="AC444" i="1" s="1"/>
  <c r="F438" i="1"/>
  <c r="H438" i="1"/>
  <c r="E447" i="1"/>
  <c r="F303" i="1"/>
  <c r="H303" i="1" s="1"/>
  <c r="F327" i="1"/>
  <c r="H327" i="1" s="1"/>
  <c r="N327" i="1" s="1"/>
  <c r="F302" i="1"/>
  <c r="H302" i="1"/>
  <c r="F306" i="1"/>
  <c r="H306" i="1" s="1"/>
  <c r="N306" i="1" s="1"/>
  <c r="F318" i="1"/>
  <c r="H318" i="1" s="1"/>
  <c r="F316" i="1"/>
  <c r="H316" i="1"/>
  <c r="N316" i="1" s="1"/>
  <c r="F315" i="1"/>
  <c r="H315" i="1" s="1"/>
  <c r="W315" i="1"/>
  <c r="X315" i="1" s="1"/>
  <c r="Y315" i="1" s="1"/>
  <c r="F313" i="1"/>
  <c r="H313" i="1" s="1"/>
  <c r="F317" i="1"/>
  <c r="H317" i="1"/>
  <c r="N317" i="1"/>
  <c r="F314" i="1"/>
  <c r="H94" i="1"/>
  <c r="W94" i="1" s="1"/>
  <c r="O49" i="7"/>
  <c r="O35" i="7"/>
  <c r="R35" i="7"/>
  <c r="P49" i="7"/>
  <c r="O53" i="7"/>
  <c r="F576" i="1"/>
  <c r="H576" i="1" s="1"/>
  <c r="M1102" i="1"/>
  <c r="R9" i="7"/>
  <c r="P51" i="7"/>
  <c r="Q47" i="7"/>
  <c r="K9" i="7"/>
  <c r="O13" i="7"/>
  <c r="R13" i="7" s="1"/>
  <c r="R11" i="7"/>
  <c r="X259" i="1"/>
  <c r="W264" i="1"/>
  <c r="X361" i="1"/>
  <c r="X366" i="1" s="1"/>
  <c r="F121" i="1"/>
  <c r="E122" i="1" s="1"/>
  <c r="F122" i="1" s="1"/>
  <c r="H122" i="1" s="1"/>
  <c r="AB122" i="1" s="1"/>
  <c r="H121" i="1"/>
  <c r="H231" i="1"/>
  <c r="N231" i="1" s="1"/>
  <c r="F210" i="1"/>
  <c r="H286" i="1"/>
  <c r="N460" i="1"/>
  <c r="N48" i="1"/>
  <c r="X472" i="1"/>
  <c r="Y472" i="1"/>
  <c r="Z472" i="1"/>
  <c r="AC620" i="1"/>
  <c r="N618" i="1"/>
  <c r="X216" i="1"/>
  <c r="N371" i="1"/>
  <c r="AC199" i="1"/>
  <c r="N197" i="1"/>
  <c r="N464" i="1"/>
  <c r="AC188" i="1"/>
  <c r="N186" i="1"/>
  <c r="V221" i="1"/>
  <c r="N214" i="1"/>
  <c r="AD166" i="1"/>
  <c r="AD678" i="1"/>
  <c r="Y137" i="1"/>
  <c r="AC554" i="1"/>
  <c r="N552" i="1"/>
  <c r="AC477" i="1"/>
  <c r="N475" i="1"/>
  <c r="AC76" i="1"/>
  <c r="N74" i="1"/>
  <c r="AC287" i="1"/>
  <c r="N285" i="1"/>
  <c r="AC355" i="1"/>
  <c r="N353" i="1"/>
  <c r="AC521" i="1"/>
  <c r="N519" i="1"/>
  <c r="AC543" i="1"/>
  <c r="N541" i="1"/>
  <c r="AC88" i="1"/>
  <c r="N86" i="1"/>
  <c r="N52" i="1"/>
  <c r="V298" i="1"/>
  <c r="Y116" i="1"/>
  <c r="Z116" i="1"/>
  <c r="AA116" i="1" s="1"/>
  <c r="AB116" i="1" s="1"/>
  <c r="Q399" i="1"/>
  <c r="X172" i="1"/>
  <c r="Y172" i="1" s="1"/>
  <c r="N38" i="1"/>
  <c r="W43" i="1"/>
  <c r="AC488" i="1"/>
  <c r="N486" i="1"/>
  <c r="V210" i="1"/>
  <c r="N203" i="1"/>
  <c r="AC576" i="1"/>
  <c r="N574" i="1"/>
  <c r="X193" i="1"/>
  <c r="Y193" i="1"/>
  <c r="Z193" i="1" s="1"/>
  <c r="AA193" i="1" s="1"/>
  <c r="X71" i="1"/>
  <c r="X76" i="1" s="1"/>
  <c r="N41" i="1"/>
  <c r="V254" i="1"/>
  <c r="N247" i="1"/>
  <c r="R143" i="1"/>
  <c r="H209" i="1"/>
  <c r="N209" i="1" s="1"/>
  <c r="O36" i="1"/>
  <c r="F221" i="1"/>
  <c r="H387" i="1"/>
  <c r="AA438" i="1"/>
  <c r="AB438" i="1"/>
  <c r="X438" i="1"/>
  <c r="W438" i="1"/>
  <c r="Y438" i="1"/>
  <c r="Z438" i="1"/>
  <c r="N438" i="1" s="1"/>
  <c r="O377" i="1"/>
  <c r="W271" i="1"/>
  <c r="X271" i="1" s="1"/>
  <c r="AA592" i="1"/>
  <c r="W439" i="1"/>
  <c r="W83" i="1"/>
  <c r="V302" i="1"/>
  <c r="V309" i="1" s="1"/>
  <c r="Q88" i="1"/>
  <c r="S125" i="1"/>
  <c r="R132" i="1"/>
  <c r="R444" i="1"/>
  <c r="T437" i="1"/>
  <c r="T444" i="1" s="1"/>
  <c r="W461" i="1"/>
  <c r="AC318" i="1"/>
  <c r="AC320" i="1" s="1"/>
  <c r="S58" i="1"/>
  <c r="X70" i="1"/>
  <c r="W494" i="1"/>
  <c r="X292" i="1"/>
  <c r="Y292" i="1" s="1"/>
  <c r="S147" i="1"/>
  <c r="R154" i="1"/>
  <c r="P348" i="1"/>
  <c r="O355" i="1"/>
  <c r="S114" i="1"/>
  <c r="R121" i="1"/>
  <c r="Y598" i="1"/>
  <c r="Z315" i="1"/>
  <c r="AA315" i="1" s="1"/>
  <c r="AB315" i="1" s="1"/>
  <c r="U647" i="1"/>
  <c r="X647" i="1" s="1"/>
  <c r="W338" i="1"/>
  <c r="X204" i="1"/>
  <c r="H176" i="1"/>
  <c r="U159" i="1"/>
  <c r="U166" i="1" s="1"/>
  <c r="T166" i="1"/>
  <c r="Q47" i="1"/>
  <c r="X428" i="1"/>
  <c r="Y428" i="1" s="1"/>
  <c r="Z428" i="1" s="1"/>
  <c r="AA428" i="1" s="1"/>
  <c r="AB428" i="1" s="1"/>
  <c r="W249" i="1"/>
  <c r="X249" i="1" s="1"/>
  <c r="Y249" i="1" s="1"/>
  <c r="W60" i="1"/>
  <c r="X60" i="1" s="1"/>
  <c r="Y60" i="1" s="1"/>
  <c r="Z60" i="1" s="1"/>
  <c r="AA60" i="1" s="1"/>
  <c r="AB60" i="1" s="1"/>
  <c r="H314" i="1"/>
  <c r="W314" i="1"/>
  <c r="X314" i="1" s="1"/>
  <c r="Y314" i="1" s="1"/>
  <c r="W320" i="1"/>
  <c r="X148" i="1"/>
  <c r="W154" i="1"/>
  <c r="W477" i="1"/>
  <c r="W282" i="1"/>
  <c r="X549" i="1"/>
  <c r="V1027" i="1"/>
  <c r="F609" i="1"/>
  <c r="E610" i="1" s="1"/>
  <c r="F610" i="1" s="1"/>
  <c r="H610" i="1" s="1"/>
  <c r="H609" i="1"/>
  <c r="P47" i="7"/>
  <c r="H398" i="1"/>
  <c r="H376" i="1"/>
  <c r="H421" i="1"/>
  <c r="W49" i="1"/>
  <c r="N49" i="1" s="1"/>
  <c r="O21" i="7"/>
  <c r="R21" i="7"/>
  <c r="R51" i="7"/>
  <c r="P29" i="7"/>
  <c r="F99" i="1"/>
  <c r="H99" i="1" s="1"/>
  <c r="R53" i="7"/>
  <c r="F448" i="1"/>
  <c r="H448" i="1" s="1"/>
  <c r="F453" i="1"/>
  <c r="H453" i="1" s="1"/>
  <c r="AC453" i="1" s="1"/>
  <c r="AC455" i="1" s="1"/>
  <c r="F450" i="1"/>
  <c r="H450" i="1" s="1"/>
  <c r="O47" i="7"/>
  <c r="R49" i="7"/>
  <c r="Y259" i="1"/>
  <c r="X264" i="1"/>
  <c r="W54" i="1"/>
  <c r="X372" i="1"/>
  <c r="X377" i="1" s="1"/>
  <c r="Y372" i="1"/>
  <c r="AC309" i="1"/>
  <c r="N307" i="1"/>
  <c r="Z249" i="1"/>
  <c r="AA249" i="1" s="1"/>
  <c r="X94" i="1"/>
  <c r="Q54" i="1"/>
  <c r="X477" i="1"/>
  <c r="X494" i="1"/>
  <c r="Y494" i="1" s="1"/>
  <c r="Z494" i="1" s="1"/>
  <c r="AA494" i="1" s="1"/>
  <c r="AB494" i="1"/>
  <c r="Y271" i="1"/>
  <c r="Z137" i="1"/>
  <c r="N442" i="1"/>
  <c r="X483" i="1"/>
  <c r="Y483" i="1" s="1"/>
  <c r="Z483" i="1" s="1"/>
  <c r="AA483" i="1" s="1"/>
  <c r="AB483" i="1" s="1"/>
  <c r="AA560" i="1"/>
  <c r="AB560" i="1" s="1"/>
  <c r="AE678" i="1"/>
  <c r="AE1081" i="1"/>
  <c r="R5" i="11" s="1"/>
  <c r="X282" i="1"/>
  <c r="Y282" i="1" s="1"/>
  <c r="Z282" i="1" s="1"/>
  <c r="AA282" i="1"/>
  <c r="AB282" i="1"/>
  <c r="N338" i="1"/>
  <c r="X83" i="1"/>
  <c r="Y83" i="1" s="1"/>
  <c r="Z83" i="1" s="1"/>
  <c r="AA83" i="1" s="1"/>
  <c r="AB83" i="1" s="1"/>
  <c r="S143" i="1"/>
  <c r="Y204" i="1"/>
  <c r="T147" i="1"/>
  <c r="S154" i="1"/>
  <c r="N122" i="1"/>
  <c r="AA596" i="1"/>
  <c r="Y171" i="1"/>
  <c r="W1027" i="1"/>
  <c r="T125" i="1"/>
  <c r="S132" i="1"/>
  <c r="V159" i="1"/>
  <c r="N159" i="1" s="1"/>
  <c r="V166" i="1"/>
  <c r="T114" i="1"/>
  <c r="S121" i="1"/>
  <c r="S81" i="1"/>
  <c r="R88" i="1"/>
  <c r="U640" i="1"/>
  <c r="Y549" i="1"/>
  <c r="P377" i="1"/>
  <c r="Y215" i="1"/>
  <c r="Y148" i="1"/>
  <c r="X154" i="1"/>
  <c r="R47" i="1"/>
  <c r="W199" i="1"/>
  <c r="X194" i="1"/>
  <c r="Y194" i="1" s="1"/>
  <c r="Z194" i="1" s="1"/>
  <c r="Y70" i="1"/>
  <c r="R47" i="7"/>
  <c r="P15" i="7"/>
  <c r="O15" i="7"/>
  <c r="Z259" i="1"/>
  <c r="AA259" i="1" s="1"/>
  <c r="Y264" i="1"/>
  <c r="Y417" i="1"/>
  <c r="X640" i="1"/>
  <c r="Z488" i="1"/>
  <c r="N282" i="1"/>
  <c r="AA137" i="1"/>
  <c r="N453" i="1"/>
  <c r="Y94" i="1"/>
  <c r="Z94" i="1" s="1"/>
  <c r="AA94" i="1" s="1"/>
  <c r="T143" i="1"/>
  <c r="Y527" i="1"/>
  <c r="Z527" i="1" s="1"/>
  <c r="AA527" i="1" s="1"/>
  <c r="Z204" i="1"/>
  <c r="Z292" i="1"/>
  <c r="Z148" i="1"/>
  <c r="Y154" i="1"/>
  <c r="S47" i="1"/>
  <c r="R54" i="1"/>
  <c r="U125" i="1"/>
  <c r="U132" i="1" s="1"/>
  <c r="T132" i="1"/>
  <c r="T81" i="1"/>
  <c r="S88" i="1"/>
  <c r="Z171" i="1"/>
  <c r="Z70" i="1"/>
  <c r="Z314" i="1"/>
  <c r="AA314" i="1" s="1"/>
  <c r="Y320" i="1"/>
  <c r="U147" i="1"/>
  <c r="T154" i="1"/>
  <c r="P17" i="7"/>
  <c r="Z417" i="1"/>
  <c r="AA417" i="1" s="1"/>
  <c r="Z264" i="1"/>
  <c r="AB137" i="1"/>
  <c r="Y99" i="1"/>
  <c r="V143" i="1"/>
  <c r="U143" i="1"/>
  <c r="AA148" i="1"/>
  <c r="AA154" i="1" s="1"/>
  <c r="Z154" i="1"/>
  <c r="V147" i="1"/>
  <c r="V154" i="1" s="1"/>
  <c r="U154" i="1"/>
  <c r="AA171" i="1"/>
  <c r="AA70" i="1"/>
  <c r="AA292" i="1"/>
  <c r="Z320" i="1"/>
  <c r="V125" i="1"/>
  <c r="V132" i="1" s="1"/>
  <c r="N125" i="1"/>
  <c r="O17" i="7"/>
  <c r="R17" i="7"/>
  <c r="Q15" i="7"/>
  <c r="R15" i="7"/>
  <c r="N137" i="1"/>
  <c r="N136" i="1"/>
  <c r="AB292" i="1"/>
  <c r="N292" i="1"/>
  <c r="AB171" i="1"/>
  <c r="N171" i="1"/>
  <c r="AB148" i="1"/>
  <c r="AB154" i="1" s="1"/>
  <c r="AA304" i="1"/>
  <c r="AB304" i="1" s="1"/>
  <c r="N304" i="1" s="1"/>
  <c r="AB527" i="1"/>
  <c r="AB532" i="1" s="1"/>
  <c r="O19" i="7"/>
  <c r="R19" i="7" s="1"/>
  <c r="P19" i="7"/>
  <c r="P60" i="7"/>
  <c r="Q19" i="7"/>
  <c r="Q60" i="7"/>
  <c r="Q70" i="7" s="1"/>
  <c r="Q73" i="7" s="1"/>
  <c r="Q74" i="7" s="1"/>
  <c r="N527" i="1"/>
  <c r="Q77" i="7"/>
  <c r="Q80" i="7" s="1"/>
  <c r="P70" i="7"/>
  <c r="P73" i="7" s="1"/>
  <c r="P74" i="7" s="1"/>
  <c r="P77" i="7"/>
  <c r="P80" i="7"/>
  <c r="O60" i="7"/>
  <c r="O70" i="7"/>
  <c r="O73" i="7"/>
  <c r="R73" i="7" s="1"/>
  <c r="O77" i="7"/>
  <c r="O80" i="7" s="1"/>
  <c r="R60" i="7"/>
  <c r="Q72" i="7"/>
  <c r="O74" i="7"/>
  <c r="R74" i="7" s="1"/>
  <c r="N659" i="1"/>
  <c r="N777" i="1"/>
  <c r="H1067" i="1"/>
  <c r="V1066" i="1"/>
  <c r="N1066" i="1"/>
  <c r="F14" i="17" l="1"/>
  <c r="C14" i="17"/>
  <c r="AA320" i="1"/>
  <c r="AB314" i="1"/>
  <c r="AB320" i="1" s="1"/>
  <c r="AA194" i="1"/>
  <c r="AB194" i="1" s="1"/>
  <c r="Z199" i="1"/>
  <c r="E533" i="1"/>
  <c r="F533" i="1" s="1"/>
  <c r="H533" i="1" s="1"/>
  <c r="H532" i="1"/>
  <c r="AB417" i="1"/>
  <c r="N417" i="1"/>
  <c r="AB94" i="1"/>
  <c r="N94" i="1" s="1"/>
  <c r="AA99" i="1"/>
  <c r="AJ610" i="1"/>
  <c r="N610" i="1"/>
  <c r="S54" i="1"/>
  <c r="N450" i="1"/>
  <c r="N421" i="1"/>
  <c r="Z172" i="1"/>
  <c r="Y177" i="1"/>
  <c r="N286" i="1"/>
  <c r="X416" i="1"/>
  <c r="X422" i="1" s="1"/>
  <c r="AB416" i="1"/>
  <c r="AB422" i="1" s="1"/>
  <c r="Z416" i="1"/>
  <c r="Z422" i="1" s="1"/>
  <c r="AA416" i="1"/>
  <c r="AA422" i="1" s="1"/>
  <c r="F422" i="1"/>
  <c r="W416" i="1"/>
  <c r="W422" i="1" s="1"/>
  <c r="Y416" i="1"/>
  <c r="Y422" i="1" s="1"/>
  <c r="H237" i="1"/>
  <c r="W237" i="1"/>
  <c r="AC431" i="1"/>
  <c r="AC433" i="1" s="1"/>
  <c r="H182" i="1"/>
  <c r="W182" i="1"/>
  <c r="W238" i="1"/>
  <c r="X238" i="1" s="1"/>
  <c r="Y238" i="1" s="1"/>
  <c r="Z238" i="1" s="1"/>
  <c r="W614" i="1"/>
  <c r="F620" i="1"/>
  <c r="N614" i="1"/>
  <c r="H619" i="1"/>
  <c r="F254" i="1"/>
  <c r="N250" i="1"/>
  <c r="H253" i="1"/>
  <c r="W59" i="1"/>
  <c r="F154" i="1"/>
  <c r="H153" i="1"/>
  <c r="E265" i="1"/>
  <c r="F265" i="1" s="1"/>
  <c r="H265" i="1" s="1"/>
  <c r="H264" i="1"/>
  <c r="U717" i="1"/>
  <c r="N717" i="1" s="1"/>
  <c r="I720" i="1"/>
  <c r="H27" i="7" s="1"/>
  <c r="K27" i="7" s="1"/>
  <c r="AC596" i="1"/>
  <c r="AC598" i="1" s="1"/>
  <c r="H597" i="1"/>
  <c r="V547" i="1"/>
  <c r="V554" i="1" s="1"/>
  <c r="N547" i="1"/>
  <c r="Y199" i="1"/>
  <c r="AA204" i="1"/>
  <c r="N494" i="1"/>
  <c r="W276" i="1"/>
  <c r="X270" i="1"/>
  <c r="O81" i="1"/>
  <c r="P88" i="1"/>
  <c r="W99" i="1"/>
  <c r="X349" i="1"/>
  <c r="AC532" i="1"/>
  <c r="N530" i="1"/>
  <c r="R399" i="1"/>
  <c r="X160" i="1"/>
  <c r="W166" i="1"/>
  <c r="F287" i="1"/>
  <c r="H582" i="1"/>
  <c r="N582" i="1" s="1"/>
  <c r="N602" i="1"/>
  <c r="H608" i="1"/>
  <c r="W326" i="1"/>
  <c r="X326" i="1" s="1"/>
  <c r="Y326" i="1" s="1"/>
  <c r="Z326" i="1" s="1"/>
  <c r="AA326" i="1" s="1"/>
  <c r="AB326" i="1" s="1"/>
  <c r="N326" i="1"/>
  <c r="R80" i="7"/>
  <c r="O81" i="7"/>
  <c r="R81" i="7" s="1"/>
  <c r="U81" i="1"/>
  <c r="T88" i="1"/>
  <c r="AA565" i="1"/>
  <c r="N148" i="1"/>
  <c r="N83" i="1"/>
  <c r="Z549" i="1"/>
  <c r="AA549" i="1" s="1"/>
  <c r="AB249" i="1"/>
  <c r="N249" i="1"/>
  <c r="N105" i="1"/>
  <c r="E577" i="1"/>
  <c r="F577" i="1" s="1"/>
  <c r="H577" i="1" s="1"/>
  <c r="N448" i="1"/>
  <c r="N376" i="1"/>
  <c r="N398" i="1"/>
  <c r="I400" i="1"/>
  <c r="N1027" i="1"/>
  <c r="N176" i="1"/>
  <c r="Z477" i="1"/>
  <c r="AA472" i="1"/>
  <c r="AB472" i="1" s="1"/>
  <c r="AB477" i="1" s="1"/>
  <c r="W615" i="1"/>
  <c r="N615" i="1"/>
  <c r="V280" i="1"/>
  <c r="V287" i="1" s="1"/>
  <c r="Y488" i="1"/>
  <c r="X99" i="1"/>
  <c r="N60" i="1"/>
  <c r="P415" i="1"/>
  <c r="P422" i="1" s="1"/>
  <c r="O422" i="1"/>
  <c r="N474" i="1"/>
  <c r="F477" i="1"/>
  <c r="H476" i="1"/>
  <c r="Y493" i="1"/>
  <c r="Y499" i="1" s="1"/>
  <c r="Z493" i="1"/>
  <c r="Z499" i="1" s="1"/>
  <c r="AA493" i="1"/>
  <c r="AA499" i="1" s="1"/>
  <c r="W493" i="1"/>
  <c r="W499" i="1" s="1"/>
  <c r="X493" i="1"/>
  <c r="X499" i="1" s="1"/>
  <c r="AB493" i="1"/>
  <c r="AB499" i="1" s="1"/>
  <c r="F543" i="1"/>
  <c r="H542" i="1"/>
  <c r="W538" i="1"/>
  <c r="AC607" i="1"/>
  <c r="AC609" i="1" s="1"/>
  <c r="F132" i="1"/>
  <c r="W126" i="1"/>
  <c r="H131" i="1"/>
  <c r="AC274" i="1"/>
  <c r="N274" i="1"/>
  <c r="N162" i="1"/>
  <c r="F166" i="1"/>
  <c r="H165" i="1"/>
  <c r="N314" i="1"/>
  <c r="Z215" i="1"/>
  <c r="X439" i="1"/>
  <c r="W444" i="1"/>
  <c r="O43" i="1"/>
  <c r="AB193" i="1"/>
  <c r="AB199" i="1" s="1"/>
  <c r="AA199" i="1"/>
  <c r="F88" i="1"/>
  <c r="H87" i="1"/>
  <c r="N50" i="1"/>
  <c r="F54" i="1"/>
  <c r="V772" i="1"/>
  <c r="N772" i="1" s="1"/>
  <c r="H354" i="1"/>
  <c r="W350" i="1"/>
  <c r="X350" i="1" s="1"/>
  <c r="Y350" i="1" s="1"/>
  <c r="Z350" i="1" s="1"/>
  <c r="AA350" i="1" s="1"/>
  <c r="AB350" i="1" s="1"/>
  <c r="F355" i="1"/>
  <c r="W138" i="1"/>
  <c r="H142" i="1"/>
  <c r="F143" i="1"/>
  <c r="Q81" i="7"/>
  <c r="E100" i="1"/>
  <c r="F100" i="1" s="1"/>
  <c r="H100" i="1" s="1"/>
  <c r="W450" i="1"/>
  <c r="Y450" i="1" s="1"/>
  <c r="AA450" i="1" s="1"/>
  <c r="Z372" i="1"/>
  <c r="Y377" i="1"/>
  <c r="H53" i="1"/>
  <c r="T58" i="1"/>
  <c r="S65" i="1"/>
  <c r="X199" i="1"/>
  <c r="N193" i="1"/>
  <c r="Y216" i="1"/>
  <c r="Z216" i="1" s="1"/>
  <c r="AA216" i="1" s="1"/>
  <c r="AB216" i="1" s="1"/>
  <c r="X221" i="1"/>
  <c r="V313" i="1"/>
  <c r="V320" i="1" s="1"/>
  <c r="H319" i="1"/>
  <c r="N313" i="1"/>
  <c r="F320" i="1"/>
  <c r="N515" i="1"/>
  <c r="I265" i="1"/>
  <c r="N263" i="1"/>
  <c r="F433" i="1"/>
  <c r="P81" i="7"/>
  <c r="R1067" i="1"/>
  <c r="N1067" i="1" s="1"/>
  <c r="AB70" i="1"/>
  <c r="N70" i="1"/>
  <c r="T47" i="1"/>
  <c r="N147" i="1"/>
  <c r="Y433" i="1"/>
  <c r="AA488" i="1"/>
  <c r="AA640" i="1"/>
  <c r="N640" i="1" s="1"/>
  <c r="AB259" i="1"/>
  <c r="N259" i="1" s="1"/>
  <c r="AA264" i="1"/>
  <c r="U114" i="1"/>
  <c r="T121" i="1"/>
  <c r="Z271" i="1"/>
  <c r="AA271" i="1" s="1"/>
  <c r="AB271" i="1" s="1"/>
  <c r="N271" i="1"/>
  <c r="X461" i="1"/>
  <c r="N387" i="1"/>
  <c r="H221" i="1"/>
  <c r="E222" i="1"/>
  <c r="F222" i="1" s="1"/>
  <c r="H222" i="1" s="1"/>
  <c r="N472" i="1"/>
  <c r="H210" i="1"/>
  <c r="E211" i="1"/>
  <c r="F211" i="1" s="1"/>
  <c r="H211" i="1" s="1"/>
  <c r="H520" i="1"/>
  <c r="N428" i="1"/>
  <c r="W516" i="1"/>
  <c r="V243" i="1"/>
  <c r="N236" i="1"/>
  <c r="P71" i="7"/>
  <c r="P78" i="7"/>
  <c r="N558" i="1"/>
  <c r="H564" i="1"/>
  <c r="F565" i="1"/>
  <c r="AC375" i="1"/>
  <c r="AC377" i="1" s="1"/>
  <c r="F76" i="1"/>
  <c r="H75" i="1"/>
  <c r="Q69" i="1"/>
  <c r="V170" i="1"/>
  <c r="F177" i="1"/>
  <c r="Q103" i="1"/>
  <c r="H109" i="1"/>
  <c r="H64" i="1"/>
  <c r="I633" i="1"/>
  <c r="N219" i="1"/>
  <c r="U403" i="1"/>
  <c r="V403" i="1"/>
  <c r="V410" i="1" s="1"/>
  <c r="H409" i="1"/>
  <c r="Y404" i="1"/>
  <c r="W404" i="1"/>
  <c r="AB404" i="1"/>
  <c r="X404" i="1"/>
  <c r="R92" i="1"/>
  <c r="R99" i="1" s="1"/>
  <c r="H98" i="1"/>
  <c r="T92" i="1"/>
  <c r="T99" i="1" s="1"/>
  <c r="Q92" i="1"/>
  <c r="X337" i="1"/>
  <c r="W342" i="1"/>
  <c r="X82" i="1"/>
  <c r="W88" i="1"/>
  <c r="H33" i="7"/>
  <c r="K33" i="7" s="1"/>
  <c r="AA765" i="1"/>
  <c r="AB765" i="1" s="1"/>
  <c r="AC765" i="1" s="1"/>
  <c r="AD765" i="1" s="1"/>
  <c r="N765" i="1"/>
  <c r="N560" i="1"/>
  <c r="X320" i="1"/>
  <c r="E400" i="1"/>
  <c r="F400" i="1" s="1"/>
  <c r="H400" i="1" s="1"/>
  <c r="N116" i="1"/>
  <c r="F444" i="1"/>
  <c r="X281" i="1"/>
  <c r="AA647" i="1"/>
  <c r="N647" i="1"/>
  <c r="V437" i="1"/>
  <c r="V444" i="1" s="1"/>
  <c r="AA598" i="1"/>
  <c r="AB592" i="1"/>
  <c r="F65" i="1"/>
  <c r="Y71" i="1"/>
  <c r="N508" i="1"/>
  <c r="W609" i="1"/>
  <c r="N609" i="1" s="1"/>
  <c r="Y361" i="1"/>
  <c r="I1031" i="1"/>
  <c r="N315" i="1"/>
  <c r="N318" i="1"/>
  <c r="F452" i="1"/>
  <c r="H452" i="1" s="1"/>
  <c r="N452" i="1" s="1"/>
  <c r="F449" i="1"/>
  <c r="H449" i="1" s="1"/>
  <c r="F451" i="1"/>
  <c r="H451" i="1" s="1"/>
  <c r="N451" i="1" s="1"/>
  <c r="AA404" i="1"/>
  <c r="W377" i="1"/>
  <c r="W466" i="1"/>
  <c r="V92" i="1"/>
  <c r="V99" i="1" s="1"/>
  <c r="X226" i="1"/>
  <c r="Z596" i="1"/>
  <c r="Z598" i="1"/>
  <c r="W293" i="1"/>
  <c r="H42" i="1"/>
  <c r="R36" i="1"/>
  <c r="P36" i="1"/>
  <c r="N572" i="1"/>
  <c r="H575" i="1"/>
  <c r="R426" i="1"/>
  <c r="R433" i="1" s="1"/>
  <c r="T426" i="1"/>
  <c r="T433" i="1" s="1"/>
  <c r="V426" i="1"/>
  <c r="V433" i="1" s="1"/>
  <c r="U426" i="1"/>
  <c r="U433" i="1" s="1"/>
  <c r="H432" i="1"/>
  <c r="S426" i="1"/>
  <c r="S433" i="1" s="1"/>
  <c r="F104" i="1"/>
  <c r="H104" i="1" s="1"/>
  <c r="F108" i="1"/>
  <c r="H108" i="1" s="1"/>
  <c r="N108" i="1" s="1"/>
  <c r="N208" i="1"/>
  <c r="AC296" i="1"/>
  <c r="AC298" i="1" s="1"/>
  <c r="N296" i="1"/>
  <c r="H342" i="1"/>
  <c r="N302" i="1"/>
  <c r="H308" i="1"/>
  <c r="F309" i="1"/>
  <c r="S437" i="1"/>
  <c r="S444" i="1" s="1"/>
  <c r="U437" i="1"/>
  <c r="U444" i="1" s="1"/>
  <c r="H443" i="1"/>
  <c r="Q437" i="1"/>
  <c r="F276" i="1"/>
  <c r="N149" i="1"/>
  <c r="N216" i="1"/>
  <c r="W388" i="1"/>
  <c r="X383" i="1"/>
  <c r="V514" i="1"/>
  <c r="V521" i="1" s="1"/>
  <c r="F521" i="1"/>
  <c r="N563" i="1"/>
  <c r="T158" i="1"/>
  <c r="N158" i="1"/>
  <c r="AJ799" i="1"/>
  <c r="N799" i="1"/>
  <c r="H31" i="7"/>
  <c r="K31" i="7" s="1"/>
  <c r="AB755" i="1"/>
  <c r="N755" i="1" s="1"/>
  <c r="I750" i="1"/>
  <c r="N194" i="1"/>
  <c r="N483" i="1"/>
  <c r="N127" i="1"/>
  <c r="F388" i="1"/>
  <c r="W303" i="1"/>
  <c r="W394" i="1"/>
  <c r="Q348" i="1"/>
  <c r="P355" i="1"/>
  <c r="X248" i="1"/>
  <c r="N585" i="1"/>
  <c r="N175" i="1"/>
  <c r="F656" i="1"/>
  <c r="H656" i="1" s="1"/>
  <c r="I656" i="1" s="1"/>
  <c r="H275" i="1"/>
  <c r="F43" i="1"/>
  <c r="Z404" i="1"/>
  <c r="X177" i="1"/>
  <c r="H232" i="1"/>
  <c r="E233" i="1"/>
  <c r="F233" i="1" s="1"/>
  <c r="H233" i="1" s="1"/>
  <c r="X161" i="1"/>
  <c r="Y161" i="1" s="1"/>
  <c r="Z161" i="1" s="1"/>
  <c r="AA161" i="1" s="1"/>
  <c r="AB161" i="1" s="1"/>
  <c r="N161" i="1"/>
  <c r="AA427" i="1"/>
  <c r="AA433" i="1" s="1"/>
  <c r="Z427" i="1"/>
  <c r="Z433" i="1" s="1"/>
  <c r="AB427" i="1"/>
  <c r="AB433" i="1" s="1"/>
  <c r="X427" i="1"/>
  <c r="W205" i="1"/>
  <c r="F680" i="1"/>
  <c r="H680" i="1" s="1"/>
  <c r="AC252" i="1"/>
  <c r="AC254" i="1" s="1"/>
  <c r="N252" i="1"/>
  <c r="S370" i="1"/>
  <c r="S377" i="1" s="1"/>
  <c r="Q370" i="1"/>
  <c r="Q377" i="1" s="1"/>
  <c r="V370" i="1"/>
  <c r="V377" i="1" s="1"/>
  <c r="F377" i="1"/>
  <c r="W115" i="1"/>
  <c r="H120" i="1"/>
  <c r="F329" i="1"/>
  <c r="H329" i="1" s="1"/>
  <c r="F324" i="1"/>
  <c r="H324" i="1" s="1"/>
  <c r="F325" i="1"/>
  <c r="X183" i="1"/>
  <c r="Y183" i="1" s="1"/>
  <c r="Z183" i="1" s="1"/>
  <c r="AA183" i="1" s="1"/>
  <c r="AB183" i="1" s="1"/>
  <c r="N183" i="1"/>
  <c r="N593" i="1"/>
  <c r="F598" i="1"/>
  <c r="AA360" i="1"/>
  <c r="W360" i="1"/>
  <c r="X482" i="1"/>
  <c r="AB482" i="1"/>
  <c r="AB488" i="1" s="1"/>
  <c r="Z93" i="1"/>
  <c r="Z99" i="1" s="1"/>
  <c r="AB93" i="1"/>
  <c r="T392" i="1"/>
  <c r="T399" i="1" s="1"/>
  <c r="V392" i="1"/>
  <c r="V399" i="1" s="1"/>
  <c r="V225" i="1"/>
  <c r="N225" i="1"/>
  <c r="S381" i="1"/>
  <c r="S388" i="1" s="1"/>
  <c r="U381" i="1"/>
  <c r="U388" i="1" s="1"/>
  <c r="Q381" i="1"/>
  <c r="Q388" i="1" s="1"/>
  <c r="R381" i="1"/>
  <c r="N381" i="1" s="1"/>
  <c r="V381" i="1"/>
  <c r="H1069" i="16"/>
  <c r="H1069" i="1"/>
  <c r="H550" i="1"/>
  <c r="N550" i="1" s="1"/>
  <c r="F364" i="1"/>
  <c r="H364" i="1" s="1"/>
  <c r="H359" i="1"/>
  <c r="H340" i="1"/>
  <c r="H295" i="1"/>
  <c r="N295" i="1" s="1"/>
  <c r="N269" i="1"/>
  <c r="H195" i="1"/>
  <c r="N192" i="1"/>
  <c r="N497" i="1"/>
  <c r="N613" i="1"/>
  <c r="N669" i="1"/>
  <c r="W227" i="1"/>
  <c r="X227" i="1" s="1"/>
  <c r="Y227" i="1" s="1"/>
  <c r="Z227" i="1" s="1"/>
  <c r="AA227" i="1" s="1"/>
  <c r="AB227" i="1" s="1"/>
  <c r="T381" i="1"/>
  <c r="F487" i="1"/>
  <c r="H481" i="1"/>
  <c r="J489" i="1"/>
  <c r="J467" i="1"/>
  <c r="H462" i="1"/>
  <c r="N648" i="1"/>
  <c r="N689" i="1"/>
  <c r="Q459" i="1"/>
  <c r="Q466" i="1" s="1"/>
  <c r="S459" i="1"/>
  <c r="S466" i="1" s="1"/>
  <c r="T459" i="1"/>
  <c r="Y526" i="1"/>
  <c r="Y532" i="1" s="1"/>
  <c r="W526" i="1"/>
  <c r="W532" i="1" s="1"/>
  <c r="Z526" i="1"/>
  <c r="Z532" i="1" s="1"/>
  <c r="X526" i="1"/>
  <c r="X532" i="1" s="1"/>
  <c r="AA639" i="1"/>
  <c r="N639" i="1"/>
  <c r="AG800" i="1"/>
  <c r="AJ800" i="1" s="1"/>
  <c r="W800" i="1"/>
  <c r="N800" i="1" s="1"/>
  <c r="AA800" i="1"/>
  <c r="R800" i="1"/>
  <c r="W783" i="1"/>
  <c r="R783" i="1"/>
  <c r="N783" i="1" s="1"/>
  <c r="AG783" i="1"/>
  <c r="AJ783" i="1" s="1"/>
  <c r="AA783" i="1"/>
  <c r="I853" i="16"/>
  <c r="N853" i="16" s="1"/>
  <c r="I853" i="1"/>
  <c r="E14" i="12"/>
  <c r="F7" i="12"/>
  <c r="N836" i="1"/>
  <c r="AB258" i="1"/>
  <c r="N154" i="16"/>
  <c r="I155" i="16"/>
  <c r="N706" i="16"/>
  <c r="I709" i="16"/>
  <c r="N815" i="1"/>
  <c r="AA526" i="1"/>
  <c r="AA532" i="1" s="1"/>
  <c r="O459" i="1"/>
  <c r="AC230" i="1"/>
  <c r="AC232" i="1" s="1"/>
  <c r="N230" i="1"/>
  <c r="N1059" i="1"/>
  <c r="AG811" i="1"/>
  <c r="AJ811" i="1" s="1"/>
  <c r="AA811" i="1"/>
  <c r="N14" i="1"/>
  <c r="X559" i="1"/>
  <c r="X565" i="1" s="1"/>
  <c r="AB559" i="1"/>
  <c r="AB565" i="1" s="1"/>
  <c r="Y559" i="1"/>
  <c r="Y565" i="1" s="1"/>
  <c r="Y656" i="1"/>
  <c r="R656" i="1"/>
  <c r="Z656" i="1"/>
  <c r="V656" i="1"/>
  <c r="AC656" i="1"/>
  <c r="AF656" i="1"/>
  <c r="AF1081" i="1" s="1"/>
  <c r="S5" i="11" s="1"/>
  <c r="AG656" i="1"/>
  <c r="AG1081" i="1" s="1"/>
  <c r="T5" i="11" s="1"/>
  <c r="P656" i="1"/>
  <c r="S656" i="1"/>
  <c r="Y676" i="1"/>
  <c r="Z676" i="1"/>
  <c r="V676" i="1"/>
  <c r="T694" i="1"/>
  <c r="N694" i="1"/>
  <c r="T688" i="1"/>
  <c r="N688" i="1" s="1"/>
  <c r="H405" i="1"/>
  <c r="W548" i="1"/>
  <c r="Z548" i="1"/>
  <c r="Z554" i="1" s="1"/>
  <c r="X548" i="1"/>
  <c r="X554" i="1" s="1"/>
  <c r="AB548" i="1"/>
  <c r="F14" i="12"/>
  <c r="I856" i="16"/>
  <c r="N856" i="16" s="1"/>
  <c r="I856" i="1"/>
  <c r="AD854" i="1"/>
  <c r="N854" i="1" s="1"/>
  <c r="N842" i="1"/>
  <c r="N786" i="1"/>
  <c r="N647" i="16"/>
  <c r="N1059" i="16"/>
  <c r="I1059" i="16"/>
  <c r="H492" i="1"/>
  <c r="I999" i="1"/>
  <c r="H45" i="7" s="1"/>
  <c r="K45" i="7" s="1"/>
  <c r="H505" i="1"/>
  <c r="Z559" i="1"/>
  <c r="Z565" i="1" s="1"/>
  <c r="Y548" i="1"/>
  <c r="Y554" i="1" s="1"/>
  <c r="U459" i="1"/>
  <c r="U466" i="1" s="1"/>
  <c r="AI656" i="1"/>
  <c r="W656" i="1"/>
  <c r="W676" i="1" s="1"/>
  <c r="AH656" i="1"/>
  <c r="AH1081" i="1" s="1"/>
  <c r="U5" i="11" s="1"/>
  <c r="AA803" i="1"/>
  <c r="R803" i="1"/>
  <c r="N803" i="1" s="1"/>
  <c r="AI15" i="1"/>
  <c r="N15" i="1"/>
  <c r="N1011" i="1"/>
  <c r="AA620" i="1"/>
  <c r="U620" i="1"/>
  <c r="V620" i="1"/>
  <c r="X620" i="1"/>
  <c r="P620" i="1"/>
  <c r="R620" i="1"/>
  <c r="J178" i="1"/>
  <c r="J1080" i="1" s="1"/>
  <c r="J1081" i="1" s="1"/>
  <c r="AC166" i="1"/>
  <c r="O166" i="1"/>
  <c r="R166" i="1"/>
  <c r="P166" i="1"/>
  <c r="T388" i="1"/>
  <c r="V388" i="1"/>
  <c r="O455" i="1"/>
  <c r="T565" i="1"/>
  <c r="Q177" i="1"/>
  <c r="O477" i="1"/>
  <c r="R554" i="1"/>
  <c r="V587" i="1"/>
  <c r="R477" i="1"/>
  <c r="P543" i="1"/>
  <c r="Q587" i="1"/>
  <c r="U477" i="1"/>
  <c r="P143" i="1"/>
  <c r="T466" i="1"/>
  <c r="V532" i="1"/>
  <c r="U510" i="1"/>
  <c r="V455" i="1"/>
  <c r="Y576" i="1"/>
  <c r="N576" i="1" s="1"/>
  <c r="P433" i="1"/>
  <c r="P477" i="1"/>
  <c r="U565" i="1"/>
  <c r="V232" i="1"/>
  <c r="P499" i="1"/>
  <c r="S554" i="1"/>
  <c r="Y587" i="1"/>
  <c r="V1017" i="1"/>
  <c r="N1017" i="1"/>
  <c r="I994" i="1"/>
  <c r="AA648" i="1"/>
  <c r="AA642" i="1"/>
  <c r="N642" i="1"/>
  <c r="F660" i="16"/>
  <c r="H660" i="16" s="1"/>
  <c r="N660" i="16" s="1"/>
  <c r="F663" i="16"/>
  <c r="H663" i="16" s="1"/>
  <c r="N663" i="16" s="1"/>
  <c r="F660" i="1"/>
  <c r="H660" i="1" s="1"/>
  <c r="N781" i="1"/>
  <c r="N778" i="1"/>
  <c r="N849" i="1"/>
  <c r="AJ832" i="1"/>
  <c r="N832" i="1"/>
  <c r="N831" i="1"/>
  <c r="N824" i="1"/>
  <c r="N791" i="1"/>
  <c r="N302" i="16"/>
  <c r="H297" i="16"/>
  <c r="F298" i="16"/>
  <c r="N293" i="16"/>
  <c r="H498" i="16"/>
  <c r="N494" i="16"/>
  <c r="AB382" i="1"/>
  <c r="H531" i="1"/>
  <c r="I700" i="1"/>
  <c r="I1049" i="1"/>
  <c r="I709" i="1"/>
  <c r="H23" i="7" s="1"/>
  <c r="K23" i="7" s="1"/>
  <c r="I1021" i="1"/>
  <c r="W559" i="1"/>
  <c r="N707" i="1"/>
  <c r="I1044" i="1"/>
  <c r="Q656" i="1"/>
  <c r="T656" i="1"/>
  <c r="AB676" i="1"/>
  <c r="W811" i="1"/>
  <c r="N811" i="1" s="1"/>
  <c r="N1068" i="1"/>
  <c r="N718" i="1"/>
  <c r="AG801" i="1"/>
  <c r="AJ801" i="1" s="1"/>
  <c r="AA801" i="1"/>
  <c r="N1008" i="1"/>
  <c r="H580" i="1"/>
  <c r="J588" i="1"/>
  <c r="F542" i="1"/>
  <c r="V503" i="1"/>
  <c r="V510" i="1" s="1"/>
  <c r="Q503" i="1"/>
  <c r="R503" i="1"/>
  <c r="R510" i="1" s="1"/>
  <c r="U503" i="1"/>
  <c r="Y471" i="1"/>
  <c r="AA471" i="1"/>
  <c r="AA477" i="1" s="1"/>
  <c r="T696" i="1"/>
  <c r="N696" i="1" s="1"/>
  <c r="T689" i="1"/>
  <c r="U713" i="1"/>
  <c r="I714" i="1"/>
  <c r="W1076" i="1"/>
  <c r="N1076" i="1" s="1"/>
  <c r="U1043" i="1"/>
  <c r="N1043" i="1" s="1"/>
  <c r="N1047" i="1"/>
  <c r="X641" i="1"/>
  <c r="N637" i="1"/>
  <c r="AA635" i="1"/>
  <c r="N635" i="1"/>
  <c r="T1060" i="1"/>
  <c r="N1060" i="1"/>
  <c r="N845" i="1"/>
  <c r="I857" i="1"/>
  <c r="N839" i="1"/>
  <c r="N828" i="1"/>
  <c r="N825" i="1"/>
  <c r="N823" i="1"/>
  <c r="N795" i="1"/>
  <c r="N792" i="1"/>
  <c r="N790" i="1"/>
  <c r="N789" i="1"/>
  <c r="D67" i="15"/>
  <c r="E66" i="15"/>
  <c r="N448" i="16"/>
  <c r="N49" i="16"/>
  <c r="H53" i="16"/>
  <c r="H187" i="16"/>
  <c r="N183" i="16"/>
  <c r="I858" i="16"/>
  <c r="N858" i="16" s="1"/>
  <c r="I858" i="1"/>
  <c r="W780" i="1"/>
  <c r="N780" i="1" s="1"/>
  <c r="AA780" i="1"/>
  <c r="AG850" i="1"/>
  <c r="AJ850" i="1" s="1"/>
  <c r="W850" i="1"/>
  <c r="I864" i="1"/>
  <c r="N1045" i="1"/>
  <c r="N843" i="1"/>
  <c r="N837" i="1"/>
  <c r="N829" i="1"/>
  <c r="N827" i="1"/>
  <c r="N818" i="1"/>
  <c r="N816" i="1"/>
  <c r="N796" i="1"/>
  <c r="N794" i="1"/>
  <c r="N793" i="1"/>
  <c r="E23" i="15"/>
  <c r="F60" i="15" s="1"/>
  <c r="N475" i="16"/>
  <c r="H476" i="16"/>
  <c r="F444" i="16"/>
  <c r="N437" i="16"/>
  <c r="N324" i="16"/>
  <c r="N1026" i="16"/>
  <c r="I1026" i="16"/>
  <c r="R850" i="1"/>
  <c r="AA850" i="1"/>
  <c r="N1046" i="1"/>
  <c r="S1046" i="1"/>
  <c r="N847" i="1"/>
  <c r="N798" i="1"/>
  <c r="N787" i="1"/>
  <c r="N785" i="1"/>
  <c r="F264" i="16"/>
  <c r="H263" i="16"/>
  <c r="N259" i="16"/>
  <c r="N608" i="16"/>
  <c r="N613" i="16"/>
  <c r="H619" i="16"/>
  <c r="I656" i="16"/>
  <c r="N656" i="16" s="1"/>
  <c r="H450" i="16"/>
  <c r="N450" i="16" s="1"/>
  <c r="H166" i="16"/>
  <c r="E167" i="16"/>
  <c r="F167" i="16" s="1"/>
  <c r="H167" i="16" s="1"/>
  <c r="N167" i="16" s="1"/>
  <c r="F343" i="16"/>
  <c r="N338" i="16"/>
  <c r="H465" i="16"/>
  <c r="F466" i="16"/>
  <c r="N93" i="16"/>
  <c r="H95" i="16"/>
  <c r="N95" i="16" s="1"/>
  <c r="J100" i="16"/>
  <c r="N182" i="16"/>
  <c r="F188" i="16"/>
  <c r="H305" i="16"/>
  <c r="N305" i="16" s="1"/>
  <c r="J310" i="16"/>
  <c r="F342" i="16"/>
  <c r="H341" i="16"/>
  <c r="J344" i="16"/>
  <c r="H352" i="16"/>
  <c r="N352" i="16" s="1"/>
  <c r="J356" i="16"/>
  <c r="H361" i="16"/>
  <c r="H373" i="16"/>
  <c r="J379" i="16"/>
  <c r="J411" i="16"/>
  <c r="H406" i="16"/>
  <c r="N406" i="16" s="1"/>
  <c r="I1053" i="16"/>
  <c r="N1053" i="16"/>
  <c r="I1062" i="16"/>
  <c r="I852" i="1"/>
  <c r="I1031" i="16"/>
  <c r="H586" i="16"/>
  <c r="H439" i="16"/>
  <c r="N439" i="16" s="1"/>
  <c r="F54" i="16"/>
  <c r="N492" i="16"/>
  <c r="F499" i="16"/>
  <c r="E116" i="16"/>
  <c r="H116" i="16" s="1"/>
  <c r="E71" i="16"/>
  <c r="H71" i="16" s="1"/>
  <c r="E582" i="16"/>
  <c r="H582" i="16" s="1"/>
  <c r="E538" i="16"/>
  <c r="H538" i="16" s="1"/>
  <c r="N538" i="16" s="1"/>
  <c r="E483" i="16"/>
  <c r="H483" i="16" s="1"/>
  <c r="N483" i="16" s="1"/>
  <c r="E428" i="16"/>
  <c r="H428" i="16" s="1"/>
  <c r="E350" i="16"/>
  <c r="H350" i="16" s="1"/>
  <c r="E315" i="16"/>
  <c r="H315" i="16" s="1"/>
  <c r="E304" i="16"/>
  <c r="H304" i="16" s="1"/>
  <c r="E227" i="16"/>
  <c r="H227" i="16" s="1"/>
  <c r="E216" i="16"/>
  <c r="H216" i="16" s="1"/>
  <c r="E172" i="16"/>
  <c r="H172" i="16" s="1"/>
  <c r="E83" i="16"/>
  <c r="H83" i="16" s="1"/>
  <c r="E571" i="16"/>
  <c r="H571" i="16" s="1"/>
  <c r="E516" i="16"/>
  <c r="H516" i="16" s="1"/>
  <c r="E505" i="16"/>
  <c r="H505" i="16" s="1"/>
  <c r="E450" i="16"/>
  <c r="E394" i="16"/>
  <c r="H394" i="16" s="1"/>
  <c r="E417" i="16"/>
  <c r="H417" i="16" s="1"/>
  <c r="E282" i="16"/>
  <c r="H282" i="16" s="1"/>
  <c r="E361" i="16"/>
  <c r="E383" i="16"/>
  <c r="H383" i="16" s="1"/>
  <c r="E249" i="16"/>
  <c r="H249" i="16" s="1"/>
  <c r="E149" i="16"/>
  <c r="E105" i="16"/>
  <c r="H105" i="16" s="1"/>
  <c r="E549" i="16"/>
  <c r="H549" i="16" s="1"/>
  <c r="E560" i="16"/>
  <c r="E405" i="16"/>
  <c r="H405" i="16" s="1"/>
  <c r="N405" i="16" s="1"/>
  <c r="E271" i="16"/>
  <c r="H271" i="16" s="1"/>
  <c r="E238" i="16"/>
  <c r="H238" i="16" s="1"/>
  <c r="E194" i="16"/>
  <c r="H194" i="16" s="1"/>
  <c r="E94" i="16"/>
  <c r="H94" i="16" s="1"/>
  <c r="N94" i="16" s="1"/>
  <c r="E615" i="16"/>
  <c r="H615" i="16" s="1"/>
  <c r="N615" i="16" s="1"/>
  <c r="E326" i="16"/>
  <c r="H326" i="16" s="1"/>
  <c r="E205" i="16"/>
  <c r="H205" i="16" s="1"/>
  <c r="E60" i="16"/>
  <c r="H60" i="16" s="1"/>
  <c r="N403" i="16"/>
  <c r="N470" i="16"/>
  <c r="F477" i="16"/>
  <c r="J489" i="16"/>
  <c r="H481" i="16"/>
  <c r="H553" i="16"/>
  <c r="H560" i="16"/>
  <c r="N591" i="16"/>
  <c r="J599" i="16"/>
  <c r="H593" i="16"/>
  <c r="F609" i="16"/>
  <c r="N603" i="16"/>
  <c r="E54" i="15"/>
  <c r="E32" i="15"/>
  <c r="E53" i="15"/>
  <c r="E43" i="15"/>
  <c r="E25" i="15"/>
  <c r="E26" i="15" s="1"/>
  <c r="E27" i="15" s="1"/>
  <c r="E28" i="15" s="1"/>
  <c r="E56" i="15"/>
  <c r="E42" i="15"/>
  <c r="E30" i="15"/>
  <c r="E55" i="15"/>
  <c r="H72" i="16"/>
  <c r="N72" i="16" s="1"/>
  <c r="J77" i="16"/>
  <c r="H84" i="16"/>
  <c r="N84" i="16" s="1"/>
  <c r="J89" i="16"/>
  <c r="H218" i="16"/>
  <c r="N218" i="16" s="1"/>
  <c r="J222" i="16"/>
  <c r="H231" i="16"/>
  <c r="E31" i="15"/>
  <c r="H142" i="16"/>
  <c r="N136" i="16"/>
  <c r="F586" i="16"/>
  <c r="J588" i="16"/>
  <c r="J610" i="16"/>
  <c r="F132" i="16"/>
  <c r="E133" i="16" s="1"/>
  <c r="F133" i="16" s="1"/>
  <c r="H133" i="16" s="1"/>
  <c r="N133" i="16" s="1"/>
  <c r="J400" i="16"/>
  <c r="H529" i="16"/>
  <c r="J533" i="16"/>
  <c r="J544" i="16"/>
  <c r="H536" i="16"/>
  <c r="F619" i="16"/>
  <c r="J621" i="16"/>
  <c r="I1038" i="16"/>
  <c r="N1038" i="16"/>
  <c r="I1044" i="16"/>
  <c r="I1049" i="16"/>
  <c r="J389" i="16"/>
  <c r="H384" i="16"/>
  <c r="N384" i="16" s="1"/>
  <c r="F564" i="16"/>
  <c r="H563" i="16"/>
  <c r="N563" i="16" s="1"/>
  <c r="H39" i="16"/>
  <c r="H541" i="16"/>
  <c r="N541" i="16" s="1"/>
  <c r="I1076" i="16"/>
  <c r="N1076" i="16"/>
  <c r="F780" i="16"/>
  <c r="H780" i="16" s="1"/>
  <c r="F800" i="16"/>
  <c r="H800" i="16" s="1"/>
  <c r="N800" i="16" s="1"/>
  <c r="F850" i="16"/>
  <c r="H850" i="16" s="1"/>
  <c r="D19" i="17" l="1"/>
  <c r="AD1081" i="1"/>
  <c r="Q5" i="11" s="1"/>
  <c r="N350" i="16"/>
  <c r="H354" i="16"/>
  <c r="F355" i="16"/>
  <c r="U656" i="1"/>
  <c r="X656" i="1" s="1"/>
  <c r="AA656" i="1" s="1"/>
  <c r="N656" i="1"/>
  <c r="F320" i="16"/>
  <c r="H319" i="16"/>
  <c r="N315" i="16"/>
  <c r="H220" i="16"/>
  <c r="F221" i="16"/>
  <c r="N216" i="16"/>
  <c r="I804" i="16"/>
  <c r="N804" i="16" s="1"/>
  <c r="N780" i="16"/>
  <c r="N39" i="16"/>
  <c r="F43" i="16"/>
  <c r="H42" i="16"/>
  <c r="N231" i="16"/>
  <c r="N593" i="16"/>
  <c r="H597" i="16"/>
  <c r="N60" i="16"/>
  <c r="H64" i="16"/>
  <c r="H286" i="16"/>
  <c r="F287" i="16"/>
  <c r="N282" i="16"/>
  <c r="F510" i="16"/>
  <c r="N505" i="16"/>
  <c r="H509" i="16"/>
  <c r="H176" i="16"/>
  <c r="N172" i="16"/>
  <c r="F177" i="16"/>
  <c r="H499" i="16"/>
  <c r="N499" i="16" s="1"/>
  <c r="E500" i="16"/>
  <c r="F500" i="16" s="1"/>
  <c r="H500" i="16" s="1"/>
  <c r="N500" i="16" s="1"/>
  <c r="N586" i="16"/>
  <c r="F366" i="16"/>
  <c r="H365" i="16"/>
  <c r="N361" i="16"/>
  <c r="N619" i="16"/>
  <c r="N864" i="1"/>
  <c r="H41" i="7"/>
  <c r="K41" i="7" s="1"/>
  <c r="I189" i="16"/>
  <c r="N187" i="16"/>
  <c r="F455" i="16"/>
  <c r="AD857" i="1"/>
  <c r="N857" i="1" s="1"/>
  <c r="C36" i="14"/>
  <c r="E36" i="14" s="1"/>
  <c r="H51" i="7"/>
  <c r="K51" i="7" s="1"/>
  <c r="N531" i="1"/>
  <c r="I533" i="1"/>
  <c r="V994" i="1"/>
  <c r="N994" i="1"/>
  <c r="H43" i="7"/>
  <c r="K43" i="7" s="1"/>
  <c r="W505" i="1"/>
  <c r="F510" i="1"/>
  <c r="H509" i="1"/>
  <c r="O466" i="1"/>
  <c r="P459" i="1"/>
  <c r="P466" i="1" s="1"/>
  <c r="AB264" i="1"/>
  <c r="N264" i="1" s="1"/>
  <c r="AD853" i="1"/>
  <c r="N853" i="1" s="1"/>
  <c r="V481" i="1"/>
  <c r="V488" i="1" s="1"/>
  <c r="N481" i="1"/>
  <c r="H487" i="1"/>
  <c r="F488" i="1"/>
  <c r="N482" i="1"/>
  <c r="X488" i="1"/>
  <c r="V324" i="1"/>
  <c r="V331" i="1" s="1"/>
  <c r="F331" i="1"/>
  <c r="H330" i="1"/>
  <c r="E378" i="1"/>
  <c r="F378" i="1" s="1"/>
  <c r="H378" i="1" s="1"/>
  <c r="H377" i="1"/>
  <c r="AC233" i="1"/>
  <c r="N233" i="1"/>
  <c r="N275" i="1"/>
  <c r="Y248" i="1"/>
  <c r="X254" i="1"/>
  <c r="W309" i="1"/>
  <c r="X303" i="1"/>
  <c r="H521" i="1"/>
  <c r="E522" i="1"/>
  <c r="F522" i="1" s="1"/>
  <c r="H522" i="1" s="1"/>
  <c r="Q444" i="1"/>
  <c r="N437" i="1"/>
  <c r="E310" i="1"/>
  <c r="F310" i="1" s="1"/>
  <c r="H310" i="1" s="1"/>
  <c r="H309" i="1"/>
  <c r="P43" i="1"/>
  <c r="H297" i="1"/>
  <c r="W232" i="1"/>
  <c r="AA449" i="1"/>
  <c r="AA455" i="1" s="1"/>
  <c r="W449" i="1"/>
  <c r="W455" i="1" s="1"/>
  <c r="Y449" i="1"/>
  <c r="Y455" i="1" s="1"/>
  <c r="H47" i="7"/>
  <c r="K47" i="7" s="1"/>
  <c r="C35" i="14"/>
  <c r="E35" i="14" s="1"/>
  <c r="Z71" i="1"/>
  <c r="Y76" i="1"/>
  <c r="E445" i="1"/>
  <c r="F445" i="1" s="1"/>
  <c r="H445" i="1" s="1"/>
  <c r="H444" i="1"/>
  <c r="Q99" i="1"/>
  <c r="N92" i="1"/>
  <c r="Y410" i="1"/>
  <c r="N109" i="1"/>
  <c r="N170" i="1"/>
  <c r="V177" i="1"/>
  <c r="E77" i="1"/>
  <c r="F77" i="1" s="1"/>
  <c r="H77" i="1" s="1"/>
  <c r="H76" i="1"/>
  <c r="N564" i="1"/>
  <c r="N520" i="1"/>
  <c r="I522" i="1"/>
  <c r="H320" i="1"/>
  <c r="N320" i="1" s="1"/>
  <c r="E321" i="1"/>
  <c r="F321" i="1" s="1"/>
  <c r="H321" i="1" s="1"/>
  <c r="N53" i="1"/>
  <c r="AB100" i="1"/>
  <c r="N100" i="1"/>
  <c r="H143" i="1"/>
  <c r="E144" i="1"/>
  <c r="F144" i="1" s="1"/>
  <c r="H144" i="1" s="1"/>
  <c r="E356" i="1"/>
  <c r="F356" i="1" s="1"/>
  <c r="H356" i="1" s="1"/>
  <c r="H355" i="1"/>
  <c r="N87" i="1"/>
  <c r="E167" i="1"/>
  <c r="F167" i="1" s="1"/>
  <c r="H167" i="1" s="1"/>
  <c r="H166" i="1"/>
  <c r="H454" i="1"/>
  <c r="X355" i="1"/>
  <c r="Y349" i="1"/>
  <c r="O88" i="1"/>
  <c r="AB204" i="1"/>
  <c r="F554" i="1"/>
  <c r="N597" i="1"/>
  <c r="H154" i="1"/>
  <c r="N154" i="1" s="1"/>
  <c r="E155" i="1"/>
  <c r="F155" i="1" s="1"/>
  <c r="H155" i="1" s="1"/>
  <c r="N253" i="1"/>
  <c r="AB533" i="1"/>
  <c r="N533" i="1" s="1"/>
  <c r="I144" i="16"/>
  <c r="N142" i="16"/>
  <c r="H564" i="16"/>
  <c r="N560" i="16"/>
  <c r="F565" i="16"/>
  <c r="N481" i="16"/>
  <c r="F488" i="16"/>
  <c r="H487" i="16"/>
  <c r="H409" i="16"/>
  <c r="N205" i="16"/>
  <c r="H209" i="16"/>
  <c r="F210" i="16"/>
  <c r="N194" i="16"/>
  <c r="F199" i="16"/>
  <c r="H198" i="16"/>
  <c r="H253" i="16"/>
  <c r="N249" i="16"/>
  <c r="F254" i="16"/>
  <c r="H421" i="16"/>
  <c r="N417" i="16"/>
  <c r="F422" i="16"/>
  <c r="H520" i="16"/>
  <c r="F521" i="16"/>
  <c r="N516" i="16"/>
  <c r="F587" i="16"/>
  <c r="N582" i="16"/>
  <c r="F99" i="16"/>
  <c r="E344" i="16"/>
  <c r="F344" i="16" s="1"/>
  <c r="H344" i="16" s="1"/>
  <c r="N344" i="16" s="1"/>
  <c r="H343" i="16"/>
  <c r="N343" i="16" s="1"/>
  <c r="N263" i="16"/>
  <c r="H444" i="16"/>
  <c r="N444" i="16" s="1"/>
  <c r="E445" i="16"/>
  <c r="F445" i="16" s="1"/>
  <c r="H445" i="16" s="1"/>
  <c r="N445" i="16" s="1"/>
  <c r="AD858" i="1"/>
  <c r="N858" i="1"/>
  <c r="N53" i="16"/>
  <c r="C31" i="14"/>
  <c r="H25" i="7"/>
  <c r="K25" i="7" s="1"/>
  <c r="N503" i="1"/>
  <c r="N580" i="1"/>
  <c r="H586" i="1"/>
  <c r="F587" i="1"/>
  <c r="W565" i="1"/>
  <c r="N559" i="1"/>
  <c r="H21" i="7"/>
  <c r="K21" i="7" s="1"/>
  <c r="C32" i="14"/>
  <c r="E32" i="14" s="1"/>
  <c r="H298" i="16"/>
  <c r="N298" i="16" s="1"/>
  <c r="E299" i="16"/>
  <c r="F299" i="16" s="1"/>
  <c r="H299" i="16" s="1"/>
  <c r="N299" i="16" s="1"/>
  <c r="R388" i="1"/>
  <c r="W554" i="1"/>
  <c r="N548" i="1"/>
  <c r="N462" i="1"/>
  <c r="H465" i="1"/>
  <c r="F466" i="1"/>
  <c r="N227" i="1"/>
  <c r="AC340" i="1"/>
  <c r="AC342" i="1" s="1"/>
  <c r="W1069" i="1"/>
  <c r="N1069" i="1" s="1"/>
  <c r="AB99" i="1"/>
  <c r="W366" i="1"/>
  <c r="N360" i="1"/>
  <c r="AC329" i="1"/>
  <c r="AC331" i="1" s="1"/>
  <c r="N370" i="1"/>
  <c r="W210" i="1"/>
  <c r="X205" i="1"/>
  <c r="I233" i="1"/>
  <c r="E389" i="1"/>
  <c r="F389" i="1" s="1"/>
  <c r="H389" i="1" s="1"/>
  <c r="H388" i="1"/>
  <c r="N443" i="1"/>
  <c r="N308" i="1"/>
  <c r="I310" i="1"/>
  <c r="N432" i="1"/>
  <c r="R43" i="1"/>
  <c r="S36" i="1"/>
  <c r="X293" i="1"/>
  <c r="W298" i="1"/>
  <c r="Y226" i="1"/>
  <c r="X232" i="1"/>
  <c r="Z361" i="1"/>
  <c r="Y366" i="1"/>
  <c r="H65" i="1"/>
  <c r="E66" i="1"/>
  <c r="F66" i="1" s="1"/>
  <c r="H66" i="1" s="1"/>
  <c r="Y82" i="1"/>
  <c r="X88" i="1"/>
  <c r="N404" i="1"/>
  <c r="N409" i="1"/>
  <c r="AA633" i="1"/>
  <c r="N633" i="1" s="1"/>
  <c r="U633" i="1"/>
  <c r="X633" i="1" s="1"/>
  <c r="R103" i="1"/>
  <c r="Q110" i="1"/>
  <c r="Q1081" i="1" s="1"/>
  <c r="D5" i="11" s="1"/>
  <c r="AC211" i="1"/>
  <c r="N211" i="1" s="1"/>
  <c r="AC222" i="1"/>
  <c r="N222" i="1"/>
  <c r="X466" i="1"/>
  <c r="Y461" i="1"/>
  <c r="V114" i="1"/>
  <c r="V121" i="1" s="1"/>
  <c r="N114" i="1"/>
  <c r="U121" i="1"/>
  <c r="N142" i="1"/>
  <c r="I144" i="1"/>
  <c r="H88" i="1"/>
  <c r="E89" i="1"/>
  <c r="F89" i="1" s="1"/>
  <c r="H89" i="1" s="1"/>
  <c r="X444" i="1"/>
  <c r="Y439" i="1"/>
  <c r="I1070" i="1"/>
  <c r="N131" i="1"/>
  <c r="N542" i="1"/>
  <c r="N493" i="1"/>
  <c r="V81" i="1"/>
  <c r="V88" i="1" s="1"/>
  <c r="U88" i="1"/>
  <c r="Y160" i="1"/>
  <c r="X166" i="1"/>
  <c r="N382" i="1"/>
  <c r="H620" i="1"/>
  <c r="E621" i="1"/>
  <c r="F621" i="1" s="1"/>
  <c r="H621" i="1" s="1"/>
  <c r="X182" i="1"/>
  <c r="W188" i="1"/>
  <c r="X237" i="1"/>
  <c r="W243" i="1"/>
  <c r="E423" i="1"/>
  <c r="F423" i="1" s="1"/>
  <c r="H423" i="1" s="1"/>
  <c r="H422" i="1"/>
  <c r="AA172" i="1"/>
  <c r="Z177" i="1"/>
  <c r="N350" i="1"/>
  <c r="I864" i="16"/>
  <c r="N864" i="16" s="1"/>
  <c r="N850" i="16"/>
  <c r="N529" i="16"/>
  <c r="H531" i="16"/>
  <c r="F532" i="16"/>
  <c r="H132" i="16"/>
  <c r="J1080" i="16"/>
  <c r="J1081" i="16" s="1"/>
  <c r="N553" i="16"/>
  <c r="F410" i="16"/>
  <c r="N326" i="16"/>
  <c r="F331" i="16"/>
  <c r="H242" i="16"/>
  <c r="N238" i="16"/>
  <c r="F243" i="16"/>
  <c r="N549" i="16"/>
  <c r="F554" i="16"/>
  <c r="F388" i="16"/>
  <c r="N383" i="16"/>
  <c r="H387" i="16"/>
  <c r="N394" i="16"/>
  <c r="F399" i="16"/>
  <c r="H398" i="16"/>
  <c r="F576" i="16"/>
  <c r="N571" i="16"/>
  <c r="H575" i="16"/>
  <c r="F232" i="16"/>
  <c r="N227" i="16"/>
  <c r="F433" i="16"/>
  <c r="H432" i="16"/>
  <c r="N428" i="16"/>
  <c r="F76" i="16"/>
  <c r="H75" i="16"/>
  <c r="N71" i="16"/>
  <c r="H54" i="16"/>
  <c r="N54" i="16" s="1"/>
  <c r="E55" i="16"/>
  <c r="F55" i="16" s="1"/>
  <c r="H55" i="16" s="1"/>
  <c r="N55" i="16" s="1"/>
  <c r="I670" i="16"/>
  <c r="F681" i="16" s="1"/>
  <c r="H681" i="16" s="1"/>
  <c r="N681" i="16" s="1"/>
  <c r="N373" i="16"/>
  <c r="H376" i="16"/>
  <c r="H466" i="16"/>
  <c r="N466" i="16" s="1"/>
  <c r="E467" i="16"/>
  <c r="F467" i="16" s="1"/>
  <c r="H467" i="16" s="1"/>
  <c r="N467" i="16" s="1"/>
  <c r="F65" i="16"/>
  <c r="E265" i="16"/>
  <c r="F265" i="16" s="1"/>
  <c r="H265" i="16" s="1"/>
  <c r="N265" i="16" s="1"/>
  <c r="H264" i="16"/>
  <c r="N264" i="16" s="1"/>
  <c r="N850" i="1"/>
  <c r="H330" i="16"/>
  <c r="N476" i="16"/>
  <c r="V713" i="1"/>
  <c r="W713" i="1" s="1"/>
  <c r="N713" i="1"/>
  <c r="N471" i="1"/>
  <c r="Y477" i="1"/>
  <c r="N526" i="1"/>
  <c r="I299" i="16"/>
  <c r="N297" i="16"/>
  <c r="W660" i="1"/>
  <c r="N660" i="1"/>
  <c r="I670" i="1"/>
  <c r="F681" i="1" s="1"/>
  <c r="H681" i="1" s="1"/>
  <c r="Q510" i="1"/>
  <c r="V492" i="1"/>
  <c r="V499" i="1" s="1"/>
  <c r="F499" i="1"/>
  <c r="H498" i="1"/>
  <c r="N492" i="1"/>
  <c r="W405" i="1"/>
  <c r="X405" i="1" s="1"/>
  <c r="Y405" i="1" s="1"/>
  <c r="Z405" i="1" s="1"/>
  <c r="AA405" i="1" s="1"/>
  <c r="AB405" i="1" s="1"/>
  <c r="AB410" i="1" s="1"/>
  <c r="N405" i="1"/>
  <c r="N195" i="1"/>
  <c r="H198" i="1"/>
  <c r="U359" i="1"/>
  <c r="U366" i="1" s="1"/>
  <c r="R359" i="1"/>
  <c r="R366" i="1" s="1"/>
  <c r="Q359" i="1"/>
  <c r="Q366" i="1" s="1"/>
  <c r="H365" i="1"/>
  <c r="S359" i="1"/>
  <c r="S366" i="1" s="1"/>
  <c r="O359" i="1"/>
  <c r="T359" i="1"/>
  <c r="T366" i="1" s="1"/>
  <c r="F366" i="1"/>
  <c r="V359" i="1"/>
  <c r="V366" i="1" s="1"/>
  <c r="I1069" i="16"/>
  <c r="N1069" i="16"/>
  <c r="I1070" i="16"/>
  <c r="I122" i="1"/>
  <c r="N120" i="1"/>
  <c r="X433" i="1"/>
  <c r="N427" i="1"/>
  <c r="F199" i="1"/>
  <c r="F410" i="1"/>
  <c r="Q355" i="1"/>
  <c r="R348" i="1"/>
  <c r="Y383" i="1"/>
  <c r="X388" i="1"/>
  <c r="E277" i="1"/>
  <c r="F277" i="1" s="1"/>
  <c r="H277" i="1" s="1"/>
  <c r="H276" i="1"/>
  <c r="W104" i="1"/>
  <c r="I577" i="1"/>
  <c r="N575" i="1"/>
  <c r="N42" i="1"/>
  <c r="AA410" i="1"/>
  <c r="N592" i="1"/>
  <c r="AB596" i="1"/>
  <c r="N596" i="1" s="1"/>
  <c r="AB400" i="1"/>
  <c r="N400" i="1" s="1"/>
  <c r="N98" i="1"/>
  <c r="I100" i="1"/>
  <c r="N64" i="1"/>
  <c r="Q76" i="1"/>
  <c r="R69" i="1"/>
  <c r="Q678" i="1"/>
  <c r="N375" i="1"/>
  <c r="W521" i="1"/>
  <c r="X516" i="1"/>
  <c r="I211" i="1"/>
  <c r="F455" i="1"/>
  <c r="N319" i="1"/>
  <c r="AA372" i="1"/>
  <c r="Z377" i="1"/>
  <c r="W143" i="1"/>
  <c r="X138" i="1"/>
  <c r="N354" i="1"/>
  <c r="E55" i="1"/>
  <c r="F55" i="1" s="1"/>
  <c r="H55" i="1" s="1"/>
  <c r="H54" i="1"/>
  <c r="Y221" i="1"/>
  <c r="W132" i="1"/>
  <c r="X126" i="1"/>
  <c r="N607" i="1"/>
  <c r="E544" i="1"/>
  <c r="F544" i="1" s="1"/>
  <c r="H544" i="1" s="1"/>
  <c r="H543" i="1"/>
  <c r="I544" i="1" s="1"/>
  <c r="N476" i="1"/>
  <c r="AB577" i="1"/>
  <c r="N577" i="1"/>
  <c r="H287" i="1"/>
  <c r="E288" i="1"/>
  <c r="F288" i="1" s="1"/>
  <c r="H288" i="1" s="1"/>
  <c r="N392" i="1"/>
  <c r="N93" i="1"/>
  <c r="AC265" i="1"/>
  <c r="AC276" i="1" s="1"/>
  <c r="E255" i="1"/>
  <c r="F255" i="1" s="1"/>
  <c r="H255" i="1" s="1"/>
  <c r="H254" i="1"/>
  <c r="W620" i="1"/>
  <c r="H187" i="1"/>
  <c r="F188" i="1"/>
  <c r="H242" i="1"/>
  <c r="F243" i="1"/>
  <c r="H542" i="16"/>
  <c r="F543" i="16"/>
  <c r="N536" i="16"/>
  <c r="E610" i="16"/>
  <c r="F610" i="16" s="1"/>
  <c r="H610" i="16" s="1"/>
  <c r="N610" i="16" s="1"/>
  <c r="H609" i="16"/>
  <c r="F598" i="16"/>
  <c r="H477" i="16"/>
  <c r="N477" i="16" s="1"/>
  <c r="E478" i="16"/>
  <c r="F478" i="16" s="1"/>
  <c r="H478" i="16" s="1"/>
  <c r="N478" i="16" s="1"/>
  <c r="F276" i="16"/>
  <c r="H275" i="16"/>
  <c r="N271" i="16"/>
  <c r="F110" i="16"/>
  <c r="N105" i="16"/>
  <c r="H109" i="16"/>
  <c r="F88" i="16"/>
  <c r="H87" i="16"/>
  <c r="N83" i="16"/>
  <c r="N304" i="16"/>
  <c r="H308" i="16"/>
  <c r="H120" i="16"/>
  <c r="F121" i="16"/>
  <c r="N116" i="16"/>
  <c r="N852" i="1"/>
  <c r="AD852" i="1"/>
  <c r="F377" i="16"/>
  <c r="N341" i="16"/>
  <c r="H342" i="16"/>
  <c r="E189" i="16"/>
  <c r="F189" i="16" s="1"/>
  <c r="H189" i="16" s="1"/>
  <c r="N189" i="16" s="1"/>
  <c r="H188" i="16"/>
  <c r="N188" i="16" s="1"/>
  <c r="H98" i="16"/>
  <c r="I467" i="16"/>
  <c r="N465" i="16"/>
  <c r="N166" i="16"/>
  <c r="I167" i="16"/>
  <c r="F620" i="16"/>
  <c r="H443" i="16"/>
  <c r="H454" i="16"/>
  <c r="D68" i="15"/>
  <c r="E67" i="15"/>
  <c r="AA641" i="1"/>
  <c r="N641" i="1" s="1"/>
  <c r="N801" i="1"/>
  <c r="N459" i="1"/>
  <c r="N498" i="16"/>
  <c r="I500" i="16"/>
  <c r="F309" i="16"/>
  <c r="AI1081" i="1"/>
  <c r="V5" i="11" s="1"/>
  <c r="AD856" i="1"/>
  <c r="N856" i="1"/>
  <c r="N258" i="1"/>
  <c r="AC364" i="1"/>
  <c r="AC366" i="1" s="1"/>
  <c r="E599" i="1"/>
  <c r="F599" i="1" s="1"/>
  <c r="H599" i="1" s="1"/>
  <c r="H598" i="1"/>
  <c r="W325" i="1"/>
  <c r="H325" i="1"/>
  <c r="X115" i="1"/>
  <c r="W121" i="1"/>
  <c r="AC680" i="1"/>
  <c r="N680" i="1"/>
  <c r="H43" i="1"/>
  <c r="I44" i="1" s="1"/>
  <c r="E44" i="1"/>
  <c r="F44" i="1" s="1"/>
  <c r="H44" i="1" s="1"/>
  <c r="W399" i="1"/>
  <c r="X394" i="1"/>
  <c r="C33" i="14"/>
  <c r="E33" i="14" s="1"/>
  <c r="H29" i="7"/>
  <c r="K29" i="7" s="1"/>
  <c r="V750" i="1"/>
  <c r="N750" i="1" s="1"/>
  <c r="N514" i="1"/>
  <c r="F343" i="1"/>
  <c r="N426" i="1"/>
  <c r="F298" i="1"/>
  <c r="Y281" i="1"/>
  <c r="X287" i="1"/>
  <c r="I222" i="1"/>
  <c r="Y337" i="1"/>
  <c r="X342" i="1"/>
  <c r="W410" i="1"/>
  <c r="U410" i="1"/>
  <c r="N403" i="1"/>
  <c r="F110" i="1"/>
  <c r="H177" i="1"/>
  <c r="E178" i="1"/>
  <c r="F178" i="1" s="1"/>
  <c r="H178" i="1" s="1"/>
  <c r="N75" i="1"/>
  <c r="I77" i="1"/>
  <c r="H565" i="1"/>
  <c r="N565" i="1" s="1"/>
  <c r="E566" i="1"/>
  <c r="F566" i="1" s="1"/>
  <c r="H566" i="1" s="1"/>
  <c r="N416" i="1"/>
  <c r="U47" i="1"/>
  <c r="T54" i="1"/>
  <c r="H433" i="1"/>
  <c r="E434" i="1"/>
  <c r="F434" i="1" s="1"/>
  <c r="H434" i="1" s="1"/>
  <c r="U58" i="1"/>
  <c r="T65" i="1"/>
  <c r="Z221" i="1"/>
  <c r="AA215" i="1"/>
  <c r="N165" i="1"/>
  <c r="E133" i="1"/>
  <c r="F133" i="1" s="1"/>
  <c r="H133" i="1" s="1"/>
  <c r="H132" i="1"/>
  <c r="X538" i="1"/>
  <c r="W543" i="1"/>
  <c r="H477" i="1"/>
  <c r="N477" i="1" s="1"/>
  <c r="E478" i="1"/>
  <c r="F478" i="1" s="1"/>
  <c r="H478" i="1" s="1"/>
  <c r="N415" i="1"/>
  <c r="AB549" i="1"/>
  <c r="N549" i="1" s="1"/>
  <c r="AA554" i="1"/>
  <c r="I610" i="1"/>
  <c r="N608" i="1"/>
  <c r="N280" i="1"/>
  <c r="W355" i="1"/>
  <c r="Y270" i="1"/>
  <c r="X276" i="1"/>
  <c r="H553" i="1"/>
  <c r="N153" i="1"/>
  <c r="X59" i="1"/>
  <c r="W65" i="1"/>
  <c r="N619" i="1"/>
  <c r="I621" i="1"/>
  <c r="N238" i="1"/>
  <c r="N431" i="1"/>
  <c r="N532" i="1"/>
  <c r="AB133" i="1" l="1"/>
  <c r="N133" i="1" s="1"/>
  <c r="I178" i="1"/>
  <c r="Y287" i="1"/>
  <c r="Z281" i="1"/>
  <c r="AC44" i="1"/>
  <c r="N44" i="1"/>
  <c r="X325" i="1"/>
  <c r="W331" i="1"/>
  <c r="H620" i="16"/>
  <c r="E621" i="16"/>
  <c r="F621" i="16" s="1"/>
  <c r="H621" i="16" s="1"/>
  <c r="N621" i="16" s="1"/>
  <c r="N308" i="16"/>
  <c r="H243" i="1"/>
  <c r="E244" i="1"/>
  <c r="F244" i="1" s="1"/>
  <c r="H244" i="1" s="1"/>
  <c r="N277" i="1"/>
  <c r="AC277" i="1"/>
  <c r="O366" i="1"/>
  <c r="P359" i="1"/>
  <c r="N376" i="16"/>
  <c r="H232" i="16"/>
  <c r="E233" i="16"/>
  <c r="F233" i="16" s="1"/>
  <c r="H233" i="16" s="1"/>
  <c r="N233" i="16" s="1"/>
  <c r="N398" i="16"/>
  <c r="E244" i="16"/>
  <c r="F244" i="16" s="1"/>
  <c r="H244" i="16" s="1"/>
  <c r="N244" i="16" s="1"/>
  <c r="H243" i="16"/>
  <c r="N243" i="16" s="1"/>
  <c r="I265" i="16"/>
  <c r="H521" i="16"/>
  <c r="N521" i="16" s="1"/>
  <c r="E522" i="16"/>
  <c r="F522" i="16" s="1"/>
  <c r="H522" i="16" s="1"/>
  <c r="N522" i="16" s="1"/>
  <c r="N209" i="16"/>
  <c r="Z349" i="1"/>
  <c r="Y355" i="1"/>
  <c r="AA71" i="1"/>
  <c r="Z76" i="1"/>
  <c r="N297" i="1"/>
  <c r="Y254" i="1"/>
  <c r="Z248" i="1"/>
  <c r="N330" i="1"/>
  <c r="E178" i="16"/>
  <c r="F178" i="16" s="1"/>
  <c r="H178" i="16" s="1"/>
  <c r="N178" i="16" s="1"/>
  <c r="H177" i="16"/>
  <c r="N177" i="16" s="1"/>
  <c r="N286" i="16"/>
  <c r="E44" i="16"/>
  <c r="F44" i="16" s="1"/>
  <c r="H44" i="16" s="1"/>
  <c r="N44" i="16" s="1"/>
  <c r="H43" i="16"/>
  <c r="N43" i="16" s="1"/>
  <c r="I155" i="1"/>
  <c r="AB434" i="1"/>
  <c r="N434" i="1"/>
  <c r="H110" i="1"/>
  <c r="E111" i="1"/>
  <c r="F111" i="1" s="1"/>
  <c r="H111" i="1" s="1"/>
  <c r="H309" i="16"/>
  <c r="N309" i="16" s="1"/>
  <c r="E310" i="16"/>
  <c r="F310" i="16" s="1"/>
  <c r="H310" i="16" s="1"/>
  <c r="N310" i="16" s="1"/>
  <c r="E68" i="15"/>
  <c r="D69" i="15"/>
  <c r="N98" i="16"/>
  <c r="N109" i="16"/>
  <c r="N275" i="16"/>
  <c r="E544" i="16"/>
  <c r="F544" i="16" s="1"/>
  <c r="H544" i="16" s="1"/>
  <c r="N544" i="16" s="1"/>
  <c r="H543" i="16"/>
  <c r="N543" i="16" s="1"/>
  <c r="I356" i="1"/>
  <c r="N553" i="1"/>
  <c r="Z270" i="1"/>
  <c r="Y276" i="1"/>
  <c r="X543" i="1"/>
  <c r="Y538" i="1"/>
  <c r="N433" i="1"/>
  <c r="Y394" i="1"/>
  <c r="X399" i="1"/>
  <c r="Y115" i="1"/>
  <c r="X121" i="1"/>
  <c r="AJ599" i="1"/>
  <c r="N599" i="1" s="1"/>
  <c r="N454" i="16"/>
  <c r="H377" i="16"/>
  <c r="N377" i="16" s="1"/>
  <c r="E378" i="16"/>
  <c r="F378" i="16" s="1"/>
  <c r="H378" i="16" s="1"/>
  <c r="N378" i="16" s="1"/>
  <c r="H121" i="16"/>
  <c r="N121" i="16" s="1"/>
  <c r="E122" i="16"/>
  <c r="F122" i="16" s="1"/>
  <c r="H122" i="16" s="1"/>
  <c r="N122" i="16" s="1"/>
  <c r="E277" i="16"/>
  <c r="F277" i="16" s="1"/>
  <c r="H277" i="16" s="1"/>
  <c r="N277" i="16" s="1"/>
  <c r="H276" i="16"/>
  <c r="N276" i="16" s="1"/>
  <c r="N609" i="16"/>
  <c r="I610" i="16"/>
  <c r="I544" i="16"/>
  <c r="N542" i="16"/>
  <c r="N288" i="1"/>
  <c r="AC288" i="1"/>
  <c r="O678" i="1"/>
  <c r="AB372" i="1"/>
  <c r="AB377" i="1" s="1"/>
  <c r="AA377" i="1"/>
  <c r="N372" i="1"/>
  <c r="R76" i="1"/>
  <c r="S69" i="1"/>
  <c r="X104" i="1"/>
  <c r="W110" i="1"/>
  <c r="W678" i="1" s="1"/>
  <c r="Z383" i="1"/>
  <c r="Y388" i="1"/>
  <c r="E411" i="1"/>
  <c r="F411" i="1" s="1"/>
  <c r="H411" i="1" s="1"/>
  <c r="H410" i="1"/>
  <c r="H366" i="1"/>
  <c r="E367" i="1"/>
  <c r="F367" i="1" s="1"/>
  <c r="H367" i="1" s="1"/>
  <c r="I367" i="1" s="1"/>
  <c r="N365" i="1"/>
  <c r="N198" i="1"/>
  <c r="AB554" i="1"/>
  <c r="E500" i="1"/>
  <c r="F500" i="1" s="1"/>
  <c r="H500" i="1" s="1"/>
  <c r="H499" i="1"/>
  <c r="N499" i="1" s="1"/>
  <c r="N75" i="16"/>
  <c r="H433" i="16"/>
  <c r="N433" i="16" s="1"/>
  <c r="E434" i="16"/>
  <c r="F434" i="16" s="1"/>
  <c r="H434" i="16" s="1"/>
  <c r="N434" i="16" s="1"/>
  <c r="H554" i="16"/>
  <c r="E555" i="16"/>
  <c r="F555" i="16" s="1"/>
  <c r="H555" i="16" s="1"/>
  <c r="N555" i="16" s="1"/>
  <c r="I244" i="16"/>
  <c r="N242" i="16"/>
  <c r="E533" i="16"/>
  <c r="F533" i="16" s="1"/>
  <c r="H533" i="16" s="1"/>
  <c r="N533" i="16" s="1"/>
  <c r="H532" i="16"/>
  <c r="N532" i="16" s="1"/>
  <c r="N422" i="1"/>
  <c r="I423" i="1"/>
  <c r="Z160" i="1"/>
  <c r="Y166" i="1"/>
  <c r="H55" i="7"/>
  <c r="K55" i="7" s="1"/>
  <c r="AC89" i="1"/>
  <c r="N89" i="1" s="1"/>
  <c r="Z461" i="1"/>
  <c r="Y466" i="1"/>
  <c r="Z82" i="1"/>
  <c r="Y88" i="1"/>
  <c r="Z226" i="1"/>
  <c r="Y232" i="1"/>
  <c r="T36" i="1"/>
  <c r="S43" i="1"/>
  <c r="I434" i="1"/>
  <c r="I445" i="1"/>
  <c r="AB389" i="1"/>
  <c r="N389" i="1" s="1"/>
  <c r="E467" i="1"/>
  <c r="F467" i="1" s="1"/>
  <c r="H467" i="1" s="1"/>
  <c r="H466" i="1"/>
  <c r="I55" i="16"/>
  <c r="E588" i="16"/>
  <c r="F588" i="16" s="1"/>
  <c r="H588" i="16" s="1"/>
  <c r="N588" i="16" s="1"/>
  <c r="H587" i="16"/>
  <c r="H422" i="16"/>
  <c r="N422" i="16" s="1"/>
  <c r="E423" i="16"/>
  <c r="F423" i="16" s="1"/>
  <c r="H423" i="16" s="1"/>
  <c r="N423" i="16" s="1"/>
  <c r="N409" i="16"/>
  <c r="H565" i="16"/>
  <c r="N565" i="16" s="1"/>
  <c r="E566" i="16"/>
  <c r="F566" i="16" s="1"/>
  <c r="H566" i="16" s="1"/>
  <c r="N566" i="16" s="1"/>
  <c r="N454" i="1"/>
  <c r="I89" i="1"/>
  <c r="AB144" i="1"/>
  <c r="N144" i="1" s="1"/>
  <c r="AB522" i="1"/>
  <c r="N522" i="1" s="1"/>
  <c r="N377" i="1"/>
  <c r="I378" i="1"/>
  <c r="E489" i="1"/>
  <c r="F489" i="1" s="1"/>
  <c r="H489" i="1" s="1"/>
  <c r="H488" i="1"/>
  <c r="N488" i="1" s="1"/>
  <c r="E511" i="1"/>
  <c r="F511" i="1" s="1"/>
  <c r="H511" i="1" s="1"/>
  <c r="H510" i="1"/>
  <c r="E456" i="16"/>
  <c r="F456" i="16" s="1"/>
  <c r="H456" i="16" s="1"/>
  <c r="N456" i="16" s="1"/>
  <c r="H455" i="16"/>
  <c r="N455" i="16" s="1"/>
  <c r="N365" i="16"/>
  <c r="N176" i="16"/>
  <c r="I178" i="16"/>
  <c r="Y59" i="1"/>
  <c r="X65" i="1"/>
  <c r="N204" i="1"/>
  <c r="AB478" i="1"/>
  <c r="N478" i="1" s="1"/>
  <c r="AA221" i="1"/>
  <c r="N221" i="1" s="1"/>
  <c r="AB215" i="1"/>
  <c r="AB221" i="1" s="1"/>
  <c r="V58" i="1"/>
  <c r="U65" i="1"/>
  <c r="AB566" i="1"/>
  <c r="N566" i="1" s="1"/>
  <c r="AC178" i="1"/>
  <c r="N178" i="1" s="1"/>
  <c r="Y342" i="1"/>
  <c r="Z337" i="1"/>
  <c r="E344" i="1"/>
  <c r="F344" i="1" s="1"/>
  <c r="H344" i="1" s="1"/>
  <c r="H343" i="1"/>
  <c r="N364" i="1"/>
  <c r="N443" i="16"/>
  <c r="I445" i="16"/>
  <c r="N120" i="16"/>
  <c r="I122" i="16"/>
  <c r="N87" i="16"/>
  <c r="E111" i="16"/>
  <c r="F111" i="16" s="1"/>
  <c r="H111" i="16" s="1"/>
  <c r="N111" i="16" s="1"/>
  <c r="H110" i="16"/>
  <c r="N110" i="16" s="1"/>
  <c r="H188" i="1"/>
  <c r="E189" i="1"/>
  <c r="F189" i="1" s="1"/>
  <c r="H189" i="1" s="1"/>
  <c r="N255" i="1"/>
  <c r="AC255" i="1"/>
  <c r="I288" i="1"/>
  <c r="I478" i="1"/>
  <c r="Y126" i="1"/>
  <c r="X132" i="1"/>
  <c r="X143" i="1"/>
  <c r="Y138" i="1"/>
  <c r="I321" i="1"/>
  <c r="AB598" i="1"/>
  <c r="N598" i="1" s="1"/>
  <c r="S348" i="1"/>
  <c r="R355" i="1"/>
  <c r="H199" i="1"/>
  <c r="N199" i="1" s="1"/>
  <c r="E200" i="1"/>
  <c r="F200" i="1" s="1"/>
  <c r="H200" i="1" s="1"/>
  <c r="I672" i="16"/>
  <c r="F676" i="16" s="1"/>
  <c r="H676" i="16" s="1"/>
  <c r="I478" i="16"/>
  <c r="H76" i="16"/>
  <c r="N76" i="16" s="1"/>
  <c r="E77" i="16"/>
  <c r="F77" i="16" s="1"/>
  <c r="H77" i="16" s="1"/>
  <c r="N77" i="16" s="1"/>
  <c r="H576" i="16"/>
  <c r="N576" i="16" s="1"/>
  <c r="E577" i="16"/>
  <c r="F577" i="16" s="1"/>
  <c r="H577" i="16" s="1"/>
  <c r="N577" i="16" s="1"/>
  <c r="N387" i="16"/>
  <c r="H331" i="16"/>
  <c r="N331" i="16" s="1"/>
  <c r="E332" i="16"/>
  <c r="F332" i="16" s="1"/>
  <c r="H332" i="16" s="1"/>
  <c r="N332" i="16" s="1"/>
  <c r="N531" i="16"/>
  <c r="I533" i="16"/>
  <c r="AB423" i="1"/>
  <c r="N423" i="1" s="1"/>
  <c r="Y182" i="1"/>
  <c r="X188" i="1"/>
  <c r="Z439" i="1"/>
  <c r="Y444" i="1"/>
  <c r="I672" i="1"/>
  <c r="N66" i="1"/>
  <c r="AB66" i="1"/>
  <c r="AA361" i="1"/>
  <c r="Z366" i="1"/>
  <c r="N340" i="1"/>
  <c r="I467" i="1"/>
  <c r="N465" i="1"/>
  <c r="N253" i="16"/>
  <c r="E211" i="16"/>
  <c r="F211" i="16" s="1"/>
  <c r="H211" i="16" s="1"/>
  <c r="N211" i="16" s="1"/>
  <c r="H210" i="16"/>
  <c r="N210" i="16" s="1"/>
  <c r="N487" i="16"/>
  <c r="AB155" i="1"/>
  <c r="N155" i="1" s="1"/>
  <c r="E555" i="1"/>
  <c r="F555" i="1" s="1"/>
  <c r="H555" i="1" s="1"/>
  <c r="H554" i="1"/>
  <c r="N554" i="1" s="1"/>
  <c r="N81" i="1"/>
  <c r="I55" i="1"/>
  <c r="AC77" i="1"/>
  <c r="N77" i="1"/>
  <c r="N99" i="1"/>
  <c r="N449" i="1"/>
  <c r="AC310" i="1"/>
  <c r="N310" i="1"/>
  <c r="Z410" i="1"/>
  <c r="AB378" i="1"/>
  <c r="N378" i="1"/>
  <c r="N324" i="1"/>
  <c r="I489" i="1"/>
  <c r="N487" i="1"/>
  <c r="X505" i="1"/>
  <c r="W510" i="1"/>
  <c r="H366" i="16"/>
  <c r="N366" i="16" s="1"/>
  <c r="E367" i="16"/>
  <c r="F367" i="16" s="1"/>
  <c r="H367" i="16" s="1"/>
  <c r="N367" i="16" s="1"/>
  <c r="N509" i="16"/>
  <c r="H287" i="16"/>
  <c r="N287" i="16" s="1"/>
  <c r="E288" i="16"/>
  <c r="F288" i="16" s="1"/>
  <c r="H288" i="16" s="1"/>
  <c r="N288" i="16" s="1"/>
  <c r="N597" i="16"/>
  <c r="N42" i="16"/>
  <c r="I44" i="16"/>
  <c r="N319" i="16"/>
  <c r="I321" i="16"/>
  <c r="E356" i="16"/>
  <c r="F356" i="16" s="1"/>
  <c r="H356" i="16" s="1"/>
  <c r="N356" i="16" s="1"/>
  <c r="H355" i="16"/>
  <c r="N355" i="16" s="1"/>
  <c r="H221" i="16"/>
  <c r="N221" i="16" s="1"/>
  <c r="E222" i="16"/>
  <c r="F222" i="16" s="1"/>
  <c r="H222" i="16" s="1"/>
  <c r="N222" i="16" s="1"/>
  <c r="E321" i="16"/>
  <c r="F321" i="16" s="1"/>
  <c r="H321" i="16" s="1"/>
  <c r="N321" i="16" s="1"/>
  <c r="H320" i="16"/>
  <c r="N320" i="16" s="1"/>
  <c r="N354" i="16"/>
  <c r="I356" i="16"/>
  <c r="I344" i="16"/>
  <c r="N342" i="16"/>
  <c r="H88" i="16"/>
  <c r="N88" i="16" s="1"/>
  <c r="E89" i="16"/>
  <c r="F89" i="16" s="1"/>
  <c r="H89" i="16" s="1"/>
  <c r="N89" i="16" s="1"/>
  <c r="N187" i="1"/>
  <c r="I189" i="1"/>
  <c r="N55" i="1"/>
  <c r="AC55" i="1"/>
  <c r="AB621" i="1"/>
  <c r="N621" i="1" s="1"/>
  <c r="E588" i="1"/>
  <c r="F588" i="1" s="1"/>
  <c r="H588" i="1" s="1"/>
  <c r="H587" i="1"/>
  <c r="N587" i="1" s="1"/>
  <c r="E100" i="16"/>
  <c r="F100" i="16" s="1"/>
  <c r="H100" i="16" s="1"/>
  <c r="N100" i="16" s="1"/>
  <c r="H99" i="16"/>
  <c r="N99" i="16" s="1"/>
  <c r="I423" i="16"/>
  <c r="N421" i="16"/>
  <c r="N198" i="16"/>
  <c r="H488" i="16"/>
  <c r="N488" i="16" s="1"/>
  <c r="E489" i="16"/>
  <c r="F489" i="16" s="1"/>
  <c r="H489" i="16" s="1"/>
  <c r="N489" i="16" s="1"/>
  <c r="N564" i="16"/>
  <c r="I566" i="16"/>
  <c r="Z167" i="1"/>
  <c r="N167" i="1"/>
  <c r="N321" i="1"/>
  <c r="AC321" i="1"/>
  <c r="Y303" i="1"/>
  <c r="X309" i="1"/>
  <c r="I167" i="1"/>
  <c r="V47" i="1"/>
  <c r="U54" i="1"/>
  <c r="H298" i="1"/>
  <c r="E299" i="1"/>
  <c r="F299" i="1" s="1"/>
  <c r="H299" i="1" s="1"/>
  <c r="H598" i="16"/>
  <c r="N598" i="16" s="1"/>
  <c r="E599" i="16"/>
  <c r="F599" i="16" s="1"/>
  <c r="H599" i="16" s="1"/>
  <c r="N599" i="16" s="1"/>
  <c r="I244" i="1"/>
  <c r="N242" i="1"/>
  <c r="N265" i="1"/>
  <c r="N544" i="1"/>
  <c r="AB544" i="1"/>
  <c r="H455" i="1"/>
  <c r="N455" i="1" s="1"/>
  <c r="E456" i="1"/>
  <c r="F456" i="1" s="1"/>
  <c r="H456" i="1" s="1"/>
  <c r="Y516" i="1"/>
  <c r="X521" i="1"/>
  <c r="I66" i="1"/>
  <c r="I500" i="1"/>
  <c r="N498" i="1"/>
  <c r="W681" i="1"/>
  <c r="N681" i="1"/>
  <c r="N330" i="16"/>
  <c r="I332" i="16"/>
  <c r="E66" i="16"/>
  <c r="F66" i="16" s="1"/>
  <c r="H66" i="16" s="1"/>
  <c r="N66" i="16" s="1"/>
  <c r="H65" i="16"/>
  <c r="N65" i="16" s="1"/>
  <c r="N432" i="16"/>
  <c r="I434" i="16"/>
  <c r="N575" i="16"/>
  <c r="I577" i="16"/>
  <c r="E400" i="16"/>
  <c r="F400" i="16" s="1"/>
  <c r="H400" i="16" s="1"/>
  <c r="N400" i="16" s="1"/>
  <c r="H399" i="16"/>
  <c r="N399" i="16" s="1"/>
  <c r="H388" i="16"/>
  <c r="N388" i="16" s="1"/>
  <c r="E389" i="16"/>
  <c r="F389" i="16" s="1"/>
  <c r="H389" i="16" s="1"/>
  <c r="N389" i="16" s="1"/>
  <c r="H410" i="16"/>
  <c r="N410" i="16" s="1"/>
  <c r="E411" i="16"/>
  <c r="F411" i="16" s="1"/>
  <c r="H411" i="16" s="1"/>
  <c r="N411" i="16" s="1"/>
  <c r="I133" i="16"/>
  <c r="N132" i="16"/>
  <c r="AB172" i="1"/>
  <c r="AB177" i="1" s="1"/>
  <c r="AA177" i="1"/>
  <c r="N177" i="1" s="1"/>
  <c r="N172" i="1"/>
  <c r="Y237" i="1"/>
  <c r="X243" i="1"/>
  <c r="N620" i="1"/>
  <c r="I133" i="1"/>
  <c r="O1081" i="1"/>
  <c r="B5" i="11" s="1"/>
  <c r="S103" i="1"/>
  <c r="R110" i="1"/>
  <c r="Y293" i="1"/>
  <c r="X298" i="1"/>
  <c r="I389" i="1"/>
  <c r="X210" i="1"/>
  <c r="Y205" i="1"/>
  <c r="N329" i="1"/>
  <c r="N586" i="1"/>
  <c r="I588" i="1"/>
  <c r="E31" i="14"/>
  <c r="E41" i="14" s="1"/>
  <c r="C41" i="14"/>
  <c r="I522" i="16"/>
  <c r="N520" i="16"/>
  <c r="H254" i="16"/>
  <c r="N254" i="16" s="1"/>
  <c r="E255" i="16"/>
  <c r="F255" i="16" s="1"/>
  <c r="H255" i="16" s="1"/>
  <c r="N255" i="16" s="1"/>
  <c r="H199" i="16"/>
  <c r="N199" i="16" s="1"/>
  <c r="E200" i="16"/>
  <c r="F200" i="16" s="1"/>
  <c r="H200" i="16" s="1"/>
  <c r="N200" i="16" s="1"/>
  <c r="I255" i="1"/>
  <c r="I599" i="1"/>
  <c r="AC356" i="1"/>
  <c r="N356" i="1" s="1"/>
  <c r="I566" i="1"/>
  <c r="X410" i="1"/>
  <c r="AB445" i="1"/>
  <c r="N445" i="1"/>
  <c r="I277" i="1"/>
  <c r="H331" i="1"/>
  <c r="E332" i="1"/>
  <c r="F332" i="1" s="1"/>
  <c r="H332" i="1" s="1"/>
  <c r="N509" i="1"/>
  <c r="I511" i="1"/>
  <c r="H510" i="16"/>
  <c r="N510" i="16" s="1"/>
  <c r="E511" i="16"/>
  <c r="F511" i="16" s="1"/>
  <c r="H511" i="16" s="1"/>
  <c r="N511" i="16" s="1"/>
  <c r="I66" i="16"/>
  <c r="N64" i="16"/>
  <c r="H622" i="16"/>
  <c r="N220" i="16"/>
  <c r="I222" i="16"/>
  <c r="N622" i="16" l="1"/>
  <c r="F678" i="16"/>
  <c r="H678" i="16" s="1"/>
  <c r="N678" i="16" s="1"/>
  <c r="H622" i="1"/>
  <c r="Z205" i="1"/>
  <c r="Y210" i="1"/>
  <c r="T103" i="1"/>
  <c r="S110" i="1"/>
  <c r="AC299" i="1"/>
  <c r="N299" i="1" s="1"/>
  <c r="I200" i="16"/>
  <c r="I255" i="16"/>
  <c r="AA439" i="1"/>
  <c r="Z444" i="1"/>
  <c r="N676" i="16"/>
  <c r="T348" i="1"/>
  <c r="S355" i="1"/>
  <c r="Y143" i="1"/>
  <c r="Z138" i="1"/>
  <c r="AC343" i="1"/>
  <c r="N343" i="1"/>
  <c r="I344" i="1"/>
  <c r="N489" i="1"/>
  <c r="AB489" i="1"/>
  <c r="I456" i="1"/>
  <c r="N587" i="16"/>
  <c r="I588" i="16"/>
  <c r="AB467" i="1"/>
  <c r="N467" i="1" s="1"/>
  <c r="U36" i="1"/>
  <c r="T43" i="1"/>
  <c r="AA82" i="1"/>
  <c r="Z88" i="1"/>
  <c r="AB500" i="1"/>
  <c r="N500" i="1" s="1"/>
  <c r="N410" i="1"/>
  <c r="I411" i="1"/>
  <c r="R1081" i="1"/>
  <c r="E5" i="11" s="1"/>
  <c r="R678" i="1"/>
  <c r="Z538" i="1"/>
  <c r="Y543" i="1"/>
  <c r="I277" i="16"/>
  <c r="I100" i="16"/>
  <c r="I111" i="1"/>
  <c r="I622" i="1" s="1"/>
  <c r="H15" i="7" s="1"/>
  <c r="AA248" i="1"/>
  <c r="Z254" i="1"/>
  <c r="I211" i="16"/>
  <c r="Z237" i="1"/>
  <c r="Z243" i="1" s="1"/>
  <c r="Y243" i="1"/>
  <c r="Z516" i="1"/>
  <c r="Y521" i="1"/>
  <c r="I599" i="16"/>
  <c r="I511" i="16"/>
  <c r="AB555" i="1"/>
  <c r="N555" i="1" s="1"/>
  <c r="I489" i="16"/>
  <c r="F676" i="1"/>
  <c r="H676" i="1" s="1"/>
  <c r="H17" i="7"/>
  <c r="K17" i="7" s="1"/>
  <c r="AC200" i="1"/>
  <c r="N200" i="1" s="1"/>
  <c r="Z126" i="1"/>
  <c r="Y132" i="1"/>
  <c r="AC344" i="1"/>
  <c r="N344" i="1" s="1"/>
  <c r="I411" i="16"/>
  <c r="AB411" i="1"/>
  <c r="N411" i="1"/>
  <c r="Y104" i="1"/>
  <c r="X110" i="1"/>
  <c r="AJ678" i="1"/>
  <c r="AJ1081" i="1" s="1"/>
  <c r="W5" i="11" s="1"/>
  <c r="Y399" i="1"/>
  <c r="Z394" i="1"/>
  <c r="I555" i="1"/>
  <c r="I111" i="16"/>
  <c r="E69" i="15"/>
  <c r="D70" i="15"/>
  <c r="AB71" i="1"/>
  <c r="AA76" i="1"/>
  <c r="AA349" i="1"/>
  <c r="Z355" i="1"/>
  <c r="I400" i="16"/>
  <c r="I378" i="16"/>
  <c r="I310" i="16"/>
  <c r="Y325" i="1"/>
  <c r="X331" i="1"/>
  <c r="AA281" i="1"/>
  <c r="Z287" i="1"/>
  <c r="AB456" i="1"/>
  <c r="N456" i="1" s="1"/>
  <c r="Y505" i="1"/>
  <c r="X510" i="1"/>
  <c r="AB361" i="1"/>
  <c r="AB366" i="1" s="1"/>
  <c r="N361" i="1"/>
  <c r="AA366" i="1"/>
  <c r="Z182" i="1"/>
  <c r="Y188" i="1"/>
  <c r="I389" i="16"/>
  <c r="AA337" i="1"/>
  <c r="Z342" i="1"/>
  <c r="V65" i="1"/>
  <c r="N58" i="1"/>
  <c r="Z59" i="1"/>
  <c r="Y65" i="1"/>
  <c r="I367" i="16"/>
  <c r="AB511" i="1"/>
  <c r="N511" i="1" s="1"/>
  <c r="Z232" i="1"/>
  <c r="AA226" i="1"/>
  <c r="Z166" i="1"/>
  <c r="AA160" i="1"/>
  <c r="N554" i="16"/>
  <c r="I555" i="16"/>
  <c r="I77" i="16"/>
  <c r="AB367" i="1"/>
  <c r="N367" i="1" s="1"/>
  <c r="I456" i="16"/>
  <c r="W1081" i="1"/>
  <c r="J5" i="11" s="1"/>
  <c r="I288" i="16"/>
  <c r="I332" i="1"/>
  <c r="I299" i="1"/>
  <c r="P366" i="1"/>
  <c r="P678" i="1"/>
  <c r="P1081" i="1" s="1"/>
  <c r="C5" i="11" s="1"/>
  <c r="N359" i="1"/>
  <c r="AC244" i="1"/>
  <c r="N244" i="1"/>
  <c r="Z293" i="1"/>
  <c r="Y298" i="1"/>
  <c r="AC332" i="1"/>
  <c r="N332" i="1"/>
  <c r="V54" i="1"/>
  <c r="N54" i="1" s="1"/>
  <c r="N47" i="1"/>
  <c r="Z303" i="1"/>
  <c r="Y309" i="1"/>
  <c r="AB588" i="1"/>
  <c r="N588" i="1" s="1"/>
  <c r="I622" i="16"/>
  <c r="AC189" i="1"/>
  <c r="N189" i="1" s="1"/>
  <c r="I89" i="16"/>
  <c r="N215" i="1"/>
  <c r="Z466" i="1"/>
  <c r="AA461" i="1"/>
  <c r="I200" i="1"/>
  <c r="N366" i="1"/>
  <c r="AA383" i="1"/>
  <c r="Z388" i="1"/>
  <c r="T69" i="1"/>
  <c r="S76" i="1"/>
  <c r="Z115" i="1"/>
  <c r="Y121" i="1"/>
  <c r="AA270" i="1"/>
  <c r="Z276" i="1"/>
  <c r="AB111" i="1"/>
  <c r="N111" i="1"/>
  <c r="N232" i="16"/>
  <c r="I233" i="16"/>
  <c r="N243" i="1"/>
  <c r="N620" i="16"/>
  <c r="I621" i="16"/>
  <c r="AC678" i="1"/>
  <c r="AC1081" i="1"/>
  <c r="P5" i="11" s="1"/>
  <c r="N237" i="1"/>
  <c r="K15" i="7" l="1"/>
  <c r="AB270" i="1"/>
  <c r="AB276" i="1" s="1"/>
  <c r="AA276" i="1"/>
  <c r="S678" i="1"/>
  <c r="S1081" i="1"/>
  <c r="F5" i="11" s="1"/>
  <c r="AB383" i="1"/>
  <c r="AB388" i="1" s="1"/>
  <c r="AA388" i="1"/>
  <c r="N287" i="1"/>
  <c r="D71" i="15"/>
  <c r="E70" i="15"/>
  <c r="U676" i="1"/>
  <c r="X676" i="1" s="1"/>
  <c r="AA676" i="1" s="1"/>
  <c r="AA516" i="1"/>
  <c r="Z521" i="1"/>
  <c r="AA88" i="1"/>
  <c r="AB82" i="1"/>
  <c r="AB88" i="1" s="1"/>
  <c r="N82" i="1"/>
  <c r="F678" i="1"/>
  <c r="H678" i="1" s="1"/>
  <c r="N622" i="1"/>
  <c r="T76" i="1"/>
  <c r="U69" i="1"/>
  <c r="AA166" i="1"/>
  <c r="AB160" i="1"/>
  <c r="AB166" i="1" s="1"/>
  <c r="AA232" i="1"/>
  <c r="AB226" i="1"/>
  <c r="AA59" i="1"/>
  <c r="Z65" i="1"/>
  <c r="AA287" i="1"/>
  <c r="AB281" i="1"/>
  <c r="AB287" i="1" s="1"/>
  <c r="AB349" i="1"/>
  <c r="AA355" i="1"/>
  <c r="Z399" i="1"/>
  <c r="AA394" i="1"/>
  <c r="AB248" i="1"/>
  <c r="AB254" i="1" s="1"/>
  <c r="N254" i="1" s="1"/>
  <c r="AA254" i="1"/>
  <c r="V36" i="1"/>
  <c r="U43" i="1"/>
  <c r="T110" i="1"/>
  <c r="U103" i="1"/>
  <c r="Z309" i="1"/>
  <c r="AA303" i="1"/>
  <c r="Z298" i="1"/>
  <c r="AA293" i="1"/>
  <c r="Z132" i="1"/>
  <c r="AA126" i="1"/>
  <c r="AA182" i="1"/>
  <c r="Z188" i="1"/>
  <c r="X678" i="1"/>
  <c r="AA138" i="1"/>
  <c r="Z143" i="1"/>
  <c r="T355" i="1"/>
  <c r="U348" i="1"/>
  <c r="N281" i="1"/>
  <c r="Y510" i="1"/>
  <c r="Z505" i="1"/>
  <c r="N270" i="1"/>
  <c r="N383" i="1"/>
  <c r="N166" i="1"/>
  <c r="AB337" i="1"/>
  <c r="AA342" i="1"/>
  <c r="N276" i="1"/>
  <c r="AA115" i="1"/>
  <c r="Z121" i="1"/>
  <c r="N388" i="1"/>
  <c r="AA466" i="1"/>
  <c r="N466" i="1" s="1"/>
  <c r="AB461" i="1"/>
  <c r="AB466" i="1" s="1"/>
  <c r="N461" i="1"/>
  <c r="Z325" i="1"/>
  <c r="Y331" i="1"/>
  <c r="AB76" i="1"/>
  <c r="N71" i="1"/>
  <c r="Z104" i="1"/>
  <c r="Y110" i="1"/>
  <c r="Z543" i="1"/>
  <c r="AA538" i="1"/>
  <c r="N88" i="1"/>
  <c r="I682" i="16"/>
  <c r="AB439" i="1"/>
  <c r="AA444" i="1"/>
  <c r="AA205" i="1"/>
  <c r="Z210" i="1"/>
  <c r="X1081" i="1"/>
  <c r="K5" i="11" s="1"/>
  <c r="AB444" i="1" l="1"/>
  <c r="N444" i="1" s="1"/>
  <c r="N439" i="1"/>
  <c r="V103" i="1"/>
  <c r="V110" i="1" s="1"/>
  <c r="U110" i="1"/>
  <c r="Y678" i="1"/>
  <c r="Y1081" i="1"/>
  <c r="L5" i="11" s="1"/>
  <c r="AB138" i="1"/>
  <c r="AA143" i="1"/>
  <c r="AA309" i="1"/>
  <c r="AB303" i="1"/>
  <c r="AA399" i="1"/>
  <c r="AB394" i="1"/>
  <c r="AB399" i="1" s="1"/>
  <c r="N394" i="1"/>
  <c r="AB355" i="1"/>
  <c r="N349" i="1"/>
  <c r="AB232" i="1"/>
  <c r="N232" i="1" s="1"/>
  <c r="N226" i="1"/>
  <c r="I682" i="1"/>
  <c r="N160" i="1"/>
  <c r="AA132" i="1"/>
  <c r="AB126" i="1"/>
  <c r="AB132" i="1" s="1"/>
  <c r="N132" i="1" s="1"/>
  <c r="V43" i="1"/>
  <c r="N43" i="1" s="1"/>
  <c r="N36" i="1"/>
  <c r="N682" i="16"/>
  <c r="I1081" i="16"/>
  <c r="AB205" i="1"/>
  <c r="AB210" i="1" s="1"/>
  <c r="N210" i="1" s="1"/>
  <c r="AA210" i="1"/>
  <c r="N205" i="1"/>
  <c r="AB538" i="1"/>
  <c r="AA543" i="1"/>
  <c r="AA188" i="1"/>
  <c r="N188" i="1" s="1"/>
  <c r="AB182" i="1"/>
  <c r="AB188" i="1" s="1"/>
  <c r="AB293" i="1"/>
  <c r="AB298" i="1" s="1"/>
  <c r="N298" i="1" s="1"/>
  <c r="AA298" i="1"/>
  <c r="N293" i="1"/>
  <c r="N248" i="1"/>
  <c r="N399" i="1"/>
  <c r="V69" i="1"/>
  <c r="U76" i="1"/>
  <c r="AB516" i="1"/>
  <c r="AA521" i="1"/>
  <c r="T678" i="1"/>
  <c r="AA65" i="1"/>
  <c r="AB59" i="1"/>
  <c r="N126" i="1"/>
  <c r="AA104" i="1"/>
  <c r="Z110" i="1"/>
  <c r="N342" i="1"/>
  <c r="V348" i="1"/>
  <c r="V355" i="1" s="1"/>
  <c r="U355" i="1"/>
  <c r="N348" i="1"/>
  <c r="T1081" i="1"/>
  <c r="G5" i="11" s="1"/>
  <c r="AA325" i="1"/>
  <c r="Z331" i="1"/>
  <c r="AA121" i="1"/>
  <c r="AB115" i="1"/>
  <c r="AB121" i="1" s="1"/>
  <c r="N121" i="1" s="1"/>
  <c r="AB342" i="1"/>
  <c r="N337" i="1"/>
  <c r="Z510" i="1"/>
  <c r="AA505" i="1"/>
  <c r="N103" i="1"/>
  <c r="N676" i="1"/>
  <c r="D72" i="15"/>
  <c r="E71" i="15"/>
  <c r="AB65" i="1" l="1"/>
  <c r="N65" i="1" s="1"/>
  <c r="N59" i="1"/>
  <c r="D73" i="15"/>
  <c r="E72" i="15"/>
  <c r="AB505" i="1"/>
  <c r="AB510" i="1" s="1"/>
  <c r="N510" i="1" s="1"/>
  <c r="AA510" i="1"/>
  <c r="N505" i="1"/>
  <c r="N115" i="1"/>
  <c r="AA331" i="1"/>
  <c r="AB325" i="1"/>
  <c r="AB331" i="1" s="1"/>
  <c r="N331" i="1" s="1"/>
  <c r="AB104" i="1"/>
  <c r="AA110" i="1"/>
  <c r="AA678" i="1" s="1"/>
  <c r="AB521" i="1"/>
  <c r="N521" i="1" s="1"/>
  <c r="N516" i="1"/>
  <c r="N182" i="1"/>
  <c r="AB543" i="1"/>
  <c r="N543" i="1" s="1"/>
  <c r="N538" i="1"/>
  <c r="I1095" i="16"/>
  <c r="I1084" i="16"/>
  <c r="I1087" i="16"/>
  <c r="N1081" i="16"/>
  <c r="I1088" i="16"/>
  <c r="I1083" i="16"/>
  <c r="I1102" i="16"/>
  <c r="I1089" i="16"/>
  <c r="J1082" i="16"/>
  <c r="N355" i="1"/>
  <c r="AB309" i="1"/>
  <c r="N309" i="1" s="1"/>
  <c r="N303" i="1"/>
  <c r="AB143" i="1"/>
  <c r="N143" i="1" s="1"/>
  <c r="N138" i="1"/>
  <c r="Z678" i="1"/>
  <c r="Z1081" i="1" s="1"/>
  <c r="M5" i="11" s="1"/>
  <c r="U678" i="1"/>
  <c r="V76" i="1"/>
  <c r="N76" i="1" s="1"/>
  <c r="N69" i="1"/>
  <c r="H19" i="7"/>
  <c r="N682" i="1"/>
  <c r="I1081" i="1"/>
  <c r="U1081" i="1" l="1"/>
  <c r="H5" i="11" s="1"/>
  <c r="V678" i="1"/>
  <c r="V1081" i="1" s="1"/>
  <c r="I5" i="11" s="1"/>
  <c r="AB110" i="1"/>
  <c r="N110" i="1" s="1"/>
  <c r="N104" i="1"/>
  <c r="AB1081" i="1"/>
  <c r="O5" i="11" s="1"/>
  <c r="K19" i="7"/>
  <c r="H60" i="7"/>
  <c r="N325" i="1"/>
  <c r="D74" i="15"/>
  <c r="E74" i="15" s="1"/>
  <c r="E73" i="15"/>
  <c r="AB678" i="1"/>
  <c r="N678" i="1" s="1"/>
  <c r="AA1081" i="1"/>
  <c r="N5" i="11" s="1"/>
  <c r="I1089" i="1"/>
  <c r="I1084" i="1"/>
  <c r="I1088" i="1"/>
  <c r="I1083" i="1"/>
  <c r="I1102" i="1"/>
  <c r="I1087" i="1"/>
  <c r="I1095" i="1"/>
  <c r="J1082" i="1"/>
  <c r="K92" i="7" l="1"/>
  <c r="K90" i="7"/>
  <c r="J68" i="7"/>
  <c r="J70" i="7" s="1"/>
  <c r="J77" i="7"/>
  <c r="K91" i="7"/>
  <c r="N1081" i="1"/>
  <c r="K60" i="7"/>
  <c r="F75" i="15"/>
  <c r="J78" i="7" l="1"/>
  <c r="Q79" i="7" s="1"/>
  <c r="L9" i="7"/>
  <c r="L13" i="7"/>
  <c r="L49" i="7"/>
  <c r="L11" i="7"/>
  <c r="L37" i="7"/>
  <c r="L57" i="7"/>
  <c r="L39" i="7"/>
  <c r="L35" i="7"/>
  <c r="L53" i="7"/>
  <c r="L23" i="7"/>
  <c r="L45" i="7"/>
  <c r="L27" i="7"/>
  <c r="L31" i="7"/>
  <c r="L33" i="7"/>
  <c r="L29" i="7"/>
  <c r="L41" i="7"/>
  <c r="L21" i="7"/>
  <c r="L47" i="7"/>
  <c r="L43" i="7"/>
  <c r="L25" i="7"/>
  <c r="L51" i="7"/>
  <c r="L55" i="7"/>
  <c r="L17" i="7"/>
  <c r="L15" i="7"/>
  <c r="L19" i="7"/>
  <c r="L60" i="7" l="1"/>
  <c r="J79" i="7"/>
  <c r="L7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Ariel Ferrero</author>
  </authors>
  <commentList>
    <comment ref="Q1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Ariel Ferrero:</t>
        </r>
        <r>
          <rPr>
            <sz val="9"/>
            <color indexed="81"/>
            <rFont val="Tahoma"/>
            <family val="2"/>
          </rPr>
          <t xml:space="preserve">
por que menos valor?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Ariel Ferrero</author>
  </authors>
  <commentList>
    <comment ref="Q11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Ariel Ferrero:</t>
        </r>
        <r>
          <rPr>
            <sz val="9"/>
            <color indexed="81"/>
            <rFont val="Tahoma"/>
            <family val="2"/>
          </rPr>
          <t xml:space="preserve">
por que menos valor?</t>
        </r>
      </text>
    </comment>
  </commentList>
</comments>
</file>

<file path=xl/sharedStrings.xml><?xml version="1.0" encoding="utf-8"?>
<sst xmlns="http://schemas.openxmlformats.org/spreadsheetml/2006/main" count="4199" uniqueCount="1000">
  <si>
    <t>Preproducción</t>
  </si>
  <si>
    <t>Sábados</t>
  </si>
  <si>
    <t>Días Rodaje</t>
  </si>
  <si>
    <t>Rodaje</t>
  </si>
  <si>
    <t>Domingos</t>
  </si>
  <si>
    <t>Posproducción</t>
  </si>
  <si>
    <t>HsEx. (x sem)</t>
  </si>
  <si>
    <t>RUBROS</t>
  </si>
  <si>
    <t>TOTAL</t>
  </si>
  <si>
    <t>RODAJE</t>
  </si>
  <si>
    <t>TOTALES</t>
  </si>
  <si>
    <t>DESGLOSE POR RUBROS</t>
  </si>
  <si>
    <t>LIBRO / ARGUMENTO / GUION</t>
  </si>
  <si>
    <t>Unidad</t>
  </si>
  <si>
    <t>Importe</t>
  </si>
  <si>
    <t>Cantidad</t>
  </si>
  <si>
    <t xml:space="preserve">Total </t>
  </si>
  <si>
    <t>STORY BOARD</t>
  </si>
  <si>
    <t>COPISTERIA</t>
  </si>
  <si>
    <t xml:space="preserve">Copias </t>
  </si>
  <si>
    <t>TOTAL RUBRO 1</t>
  </si>
  <si>
    <t>DIRECCION</t>
  </si>
  <si>
    <t>TOTAL RUBRO 2</t>
  </si>
  <si>
    <t>PRODUCCION</t>
  </si>
  <si>
    <t xml:space="preserve">Mes </t>
  </si>
  <si>
    <t>TOTAL RUBRO 3</t>
  </si>
  <si>
    <t>JEFE DE PRODUCCION</t>
  </si>
  <si>
    <t>Sem.</t>
  </si>
  <si>
    <t>Hs Extras x sem.</t>
  </si>
  <si>
    <t xml:space="preserve">Días </t>
  </si>
  <si>
    <t>Semanas trabajadas</t>
  </si>
  <si>
    <t>Remun. Bruta</t>
  </si>
  <si>
    <t>SAC</t>
  </si>
  <si>
    <r>
      <rPr>
        <sz val="10"/>
        <rFont val="Arial"/>
        <family val="2"/>
      </rPr>
      <t>VAC</t>
    </r>
    <r>
      <rPr>
        <sz val="9"/>
        <rFont val="Arial"/>
        <family val="2"/>
      </rPr>
      <t xml:space="preserve"> (Total Bruto / cantidad de semanas / 5) x (días corridos de contrato / 20)</t>
    </r>
  </si>
  <si>
    <t xml:space="preserve">ASISTENTE DE PRODUCCION </t>
  </si>
  <si>
    <t>AYUDANTE de PRODUCCION</t>
  </si>
  <si>
    <t>JEFE DE LOCACIONES</t>
  </si>
  <si>
    <t>ASISTENTE DE LOCACIONES</t>
  </si>
  <si>
    <t>ASISTENTE DE DIRECCION</t>
  </si>
  <si>
    <t>PRIMERO DE DIRECCION / CONTINUISTA</t>
  </si>
  <si>
    <t>SEGUNDO AYUDANTE DE DIRECCION</t>
  </si>
  <si>
    <t>DIRECTOR DE CASTING</t>
  </si>
  <si>
    <t>ASISTENTE DE CASTING</t>
  </si>
  <si>
    <t>DIRECTOR DE FOTOGRAFIA</t>
  </si>
  <si>
    <t>TECNICO HD</t>
  </si>
  <si>
    <t>Preproducción (Chequeo y Pruebas)</t>
  </si>
  <si>
    <t>Posproducción (Devoluciones)</t>
  </si>
  <si>
    <t>CAMAROGRAFO</t>
  </si>
  <si>
    <t>PRIMER AYUDANTE DE CAMARA</t>
  </si>
  <si>
    <t>SEGUNDO AYUDANTE DE CAMARA</t>
  </si>
  <si>
    <t>KEY GRIP</t>
  </si>
  <si>
    <t>GRIP</t>
  </si>
  <si>
    <t>ASISTENTE DE GRIP</t>
  </si>
  <si>
    <t>VIDEO ASSIST</t>
  </si>
  <si>
    <t>GAFFER</t>
  </si>
  <si>
    <t>JEFE REFLECTORISTA</t>
  </si>
  <si>
    <t>CAPATAZ REFLECTORISTA</t>
  </si>
  <si>
    <t>REFLECTORISTA</t>
  </si>
  <si>
    <t>OPERADOR DE GENERADOR</t>
  </si>
  <si>
    <t>DIRECTOR DE ARTE</t>
  </si>
  <si>
    <t>Días</t>
  </si>
  <si>
    <t>ESCENOGRAFO</t>
  </si>
  <si>
    <t>AMBIENTADOR/A</t>
  </si>
  <si>
    <t>AYUDANTE ESCENOGRAFIA</t>
  </si>
  <si>
    <t>VESTUARISTA</t>
  </si>
  <si>
    <t>AYUDANTE DE VESTUARIO</t>
  </si>
  <si>
    <t>MODISTA</t>
  </si>
  <si>
    <t>UTILERO / CARPINTERO</t>
  </si>
  <si>
    <t>ASISTENTE DE UTILERO / CARPINTERO</t>
  </si>
  <si>
    <t>REALIZADOR</t>
  </si>
  <si>
    <t>JEFE MAQUILLAJE</t>
  </si>
  <si>
    <t>PEINADOR</t>
  </si>
  <si>
    <t>AYUDANTE DE MAQUILLAJE / PEINADO</t>
  </si>
  <si>
    <r>
      <rPr>
        <b/>
        <sz val="10"/>
        <rFont val="Arial"/>
        <family val="2"/>
      </rPr>
      <t>DIRECTOR DE SONIDO (POSPRODUCCION)</t>
    </r>
    <r>
      <rPr>
        <b/>
        <sz val="10"/>
        <color indexed="10"/>
        <rFont val="Arial"/>
        <family val="2"/>
      </rPr>
      <t xml:space="preserve"> </t>
    </r>
  </si>
  <si>
    <t>COMPAGINADOR</t>
  </si>
  <si>
    <t>AYUDANTE DE COMPAGINACION</t>
  </si>
  <si>
    <t>TOTAL RUBRO 4</t>
  </si>
  <si>
    <t>ELENCO PRINCIPAL</t>
  </si>
  <si>
    <t>Semanas Contrato AAA</t>
  </si>
  <si>
    <t>ELENCO SECUNDARIO</t>
  </si>
  <si>
    <t xml:space="preserve">SUB TOTAL </t>
  </si>
  <si>
    <t>Porcentual por Pruebas Vestuario y Ensayos</t>
  </si>
  <si>
    <t>Porcentual por Hs.Extras</t>
  </si>
  <si>
    <t>Bolo CALIFICADO</t>
  </si>
  <si>
    <t xml:space="preserve">Extras </t>
  </si>
  <si>
    <t>Hs. Extras Diurnas (3hs x Extra)</t>
  </si>
  <si>
    <t xml:space="preserve">Hs. Extras </t>
  </si>
  <si>
    <t>PLANILLERO</t>
  </si>
  <si>
    <t>Hs. Extras Diurnas (3hs x día)</t>
  </si>
  <si>
    <t>OTROS - DOBLES DE ACCION / LUCES</t>
  </si>
  <si>
    <t>TOTAL RUBRO 5</t>
  </si>
  <si>
    <t>CARGAS SOCIALES</t>
  </si>
  <si>
    <t>TOTAL RUBRO 6</t>
  </si>
  <si>
    <t>VESTUARIO</t>
  </si>
  <si>
    <t>COMPRA MATERIALES (Realizaciones)</t>
  </si>
  <si>
    <t xml:space="preserve">Cambios </t>
  </si>
  <si>
    <t>………</t>
  </si>
  <si>
    <t>ACCESORIOS</t>
  </si>
  <si>
    <t>Por la película</t>
  </si>
  <si>
    <t>ALQUILERES</t>
  </si>
  <si>
    <t>Bolos Mayores y Menores</t>
  </si>
  <si>
    <t>MANTENIMIENTO Y LIMPIEZA</t>
  </si>
  <si>
    <t>LAVANDERIA, TINTORERIA, ARREGLOS, etc.</t>
  </si>
  <si>
    <t>OTROS COSTOS</t>
  </si>
  <si>
    <t>ALQUILER TALLER VESTUARIO</t>
  </si>
  <si>
    <t>Meses</t>
  </si>
  <si>
    <t>TOTAL RUBRO 7</t>
  </si>
  <si>
    <t>MAQUILLAJE</t>
  </si>
  <si>
    <t>COMPRA MATERIALES</t>
  </si>
  <si>
    <t>REALIZACIONES Y EFECTOS</t>
  </si>
  <si>
    <t>SET MAQUILLAJE y Peinado</t>
  </si>
  <si>
    <t>SET especial para Efectos</t>
  </si>
  <si>
    <t>OTROS (postizos, tatuajes, etc)</t>
  </si>
  <si>
    <t>TOTAL RUBRO 8</t>
  </si>
  <si>
    <t>UTILERIA</t>
  </si>
  <si>
    <t>COMPRA / REALIZACIONES</t>
  </si>
  <si>
    <t>OTROS, ALQUILERES,  Ambientación, ..etc.</t>
  </si>
  <si>
    <t>TOTAL RUBRO 9</t>
  </si>
  <si>
    <t>ESCENOGRAFIA</t>
  </si>
  <si>
    <t>TOTAL RUBRO 10</t>
  </si>
  <si>
    <t>LOCACIONES</t>
  </si>
  <si>
    <t>ALQUILER LOCACIONES PARA CATERING</t>
  </si>
  <si>
    <t xml:space="preserve">BASET - Habilitación Vía Pública (semestral) </t>
  </si>
  <si>
    <t>BASET - Cortes de Calle "Resto de la Ciudad" 50% Diurno y 50 % Nocturno</t>
  </si>
  <si>
    <t>BASET - Reducción Carril para despeje "Resto de la Ciudad" 50% D y 50 % N</t>
  </si>
  <si>
    <t>BASET - Jornada con Bocacalle "Resto de la Ciudad" 50% D y 50 % N</t>
  </si>
  <si>
    <t>BASET - Estacionamiento vehiculos Recorrido con Base</t>
  </si>
  <si>
    <t xml:space="preserve">BASET - Espacios Verdes, jornadas de rodaje </t>
  </si>
  <si>
    <t xml:space="preserve">Otros, GESTOR, Formularios </t>
  </si>
  <si>
    <t>AUTOS DE ACCION / AMBIENTACION</t>
  </si>
  <si>
    <t>Autos personajes Principales</t>
  </si>
  <si>
    <t>Autos Personajes Secundarios</t>
  </si>
  <si>
    <t>Autos ambiente, Cruces, etc.</t>
  </si>
  <si>
    <t>OTROS</t>
  </si>
  <si>
    <t>ANIMALES</t>
  </si>
  <si>
    <t>……………(a definir)</t>
  </si>
  <si>
    <t>TOTAL RUBRO 11</t>
  </si>
  <si>
    <t>MATERIAL DE ARCHIVO</t>
  </si>
  <si>
    <t>CONTRATACIONES DE MATERIAL DE ARCHIVO (gráfico, filmico, TV, radial, etc)</t>
  </si>
  <si>
    <t>OTROS (permisos, licencias, autorizaciones, cesiones)</t>
  </si>
  <si>
    <t>TOTAL RUBRO 12</t>
  </si>
  <si>
    <t>MUSICA</t>
  </si>
  <si>
    <t xml:space="preserve">Temas </t>
  </si>
  <si>
    <t>SALA DE GRABACION / PRODUCCION MUSICAL</t>
  </si>
  <si>
    <t>TOTAL RUBRO 13</t>
  </si>
  <si>
    <t>MATERIAL VIRGEN</t>
  </si>
  <si>
    <t>DISCOS DUROS EXTERNOS</t>
  </si>
  <si>
    <t>Para Material Crudo y Back Up + entrega de Materiales + Tránsito y Edición Offline</t>
  </si>
  <si>
    <t>TOTAL RUBRO 14</t>
  </si>
  <si>
    <t>PROCESO DE LABORATORIO</t>
  </si>
  <si>
    <t>GENERACION DE DCP</t>
  </si>
  <si>
    <t>LTO</t>
  </si>
  <si>
    <t>FOTO FIJA</t>
  </si>
  <si>
    <t>TOTAL RUBRO 15</t>
  </si>
  <si>
    <t>EDICION</t>
  </si>
  <si>
    <t>SALA DE EDICION (Post Producción Offline HD)</t>
  </si>
  <si>
    <t>NO INCLUYE EDITOR / ASISTENTE (Contemplado en Pnal TECNICO)</t>
  </si>
  <si>
    <t>PAQUETE GRAFICO - DISEÑO de TITULOS, rodante, placas, etc.</t>
  </si>
  <si>
    <t>MATERIALES VARIOS EDICION.</t>
  </si>
  <si>
    <t>TOTAL RUBRO 16</t>
  </si>
  <si>
    <t>PROCESOS DE SONIDO</t>
  </si>
  <si>
    <t xml:space="preserve"> Unidad</t>
  </si>
  <si>
    <t>SUB TOTAL</t>
  </si>
  <si>
    <t>PROCESO DE POST INTEGRAL</t>
  </si>
  <si>
    <t>TOTAL RUBRO 17</t>
  </si>
  <si>
    <t>EQUIPOS DE CAMARAS Y LUCES</t>
  </si>
  <si>
    <t>LUCES</t>
  </si>
  <si>
    <t>Accesorios (Trípodes, líneas, tableros, zapatillas, Etc.)</t>
  </si>
  <si>
    <t>CONSUMOS, REPOSICIONES, ROTURAS</t>
  </si>
  <si>
    <t>EQUIPOS DE SONIDO</t>
  </si>
  <si>
    <t>EQUIPOS DE COMUNICACIÓN (Handies)</t>
  </si>
  <si>
    <t>Easy Rig</t>
  </si>
  <si>
    <t>COMPRAS VARIAS - para CAMARA, LUCES, GRIP Y SONIDO</t>
  </si>
  <si>
    <t>TOTAL RUBRO 18</t>
  </si>
  <si>
    <t>EFECTOS ESPECIALES</t>
  </si>
  <si>
    <t>TOTAL RUBRO 19</t>
  </si>
  <si>
    <t>MOVILIDAD</t>
  </si>
  <si>
    <t>VEHICULOS DE PRODUCCION</t>
  </si>
  <si>
    <t>Actores  (con chofer)</t>
  </si>
  <si>
    <t>Locaciones (S/Chofer) Incluye KM</t>
  </si>
  <si>
    <t>Departamento de Arte y Vestuario (con Chofer)</t>
  </si>
  <si>
    <t>TAXIS - REMISES - TRENES - SUBTERRANEOS - Etc.</t>
  </si>
  <si>
    <t>PEAJES, GARAGES, ESTACIONAMIENTOS Y LAVADO DE RODADOS</t>
  </si>
  <si>
    <t>MOTORHOMES, TRAILERS Y CAMIONES DE CARGA</t>
  </si>
  <si>
    <t>MOTOR HOME VESTUARIO/ Maquillaje</t>
  </si>
  <si>
    <t>MOTOR HOME - ACTORES PRINCIPALES</t>
  </si>
  <si>
    <t>PASAJES AL INTERIOR</t>
  </si>
  <si>
    <t>Aereos</t>
  </si>
  <si>
    <t>Cant.</t>
  </si>
  <si>
    <t>Micro</t>
  </si>
  <si>
    <t>PASAJES AL EXTERIOR</t>
  </si>
  <si>
    <t>Gastos transporte aeropuertos</t>
  </si>
  <si>
    <t>Tickets aéreos</t>
  </si>
  <si>
    <t>FLETES DE EQUIPOS Y UTILERA (Mínimo 3 hs por jornada)</t>
  </si>
  <si>
    <t>Transporte vehículos de acción</t>
  </si>
  <si>
    <t>Transporte equipos especiales (gruas, construcciones luces, etc)</t>
  </si>
  <si>
    <t>TOTAL RUBRO 20</t>
  </si>
  <si>
    <t>FUERZA MOTRIZ</t>
  </si>
  <si>
    <t>ALQUILER GENERADOR</t>
  </si>
  <si>
    <t>COMBUSTIBLE GENERADOR</t>
  </si>
  <si>
    <t>COMBUSTIBLE PARA RODADOS</t>
  </si>
  <si>
    <t xml:space="preserve"> </t>
  </si>
  <si>
    <t>TOTAL RUBRO 21</t>
  </si>
  <si>
    <t>COMIDAS y ALOJAMIENTOS</t>
  </si>
  <si>
    <t xml:space="preserve">SERVICIO DE CATERING  (Desayuno y Almuerzo ) </t>
  </si>
  <si>
    <t>Comidas x día</t>
  </si>
  <si>
    <t>Días rodaje</t>
  </si>
  <si>
    <t xml:space="preserve">PERSONAL TECNICO, ARTISTICO, CHOFERES, SEGURIDAD,  etc. </t>
  </si>
  <si>
    <t xml:space="preserve">Sem. </t>
  </si>
  <si>
    <t>TOTAL RUBRO 22</t>
  </si>
  <si>
    <t>Mes</t>
  </si>
  <si>
    <t xml:space="preserve">ADMINISTRACION. Control de Costos. </t>
  </si>
  <si>
    <t xml:space="preserve">CADETERIA Y MENSAJERIA </t>
  </si>
  <si>
    <t xml:space="preserve">UTILES DE OFICINA </t>
  </si>
  <si>
    <r>
      <rPr>
        <b/>
        <sz val="10"/>
        <rFont val="Arial"/>
        <family val="2"/>
      </rPr>
      <t>TELEFONIA MOVIL</t>
    </r>
    <r>
      <rPr>
        <i/>
        <sz val="10"/>
        <rFont val="Arial"/>
        <family val="2"/>
      </rPr>
      <t xml:space="preserve"> (promedio mensual, incluye celurares en rodaje)</t>
    </r>
  </si>
  <si>
    <t>TOTAL RUBRO 23</t>
  </si>
  <si>
    <t>SEGUROS</t>
  </si>
  <si>
    <t>ACCIDENTES PERSONALES</t>
  </si>
  <si>
    <t>TOTAL RUBRO 24</t>
  </si>
  <si>
    <t>SEGURIDAD</t>
  </si>
  <si>
    <t>OTROS (AMBULANCIA, MEDICOS)</t>
  </si>
  <si>
    <t>TOTAL RUBRO 25</t>
  </si>
  <si>
    <r>
      <rPr>
        <b/>
        <sz val="10"/>
        <rFont val="Arial"/>
        <family val="2"/>
      </rPr>
      <t xml:space="preserve">EDITORES DE DIALOGOS / AMBIENTES / EFECTOS </t>
    </r>
  </si>
  <si>
    <t>JEFE/A DE PRODUCCIÓN</t>
  </si>
  <si>
    <t>ASISTENTE DE PRODUCCIÓN</t>
  </si>
  <si>
    <t>AYUDANTE DE PRODUCCIÓN</t>
  </si>
  <si>
    <t>JEFE/A DE LOCACIONES</t>
  </si>
  <si>
    <t>ASISTENTE DE DIRECCIÓN</t>
  </si>
  <si>
    <t>CONTINUISTA / SCRIPT</t>
  </si>
  <si>
    <t>1º AYUDANTE DE DIRECCIÓN</t>
  </si>
  <si>
    <t>2º AYUDANTE DE DIRECCIÓN</t>
  </si>
  <si>
    <t>DIRECCIÓN DE CASTING</t>
  </si>
  <si>
    <t>DIRECCIÓN DE FOTOGRAFÍA</t>
  </si>
  <si>
    <t>TÉCNICO/A HD</t>
  </si>
  <si>
    <t>CAMARÓGRAFO/A</t>
  </si>
  <si>
    <t>1º AYUDANTE DE CÁMARA</t>
  </si>
  <si>
    <t>2º AYUDANTE DE CÁMARA</t>
  </si>
  <si>
    <t>FOTÓGRAFO/A DE FILMACIÓN</t>
  </si>
  <si>
    <t>JEFE/A REFLECTORISTA</t>
  </si>
  <si>
    <t>OPERADOR/A DE GENERADOR</t>
  </si>
  <si>
    <t>DIRECCIÓN DE ARTE</t>
  </si>
  <si>
    <t>ESCENÓGRAFO/A</t>
  </si>
  <si>
    <t>AYUDANTE DE ESCENOGRAFÍA</t>
  </si>
  <si>
    <t>MODISTO/A</t>
  </si>
  <si>
    <t>UTILERO/A - CARPINTERO/A</t>
  </si>
  <si>
    <t>ASISTENTE DE UTILERO</t>
  </si>
  <si>
    <t>REALIZADOR/A</t>
  </si>
  <si>
    <t>JEFE/A DE MAQUILLAJE</t>
  </si>
  <si>
    <t>PEINADOR/A</t>
  </si>
  <si>
    <t>AYTE. DE MAQUILLAJE / PEINADO</t>
  </si>
  <si>
    <t>DIRECCIÓN DE SONIDO</t>
  </si>
  <si>
    <t>AYUDANTE DE SONIDO</t>
  </si>
  <si>
    <t>DIRECCIÓN DE SONIDO POST / MEZCLADOR/A</t>
  </si>
  <si>
    <t>EDITOR/A DE DIALOGOS</t>
  </si>
  <si>
    <t>EDITOR/A DE AMBIENTES Y EFECTOS</t>
  </si>
  <si>
    <t>COMPAGINADOR/A</t>
  </si>
  <si>
    <t>AYUDANTE DE COMPAGINACIÓN</t>
  </si>
  <si>
    <t>CORTADOR/A DE NEGATIVOS</t>
  </si>
  <si>
    <t>APRENDIZ</t>
  </si>
  <si>
    <t>Bolo</t>
  </si>
  <si>
    <t>Bolo Calificado</t>
  </si>
  <si>
    <t>H Extra Noche</t>
  </si>
  <si>
    <t>Planillero</t>
  </si>
  <si>
    <t>Bolo Especial</t>
  </si>
  <si>
    <t>Bolo Menor de hasta 15 años</t>
  </si>
  <si>
    <t>Pedido de Vestuario / Prueba Vestuario hasta 1 h</t>
  </si>
  <si>
    <t>Hora Extra Diurna</t>
  </si>
  <si>
    <t>EXTRAS SUTEP</t>
  </si>
  <si>
    <t>%</t>
  </si>
  <si>
    <t>Bolo COMUN</t>
  </si>
  <si>
    <t>CLASIFICACIÓN</t>
  </si>
  <si>
    <t>VALOR A</t>
  </si>
  <si>
    <t>VALOR B</t>
  </si>
  <si>
    <t>VALOR C</t>
  </si>
  <si>
    <t>VALOR P</t>
  </si>
  <si>
    <t> PELÍCULAS CINEMATOGRÁFICAS DE LARGOMETRAJE</t>
  </si>
  <si>
    <t>* Las que excedan 60 minutos de duración.</t>
  </si>
  <si>
    <t xml:space="preserve">BOLOS MAYORES y MENORES </t>
  </si>
  <si>
    <r>
      <t>VAC</t>
    </r>
    <r>
      <rPr>
        <sz val="9"/>
        <rFont val="Arial"/>
        <family val="2"/>
      </rPr>
      <t xml:space="preserve"> (Total Bruto / cantidad de semanas / 5) x (días corridos de contrato / 20)</t>
    </r>
  </si>
  <si>
    <t>SONIDISTA (en RODAJE)</t>
  </si>
  <si>
    <t>APRENDIZ (3)  Resol. INCAA (dif. AREAS)</t>
  </si>
  <si>
    <t xml:space="preserve">Secundario 2da. Categoría (Mínimo AAA x 8 semanas) x 2 </t>
  </si>
  <si>
    <t xml:space="preserve">SUBTOTAL LOCACIONES </t>
  </si>
  <si>
    <t>Hs. Ex. (x sem)</t>
  </si>
  <si>
    <t xml:space="preserve">OTROS </t>
  </si>
  <si>
    <t xml:space="preserve">EXTRAS por la película (Calificados, Comunes y Planillero) x Citación diferenciada </t>
  </si>
  <si>
    <r>
      <t xml:space="preserve">SICA - </t>
    </r>
    <r>
      <rPr>
        <sz val="10"/>
        <rFont val="Arial"/>
        <family val="2"/>
      </rPr>
      <t>Contribuciones Patronales - 23,3% + 2,4% + ART</t>
    </r>
  </si>
  <si>
    <r>
      <t>SADEM</t>
    </r>
    <r>
      <rPr>
        <sz val="10"/>
        <rFont val="Arial"/>
        <family val="2"/>
      </rPr>
      <t xml:space="preserve"> -Música Original + Músicos- 6 % Aportes (Musicos) + 7% Contribuciones (Productor) </t>
    </r>
  </si>
  <si>
    <t>Hs Extra al 50% Bolo Menor (por hora)</t>
  </si>
  <si>
    <t>Hs Extra al 100% Bolo Menor (por hora)</t>
  </si>
  <si>
    <t>Hs. Extra al 50% Bolo Mayor (por hora)</t>
  </si>
  <si>
    <t>Hs. Extra al 100% Bolo Mayor (por hora)</t>
  </si>
  <si>
    <t>Bolo Menor dia de ensayo/Pr.camara y maquillaje</t>
  </si>
  <si>
    <t>Bolo Mayor dia de ensayo/Pr.camara y maquillaje</t>
  </si>
  <si>
    <t>Prueba de ropa bolo menor</t>
  </si>
  <si>
    <t>Prueba de ropa contrato y bolo mayor</t>
  </si>
  <si>
    <t>Bolo Actor especialista/bailarin profesional</t>
  </si>
  <si>
    <t>Bolo Menor de doblaje por dia</t>
  </si>
  <si>
    <t>Bolo Mayor de doblaje por dia</t>
  </si>
  <si>
    <t>Bolo Menor de filmacion por dia</t>
  </si>
  <si>
    <t>Bolo Mayor de filmacion por dia</t>
  </si>
  <si>
    <t>Hs- Extra al 50% s/contratos (por hora)</t>
  </si>
  <si>
    <t>Hs- Extra al 100% s/contratos (por hora)</t>
  </si>
  <si>
    <t>Rol de 3ra Categoria (Contrato h/8 sem)</t>
  </si>
  <si>
    <t>Rol de 2da Categoria (Contrato h/8 sem)</t>
  </si>
  <si>
    <t>Rol de 1ra Categoria (Contrato h/ 8 sem)</t>
  </si>
  <si>
    <t>Asociacion Argentina de Actores</t>
  </si>
  <si>
    <t>Director de puesta en escena Equip.A 1ra Categoria (Contrato h/8 sem)</t>
  </si>
  <si>
    <t>Pedido de Vestuario de  1 a 4 horas</t>
  </si>
  <si>
    <t>Hora Extra Nocturna</t>
  </si>
  <si>
    <t>Bolo del Menor un 33% por acompañante</t>
  </si>
  <si>
    <t>Bolo Bebe un 33% por acompañante</t>
  </si>
  <si>
    <r>
      <t>LIBRO ORIGINAL</t>
    </r>
    <r>
      <rPr>
        <i/>
        <sz val="10"/>
        <color indexed="10"/>
        <rFont val="Arial"/>
        <family val="2"/>
      </rPr>
      <t xml:space="preserve"> </t>
    </r>
  </si>
  <si>
    <t>Hs. Extras Diurnas (2hs x Extra)</t>
  </si>
  <si>
    <t xml:space="preserve">MATERIAL ELECTRICO y GRIP </t>
  </si>
  <si>
    <t>Departamento de Producción 2 (S/Chofer) Incluye KM</t>
  </si>
  <si>
    <t>Preproducción (Chequeo y Preiluminacion)</t>
  </si>
  <si>
    <t>Preproducción(Chequeo y Preiluminacion)</t>
  </si>
  <si>
    <t>Preproducción(Scouting y Preiluminacion)</t>
  </si>
  <si>
    <t>Preproducción (Chequeo,Scouting y Preiluminacion)</t>
  </si>
  <si>
    <t>Preproducción (Chequeo, Scouting y Preiluminacion)</t>
  </si>
  <si>
    <t>Preproducción (Scouting y Armado de decorado)</t>
  </si>
  <si>
    <t xml:space="preserve">Preproducción </t>
  </si>
  <si>
    <t xml:space="preserve">UTILERO / CARPINTERO </t>
  </si>
  <si>
    <t xml:space="preserve">REALIZACIONES </t>
  </si>
  <si>
    <t>Locación  2</t>
  </si>
  <si>
    <t>Locación  3</t>
  </si>
  <si>
    <t>Locación  4</t>
  </si>
  <si>
    <t>SEGURIDAD PARA FILMACION (incluye Coordinacion) en Locaciones y Exteriores</t>
  </si>
  <si>
    <t>Dias</t>
  </si>
  <si>
    <t xml:space="preserve">UTILERIA / PRODUCCION </t>
  </si>
  <si>
    <t>ALQUILER ESTUDIO</t>
  </si>
  <si>
    <r>
      <t xml:space="preserve">AAA - </t>
    </r>
    <r>
      <rPr>
        <sz val="10"/>
        <rFont val="Arial"/>
        <family val="2"/>
      </rPr>
      <t>Contribuciones  Patronales - 23,3%  + 2,4 % ART</t>
    </r>
  </si>
  <si>
    <r>
      <t xml:space="preserve">SUTEP </t>
    </r>
    <r>
      <rPr>
        <sz val="10"/>
        <rFont val="Arial"/>
        <family val="2"/>
      </rPr>
      <t>15% sobre el Total estimado para los Extras</t>
    </r>
  </si>
  <si>
    <t>Estudio</t>
  </si>
  <si>
    <t>Exteriores</t>
  </si>
  <si>
    <t>Por la película (estimado 20 días citacion de extras)</t>
  </si>
  <si>
    <t>2021 SEPT / DIC</t>
  </si>
  <si>
    <r>
      <t>COMPOSITOR- AUTORIA INTEGRAL</t>
    </r>
    <r>
      <rPr>
        <i/>
        <sz val="10"/>
        <rFont val="Arial"/>
        <family val="2"/>
      </rPr>
      <t xml:space="preserve"> (SADAIC valor P)</t>
    </r>
  </si>
  <si>
    <r>
      <t xml:space="preserve">MUSICA ORIGINAL INCIDENTAL con UN Leimotiv </t>
    </r>
    <r>
      <rPr>
        <i/>
        <sz val="10"/>
        <rFont val="Arial"/>
        <family val="2"/>
      </rPr>
      <t xml:space="preserve"> (SADEM)</t>
    </r>
  </si>
  <si>
    <t xml:space="preserve">MUSICOS (SADEM) Por la pelicula </t>
  </si>
  <si>
    <t>SADAIC</t>
  </si>
  <si>
    <t>a marzo +</t>
  </si>
  <si>
    <t>AYUDANTE DE SONIDO (en RODAJE)</t>
  </si>
  <si>
    <t>ADMINISTRACION  // INCLUYE PROTOCOLO COVID</t>
  </si>
  <si>
    <t>Alquiler de Carpas /Gazebos Rodaje en Exteriores</t>
  </si>
  <si>
    <t>Personal de Limpieza y acondicionamiento de espacios</t>
  </si>
  <si>
    <t>PERMISOS DE RODAJE</t>
  </si>
  <si>
    <t>% sobre el total</t>
  </si>
  <si>
    <r>
      <t xml:space="preserve">EQUIPO TECNICO </t>
    </r>
    <r>
      <rPr>
        <i/>
        <sz val="11"/>
        <color indexed="17"/>
        <rFont val="Arial"/>
        <family val="2"/>
      </rPr>
      <t xml:space="preserve">(Sobre lista SICA Abril/2021) </t>
    </r>
  </si>
  <si>
    <r>
      <t>VAC</t>
    </r>
    <r>
      <rPr>
        <sz val="9"/>
        <color indexed="29"/>
        <rFont val="Arial"/>
        <family val="2"/>
      </rPr>
      <t xml:space="preserve"> (Total Bruto / cantidad de semanas / 5) x (días corridos de contrato / 20)</t>
    </r>
  </si>
  <si>
    <t>CO-DIRECCIÓN</t>
  </si>
  <si>
    <t>COORDINACIÓN DE POSTPRODUCCIÓN</t>
  </si>
  <si>
    <t>SECRETARÍA DE PRODUCCION</t>
  </si>
  <si>
    <t>Total Sobre la Linea (menos Protoc. COVID)</t>
  </si>
  <si>
    <t>10% Rubro Dirección</t>
  </si>
  <si>
    <t>5% Rubro Guion</t>
  </si>
  <si>
    <t>MOZA GUAPA</t>
  </si>
  <si>
    <t>MENOR</t>
  </si>
  <si>
    <t>PERIODISTA 4</t>
  </si>
  <si>
    <t>KRAVITZ</t>
  </si>
  <si>
    <t>SOSA DURAN</t>
  </si>
  <si>
    <t>CHIRINO</t>
  </si>
  <si>
    <t>PERIODISTA</t>
  </si>
  <si>
    <t>ASESOR 1</t>
  </si>
  <si>
    <t>ASESOR 3</t>
  </si>
  <si>
    <t>CORTI</t>
  </si>
  <si>
    <t>MUJER</t>
  </si>
  <si>
    <t>MUJIA</t>
  </si>
  <si>
    <t>2 ESC</t>
  </si>
  <si>
    <t>NICOLAS</t>
  </si>
  <si>
    <t>PEREZ</t>
  </si>
  <si>
    <t>MUJER EMBARAZADA</t>
  </si>
  <si>
    <t>BRIAN</t>
  </si>
  <si>
    <t>ADRIANA</t>
  </si>
  <si>
    <t>GALVAN</t>
  </si>
  <si>
    <t>PRODUCTOR</t>
  </si>
  <si>
    <t>MONROIG</t>
  </si>
  <si>
    <t>VICE</t>
  </si>
  <si>
    <t>POLITICO 1</t>
  </si>
  <si>
    <t>POLITICO 2</t>
  </si>
  <si>
    <t>JEFE DE MARKETING</t>
  </si>
  <si>
    <t>HOMBRE FINANCIERA</t>
  </si>
  <si>
    <t>NOTERA</t>
  </si>
  <si>
    <t>LEGISLADOR</t>
  </si>
  <si>
    <t>CAMPESINO</t>
  </si>
  <si>
    <t>KENT</t>
  </si>
  <si>
    <t>TRADUCTORA SEÑAS</t>
  </si>
  <si>
    <t>COLECCIONISTA</t>
  </si>
  <si>
    <t>CUSTODIO 2</t>
  </si>
  <si>
    <t>FILATELISTA 1</t>
  </si>
  <si>
    <t>CAMILA  / CARLA PETERSON</t>
  </si>
  <si>
    <t>GRIEGO / DIEGO PERETTI</t>
  </si>
  <si>
    <t>RICARDO PRAT  / FERRO</t>
  </si>
  <si>
    <t>JOVEN MARKENTING 1</t>
  </si>
  <si>
    <t>JOVEN MARKENTING 2</t>
  </si>
  <si>
    <t>JOVEN MARKENTING 3</t>
  </si>
  <si>
    <t>WAISNTEIN</t>
  </si>
  <si>
    <t>MUJER PARTIDO CENTRO IZQ</t>
  </si>
  <si>
    <t>PERIODISTA 1</t>
  </si>
  <si>
    <t>PERIODISTA  2</t>
  </si>
  <si>
    <t>ASESOR 2</t>
  </si>
  <si>
    <t>GUIA JAPONESSA</t>
  </si>
  <si>
    <t>GUARDIA SEGURIDAD</t>
  </si>
  <si>
    <t>ALUMNO FACULTAD 1</t>
  </si>
  <si>
    <t>ALUMNO FACULTAD 2</t>
  </si>
  <si>
    <t>ALUMNO FACULTAD 3</t>
  </si>
  <si>
    <t>ALUMNO FACULTAD4</t>
  </si>
  <si>
    <t>POLITICO 3</t>
  </si>
  <si>
    <t>PUEBLERINO</t>
  </si>
  <si>
    <t>COLABORADOR</t>
  </si>
  <si>
    <t>ASESOR  / OTRO</t>
  </si>
  <si>
    <t>SECRETARIO</t>
  </si>
  <si>
    <t>FILATELISTA 2</t>
  </si>
  <si>
    <t>CUSTODIO 1</t>
  </si>
  <si>
    <t>CANDIDO / MARTIN SLIPAK</t>
  </si>
  <si>
    <t>HUGO / PORTALUPPI</t>
  </si>
  <si>
    <t>Bolos menores (29)</t>
  </si>
  <si>
    <t>ELENCO tercera</t>
  </si>
  <si>
    <t>Tercera 3ra. Categoría (Mínimo AAA x 8 semanas) x5</t>
  </si>
  <si>
    <r>
      <rPr>
        <sz val="10"/>
        <rFont val="Arial"/>
        <family val="2"/>
      </rPr>
      <t>Protagónico 1ra Categoría (Mínimo AAA x 8 semanas) 1</t>
    </r>
    <r>
      <rPr>
        <sz val="10"/>
        <color indexed="49"/>
        <rFont val="Arial"/>
        <family val="2"/>
      </rPr>
      <t xml:space="preserve">  FERRO</t>
    </r>
  </si>
  <si>
    <t>INCLUSIONES</t>
  </si>
  <si>
    <t>DERECHOS - INCLUSIONES (SADAIC)  SHINE</t>
  </si>
  <si>
    <t>TRADUCCIONES / SUBT / CC para deliveries</t>
  </si>
  <si>
    <t>6 meses</t>
  </si>
  <si>
    <t>ASISTENTE DE GRIP / refuerzo</t>
  </si>
  <si>
    <t>REFLECTORISTA / refuerzo</t>
  </si>
  <si>
    <t>x3</t>
  </si>
  <si>
    <t xml:space="preserve">REFLECTORISTA </t>
  </si>
  <si>
    <t>AYUDANTE DE VESTUARIO / refuerzo</t>
  </si>
  <si>
    <t xml:space="preserve">ELENCO </t>
  </si>
  <si>
    <t>Bolos Mayores (60)</t>
  </si>
  <si>
    <t>EXTRAS - TOTAL 400</t>
  </si>
  <si>
    <t>AAA - Aportes sumados en el Bruto AAA  (p/ Elenco extranjero en Co-Prod. + 12% s/ el Contrato declarado) NO hay</t>
  </si>
  <si>
    <t>SICA - Aportes sumados en el Bruto SICA  fondo gremial</t>
  </si>
  <si>
    <t>DESDE febrero 2022</t>
  </si>
  <si>
    <t xml:space="preserve">MATERIAL PARA SONIDO </t>
  </si>
  <si>
    <t>OTROS MATERIALES / LTO back up</t>
  </si>
  <si>
    <t>OTROS -</t>
  </si>
  <si>
    <t>Drone</t>
  </si>
  <si>
    <t>SEGUROS EQUIPOS / LOCACIONES / RESPOSABILIDAD CIVIL</t>
  </si>
  <si>
    <t>SEGURIDAD en  BIENES</t>
  </si>
  <si>
    <t xml:space="preserve"> BASE: Lunes a Viernes 8,45 hs diarias + 2.15hs extras diarias = 11hs totales (Algunos técnicos tiene mayor cantidad de Hs. Ex. x citaciones diferenciadas) + 2hs extras por semana general</t>
  </si>
  <si>
    <t>MARZO 2022</t>
  </si>
  <si>
    <t>Por todos  servicios item 1 se cotiza la suma global de:</t>
  </si>
  <si>
    <t>MONITOREO Y ACCESORIOS</t>
  </si>
  <si>
    <t>CAMARA  Y LENTES</t>
  </si>
  <si>
    <t>CAMARA Y SONIDO</t>
  </si>
  <si>
    <t xml:space="preserve">Km excententes viaje </t>
  </si>
  <si>
    <t>Locación Oficina</t>
  </si>
  <si>
    <t>Locación 5</t>
  </si>
  <si>
    <t>Locación  6</t>
  </si>
  <si>
    <t>Locación  7</t>
  </si>
  <si>
    <t>Otras Locaciones x     25</t>
  </si>
  <si>
    <t>SUBTOTAL US</t>
  </si>
  <si>
    <t>OTROS - Escribanía + Gastos + Bancarios</t>
  </si>
  <si>
    <r>
      <t>DIRECCIÓN</t>
    </r>
    <r>
      <rPr>
        <i/>
        <sz val="10"/>
        <rFont val="Arial"/>
        <family val="2"/>
      </rPr>
      <t xml:space="preserve"> </t>
    </r>
  </si>
  <si>
    <r>
      <t xml:space="preserve">PRODUCCIÓN EJECUTIVA </t>
    </r>
    <r>
      <rPr>
        <i/>
        <sz val="10"/>
        <rFont val="Arial"/>
        <family val="2"/>
      </rPr>
      <t/>
    </r>
  </si>
  <si>
    <t>GUION</t>
  </si>
  <si>
    <t>MIGUEL / GUILLERMO ARENGO</t>
  </si>
  <si>
    <t>DOMENECH  JORGE D'ELIA</t>
  </si>
  <si>
    <t>Extras</t>
  </si>
  <si>
    <t>Cachet total</t>
  </si>
  <si>
    <t>80.000 USD</t>
  </si>
  <si>
    <t>110000 USD</t>
  </si>
  <si>
    <t xml:space="preserve"> 1MM por AAA el resto en billete dólar</t>
  </si>
  <si>
    <t>ANALISTA FILOSOFICO</t>
  </si>
  <si>
    <t>FERROX  AFUERA</t>
  </si>
  <si>
    <t>X AFUERA</t>
  </si>
  <si>
    <t>DERECHOS - INCLUSIONES (SADAIC)   TEMA DE CREDITOS</t>
  </si>
  <si>
    <r>
      <t>CONTRATACION EFECTOS ESPECIALES</t>
    </r>
    <r>
      <rPr>
        <sz val="10"/>
        <rFont val="Arial"/>
        <family val="2"/>
      </rPr>
      <t xml:space="preserve"> </t>
    </r>
  </si>
  <si>
    <t xml:space="preserve">Km excententes viaje  </t>
  </si>
  <si>
    <t>1 Mothor  Peterson / 1 mothor Peretti  1 mothor resto del elenco</t>
  </si>
  <si>
    <r>
      <rPr>
        <sz val="10"/>
        <rFont val="Arial"/>
        <family val="2"/>
      </rPr>
      <t>Protagónico 1ra Categoría (Mínimo AAA x 8 semanas) 1  PERETTI</t>
    </r>
  </si>
  <si>
    <r>
      <rPr>
        <sz val="10"/>
        <rFont val="Arial"/>
        <family val="2"/>
      </rPr>
      <t>Protagónico 1ra Categoría (Mínimo AAA x 8 semanas) 1  PETERSON</t>
    </r>
  </si>
  <si>
    <t xml:space="preserve"> Pagos en USD</t>
  </si>
  <si>
    <t>FEE 10%</t>
  </si>
  <si>
    <t>TOTAL FINAL USD</t>
  </si>
  <si>
    <t>ADMINISTRACION</t>
  </si>
  <si>
    <t xml:space="preserve"> DIRECCIÓN </t>
  </si>
  <si>
    <t xml:space="preserve">LIBRO / ARGUMENTO / GUION </t>
  </si>
  <si>
    <t>TOTAL USD</t>
  </si>
  <si>
    <t xml:space="preserve">DCP </t>
  </si>
  <si>
    <t>1 MASTER DCP QUBE 2K V.O.</t>
  </si>
  <si>
    <t xml:space="preserve"> 1 MASTER DCP QUBE 2K V.S.I. </t>
  </si>
  <si>
    <t>DCP Versión Original (datos) / Quick Time HD 25 fps sonido estéreo / Secuencia DPX / Pack de sonido (provisto por el cliente)</t>
  </si>
  <si>
    <t>Sub TOTAL</t>
  </si>
  <si>
    <t>COMPRAS INSUMOS VESTUARIO y OTROS (Percheros, etiquetas, fundas,  vs.)</t>
  </si>
  <si>
    <t>3 Protagónicos</t>
  </si>
  <si>
    <t>2 Secundarios</t>
  </si>
  <si>
    <t xml:space="preserve">5 Tercera Cat </t>
  </si>
  <si>
    <t xml:space="preserve">GRUA con operador </t>
  </si>
  <si>
    <t>TOTAL ARS $</t>
  </si>
  <si>
    <t>DIF</t>
  </si>
  <si>
    <t>SHERIFF COVID</t>
  </si>
  <si>
    <t>UNIDAD</t>
  </si>
  <si>
    <t>Incluye pre , rodaje y post</t>
  </si>
  <si>
    <t>PROTOCOLO COVID</t>
  </si>
  <si>
    <t>ANTIGENOS elenco y extras</t>
  </si>
  <si>
    <t>PCR ep tec</t>
  </si>
  <si>
    <t>PRE</t>
  </si>
  <si>
    <t>POS</t>
  </si>
  <si>
    <t>FINANCIERO POR ETAPAS  en ARS$</t>
  </si>
  <si>
    <t xml:space="preserve">TOTALES </t>
  </si>
  <si>
    <t>FINANCIERO POR ETAPAS USD</t>
  </si>
  <si>
    <t>USD TC $140</t>
  </si>
  <si>
    <t>Pago USD Elenco</t>
  </si>
  <si>
    <t>Fee Producción</t>
  </si>
  <si>
    <t>FEE</t>
  </si>
  <si>
    <t>15% aumento</t>
  </si>
  <si>
    <t>TC $180</t>
  </si>
  <si>
    <t>E&amp;O</t>
  </si>
  <si>
    <t>TC $150</t>
  </si>
  <si>
    <t xml:space="preserve">TC </t>
  </si>
  <si>
    <t xml:space="preserve">EQUIPO TECNICO </t>
  </si>
  <si>
    <t>VFX</t>
  </si>
  <si>
    <t>SUBTOTAL EN USD  TC $160</t>
  </si>
  <si>
    <t>USD TC $113</t>
  </si>
  <si>
    <t>COVID</t>
  </si>
  <si>
    <t>SEGUROS Y COVID</t>
  </si>
  <si>
    <t>SICA HASTA 31 de Marzo 2022  x 8:45 hs diarias+15% previsto</t>
  </si>
  <si>
    <t>FLETES (Camión Mediano)  - 5 hsx día a $4500 x Hora</t>
  </si>
  <si>
    <t>Aytes (carga y descarga) 2 personas - Mínimo 5 hs x día a $ 800.- x Hora</t>
  </si>
  <si>
    <t xml:space="preserve">30 equipos Motorola ep-450 + Accesorios, cargadores, Baterías, </t>
  </si>
  <si>
    <t xml:space="preserve">63kva trifasico EN EQUIPAMIENTO </t>
  </si>
  <si>
    <t xml:space="preserve">PRE 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</si>
  <si>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</si>
  <si>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</si>
  <si>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</si>
  <si>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</si>
  <si>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</si>
  <si>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</si>
  <si>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</si>
  <si>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</si>
  <si>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Post</t>
  </si>
  <si>
    <t>Semana 9</t>
  </si>
  <si>
    <t>Semana 10</t>
  </si>
  <si>
    <t>Semana 11</t>
  </si>
  <si>
    <t>Semana 12</t>
  </si>
  <si>
    <t>Semana 13</t>
  </si>
  <si>
    <t>Semana 14</t>
  </si>
  <si>
    <t>Julio</t>
  </si>
  <si>
    <t>Agosto</t>
  </si>
  <si>
    <t>Septiembre</t>
  </si>
  <si>
    <t>Octubre</t>
  </si>
  <si>
    <t>Noviembre</t>
  </si>
  <si>
    <t>Diciembre</t>
  </si>
  <si>
    <t xml:space="preserve">PRESUPUESTO                                                         EL GRAN FABULADOR                                                 </t>
  </si>
  <si>
    <r>
      <rPr>
        <sz val="10"/>
        <rFont val="Arial"/>
        <family val="2"/>
      </rPr>
      <t>VAC</t>
    </r>
    <r>
      <rPr>
        <sz val="9"/>
        <rFont val="Arial"/>
        <family val="2"/>
      </rPr>
      <t xml:space="preserve"> (Total Bruto / cantidad de semanas / 5) x (días corridos de contrato / 20)</t>
    </r>
  </si>
  <si>
    <t>EL GRAN FABULADOR</t>
  </si>
  <si>
    <t>DOBLAJES</t>
  </si>
  <si>
    <t>Minutos</t>
  </si>
  <si>
    <t>Sub Total Ars</t>
  </si>
  <si>
    <t>Portugues</t>
  </si>
  <si>
    <t>Ingles</t>
  </si>
  <si>
    <t>Español</t>
  </si>
  <si>
    <t>Traduccion Portugues</t>
  </si>
  <si>
    <t>Palabras</t>
  </si>
  <si>
    <t>Traduccion Ingles</t>
  </si>
  <si>
    <t>Traduccion Castellano a Español</t>
  </si>
  <si>
    <t>Subtitulado Portugues</t>
  </si>
  <si>
    <t>Subtitulado Ingles</t>
  </si>
  <si>
    <t>Subtitulado Español</t>
  </si>
  <si>
    <t xml:space="preserve">El Gran Fabulador </t>
  </si>
  <si>
    <t>32 jornadas ultima version , sin viaje con fechas de Carla y Diego</t>
  </si>
  <si>
    <r>
      <rPr>
        <sz val="9"/>
        <color theme="1"/>
        <rFont val="Times New Roman"/>
        <family val="1"/>
      </rPr>
      <t>Start</t>
    </r>
  </si>
  <si>
    <r>
      <rPr>
        <sz val="9"/>
        <color theme="1"/>
        <rFont val="Times New Roman"/>
        <family val="1"/>
      </rPr>
      <t>Finish</t>
    </r>
  </si>
  <si>
    <t>TOTAL jornadas</t>
  </si>
  <si>
    <t>Inicio pre 8 Semanas</t>
  </si>
  <si>
    <t>#</t>
  </si>
  <si>
    <t>cast y bolos</t>
  </si>
  <si>
    <t>Fecha solicitada por Diego: finalizar el 21 de octubre y tenemos hasta el 26 de backup. AL CORRER LA FECHA DE INICIO, TOMAMOS EL LUNES 24 DEL BACKUP.  Sin fecha determinada de inicio</t>
  </si>
  <si>
    <t>Inicio pre 6 Semanas</t>
  </si>
  <si>
    <t>El Griego (50)</t>
  </si>
  <si>
    <r>
      <rPr>
        <sz val="9"/>
        <color theme="1"/>
        <rFont val="Times New Roman"/>
        <family val="1"/>
      </rPr>
      <t>20/09</t>
    </r>
  </si>
  <si>
    <r>
      <rPr>
        <sz val="9"/>
        <color theme="1"/>
        <rFont val="Times New Roman"/>
        <family val="1"/>
      </rPr>
      <t>24/10</t>
    </r>
  </si>
  <si>
    <t>INICIO GRAB</t>
  </si>
  <si>
    <r>
      <rPr>
        <sz val="9"/>
        <color theme="1"/>
        <rFont val="Times New Roman"/>
        <family val="1"/>
      </rPr>
      <t>Ricardo Prat (50)</t>
    </r>
  </si>
  <si>
    <r>
      <rPr>
        <sz val="9"/>
        <color theme="1"/>
        <rFont val="Times New Roman"/>
        <family val="1"/>
      </rPr>
      <t>02/11</t>
    </r>
  </si>
  <si>
    <t>Fin Grabacion</t>
  </si>
  <si>
    <r>
      <rPr>
        <sz val="9"/>
        <color theme="1"/>
        <rFont val="Times New Roman"/>
        <family val="1"/>
      </rPr>
      <t>Camila (45)</t>
    </r>
  </si>
  <si>
    <r>
      <rPr>
        <sz val="9"/>
        <color theme="1"/>
        <rFont val="Times New Roman"/>
        <family val="1"/>
      </rPr>
      <t>06/10</t>
    </r>
  </si>
  <si>
    <t xml:space="preserve">Fechas Carla: Disponible desde el 26 de septiembre para pre produccion, desde Octubre disponible para grabar. Sin fecha de cierre. </t>
  </si>
  <si>
    <r>
      <rPr>
        <sz val="9"/>
        <color theme="1"/>
        <rFont val="Times New Roman"/>
        <family val="1"/>
      </rPr>
      <t>Miguel Prat (55)</t>
    </r>
  </si>
  <si>
    <r>
      <rPr>
        <sz val="9"/>
        <color theme="1"/>
        <rFont val="Times New Roman"/>
        <family val="1"/>
      </rPr>
      <t>19/09</t>
    </r>
  </si>
  <si>
    <r>
      <rPr>
        <sz val="9"/>
        <color theme="1"/>
        <rFont val="Times New Roman"/>
        <family val="1"/>
      </rPr>
      <t>Jorge Domenech (75)</t>
    </r>
  </si>
  <si>
    <r>
      <rPr>
        <sz val="9"/>
        <color theme="1"/>
        <rFont val="Times New Roman"/>
        <family val="1"/>
      </rPr>
      <t>26/09</t>
    </r>
  </si>
  <si>
    <r>
      <rPr>
        <sz val="9"/>
        <color theme="1"/>
        <rFont val="Times New Roman"/>
        <family val="1"/>
      </rPr>
      <t>26/10</t>
    </r>
  </si>
  <si>
    <r>
      <rPr>
        <sz val="9"/>
        <color theme="1"/>
        <rFont val="Times New Roman"/>
        <family val="1"/>
      </rPr>
      <t>Kravitz (50)</t>
    </r>
  </si>
  <si>
    <r>
      <rPr>
        <sz val="9"/>
        <color theme="1"/>
        <rFont val="Times New Roman"/>
        <family val="1"/>
      </rPr>
      <t>30/09</t>
    </r>
  </si>
  <si>
    <r>
      <rPr>
        <sz val="9"/>
        <color theme="1"/>
        <rFont val="Times New Roman"/>
        <family val="1"/>
      </rPr>
      <t>Chirino</t>
    </r>
  </si>
  <si>
    <r>
      <rPr>
        <sz val="9"/>
        <color theme="1"/>
        <rFont val="Times New Roman"/>
        <family val="1"/>
      </rPr>
      <t>25/10</t>
    </r>
  </si>
  <si>
    <r>
      <rPr>
        <sz val="9"/>
        <color theme="1"/>
        <rFont val="Times New Roman"/>
        <family val="1"/>
      </rPr>
      <t>Hugo (50)</t>
    </r>
  </si>
  <si>
    <r>
      <rPr>
        <sz val="9"/>
        <color theme="1"/>
        <rFont val="Times New Roman"/>
        <family val="1"/>
      </rPr>
      <t>22/09</t>
    </r>
  </si>
  <si>
    <r>
      <rPr>
        <sz val="9"/>
        <color theme="1"/>
        <rFont val="Times New Roman"/>
        <family val="1"/>
      </rPr>
      <t>01/11</t>
    </r>
  </si>
  <si>
    <r>
      <rPr>
        <sz val="9"/>
        <color theme="1"/>
        <rFont val="Times New Roman"/>
        <family val="1"/>
      </rPr>
      <t>Cândido (25/30)</t>
    </r>
  </si>
  <si>
    <r>
      <rPr>
        <sz val="9"/>
        <color theme="1"/>
        <rFont val="Times New Roman"/>
        <family val="1"/>
      </rPr>
      <t>Perez (40)</t>
    </r>
  </si>
  <si>
    <r>
      <rPr>
        <sz val="9"/>
        <color theme="1"/>
        <rFont val="Times New Roman"/>
        <family val="1"/>
      </rPr>
      <t>Corti (55)</t>
    </r>
  </si>
  <si>
    <r>
      <rPr>
        <sz val="9"/>
        <color theme="1"/>
        <rFont val="Times New Roman"/>
        <family val="1"/>
      </rPr>
      <t>27/10</t>
    </r>
  </si>
  <si>
    <r>
      <rPr>
        <sz val="9"/>
        <color theme="1"/>
        <rFont val="Times New Roman"/>
        <family val="1"/>
      </rPr>
      <t>28/10</t>
    </r>
  </si>
  <si>
    <r>
      <rPr>
        <sz val="9"/>
        <color theme="1"/>
        <rFont val="Times New Roman"/>
        <family val="1"/>
      </rPr>
      <t>Adriana</t>
    </r>
  </si>
  <si>
    <r>
      <rPr>
        <sz val="9"/>
        <color theme="1"/>
        <rFont val="Times New Roman"/>
        <family val="1"/>
      </rPr>
      <t>14/10</t>
    </r>
  </si>
  <si>
    <r>
      <rPr>
        <sz val="9"/>
        <color theme="1"/>
        <rFont val="Times New Roman"/>
        <family val="1"/>
      </rPr>
      <t>Ciarlo(75)</t>
    </r>
  </si>
  <si>
    <r>
      <rPr>
        <sz val="9"/>
        <color theme="1"/>
        <rFont val="Times New Roman"/>
        <family val="1"/>
      </rPr>
      <t>23/09</t>
    </r>
  </si>
  <si>
    <r>
      <rPr>
        <sz val="9"/>
        <color theme="1"/>
        <rFont val="Times New Roman"/>
        <family val="1"/>
      </rPr>
      <t>Sosa Duran(60)</t>
    </r>
  </si>
  <si>
    <r>
      <rPr>
        <sz val="9"/>
        <color theme="1"/>
        <rFont val="Times New Roman"/>
        <family val="1"/>
      </rPr>
      <t>Asesor 1</t>
    </r>
  </si>
  <si>
    <r>
      <rPr>
        <sz val="9"/>
        <color theme="1"/>
        <rFont val="Times New Roman"/>
        <family val="1"/>
      </rPr>
      <t>05/10</t>
    </r>
  </si>
  <si>
    <r>
      <rPr>
        <sz val="9"/>
        <color theme="1"/>
        <rFont val="Times New Roman"/>
        <family val="1"/>
      </rPr>
      <t>Asesor 2</t>
    </r>
  </si>
  <si>
    <r>
      <rPr>
        <sz val="9"/>
        <color theme="1"/>
        <rFont val="Times New Roman"/>
        <family val="1"/>
      </rPr>
      <t>Asesor 3</t>
    </r>
  </si>
  <si>
    <r>
      <rPr>
        <sz val="9"/>
        <color theme="1"/>
        <rFont val="Times New Roman"/>
        <family val="1"/>
      </rPr>
      <t>Veronica Galvan (30)</t>
    </r>
  </si>
  <si>
    <r>
      <rPr>
        <sz val="9"/>
        <color theme="1"/>
        <rFont val="Times New Roman"/>
        <family val="1"/>
      </rPr>
      <t>21/09</t>
    </r>
  </si>
  <si>
    <r>
      <rPr>
        <sz val="9"/>
        <color theme="1"/>
        <rFont val="Times New Roman"/>
        <family val="1"/>
      </rPr>
      <t>Mujia (72)</t>
    </r>
  </si>
  <si>
    <r>
      <rPr>
        <sz val="9"/>
        <color theme="1"/>
        <rFont val="Times New Roman"/>
        <family val="1"/>
      </rPr>
      <t>Wainstein (80)</t>
    </r>
  </si>
  <si>
    <r>
      <rPr>
        <sz val="9"/>
        <color theme="1"/>
        <rFont val="Times New Roman"/>
        <family val="1"/>
      </rPr>
      <t>Braian</t>
    </r>
  </si>
  <si>
    <r>
      <rPr>
        <sz val="9"/>
        <color theme="1"/>
        <rFont val="Times New Roman"/>
        <family val="1"/>
      </rPr>
      <t>31/10</t>
    </r>
  </si>
  <si>
    <r>
      <rPr>
        <sz val="9"/>
        <color theme="1"/>
        <rFont val="Times New Roman"/>
        <family val="1"/>
      </rPr>
      <t>Kent (60)</t>
    </r>
  </si>
  <si>
    <r>
      <rPr>
        <sz val="9"/>
        <color theme="1"/>
        <rFont val="Times New Roman"/>
        <family val="1"/>
      </rPr>
      <t>Monroig (60)</t>
    </r>
  </si>
  <si>
    <r>
      <rPr>
        <sz val="9"/>
        <color theme="1"/>
        <rFont val="Times New Roman"/>
        <family val="1"/>
      </rPr>
      <t>20/10</t>
    </r>
  </si>
  <si>
    <r>
      <rPr>
        <sz val="9"/>
        <color theme="1"/>
        <rFont val="Times New Roman"/>
        <family val="1"/>
      </rPr>
      <t>Analista Filosofico</t>
    </r>
  </si>
  <si>
    <r>
      <rPr>
        <sz val="9"/>
        <color theme="1"/>
        <rFont val="Times New Roman"/>
        <family val="1"/>
      </rPr>
      <t>Angel de Brito</t>
    </r>
  </si>
  <si>
    <r>
      <rPr>
        <sz val="9"/>
        <color theme="1"/>
        <rFont val="Times New Roman"/>
        <family val="1"/>
      </rPr>
      <t>03/11</t>
    </r>
  </si>
  <si>
    <r>
      <rPr>
        <sz val="9"/>
        <color theme="1"/>
        <rFont val="Times New Roman"/>
        <family val="1"/>
      </rPr>
      <t>Campesino Penaloza</t>
    </r>
  </si>
  <si>
    <r>
      <rPr>
        <sz val="9"/>
        <color theme="1"/>
        <rFont val="Times New Roman"/>
        <family val="1"/>
      </rPr>
      <t>19/10</t>
    </r>
  </si>
  <si>
    <r>
      <rPr>
        <sz val="9"/>
        <color theme="1"/>
        <rFont val="Times New Roman"/>
        <family val="1"/>
      </rPr>
      <t>Guia turista Japonesa (50)</t>
    </r>
  </si>
  <si>
    <r>
      <rPr>
        <sz val="9"/>
        <color theme="1"/>
        <rFont val="Times New Roman"/>
        <family val="1"/>
      </rPr>
      <t>29/09</t>
    </r>
  </si>
  <si>
    <r>
      <rPr>
        <sz val="9"/>
        <color theme="1"/>
        <rFont val="Times New Roman"/>
        <family val="1"/>
      </rPr>
      <t>Hombre Xilmeg</t>
    </r>
  </si>
  <si>
    <r>
      <rPr>
        <sz val="9"/>
        <color theme="1"/>
        <rFont val="Times New Roman"/>
        <family val="1"/>
      </rPr>
      <t>Jefe de Marketing</t>
    </r>
  </si>
  <si>
    <r>
      <rPr>
        <sz val="9"/>
        <color theme="1"/>
        <rFont val="Times New Roman"/>
        <family val="1"/>
      </rPr>
      <t>Legislador</t>
    </r>
  </si>
  <si>
    <r>
      <rPr>
        <sz val="9"/>
        <color theme="1"/>
        <rFont val="Times New Roman"/>
        <family val="1"/>
      </rPr>
      <t>Legislador Catamarca</t>
    </r>
  </si>
  <si>
    <r>
      <rPr>
        <sz val="9"/>
        <color theme="1"/>
        <rFont val="Times New Roman"/>
        <family val="1"/>
      </rPr>
      <t>Moza guapa</t>
    </r>
  </si>
  <si>
    <r>
      <rPr>
        <sz val="9"/>
        <color theme="1"/>
        <rFont val="Times New Roman"/>
        <family val="1"/>
      </rPr>
      <t>mujer embarazada</t>
    </r>
  </si>
  <si>
    <r>
      <rPr>
        <sz val="9"/>
        <color theme="1"/>
        <rFont val="Times New Roman"/>
        <family val="1"/>
      </rPr>
      <t>Mujer Penaolza</t>
    </r>
  </si>
  <si>
    <r>
      <rPr>
        <sz val="9"/>
        <color theme="1"/>
        <rFont val="Times New Roman"/>
        <family val="1"/>
      </rPr>
      <t>Panelista 48b</t>
    </r>
  </si>
  <si>
    <r>
      <rPr>
        <sz val="9"/>
        <color theme="1"/>
        <rFont val="Times New Roman"/>
        <family val="1"/>
      </rPr>
      <t>Panelista espectaculosl  48c</t>
    </r>
  </si>
  <si>
    <r>
      <rPr>
        <sz val="9"/>
        <color theme="1"/>
        <rFont val="Times New Roman"/>
        <family val="1"/>
      </rPr>
      <t>Panelista espectaculos2 48c</t>
    </r>
  </si>
  <si>
    <r>
      <rPr>
        <sz val="9"/>
        <color theme="1"/>
        <rFont val="Times New Roman"/>
        <family val="1"/>
      </rPr>
      <t>Panelista espectaculos3 48c</t>
    </r>
  </si>
  <si>
    <r>
      <rPr>
        <sz val="9"/>
        <color theme="1"/>
        <rFont val="Times New Roman"/>
        <family val="1"/>
      </rPr>
      <t>Periodista ( Yanina Latorre)</t>
    </r>
  </si>
  <si>
    <r>
      <rPr>
        <sz val="9"/>
        <color theme="1"/>
        <rFont val="Times New Roman"/>
        <family val="1"/>
      </rPr>
      <t>Periodista (Echecopar)</t>
    </r>
  </si>
  <si>
    <r>
      <rPr>
        <sz val="9"/>
        <color theme="1"/>
        <rFont val="Times New Roman"/>
        <family val="1"/>
      </rPr>
      <t>Periodista (Romina Manguel)</t>
    </r>
  </si>
  <si>
    <r>
      <rPr>
        <sz val="9"/>
        <color theme="1"/>
        <rFont val="Times New Roman"/>
        <family val="1"/>
      </rPr>
      <t>Periodista (Nacho Giron)</t>
    </r>
  </si>
  <si>
    <r>
      <rPr>
        <sz val="9"/>
        <color theme="1"/>
        <rFont val="Times New Roman"/>
        <family val="1"/>
      </rPr>
      <t>Periodista serio 48a</t>
    </r>
  </si>
  <si>
    <r>
      <rPr>
        <sz val="9"/>
        <color theme="1"/>
        <rFont val="Times New Roman"/>
        <family val="1"/>
      </rPr>
      <t>Periodistal43d</t>
    </r>
  </si>
  <si>
    <r>
      <rPr>
        <sz val="9"/>
        <color theme="1"/>
        <rFont val="Times New Roman"/>
        <family val="1"/>
      </rPr>
      <t>Pueblerino o.s.</t>
    </r>
  </si>
  <si>
    <r>
      <rPr>
        <sz val="9"/>
        <color theme="1"/>
        <rFont val="Times New Roman"/>
        <family val="1"/>
      </rPr>
      <t>18/10</t>
    </r>
  </si>
  <si>
    <r>
      <rPr>
        <sz val="9"/>
        <color theme="1"/>
        <rFont val="Times New Roman"/>
        <family val="1"/>
      </rPr>
      <t>Traductora Sordos</t>
    </r>
  </si>
  <si>
    <r>
      <rPr>
        <sz val="9"/>
        <color theme="1"/>
        <rFont val="Times New Roman"/>
        <family val="1"/>
      </rPr>
      <t>Vice Prat</t>
    </r>
  </si>
  <si>
    <r>
      <rPr>
        <sz val="9"/>
        <color theme="1"/>
        <rFont val="Times New Roman"/>
        <family val="1"/>
      </rPr>
      <t>locutor 1</t>
    </r>
  </si>
  <si>
    <r>
      <rPr>
        <sz val="9"/>
        <color theme="1"/>
        <rFont val="Times New Roman"/>
        <family val="1"/>
      </rPr>
      <t>locutor 2</t>
    </r>
  </si>
  <si>
    <r>
      <rPr>
        <sz val="9"/>
        <color theme="1"/>
        <rFont val="Times New Roman"/>
        <family val="1"/>
      </rPr>
      <t>periodista 102b</t>
    </r>
  </si>
  <si>
    <r>
      <rPr>
        <sz val="9"/>
        <color theme="1"/>
        <rFont val="Times New Roman"/>
        <family val="1"/>
      </rPr>
      <t>periodista serio 2 (48d)</t>
    </r>
  </si>
  <si>
    <r>
      <rPr>
        <sz val="9"/>
        <color theme="1"/>
        <rFont val="Times New Roman"/>
        <family val="1"/>
      </rPr>
      <t>Asesor Presidencial</t>
    </r>
  </si>
  <si>
    <r>
      <rPr>
        <sz val="9"/>
        <color theme="1"/>
        <rFont val="Times New Roman"/>
        <family val="1"/>
      </rPr>
      <t>Periodista (35)</t>
    </r>
  </si>
  <si>
    <r>
      <rPr>
        <sz val="9"/>
        <color theme="1"/>
        <rFont val="Times New Roman"/>
        <family val="1"/>
      </rPr>
      <t>Presidente (65)</t>
    </r>
  </si>
  <si>
    <r>
      <rPr>
        <sz val="9"/>
        <color theme="1"/>
        <rFont val="Times New Roman"/>
        <family val="1"/>
      </rPr>
      <t>Secretario Casa Gob</t>
    </r>
  </si>
  <si>
    <t>Paritarias Sept/Dic</t>
  </si>
  <si>
    <t>DALILIES</t>
  </si>
  <si>
    <t>400 USD x dia a Dólar Oficial</t>
  </si>
  <si>
    <t>Conformado - On Line y Finish.</t>
  </si>
  <si>
    <t>- Incluye inserción de Gráfica, títulos y rodante provistos por el cliente.</t>
  </si>
  <si>
    <t>- Incluye Push e input de VFX 30 planos.</t>
  </si>
  <si>
    <t>- Tiempo estimado: 6 jornadas.</t>
  </si>
  <si>
    <t>- 14 jornadas de 6Hs cada una.</t>
  </si>
  <si>
    <t>- 1 jornada de Trim Pass HDR10.</t>
  </si>
  <si>
    <t>Corrección de color.</t>
  </si>
  <si>
    <t>- VAM DPX: USD 400.-</t>
  </si>
  <si>
    <t>- CTM DPX: USD 400.-</t>
  </si>
  <si>
    <t>- MASTER HQ SDR UHD: USD 300.-</t>
  </si>
  <si>
    <t>- MASTER HQ HDR UHD: USD 400.-</t>
  </si>
  <si>
    <t>- HD SPLIT TRACKS: USD 200.-</t>
  </si>
  <si>
    <t>- HD screener: USD 100.-</t>
  </si>
  <si>
    <t>- SEMI-TEXTLESS MASTER SDR: USD 300.-</t>
  </si>
  <si>
    <t>- SEMI-TEXTLESS MASTER HDR: USD 400.-</t>
  </si>
  <si>
    <t>DELIVERIES</t>
  </si>
  <si>
    <t>- 8 semanas.</t>
  </si>
  <si>
    <t>- 2 Semanas.</t>
  </si>
  <si>
    <t>- 2 jornadas.</t>
  </si>
  <si>
    <t>- Sala monitoreo 5.1 Near Field.</t>
  </si>
  <si>
    <t>- 10 jornadas.</t>
  </si>
  <si>
    <t>5.1 Original Version (OV) Printmaster</t>
  </si>
  <si>
    <t>Lt/Rt Original Version (OV) Printmaster</t>
  </si>
  <si>
    <t>5.1 M&amp;E Printmaster</t>
  </si>
  <si>
    <t>Lt/Rt M&amp;E Printmaster</t>
  </si>
  <si>
    <t>5.0 Dialogue Stem</t>
  </si>
  <si>
    <t>5.1 Music Stem</t>
  </si>
  <si>
    <t>5.1 Effects Stem</t>
  </si>
  <si>
    <t>5.0 Foley Stem</t>
  </si>
  <si>
    <t>5.1 Fully Filled Effects Stems (for M&amp;E)</t>
  </si>
  <si>
    <t>Mono Dialogue Guide</t>
  </si>
  <si>
    <t>Mono Dia./Mono FX/Stereo Music Stem</t>
  </si>
  <si>
    <t>- Edición de Sonido.</t>
  </si>
  <si>
    <t>- Diseño de sonido.</t>
  </si>
  <si>
    <t>- Limpieza y edición de Diálogos de sonido directo.</t>
  </si>
  <si>
    <t>- Edición de ambientes y efectos.</t>
  </si>
  <si>
    <t>- Edición de música provista por el cliente.</t>
  </si>
  <si>
    <t>- Incluye honorarios editores.</t>
  </si>
  <si>
    <t>- Foley.</t>
  </si>
  <si>
    <t>- Grabación de Fully-Filled Foley.</t>
  </si>
  <si>
    <t>- Incluye honorarios artista de foley y editor.</t>
  </si>
  <si>
    <t>- ADR</t>
  </si>
  <si>
    <t>- Sala de grabación de doblajes</t>
  </si>
  <si>
    <t>- Incluye honorarios técnico de grabación.</t>
  </si>
  <si>
    <t>- Mezcla.</t>
  </si>
  <si>
    <t>- Incluye honorarios mezclador.</t>
  </si>
  <si>
    <t>- Deliveries sonido.</t>
  </si>
  <si>
    <t>THE GREAT PRETENDER</t>
  </si>
  <si>
    <t>Equipo:</t>
  </si>
  <si>
    <t>1 camara sony venice – Full frame 4k</t>
  </si>
  <si>
    <t>2 tarjetas sony 128 GB SxS</t>
  </si>
  <si>
    <t>1 tarjeta 1TB AXS-A1TSS48 sony</t>
  </si>
  <si>
    <t>2 trajetas 512 GB AXS-A512S48 sony</t>
  </si>
  <si>
    <t>4 baterias de cámara IDX endura elite</t>
  </si>
  <si>
    <t>1 follow focus arri FF-5 / FF-4</t>
  </si>
  <si>
    <t xml:space="preserve">1 cabezal sachtler / Cartoni (150mm) </t>
  </si>
  <si>
    <t>1 tripode alto-medio sachtler / Cartoni</t>
  </si>
  <si>
    <t>1 tripode bajo cartoni</t>
  </si>
  <si>
    <t>1 galera de cámara (Hi-Hat)</t>
  </si>
  <si>
    <t>2 cargadores de baterias</t>
  </si>
  <si>
    <t>Optica:</t>
  </si>
  <si>
    <t>SET COOKE S 4</t>
  </si>
  <si>
    <t>Monitoreo:</t>
  </si>
  <si>
    <t>1 monitor LCD full HD Panasonic 17¨BT-LH700EC/Interlook</t>
  </si>
  <si>
    <t>1 monitor On Board HD 5.6¨TV Logic VFM-056</t>
  </si>
  <si>
    <t>1 grabador 4K/HD video devices Pix E-5 / 240</t>
  </si>
  <si>
    <t>1 follow focus Tilta nucleos M 2 motores</t>
  </si>
  <si>
    <t xml:space="preserve">1 Teradek bolt pro 500 </t>
  </si>
  <si>
    <t>2 receptores</t>
  </si>
  <si>
    <t>1 mattebox ARRI / Chrosziel</t>
  </si>
  <si>
    <t>1 Clip-on Arri LMB-25</t>
  </si>
  <si>
    <t>1 set de filtros BD 4x5.6</t>
  </si>
  <si>
    <t>1 easyrig</t>
  </si>
  <si>
    <t> LUCES: </t>
  </si>
  <si>
    <t>1 HMI M40</t>
  </si>
  <si>
    <t>1 HMI M18 CON CHIMERA</t>
  </si>
  <si>
    <t>1 HMI M8 CON CHIMERA</t>
  </si>
  <si>
    <t>1 HMI ARRI 575W CHIMERA</t>
  </si>
  <si>
    <t>1 HMI POCKET ARRI 400W CON CHIMERA</t>
  </si>
  <si>
    <t>1 HMI POCKET 200W CON BATERIA Y CHIMERA</t>
  </si>
  <si>
    <t>1 ARRI ORBITER COMPLETO</t>
  </si>
  <si>
    <t>1 SKYPANEL DE 120 CON EGGCRATE</t>
  </si>
  <si>
    <t>2 SKYPANEL S 60 CON EGGCRATE </t>
  </si>
  <si>
    <t>2 SKYPANEL S30 CON EGGCRATE </t>
  </si>
  <si>
    <t>1 VELVET MINI DMX CON BATERIA </t>
  </si>
  <si>
    <t>1 VELVET EVO</t>
  </si>
  <si>
    <t>1 SET DEDOLED</t>
  </si>
  <si>
    <t>1 SELECT 21</t>
  </si>
  <si>
    <t>1 KINO 4X4” * FRIO Y CALIDO</t>
  </si>
  <si>
    <t>1 KINO 4X2” FRIO Y CALIDO</t>
  </si>
  <si>
    <t>2 KINO 2X2” FRIO Y CALIDO</t>
  </si>
  <si>
    <t>1 FRESNEL ARRI 5k </t>
  </si>
  <si>
    <t>2 FRESNEL ARRI 2K </t>
  </si>
  <si>
    <t>2 OPEN FACE 2K</t>
  </si>
  <si>
    <t>2 FRESNEL ARRI 1K</t>
  </si>
  <si>
    <t>2 FRESNEL ARRI 650</t>
  </si>
  <si>
    <t>2 FRESNEL ARRI 300 </t>
  </si>
  <si>
    <t>1 carros de combos</t>
  </si>
  <si>
    <t>1 carros de arañas</t>
  </si>
  <si>
    <t>2 B150</t>
  </si>
  <si>
    <t>2 B100</t>
  </si>
  <si>
    <t>2 trípodes manfroto con manivelas</t>
  </si>
  <si>
    <t>2 high high o 330</t>
  </si>
  <si>
    <t>1 carreta de accesorios *</t>
  </si>
  <si>
    <t>2 boom avenger </t>
  </si>
  <si>
    <t>2 barras de extensión</t>
  </si>
  <si>
    <t>4 barras largas</t>
  </si>
  <si>
    <t>2 portatelgo avión</t>
  </si>
  <si>
    <t>2 marcos de 1,20</t>
  </si>
  <si>
    <t>4 marcos de 1x1</t>
  </si>
  <si>
    <t>1 marcos 2x1</t>
  </si>
  <si>
    <t>2 banderas 2x1</t>
  </si>
  <si>
    <t>4 banderas 1x1</t>
  </si>
  <si>
    <t>1 kit de banderas</t>
  </si>
  <si>
    <t>4 banderas 60x90 </t>
  </si>
  <si>
    <t>////// Sigue accesorios y Usinas</t>
  </si>
  <si>
    <t>1 SURVIVAL KIT</t>
  </si>
  <si>
    <t>2 pantallas rígidas duro-blanda</t>
  </si>
  <si>
    <t>1 barral de 6 mts extensible </t>
  </si>
  <si>
    <t>8 zapatillas de 20-20</t>
  </si>
  <si>
    <t>8 zapatillas de 20-10</t>
  </si>
  <si>
    <t>15alargues 20-20</t>
  </si>
  <si>
    <t>15 alargues 10-10</t>
  </si>
  <si>
    <t>5 alargues 25 mts </t>
  </si>
  <si>
    <t>2 tableros monofásico </t>
  </si>
  <si>
    <t>1 bifurcador</t>
  </si>
  <si>
    <t>2 juegos de Y</t>
  </si>
  <si>
    <t>1 (Steck a zapa 20A) </t>
  </si>
  <si>
    <t>200 mts de líneas mono</t>
  </si>
  <si>
    <t>2 líneas de tierra</t>
  </si>
  <si>
    <t>2 jabalinas</t>
  </si>
  <si>
    <t>15 ROTULAS D200</t>
  </si>
  <si>
    <t>5 ROTULAS D400 </t>
  </si>
  <si>
    <t>4 BRAZOS MAGICOS</t>
  </si>
  <si>
    <t>4  PELICANOS</t>
  </si>
  <si>
    <t>6 MAFER CON PERNO</t>
  </si>
  <si>
    <t>6 COCODRILOS</t>
  </si>
  <si>
    <t>4 LOCK ALL</t>
  </si>
  <si>
    <t>6 BRAZOS TOROS </t>
  </si>
  <si>
    <t>1 TORO DOBLE</t>
  </si>
  <si>
    <t>2 TORO A 90 </t>
  </si>
  <si>
    <t>2 DEDO MAGICO</t>
  </si>
  <si>
    <t>2 PERNO MOLE</t>
  </si>
  <si>
    <t>4 PINZA GRIS </t>
  </si>
  <si>
    <t>2 BASE DE PISO TIJERA</t>
  </si>
  <si>
    <t>2 PINZA RAMA</t>
  </si>
  <si>
    <t>1 CARRETA PARA LINEAS</t>
  </si>
  <si>
    <t>ALQUILER DE OFICINAS /DEPOSITO</t>
  </si>
  <si>
    <t xml:space="preserve">HONORARIOS PROFESIONAL CONTABLE </t>
  </si>
  <si>
    <t>HONORARIOS LEGALES+Permisos menores</t>
  </si>
  <si>
    <r>
      <rPr>
        <sz val="9"/>
        <color rgb="FFFF0000"/>
        <rFont val="Times New Roman"/>
        <family val="1"/>
      </rPr>
      <t>Nicolas (6)</t>
    </r>
  </si>
  <si>
    <r>
      <rPr>
        <sz val="9"/>
        <color rgb="FFFF0000"/>
        <rFont val="Times New Roman"/>
        <family val="1"/>
      </rPr>
      <t>28/09</t>
    </r>
  </si>
  <si>
    <r>
      <rPr>
        <sz val="9"/>
        <color rgb="FFFF0000"/>
        <rFont val="Times New Roman"/>
        <family val="1"/>
      </rPr>
      <t>25/10</t>
    </r>
  </si>
  <si>
    <t>ADMINISTRACION. Asistente</t>
  </si>
  <si>
    <t>Scouting</t>
  </si>
  <si>
    <t>COMIDAS Scouting</t>
  </si>
  <si>
    <t>Presupuesto terminado el 21 de Julio 2022</t>
  </si>
  <si>
    <t>Valor Dólar Oficial</t>
  </si>
  <si>
    <t>Valor Dólar MEP</t>
  </si>
  <si>
    <t>Valor Dólar Blue</t>
  </si>
  <si>
    <t>Los presupuestos de los proveedores tienen una prevision de un 15% a fecha de filmacion, pero puede variar</t>
  </si>
  <si>
    <t>Presupuesto de POST PRODUCCION esta pasado a valor DÓLAR oficial del momento de pago</t>
  </si>
  <si>
    <t>Condiciones de pago:</t>
  </si>
  <si>
    <t>20% adelanto para reservación de fechas de salas,</t>
  </si>
  <si>
    <t>30% al inicio de los trabajos,</t>
  </si>
  <si>
    <t>30% a 30 días de iniciados los trabajos,</t>
  </si>
  <si>
    <t>10% a 60 días de iniciados los trabajos,</t>
  </si>
  <si>
    <t>10% al finalizar los trabajos,</t>
  </si>
  <si>
    <t>AAA y SUTEP Valores de lista de Septiembre Diciembre</t>
  </si>
  <si>
    <t>Sueldos de equipo con valor de sindicato (SICA) vigente de Septiembre a Diciembre, SALVO AJUSTE PARITARIO FUERA DE O PREVISTO</t>
  </si>
  <si>
    <t>Hay un reclamo de los trabajadores de que las tarifas de peliculas para plataforma tengan un valor diferencial, no aprobado al momento</t>
  </si>
  <si>
    <t>La califiacion de AAA fue presentada nuevamente, ya que hubo cambio de guion y protesta de nuestra parte de ciertas calificaciones, esta ESTIMADA</t>
  </si>
  <si>
    <t>TOTAL FINAL USD Dólar Oficial</t>
  </si>
  <si>
    <t>TC BLUE</t>
  </si>
  <si>
    <t>Valor Unirario USD</t>
  </si>
  <si>
    <t>Sub Total ARS</t>
  </si>
  <si>
    <t>El subtitulado es a valor dólar Billete, esta prespuestado pasado a ARS a dólar blue del encabezado de este documento</t>
  </si>
  <si>
    <t>DOBLAJE</t>
  </si>
  <si>
    <t xml:space="preserve">Ingles </t>
  </si>
  <si>
    <t>SUBTITULADO</t>
  </si>
  <si>
    <t xml:space="preserve">PRESUPUESTO ARTE Y VESTUARIO ES ESTIMADO SEGÚN GENERALES DEL MERCADO, EL REAL SE TENDRA UNA VEZ QUE LAS </t>
  </si>
  <si>
    <t>AREAS ESTEN TRABAJANDO Y HAGAN DESGLOSE REAL</t>
  </si>
  <si>
    <t>DESPEJES+MATERIALES</t>
  </si>
  <si>
    <t>VAC (Total Bruto / cantidad de semanas / 5) x (días corridos de contrato / 20)</t>
  </si>
  <si>
    <t>ESTIMADOS DE FLUJOS DE CAJA SEMANALES POR AREA</t>
  </si>
  <si>
    <t>ARTE</t>
  </si>
  <si>
    <t xml:space="preserve">TRANSPORTE </t>
  </si>
  <si>
    <t>CATERING</t>
  </si>
  <si>
    <t>VARIOS</t>
  </si>
  <si>
    <t>PRESUPUESTO TOTAL</t>
  </si>
  <si>
    <t>FLUJO SEMANAL</t>
  </si>
  <si>
    <t>CAJA HICA</t>
  </si>
  <si>
    <t>Proveedores varios</t>
  </si>
  <si>
    <t>(Steady, insumos,etc)</t>
  </si>
  <si>
    <t>DATA MANAGER</t>
  </si>
  <si>
    <t>ESTACION DATA MANAGER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</si>
  <si>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</si>
  <si>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</si>
  <si>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</si>
  <si>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</si>
  <si>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</si>
  <si>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</si>
  <si>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</si>
  <si>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</si>
  <si>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</si>
  <si>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1-0001</t>
  </si>
  <si>
    <t>1-0002</t>
  </si>
  <si>
    <t>1-0003</t>
  </si>
  <si>
    <t>1-0004</t>
  </si>
  <si>
    <t>1-0005</t>
  </si>
  <si>
    <t>1-0006</t>
  </si>
  <si>
    <t>1-0007</t>
  </si>
  <si>
    <t>1-0008</t>
  </si>
  <si>
    <t>1-0009</t>
  </si>
  <si>
    <t>1-0010</t>
  </si>
  <si>
    <t>1-0011</t>
  </si>
  <si>
    <t>1-0012</t>
  </si>
  <si>
    <t>1-0013</t>
  </si>
  <si>
    <t>1-0014</t>
  </si>
  <si>
    <t>1-0015</t>
  </si>
  <si>
    <t>1-0016</t>
  </si>
  <si>
    <t>1-0017</t>
  </si>
  <si>
    <t>1-0018</t>
  </si>
  <si>
    <t>1-0019</t>
  </si>
  <si>
    <t>1-0020</t>
  </si>
  <si>
    <t>1-0021</t>
  </si>
  <si>
    <t>1-0022</t>
  </si>
  <si>
    <t>1-0023</t>
  </si>
  <si>
    <t>1-0024</t>
  </si>
  <si>
    <t>1-0025</t>
  </si>
  <si>
    <t>1-0026</t>
  </si>
  <si>
    <t>1-0027</t>
  </si>
  <si>
    <t>1-0028</t>
  </si>
  <si>
    <t>1-0029</t>
  </si>
  <si>
    <t>1-0030</t>
  </si>
  <si>
    <t>1-0031</t>
  </si>
  <si>
    <t>1-0032</t>
  </si>
  <si>
    <t>1-0033</t>
  </si>
  <si>
    <t>1-0034</t>
  </si>
  <si>
    <t>1-0035</t>
  </si>
  <si>
    <t>1-0036</t>
  </si>
  <si>
    <t>1-0037</t>
  </si>
  <si>
    <t>1-0038</t>
  </si>
  <si>
    <t>1-0039</t>
  </si>
  <si>
    <t>1-0040</t>
  </si>
  <si>
    <t>1-0041</t>
  </si>
  <si>
    <t>1-0042</t>
  </si>
  <si>
    <t>1-0043</t>
  </si>
  <si>
    <t>1-0044</t>
  </si>
  <si>
    <t>1-0045</t>
  </si>
  <si>
    <t>1-0046</t>
  </si>
  <si>
    <t>1-0047</t>
  </si>
  <si>
    <t>1-0048</t>
  </si>
  <si>
    <t>1-0049</t>
  </si>
  <si>
    <t>1-0050</t>
  </si>
  <si>
    <t>1-0051</t>
  </si>
  <si>
    <t>1-0052</t>
  </si>
  <si>
    <t>1-0053</t>
  </si>
  <si>
    <t>1-0054</t>
  </si>
  <si>
    <t>2-0002</t>
  </si>
  <si>
    <t>2-0003</t>
  </si>
  <si>
    <t>2-0004</t>
  </si>
  <si>
    <t>2-0005</t>
  </si>
  <si>
    <t>2-0006</t>
  </si>
  <si>
    <t>2-0007</t>
  </si>
  <si>
    <t>2-0008</t>
  </si>
  <si>
    <t>VER</t>
  </si>
  <si>
    <t>3-0001</t>
  </si>
  <si>
    <t>4-0001</t>
  </si>
  <si>
    <t>5-0001</t>
  </si>
  <si>
    <t>6-0002</t>
  </si>
  <si>
    <t>6-0001</t>
  </si>
  <si>
    <t>7-0001</t>
  </si>
  <si>
    <t>8-0001</t>
  </si>
  <si>
    <t>9-0001</t>
  </si>
  <si>
    <t>10-0001</t>
  </si>
  <si>
    <t>10-0002</t>
  </si>
  <si>
    <t>10-0003</t>
  </si>
  <si>
    <t>10-0004</t>
  </si>
  <si>
    <t>10-0005</t>
  </si>
  <si>
    <t>10-0006</t>
  </si>
  <si>
    <t>10-0007</t>
  </si>
  <si>
    <t>10-0008</t>
  </si>
  <si>
    <t>11-0001</t>
  </si>
  <si>
    <t>11-0002</t>
  </si>
  <si>
    <t>11-0003</t>
  </si>
  <si>
    <t>11-0004</t>
  </si>
  <si>
    <t>11-0005</t>
  </si>
  <si>
    <t>12-0001</t>
  </si>
  <si>
    <t>13-0001</t>
  </si>
  <si>
    <t>13-0002</t>
  </si>
  <si>
    <t>13-0003</t>
  </si>
  <si>
    <t>14-0001</t>
  </si>
  <si>
    <t>14-0002</t>
  </si>
  <si>
    <t>14-0003</t>
  </si>
  <si>
    <t>15-0001</t>
  </si>
  <si>
    <t>15-0002</t>
  </si>
  <si>
    <t>15-0003</t>
  </si>
  <si>
    <t>15-0004</t>
  </si>
  <si>
    <t>15-0005</t>
  </si>
  <si>
    <t>15-0006</t>
  </si>
  <si>
    <t>15-0007</t>
  </si>
  <si>
    <t>15-0008</t>
  </si>
  <si>
    <t>15-0009</t>
  </si>
  <si>
    <t>16-0001</t>
  </si>
  <si>
    <t>16-0002</t>
  </si>
  <si>
    <t>6-0010</t>
  </si>
  <si>
    <t>6-0011</t>
  </si>
  <si>
    <t>6-0012</t>
  </si>
  <si>
    <t>6-0013</t>
  </si>
  <si>
    <t>SALDO</t>
  </si>
  <si>
    <t>MANTENIMIENTO CORREA</t>
  </si>
  <si>
    <t>ALQUILER</t>
  </si>
  <si>
    <t>MENSUAL</t>
  </si>
  <si>
    <t xml:space="preserve">FIBERTEL </t>
  </si>
  <si>
    <t>IMPRESORA HP 3015</t>
  </si>
  <si>
    <t xml:space="preserve">LIMPIEZA </t>
  </si>
  <si>
    <t>DISPENSER DE AGUA</t>
  </si>
  <si>
    <t>1 MENSUAL</t>
  </si>
  <si>
    <t>BIDONES DE AGUA</t>
  </si>
  <si>
    <t>15 MENSUALES</t>
  </si>
  <si>
    <t>ZAPATILLAS</t>
  </si>
  <si>
    <t>8 MENSUALES</t>
  </si>
  <si>
    <t>ALARGUES</t>
  </si>
  <si>
    <t>6 MENSUALES</t>
  </si>
  <si>
    <t>ESTUFAS</t>
  </si>
  <si>
    <t>4 MENSUALES</t>
  </si>
  <si>
    <t>TAXI PREMIUM</t>
  </si>
  <si>
    <t>Agosto:</t>
  </si>
  <si>
    <t>Viaje a Milo</t>
  </si>
  <si>
    <t>TOTAL AGOSTO</t>
  </si>
  <si>
    <t>Viaje Correa - Humboldt</t>
  </si>
  <si>
    <t>Presupuestado</t>
  </si>
  <si>
    <t>diferencia</t>
  </si>
  <si>
    <t xml:space="preserve">Septiembre </t>
  </si>
  <si>
    <t>Detalle</t>
  </si>
  <si>
    <t>Formato</t>
  </si>
  <si>
    <t>CAMAROGRAFO CASTING</t>
  </si>
  <si>
    <t>CITACION</t>
  </si>
  <si>
    <t>Mariana</t>
  </si>
  <si>
    <t>Viaje Humbold - Correa</t>
  </si>
  <si>
    <t>Humboldt - Correa</t>
  </si>
  <si>
    <t>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</si>
</sst>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$&quot;\ #,##0_);[Red]\(&quot;$&quot;\ #,##0\)"/>
    <numFmt numFmtId="164" formatCode="&quot;$&quot;\ #,##0;\-&quot;$&quot;\ #,##0"/>
    <numFmt numFmtId="165" formatCode="_-&quot;$&quot;\ * #,##0_-;\-&quot;$&quot;\ * #,##0_-;_-&quot;$&quot;\ * &quot;-&quot;_-;_-@_-"/>
    <numFmt numFmtId="166" formatCode="_-&quot;$&quot;\ * #,##0.00_-;\-&quot;$&quot;\ * #,##0.00_-;_-&quot;$&quot;\ * &quot;-&quot;??_-;_-@_-"/>
    <numFmt numFmtId="167" formatCode="_ * #,##0.00_ ;_ * \-#,##0.00_ ;_ * \-??_ ;_ @_ "/>
    <numFmt numFmtId="168" formatCode="\$#,##0.00"/>
    <numFmt numFmtId="169" formatCode="00"/>
    <numFmt numFmtId="170" formatCode="[$$-409]#,##0.00"/>
    <numFmt numFmtId="171" formatCode="0\ %"/>
    <numFmt numFmtId="172" formatCode="0.00\ %"/>
    <numFmt numFmtId="173" formatCode="#,##0.0"/>
    <numFmt numFmtId="174" formatCode="0.0%"/>
    <numFmt numFmtId="175" formatCode="[$$-409]#,##0.0"/>
    <numFmt numFmtId="176" formatCode="[$$-409]#,##0"/>
    <numFmt numFmtId="177" formatCode="&quot;ARS&quot;#,##0"/>
    <numFmt numFmtId="178" formatCode="[$USD]\ #,##0"/>
    <numFmt numFmtId="179" formatCode="_-&quot;$&quot;\ * #,##0_-;\-&quot;$&quot;\ * #,##0_-;_-&quot;$&quot;\ * &quot;-&quot;??_-;_-@_-"/>
    <numFmt numFmtId="180" formatCode="[$USD]\ #,##0.00;\-[$USD]\ #,##0.00"/>
    <numFmt numFmtId="181" formatCode="[$ARS]\ #,##0"/>
    <numFmt numFmtId="182" formatCode="&quot;$&quot;\ #,##0.00"/>
    <numFmt numFmtId="183" formatCode="&quot;$&quot;\ #,##0"/>
  </numFmts>
  <fonts count="84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6"/>
      <color indexed="22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color indexed="2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i/>
      <sz val="10"/>
      <color indexed="10"/>
      <name val="Arial"/>
      <family val="2"/>
    </font>
    <font>
      <b/>
      <sz val="16"/>
      <name val="Arial"/>
      <family val="2"/>
    </font>
    <font>
      <b/>
      <sz val="8"/>
      <color indexed="12"/>
      <name val="Arial"/>
      <family val="2"/>
    </font>
    <font>
      <b/>
      <i/>
      <sz val="9"/>
      <color indexed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9.5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i/>
      <sz val="11"/>
      <color indexed="17"/>
      <name val="Arial"/>
      <family val="2"/>
    </font>
    <font>
      <sz val="16"/>
      <name val="Arial"/>
      <family val="2"/>
    </font>
    <font>
      <b/>
      <sz val="9"/>
      <name val="Arial"/>
      <family val="2"/>
    </font>
    <font>
      <sz val="10"/>
      <color indexed="49"/>
      <name val="Arial"/>
      <family val="2"/>
    </font>
    <font>
      <sz val="9"/>
      <color indexed="29"/>
      <name val="Arial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FF00"/>
      <name val="Arial"/>
      <family val="2"/>
    </font>
    <font>
      <sz val="14"/>
      <color rgb="FF000000"/>
      <name val="Arial"/>
      <family val="2"/>
    </font>
    <font>
      <sz val="10"/>
      <color theme="5" tint="0.39997558519241921"/>
      <name val="Arial"/>
      <family val="2"/>
    </font>
    <font>
      <b/>
      <sz val="10"/>
      <color theme="5" tint="0.39997558519241921"/>
      <name val="Arial"/>
      <family val="2"/>
    </font>
    <font>
      <i/>
      <sz val="10"/>
      <color rgb="FF008000"/>
      <name val="Arial"/>
      <family val="2"/>
    </font>
    <font>
      <b/>
      <sz val="6"/>
      <color theme="0" tint="-0.249977111117893"/>
      <name val="Arial"/>
      <family val="2"/>
    </font>
    <font>
      <sz val="10"/>
      <color theme="3" tint="0.39997558519241921"/>
      <name val="Arial"/>
      <family val="2"/>
    </font>
    <font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9" tint="0.39997558519241921"/>
      <name val="Arial"/>
      <family val="2"/>
    </font>
    <font>
      <b/>
      <sz val="10"/>
      <color theme="9" tint="0.39997558519241921"/>
      <name val="Arial"/>
      <family val="2"/>
    </font>
    <font>
      <b/>
      <sz val="10"/>
      <color theme="5" tint="0.59999389629810485"/>
      <name val="Arial"/>
      <family val="2"/>
    </font>
    <font>
      <sz val="8"/>
      <color theme="5" tint="0.59999389629810485"/>
      <name val="Arial"/>
      <family val="2"/>
    </font>
    <font>
      <sz val="10"/>
      <color theme="5" tint="0.59999389629810485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000000"/>
      <name val="Calibri"/>
      <family val="2"/>
    </font>
    <font>
      <b/>
      <sz val="11"/>
      <color rgb="FFFFFF00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sz val="10"/>
      <color theme="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&quot;Times New Roman&quot;"/>
    </font>
    <font>
      <sz val="10"/>
      <color theme="1"/>
      <name val="&quot;Times New Roman&quot;"/>
    </font>
    <font>
      <sz val="10"/>
      <name val="Times New Roman"/>
      <family val="1"/>
    </font>
    <font>
      <sz val="9"/>
      <color theme="1"/>
      <name val="Times New Roman"/>
      <family val="1"/>
    </font>
    <font>
      <sz val="9"/>
      <color theme="1"/>
      <name val="Cambria"/>
      <family val="1"/>
    </font>
    <font>
      <b/>
      <sz val="11"/>
      <color rgb="FFFF0000"/>
      <name val="Calibri"/>
      <family val="2"/>
    </font>
    <font>
      <sz val="11"/>
      <name val="Calibri"/>
      <family val="2"/>
    </font>
    <font>
      <sz val="9"/>
      <color rgb="FFFF0000"/>
      <name val="&quot;Times New Roman&quot;"/>
    </font>
    <font>
      <sz val="9"/>
      <color rgb="FFFF0000"/>
      <name val="Times New Roman"/>
      <family val="1"/>
    </font>
    <font>
      <sz val="10"/>
      <color rgb="FFFF0000"/>
      <name val="&quot;Times New Roman&quot;"/>
    </font>
    <font>
      <sz val="11"/>
      <color rgb="FF000000"/>
      <name val="Calibri"/>
      <family val="2"/>
    </font>
    <font>
      <sz val="10"/>
      <color rgb="FF000000"/>
      <name val="Arial Black"/>
      <family val="2"/>
    </font>
    <font>
      <sz val="10"/>
      <name val="Hiragino Kaku Gothic StdN W8"/>
      <family val="2"/>
      <charset val="128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theme="5" tint="0.59999389629810485"/>
        <bgColor indexed="1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9" tint="0.79998168889431442"/>
        <bgColor indexed="26"/>
      </patternFill>
    </fill>
    <fill>
      <patternFill patternType="solid">
        <fgColor rgb="FFCCFFCC"/>
        <bgColor indexed="26"/>
      </patternFill>
    </fill>
    <fill>
      <patternFill patternType="solid">
        <fgColor theme="0"/>
        <bgColor indexed="13"/>
      </patternFill>
    </fill>
    <fill>
      <patternFill patternType="solid">
        <fgColor rgb="FF0000FF"/>
        <bgColor indexed="64"/>
      </patternFill>
    </fill>
    <fill>
      <patternFill patternType="solid">
        <fgColor rgb="FF99CCFF"/>
        <bgColor rgb="FFCCCCFF"/>
      </patternFill>
    </fill>
    <fill>
      <patternFill patternType="solid">
        <fgColor theme="5" tint="0.59999389629810485"/>
        <bgColor indexed="26"/>
      </patternFill>
    </fill>
    <fill>
      <patternFill patternType="solid">
        <fgColor rgb="FFCCFFCC"/>
        <bgColor indexed="13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FFFF00"/>
      </patternFill>
    </fill>
    <fill>
      <patternFill patternType="solid">
        <fgColor theme="2"/>
        <bgColor indexed="13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3"/>
        <b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4"/>
        <bgColor indexed="26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15">
    <border>
      <left/>
      <right/>
      <top/>
      <bottom/>
      <diagonal/>
    </border>
    <border>
      <left/>
      <right/>
      <top style="double">
        <color indexed="12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1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12"/>
      </right>
      <top/>
      <bottom/>
      <diagonal/>
    </border>
    <border>
      <left/>
      <right style="double">
        <color indexed="12"/>
      </right>
      <top/>
      <bottom style="double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55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55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12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12"/>
      </left>
      <right/>
      <top style="double">
        <color indexed="12"/>
      </top>
      <bottom/>
      <diagonal/>
    </border>
    <border>
      <left style="double">
        <color indexed="12"/>
      </left>
      <right/>
      <top/>
      <bottom style="double">
        <color indexed="1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12"/>
      </right>
      <top style="double">
        <color indexed="12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393935"/>
      </top>
      <bottom style="thin">
        <color rgb="FF393935"/>
      </bottom>
      <diagonal/>
    </border>
    <border>
      <left/>
      <right style="thin">
        <color rgb="FF000000"/>
      </right>
      <top style="thin">
        <color rgb="FF393935"/>
      </top>
      <bottom style="thin">
        <color rgb="FF393935"/>
      </bottom>
      <diagonal/>
    </border>
    <border>
      <left style="medium">
        <color indexed="64"/>
      </left>
      <right/>
      <top style="thin">
        <color rgb="FF393935"/>
      </top>
      <bottom style="thin">
        <color rgb="FF000000"/>
      </bottom>
      <diagonal/>
    </border>
    <border>
      <left/>
      <right style="thin">
        <color rgb="FF000000"/>
      </right>
      <top style="thin">
        <color rgb="FF393935"/>
      </top>
      <bottom style="thin">
        <color rgb="FF000000"/>
      </bottom>
      <diagonal/>
    </border>
    <border>
      <left style="medium">
        <color indexed="64"/>
      </left>
      <right/>
      <top style="thin">
        <color rgb="FF393935"/>
      </top>
      <bottom style="medium">
        <color indexed="64"/>
      </bottom>
      <diagonal/>
    </border>
    <border>
      <left/>
      <right style="thin">
        <color rgb="FF000000"/>
      </right>
      <top style="thin">
        <color rgb="FF393935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393935"/>
      </bottom>
      <diagonal/>
    </border>
    <border>
      <left/>
      <right style="thin">
        <color rgb="FF000000"/>
      </right>
      <top style="thin">
        <color rgb="FF000000"/>
      </top>
      <bottom style="thin">
        <color rgb="FF393935"/>
      </bottom>
      <diagonal/>
    </border>
    <border>
      <left style="medium">
        <color indexed="64"/>
      </left>
      <right/>
      <top style="medium">
        <color indexed="64"/>
      </top>
      <bottom style="thin">
        <color rgb="FF393935"/>
      </bottom>
      <diagonal/>
    </border>
    <border>
      <left/>
      <right style="thin">
        <color rgb="FF000000"/>
      </right>
      <top style="medium">
        <color indexed="64"/>
      </top>
      <bottom style="thin">
        <color rgb="FF3939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67" fontId="22" fillId="0" borderId="0" applyFill="0" applyBorder="0" applyAlignment="0" applyProtection="0"/>
    <xf numFmtId="166" fontId="22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30" fillId="0" borderId="0"/>
    <xf numFmtId="0" fontId="30" fillId="0" borderId="0"/>
    <xf numFmtId="9" fontId="22" fillId="0" borderId="0" applyFont="0" applyFill="0" applyBorder="0" applyAlignment="0" applyProtection="0"/>
  </cellStyleXfs>
  <cellXfs count="941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167" fontId="0" fillId="0" borderId="0" xfId="1" applyFont="1" applyFill="1" applyBorder="1" applyAlignment="1" applyProtection="1">
      <alignment horizontal="right" vertical="center"/>
      <protection locked="0"/>
    </xf>
    <xf numFmtId="0" fontId="2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ont="1" applyFill="1" applyBorder="1" applyAlignment="1" applyProtection="1">
      <alignment vertical="center"/>
      <protection locked="0"/>
    </xf>
    <xf numFmtId="167" fontId="0" fillId="2" borderId="0" xfId="1" applyFont="1" applyFill="1" applyBorder="1" applyAlignment="1" applyProtection="1">
      <alignment horizontal="right" vertical="center"/>
      <protection locked="0"/>
    </xf>
    <xf numFmtId="0" fontId="2" fillId="2" borderId="0" xfId="0" applyFont="1" applyFill="1" applyAlignment="1">
      <alignment vertical="center"/>
    </xf>
    <xf numFmtId="0" fontId="0" fillId="2" borderId="1" xfId="0" applyFont="1" applyFill="1" applyBorder="1" applyAlignment="1" applyProtection="1">
      <alignment vertical="center"/>
      <protection locked="0"/>
    </xf>
    <xf numFmtId="167" fontId="0" fillId="2" borderId="1" xfId="1" applyFont="1" applyFill="1" applyBorder="1" applyAlignment="1" applyProtection="1">
      <alignment horizontal="right" vertical="center"/>
      <protection locked="0"/>
    </xf>
    <xf numFmtId="0" fontId="0" fillId="2" borderId="2" xfId="0" applyFont="1" applyFill="1" applyBorder="1" applyAlignment="1" applyProtection="1">
      <alignment horizontal="right" vertical="center"/>
      <protection locked="0"/>
    </xf>
    <xf numFmtId="0" fontId="5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 applyProtection="1">
      <alignment horizontal="right" vertical="center"/>
      <protection locked="0"/>
    </xf>
    <xf numFmtId="0" fontId="5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2" fillId="0" borderId="0" xfId="0" applyFont="1" applyBorder="1"/>
    <xf numFmtId="167" fontId="6" fillId="2" borderId="5" xfId="1" applyFont="1" applyFill="1" applyBorder="1" applyAlignment="1" applyProtection="1">
      <alignment horizontal="center" vertical="center"/>
      <protection locked="0"/>
    </xf>
    <xf numFmtId="167" fontId="6" fillId="2" borderId="6" xfId="1" applyFont="1" applyFill="1" applyBorder="1" applyAlignment="1" applyProtection="1">
      <alignment horizontal="center" vertical="center"/>
      <protection locked="0"/>
    </xf>
    <xf numFmtId="169" fontId="6" fillId="2" borderId="7" xfId="0" applyNumberFormat="1" applyFont="1" applyFill="1" applyBorder="1" applyAlignment="1" applyProtection="1">
      <alignment horizontal="center" vertical="center"/>
      <protection locked="0"/>
    </xf>
    <xf numFmtId="4" fontId="7" fillId="2" borderId="8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67" fontId="0" fillId="2" borderId="0" xfId="1" applyFont="1" applyFill="1" applyBorder="1" applyAlignment="1" applyProtection="1">
      <alignment horizontal="right" vertical="center"/>
      <protection hidden="1"/>
    </xf>
    <xf numFmtId="0" fontId="0" fillId="2" borderId="0" xfId="0" applyFont="1" applyFill="1" applyBorder="1" applyAlignment="1" applyProtection="1">
      <alignment vertical="center"/>
      <protection hidden="1"/>
    </xf>
    <xf numFmtId="0" fontId="5" fillId="2" borderId="0" xfId="0" applyFont="1" applyFill="1" applyAlignment="1">
      <alignment vertical="center"/>
    </xf>
    <xf numFmtId="0" fontId="10" fillId="3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vertical="center"/>
    </xf>
    <xf numFmtId="167" fontId="5" fillId="4" borderId="11" xfId="1" applyFont="1" applyFill="1" applyBorder="1" applyAlignment="1" applyProtection="1">
      <alignment horizontal="right" vertical="center"/>
      <protection hidden="1"/>
    </xf>
    <xf numFmtId="0" fontId="5" fillId="4" borderId="11" xfId="0" applyFont="1" applyFill="1" applyBorder="1" applyAlignment="1" applyProtection="1">
      <alignment vertical="center"/>
      <protection hidden="1"/>
    </xf>
    <xf numFmtId="0" fontId="5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167" fontId="0" fillId="2" borderId="12" xfId="1" applyFont="1" applyFill="1" applyBorder="1" applyAlignment="1" applyProtection="1">
      <alignment horizontal="right" vertical="center"/>
      <protection hidden="1"/>
    </xf>
    <xf numFmtId="0" fontId="0" fillId="2" borderId="12" xfId="0" applyFont="1" applyFill="1" applyBorder="1" applyAlignment="1" applyProtection="1">
      <alignment vertical="center"/>
      <protection hidden="1"/>
    </xf>
    <xf numFmtId="0" fontId="2" fillId="2" borderId="13" xfId="0" applyFont="1" applyFill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67" fontId="0" fillId="2" borderId="13" xfId="1" applyFont="1" applyFill="1" applyBorder="1" applyAlignment="1" applyProtection="1">
      <alignment horizontal="right" vertical="center"/>
      <protection hidden="1"/>
    </xf>
    <xf numFmtId="170" fontId="5" fillId="2" borderId="13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4" fontId="2" fillId="2" borderId="0" xfId="0" applyNumberFormat="1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>
      <alignment vertical="center"/>
    </xf>
    <xf numFmtId="3" fontId="0" fillId="2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/>
    <xf numFmtId="169" fontId="12" fillId="2" borderId="0" xfId="0" applyNumberFormat="1" applyFont="1" applyFill="1" applyBorder="1" applyAlignment="1" applyProtection="1">
      <alignment horizontal="center" vertical="center"/>
      <protection locked="0"/>
    </xf>
    <xf numFmtId="167" fontId="10" fillId="2" borderId="9" xfId="1" applyFont="1" applyFill="1" applyBorder="1" applyAlignment="1" applyProtection="1">
      <alignment horizontal="right" vertical="center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4" fontId="10" fillId="2" borderId="9" xfId="0" applyNumberFormat="1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locked="0"/>
    </xf>
    <xf numFmtId="1" fontId="0" fillId="2" borderId="16" xfId="1" applyNumberFormat="1" applyFont="1" applyFill="1" applyBorder="1" applyAlignment="1" applyProtection="1">
      <alignment horizontal="right" vertical="center"/>
      <protection locked="0"/>
    </xf>
    <xf numFmtId="3" fontId="0" fillId="2" borderId="16" xfId="0" applyNumberFormat="1" applyFont="1" applyFill="1" applyBorder="1" applyAlignment="1" applyProtection="1">
      <alignment vertical="center"/>
      <protection locked="0"/>
    </xf>
    <xf numFmtId="0" fontId="0" fillId="2" borderId="15" xfId="0" applyFont="1" applyFill="1" applyBorder="1" applyAlignment="1" applyProtection="1">
      <alignment vertical="center"/>
      <protection locked="0"/>
    </xf>
    <xf numFmtId="3" fontId="0" fillId="2" borderId="9" xfId="0" applyNumberFormat="1" applyFont="1" applyFill="1" applyBorder="1" applyAlignment="1" applyProtection="1">
      <alignment vertical="center"/>
      <protection locked="0"/>
    </xf>
    <xf numFmtId="3" fontId="0" fillId="0" borderId="9" xfId="0" applyNumberFormat="1" applyFont="1" applyFill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horizontal="left" vertical="center"/>
      <protection locked="0"/>
    </xf>
    <xf numFmtId="1" fontId="0" fillId="2" borderId="9" xfId="1" applyNumberFormat="1" applyFont="1" applyFill="1" applyBorder="1" applyAlignment="1" applyProtection="1">
      <alignment horizontal="right" vertical="center"/>
      <protection locked="0"/>
    </xf>
    <xf numFmtId="3" fontId="0" fillId="2" borderId="9" xfId="0" applyNumberFormat="1" applyFont="1" applyFill="1" applyBorder="1" applyAlignment="1" applyProtection="1">
      <alignment horizontal="right"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2" fillId="2" borderId="9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>
      <alignment horizontal="right" vertical="center"/>
    </xf>
    <xf numFmtId="3" fontId="0" fillId="2" borderId="9" xfId="0" applyNumberFormat="1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4" fontId="0" fillId="2" borderId="0" xfId="0" applyNumberFormat="1" applyFont="1" applyFill="1" applyBorder="1" applyAlignment="1" applyProtection="1">
      <alignment horizontal="right" vertical="center"/>
      <protection locked="0"/>
    </xf>
    <xf numFmtId="3" fontId="0" fillId="2" borderId="0" xfId="0" applyNumberFormat="1" applyFont="1" applyFill="1" applyBorder="1" applyAlignment="1" applyProtection="1">
      <alignment vertical="center"/>
      <protection locked="0"/>
    </xf>
    <xf numFmtId="4" fontId="0" fillId="2" borderId="17" xfId="0" applyNumberFormat="1" applyFont="1" applyFill="1" applyBorder="1" applyAlignment="1" applyProtection="1">
      <alignment vertical="center"/>
      <protection locked="0"/>
    </xf>
    <xf numFmtId="0" fontId="2" fillId="2" borderId="18" xfId="0" applyFont="1" applyFill="1" applyBorder="1" applyAlignment="1">
      <alignment vertical="center"/>
    </xf>
    <xf numFmtId="3" fontId="0" fillId="2" borderId="4" xfId="0" applyNumberFormat="1" applyFont="1" applyFill="1" applyBorder="1" applyAlignment="1" applyProtection="1">
      <alignment vertical="center"/>
      <protection locked="0"/>
    </xf>
    <xf numFmtId="3" fontId="0" fillId="2" borderId="18" xfId="0" applyNumberFormat="1" applyFont="1" applyFill="1" applyBorder="1" applyAlignment="1">
      <alignment vertical="center"/>
    </xf>
    <xf numFmtId="0" fontId="2" fillId="2" borderId="17" xfId="0" applyFont="1" applyFill="1" applyBorder="1" applyAlignment="1" applyProtection="1">
      <alignment horizontal="left" vertical="center"/>
      <protection locked="0"/>
    </xf>
    <xf numFmtId="167" fontId="0" fillId="2" borderId="9" xfId="1" applyFont="1" applyFill="1" applyBorder="1" applyAlignment="1" applyProtection="1">
      <alignment horizontal="right" vertical="center"/>
      <protection locked="0"/>
    </xf>
    <xf numFmtId="4" fontId="0" fillId="2" borderId="4" xfId="0" applyNumberFormat="1" applyFont="1" applyFill="1" applyBorder="1" applyAlignment="1" applyProtection="1">
      <alignment vertical="center"/>
      <protection locked="0"/>
    </xf>
    <xf numFmtId="0" fontId="0" fillId="2" borderId="18" xfId="0" applyFont="1" applyFill="1" applyBorder="1" applyAlignment="1">
      <alignment vertical="center"/>
    </xf>
    <xf numFmtId="4" fontId="0" fillId="2" borderId="9" xfId="0" applyNumberFormat="1" applyFont="1" applyFill="1" applyBorder="1" applyAlignment="1" applyProtection="1">
      <alignment horizontal="right" vertical="center"/>
      <protection locked="0"/>
    </xf>
    <xf numFmtId="3" fontId="0" fillId="2" borderId="4" xfId="0" applyNumberFormat="1" applyFont="1" applyFill="1" applyBorder="1" applyAlignment="1">
      <alignment vertical="center"/>
    </xf>
    <xf numFmtId="3" fontId="0" fillId="2" borderId="19" xfId="0" applyNumberFormat="1" applyFont="1" applyFill="1" applyBorder="1" applyAlignment="1" applyProtection="1">
      <alignment vertical="center"/>
      <protection locked="0"/>
    </xf>
    <xf numFmtId="0" fontId="0" fillId="2" borderId="9" xfId="0" applyNumberFormat="1" applyFont="1" applyFill="1" applyBorder="1" applyAlignment="1" applyProtection="1">
      <alignment vertical="center"/>
      <protection locked="0"/>
    </xf>
    <xf numFmtId="2" fontId="0" fillId="2" borderId="9" xfId="1" applyNumberFormat="1" applyFont="1" applyFill="1" applyBorder="1" applyAlignment="1" applyProtection="1">
      <alignment horizontal="right" vertical="center"/>
      <protection locked="0"/>
    </xf>
    <xf numFmtId="3" fontId="0" fillId="2" borderId="0" xfId="0" applyNumberFormat="1" applyFont="1" applyFill="1" applyBorder="1" applyAlignment="1" applyProtection="1">
      <alignment horizontal="right" vertical="center"/>
      <protection locked="0"/>
    </xf>
    <xf numFmtId="3" fontId="0" fillId="2" borderId="10" xfId="0" applyNumberFormat="1" applyFont="1" applyFill="1" applyBorder="1" applyAlignment="1" applyProtection="1">
      <alignment vertical="center"/>
      <protection locked="0"/>
    </xf>
    <xf numFmtId="3" fontId="0" fillId="2" borderId="11" xfId="0" applyNumberFormat="1" applyFont="1" applyFill="1" applyBorder="1" applyAlignment="1" applyProtection="1">
      <alignment vertical="center"/>
      <protection locked="0"/>
    </xf>
    <xf numFmtId="172" fontId="0" fillId="2" borderId="9" xfId="0" applyNumberFormat="1" applyFont="1" applyFill="1" applyBorder="1" applyAlignment="1" applyProtection="1">
      <alignment vertical="center"/>
      <protection locked="0"/>
    </xf>
    <xf numFmtId="3" fontId="0" fillId="2" borderId="16" xfId="0" applyNumberFormat="1" applyFont="1" applyFill="1" applyBorder="1" applyAlignment="1">
      <alignment vertical="center"/>
    </xf>
    <xf numFmtId="3" fontId="0" fillId="2" borderId="19" xfId="0" applyNumberFormat="1" applyFont="1" applyFill="1" applyBorder="1" applyAlignment="1">
      <alignment vertical="center"/>
    </xf>
    <xf numFmtId="1" fontId="0" fillId="2" borderId="9" xfId="0" applyNumberFormat="1" applyFont="1" applyFill="1" applyBorder="1" applyAlignment="1" applyProtection="1">
      <alignment vertical="center"/>
      <protection locked="0"/>
    </xf>
    <xf numFmtId="0" fontId="0" fillId="2" borderId="20" xfId="0" applyFont="1" applyFill="1" applyBorder="1" applyAlignment="1" applyProtection="1">
      <alignment horizontal="right" vertical="center"/>
      <protection locked="0"/>
    </xf>
    <xf numFmtId="172" fontId="0" fillId="2" borderId="0" xfId="0" applyNumberFormat="1" applyFont="1" applyFill="1" applyBorder="1" applyAlignment="1" applyProtection="1">
      <alignment vertical="center"/>
      <protection locked="0"/>
    </xf>
    <xf numFmtId="167" fontId="0" fillId="2" borderId="19" xfId="1" applyFont="1" applyFill="1" applyBorder="1" applyAlignment="1" applyProtection="1">
      <alignment horizontal="right" vertical="center"/>
      <protection locked="0"/>
    </xf>
    <xf numFmtId="173" fontId="0" fillId="2" borderId="9" xfId="0" applyNumberFormat="1" applyFont="1" applyFill="1" applyBorder="1" applyAlignment="1" applyProtection="1">
      <alignment vertical="center"/>
      <protection locked="0"/>
    </xf>
    <xf numFmtId="1" fontId="0" fillId="2" borderId="0" xfId="1" applyNumberFormat="1" applyFont="1" applyFill="1" applyBorder="1" applyAlignment="1" applyProtection="1">
      <alignment horizontal="right" vertical="center"/>
      <protection locked="0"/>
    </xf>
    <xf numFmtId="173" fontId="0" fillId="2" borderId="0" xfId="0" applyNumberFormat="1" applyFont="1" applyFill="1" applyBorder="1" applyAlignment="1" applyProtection="1">
      <alignment horizontal="right" vertical="center"/>
      <protection locked="0"/>
    </xf>
    <xf numFmtId="4" fontId="0" fillId="2" borderId="9" xfId="0" applyNumberFormat="1" applyFont="1" applyFill="1" applyBorder="1" applyAlignment="1" applyProtection="1">
      <alignment vertical="center"/>
      <protection locked="0"/>
    </xf>
    <xf numFmtId="0" fontId="0" fillId="2" borderId="16" xfId="0" applyFont="1" applyFill="1" applyBorder="1" applyAlignment="1">
      <alignment horizontal="right" vertical="center"/>
    </xf>
    <xf numFmtId="0" fontId="18" fillId="2" borderId="0" xfId="0" applyFont="1" applyFill="1" applyAlignment="1">
      <alignment vertical="center"/>
    </xf>
    <xf numFmtId="0" fontId="2" fillId="2" borderId="21" xfId="0" applyFont="1" applyFill="1" applyBorder="1" applyAlignment="1" applyProtection="1">
      <alignment horizontal="left" vertical="center"/>
      <protection locked="0"/>
    </xf>
    <xf numFmtId="0" fontId="0" fillId="2" borderId="21" xfId="0" applyFont="1" applyFill="1" applyBorder="1" applyAlignment="1">
      <alignment horizontal="right" vertical="center"/>
    </xf>
    <xf numFmtId="0" fontId="18" fillId="2" borderId="13" xfId="0" applyFont="1" applyFill="1" applyBorder="1" applyAlignment="1">
      <alignment vertical="center"/>
    </xf>
    <xf numFmtId="3" fontId="18" fillId="2" borderId="17" xfId="0" applyNumberFormat="1" applyFont="1" applyFill="1" applyBorder="1" applyAlignment="1">
      <alignment vertical="center"/>
    </xf>
    <xf numFmtId="3" fontId="18" fillId="2" borderId="22" xfId="0" applyNumberFormat="1" applyFont="1" applyFill="1" applyBorder="1" applyAlignment="1">
      <alignment vertical="center"/>
    </xf>
    <xf numFmtId="0" fontId="0" fillId="2" borderId="9" xfId="0" applyFont="1" applyFill="1" applyBorder="1" applyAlignment="1" applyProtection="1">
      <alignment vertical="center"/>
      <protection locked="0"/>
    </xf>
    <xf numFmtId="3" fontId="0" fillId="2" borderId="18" xfId="0" applyNumberFormat="1" applyFont="1" applyFill="1" applyBorder="1" applyAlignment="1" applyProtection="1">
      <alignment vertical="center"/>
      <protection locked="0"/>
    </xf>
    <xf numFmtId="3" fontId="0" fillId="2" borderId="23" xfId="0" applyNumberFormat="1" applyFont="1" applyFill="1" applyBorder="1" applyAlignment="1" applyProtection="1">
      <alignment vertical="center"/>
      <protection locked="0"/>
    </xf>
    <xf numFmtId="0" fontId="0" fillId="2" borderId="4" xfId="0" applyFont="1" applyFill="1" applyBorder="1" applyAlignment="1" applyProtection="1">
      <alignment vertical="center"/>
      <protection locked="0"/>
    </xf>
    <xf numFmtId="0" fontId="19" fillId="2" borderId="10" xfId="0" applyFont="1" applyFill="1" applyBorder="1" applyAlignment="1" applyProtection="1">
      <alignment horizontal="right" vertical="center"/>
      <protection locked="0"/>
    </xf>
    <xf numFmtId="171" fontId="0" fillId="2" borderId="9" xfId="1" applyNumberFormat="1" applyFont="1" applyFill="1" applyBorder="1" applyAlignment="1" applyProtection="1">
      <alignment horizontal="right" vertical="center"/>
      <protection locked="0"/>
    </xf>
    <xf numFmtId="171" fontId="0" fillId="2" borderId="16" xfId="1" applyNumberFormat="1" applyFont="1" applyFill="1" applyBorder="1" applyAlignment="1" applyProtection="1">
      <alignment horizontal="right" vertical="center"/>
      <protection locked="0"/>
    </xf>
    <xf numFmtId="0" fontId="0" fillId="2" borderId="20" xfId="0" applyFont="1" applyFill="1" applyBorder="1" applyAlignment="1">
      <alignment horizontal="right" vertical="center"/>
    </xf>
    <xf numFmtId="3" fontId="0" fillId="2" borderId="23" xfId="0" applyNumberFormat="1" applyFont="1" applyFill="1" applyBorder="1" applyAlignment="1">
      <alignment vertical="center"/>
    </xf>
    <xf numFmtId="0" fontId="0" fillId="2" borderId="16" xfId="0" applyFont="1" applyFill="1" applyBorder="1" applyAlignment="1" applyProtection="1">
      <alignment horizontal="right" vertical="center"/>
      <protection locked="0"/>
    </xf>
    <xf numFmtId="167" fontId="0" fillId="2" borderId="10" xfId="1" applyFont="1" applyFill="1" applyBorder="1" applyAlignment="1" applyProtection="1">
      <alignment horizontal="right" vertical="center"/>
      <protection locked="0"/>
    </xf>
    <xf numFmtId="3" fontId="0" fillId="2" borderId="22" xfId="0" applyNumberFormat="1" applyFont="1" applyFill="1" applyBorder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3" fontId="0" fillId="0" borderId="9" xfId="0" applyNumberFormat="1" applyFont="1" applyBorder="1" applyAlignment="1">
      <alignment vertical="center"/>
    </xf>
    <xf numFmtId="3" fontId="0" fillId="2" borderId="9" xfId="1" applyNumberFormat="1" applyFont="1" applyFill="1" applyBorder="1" applyAlignment="1" applyProtection="1">
      <alignment horizontal="right" vertical="center"/>
      <protection locked="0"/>
    </xf>
    <xf numFmtId="0" fontId="0" fillId="2" borderId="18" xfId="0" applyFont="1" applyFill="1" applyBorder="1" applyAlignment="1" applyProtection="1">
      <alignment vertical="center"/>
      <protection locked="0"/>
    </xf>
    <xf numFmtId="3" fontId="0" fillId="2" borderId="22" xfId="0" applyNumberFormat="1" applyFont="1" applyFill="1" applyBorder="1" applyAlignment="1">
      <alignment vertical="center"/>
    </xf>
    <xf numFmtId="167" fontId="0" fillId="2" borderId="21" xfId="1" applyFont="1" applyFill="1" applyBorder="1" applyAlignment="1" applyProtection="1">
      <alignment horizontal="right" vertical="center"/>
      <protection locked="0"/>
    </xf>
    <xf numFmtId="3" fontId="0" fillId="2" borderId="13" xfId="0" applyNumberFormat="1" applyFont="1" applyFill="1" applyBorder="1" applyAlignment="1" applyProtection="1">
      <alignment vertical="center"/>
      <protection locked="0"/>
    </xf>
    <xf numFmtId="4" fontId="0" fillId="0" borderId="9" xfId="1" applyNumberFormat="1" applyFont="1" applyFill="1" applyBorder="1" applyAlignment="1" applyProtection="1">
      <alignment horizontal="right" vertical="center"/>
      <protection locked="0"/>
    </xf>
    <xf numFmtId="0" fontId="0" fillId="0" borderId="9" xfId="0" applyFont="1" applyFill="1" applyBorder="1" applyAlignment="1" applyProtection="1">
      <alignment vertical="center"/>
      <protection locked="0"/>
    </xf>
    <xf numFmtId="167" fontId="0" fillId="2" borderId="20" xfId="1" applyFont="1" applyFill="1" applyBorder="1" applyAlignment="1" applyProtection="1">
      <alignment horizontal="right" vertical="center"/>
      <protection locked="0"/>
    </xf>
    <xf numFmtId="3" fontId="0" fillId="2" borderId="0" xfId="1" applyNumberFormat="1" applyFont="1" applyFill="1" applyBorder="1" applyAlignment="1" applyProtection="1">
      <alignment horizontal="right" vertical="center"/>
      <protection locked="0"/>
    </xf>
    <xf numFmtId="0" fontId="2" fillId="2" borderId="4" xfId="0" applyFont="1" applyFill="1" applyBorder="1" applyAlignment="1" applyProtection="1">
      <alignment horizontal="left" vertical="center"/>
      <protection locked="0"/>
    </xf>
    <xf numFmtId="3" fontId="18" fillId="2" borderId="19" xfId="0" applyNumberFormat="1" applyFont="1" applyFill="1" applyBorder="1" applyAlignment="1">
      <alignment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vertical="center"/>
    </xf>
    <xf numFmtId="3" fontId="0" fillId="2" borderId="17" xfId="0" applyNumberFormat="1" applyFont="1" applyFill="1" applyBorder="1" applyAlignment="1" applyProtection="1">
      <alignment vertical="center"/>
      <protection locked="0"/>
    </xf>
    <xf numFmtId="0" fontId="2" fillId="2" borderId="21" xfId="0" applyFont="1" applyFill="1" applyBorder="1" applyAlignment="1">
      <alignment horizontal="left" vertical="center"/>
    </xf>
    <xf numFmtId="0" fontId="21" fillId="5" borderId="9" xfId="0" applyFont="1" applyFill="1" applyBorder="1" applyAlignment="1">
      <alignment horizontal="right" vertical="center"/>
    </xf>
    <xf numFmtId="3" fontId="0" fillId="5" borderId="11" xfId="0" applyNumberFormat="1" applyFont="1" applyFill="1" applyBorder="1" applyAlignment="1">
      <alignment vertical="center"/>
    </xf>
    <xf numFmtId="3" fontId="0" fillId="5" borderId="9" xfId="0" applyNumberFormat="1" applyFont="1" applyFill="1" applyBorder="1" applyAlignment="1">
      <alignment horizontal="center" vertical="center"/>
    </xf>
    <xf numFmtId="3" fontId="0" fillId="2" borderId="16" xfId="0" applyNumberFormat="1" applyFont="1" applyFill="1" applyBorder="1" applyAlignment="1" applyProtection="1">
      <alignment horizontal="center" vertical="center"/>
      <protection locked="0"/>
    </xf>
    <xf numFmtId="3" fontId="0" fillId="2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Border="1" applyAlignment="1">
      <alignment vertical="center"/>
    </xf>
    <xf numFmtId="167" fontId="0" fillId="2" borderId="9" xfId="1" applyFont="1" applyFill="1" applyBorder="1" applyAlignment="1" applyProtection="1">
      <alignment horizontal="right" vertical="center"/>
      <protection hidden="1"/>
    </xf>
    <xf numFmtId="167" fontId="0" fillId="2" borderId="16" xfId="1" applyFont="1" applyFill="1" applyBorder="1" applyAlignment="1" applyProtection="1">
      <alignment horizontal="right" vertical="center"/>
      <protection locked="0"/>
    </xf>
    <xf numFmtId="0" fontId="0" fillId="2" borderId="14" xfId="0" applyFont="1" applyFill="1" applyBorder="1" applyAlignment="1" applyProtection="1">
      <alignment vertical="center"/>
      <protection locked="0"/>
    </xf>
    <xf numFmtId="167" fontId="0" fillId="2" borderId="14" xfId="1" applyFont="1" applyFill="1" applyBorder="1" applyAlignment="1" applyProtection="1">
      <alignment horizontal="right" vertical="center"/>
      <protection locked="0"/>
    </xf>
    <xf numFmtId="0" fontId="2" fillId="2" borderId="14" xfId="0" applyFont="1" applyFill="1" applyBorder="1" applyAlignment="1">
      <alignment vertical="center"/>
    </xf>
    <xf numFmtId="0" fontId="31" fillId="0" borderId="24" xfId="0" applyFont="1" applyFill="1" applyBorder="1" applyAlignment="1">
      <alignment horizontal="left" vertical="top"/>
    </xf>
    <xf numFmtId="0" fontId="32" fillId="0" borderId="0" xfId="0" applyFont="1"/>
    <xf numFmtId="0" fontId="33" fillId="0" borderId="0" xfId="0" applyFont="1" applyFill="1" applyBorder="1"/>
    <xf numFmtId="0" fontId="14" fillId="0" borderId="0" xfId="0" applyFont="1" applyFill="1" applyBorder="1" applyAlignment="1">
      <alignment vertical="center"/>
    </xf>
    <xf numFmtId="174" fontId="34" fillId="2" borderId="0" xfId="0" applyNumberFormat="1" applyFont="1" applyFill="1" applyAlignment="1">
      <alignment horizontal="center" vertical="center"/>
    </xf>
    <xf numFmtId="174" fontId="34" fillId="2" borderId="25" xfId="0" applyNumberFormat="1" applyFont="1" applyFill="1" applyBorder="1" applyAlignment="1">
      <alignment horizontal="center" vertical="center"/>
    </xf>
    <xf numFmtId="174" fontId="35" fillId="2" borderId="25" xfId="0" applyNumberFormat="1" applyFont="1" applyFill="1" applyBorder="1" applyAlignment="1">
      <alignment horizontal="center" vertical="center"/>
    </xf>
    <xf numFmtId="174" fontId="36" fillId="2" borderId="25" xfId="0" applyNumberFormat="1" applyFont="1" applyFill="1" applyBorder="1" applyAlignment="1">
      <alignment horizontal="center" vertical="center"/>
    </xf>
    <xf numFmtId="174" fontId="34" fillId="2" borderId="26" xfId="0" applyNumberFormat="1" applyFont="1" applyFill="1" applyBorder="1" applyAlignment="1">
      <alignment horizontal="center" vertical="center"/>
    </xf>
    <xf numFmtId="174" fontId="37" fillId="2" borderId="25" xfId="0" applyNumberFormat="1" applyFont="1" applyFill="1" applyBorder="1" applyAlignment="1" applyProtection="1">
      <alignment horizontal="center" vertical="center"/>
      <protection locked="0"/>
    </xf>
    <xf numFmtId="174" fontId="38" fillId="2" borderId="25" xfId="0" applyNumberFormat="1" applyFont="1" applyFill="1" applyBorder="1" applyAlignment="1">
      <alignment horizontal="center" vertical="center"/>
    </xf>
    <xf numFmtId="174" fontId="34" fillId="0" borderId="0" xfId="0" applyNumberFormat="1" applyFont="1" applyAlignment="1">
      <alignment horizontal="center" vertical="center"/>
    </xf>
    <xf numFmtId="0" fontId="0" fillId="2" borderId="10" xfId="0" applyFont="1" applyFill="1" applyBorder="1" applyAlignment="1" applyProtection="1">
      <alignment horizontal="right" vertical="center"/>
      <protection locked="0"/>
    </xf>
    <xf numFmtId="0" fontId="34" fillId="0" borderId="0" xfId="0" applyFont="1" applyFill="1" applyBorder="1" applyAlignment="1" applyProtection="1">
      <alignment horizontal="left" vertical="center"/>
      <protection locked="0"/>
    </xf>
    <xf numFmtId="167" fontId="34" fillId="0" borderId="0" xfId="1" applyFont="1" applyFill="1" applyBorder="1" applyAlignment="1" applyProtection="1">
      <alignment horizontal="right" vertical="center"/>
      <protection locked="0"/>
    </xf>
    <xf numFmtId="0" fontId="34" fillId="0" borderId="0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4" fontId="39" fillId="0" borderId="0" xfId="0" applyNumberFormat="1" applyFont="1" applyFill="1" applyBorder="1" applyAlignment="1" applyProtection="1">
      <alignment vertical="center"/>
      <protection locked="0"/>
    </xf>
    <xf numFmtId="4" fontId="38" fillId="0" borderId="0" xfId="0" applyNumberFormat="1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0" fontId="6" fillId="4" borderId="27" xfId="0" applyFont="1" applyFill="1" applyBorder="1" applyAlignment="1">
      <alignment horizontal="center" vertical="center"/>
    </xf>
    <xf numFmtId="4" fontId="2" fillId="2" borderId="0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horizontal="right" vertical="center"/>
    </xf>
    <xf numFmtId="0" fontId="2" fillId="0" borderId="21" xfId="0" applyFont="1" applyFill="1" applyBorder="1" applyAlignment="1" applyProtection="1">
      <alignment horizontal="left" vertical="center"/>
      <protection locked="0"/>
    </xf>
    <xf numFmtId="0" fontId="0" fillId="0" borderId="4" xfId="0" applyFont="1" applyFill="1" applyBorder="1" applyAlignment="1" applyProtection="1">
      <alignment horizontal="right" vertical="center"/>
      <protection locked="0"/>
    </xf>
    <xf numFmtId="0" fontId="40" fillId="0" borderId="0" xfId="0" applyFont="1" applyFill="1" applyBorder="1" applyAlignment="1">
      <alignment horizontal="left" vertical="top"/>
    </xf>
    <xf numFmtId="0" fontId="6" fillId="0" borderId="28" xfId="0" applyFont="1" applyFill="1" applyBorder="1" applyAlignment="1">
      <alignment horizontal="left" vertical="top"/>
    </xf>
    <xf numFmtId="3" fontId="40" fillId="0" borderId="0" xfId="0" applyNumberFormat="1" applyFont="1" applyFill="1" applyBorder="1" applyAlignment="1">
      <alignment horizontal="center" vertical="top"/>
    </xf>
    <xf numFmtId="3" fontId="40" fillId="0" borderId="24" xfId="0" applyNumberFormat="1" applyFont="1" applyFill="1" applyBorder="1" applyAlignment="1">
      <alignment horizontal="center" vertical="top"/>
    </xf>
    <xf numFmtId="0" fontId="15" fillId="0" borderId="0" xfId="0" applyFont="1" applyFill="1" applyAlignment="1">
      <alignment vertical="center"/>
    </xf>
    <xf numFmtId="0" fontId="40" fillId="0" borderId="0" xfId="0" applyFont="1" applyFill="1" applyBorder="1" applyAlignment="1">
      <alignment horizontal="center" vertical="top"/>
    </xf>
    <xf numFmtId="17" fontId="40" fillId="0" borderId="0" xfId="0" applyNumberFormat="1" applyFont="1" applyFill="1" applyBorder="1" applyAlignment="1">
      <alignment horizontal="center" vertical="top"/>
    </xf>
    <xf numFmtId="3" fontId="23" fillId="0" borderId="0" xfId="0" applyNumberFormat="1" applyFont="1" applyFill="1" applyBorder="1" applyAlignment="1">
      <alignment horizontal="center"/>
    </xf>
    <xf numFmtId="0" fontId="14" fillId="2" borderId="27" xfId="0" applyFont="1" applyFill="1" applyBorder="1" applyAlignment="1">
      <alignment vertical="center"/>
    </xf>
    <xf numFmtId="4" fontId="41" fillId="2" borderId="0" xfId="0" applyNumberFormat="1" applyFont="1" applyFill="1" applyBorder="1" applyAlignment="1" applyProtection="1">
      <alignment horizontal="right" vertical="center"/>
      <protection locked="0"/>
    </xf>
    <xf numFmtId="3" fontId="41" fillId="2" borderId="18" xfId="0" applyNumberFormat="1" applyFont="1" applyFill="1" applyBorder="1" applyAlignment="1">
      <alignment vertical="center"/>
    </xf>
    <xf numFmtId="1" fontId="41" fillId="2" borderId="0" xfId="1" applyNumberFormat="1" applyFont="1" applyFill="1" applyBorder="1" applyAlignment="1" applyProtection="1">
      <alignment horizontal="right" vertical="center"/>
      <protection locked="0"/>
    </xf>
    <xf numFmtId="0" fontId="41" fillId="2" borderId="0" xfId="0" applyFont="1" applyFill="1" applyAlignment="1">
      <alignment vertical="center"/>
    </xf>
    <xf numFmtId="0" fontId="2" fillId="0" borderId="15" xfId="0" applyFont="1" applyFill="1" applyBorder="1" applyAlignment="1" applyProtection="1">
      <alignment horizontal="left" vertical="center"/>
      <protection locked="0"/>
    </xf>
    <xf numFmtId="4" fontId="7" fillId="7" borderId="30" xfId="0" applyNumberFormat="1" applyFont="1" applyFill="1" applyBorder="1" applyAlignment="1" applyProtection="1">
      <alignment horizontal="center" vertical="center"/>
      <protection hidden="1"/>
    </xf>
    <xf numFmtId="3" fontId="10" fillId="7" borderId="31" xfId="0" applyNumberFormat="1" applyFont="1" applyFill="1" applyBorder="1" applyAlignment="1" applyProtection="1">
      <alignment horizontal="right" vertical="center"/>
      <protection hidden="1"/>
    </xf>
    <xf numFmtId="4" fontId="10" fillId="7" borderId="9" xfId="0" applyNumberFormat="1" applyFont="1" applyFill="1" applyBorder="1" applyAlignment="1" applyProtection="1">
      <alignment horizontal="center" vertical="center"/>
      <protection hidden="1"/>
    </xf>
    <xf numFmtId="174" fontId="0" fillId="2" borderId="25" xfId="0" applyNumberFormat="1" applyFont="1" applyFill="1" applyBorder="1" applyAlignment="1">
      <alignment horizontal="center" vertical="center"/>
    </xf>
    <xf numFmtId="3" fontId="0" fillId="2" borderId="27" xfId="0" applyNumberFormat="1" applyFont="1" applyFill="1" applyBorder="1" applyAlignment="1">
      <alignment vertical="center"/>
    </xf>
    <xf numFmtId="3" fontId="10" fillId="8" borderId="31" xfId="0" applyNumberFormat="1" applyFont="1" applyFill="1" applyBorder="1" applyAlignment="1" applyProtection="1">
      <alignment horizontal="right" vertical="center"/>
      <protection hidden="1"/>
    </xf>
    <xf numFmtId="174" fontId="41" fillId="2" borderId="25" xfId="0" applyNumberFormat="1" applyFont="1" applyFill="1" applyBorder="1" applyAlignment="1">
      <alignment horizontal="center" vertical="center"/>
    </xf>
    <xf numFmtId="3" fontId="41" fillId="2" borderId="4" xfId="0" applyNumberFormat="1" applyFont="1" applyFill="1" applyBorder="1" applyAlignment="1" applyProtection="1">
      <alignment vertical="center"/>
      <protection locked="0"/>
    </xf>
    <xf numFmtId="0" fontId="41" fillId="2" borderId="20" xfId="0" applyFont="1" applyFill="1" applyBorder="1" applyAlignment="1" applyProtection="1">
      <alignment horizontal="right" vertical="center"/>
      <protection locked="0"/>
    </xf>
    <xf numFmtId="172" fontId="41" fillId="2" borderId="0" xfId="0" applyNumberFormat="1" applyFont="1" applyFill="1" applyBorder="1" applyAlignment="1" applyProtection="1">
      <alignment vertical="center"/>
      <protection locked="0"/>
    </xf>
    <xf numFmtId="0" fontId="43" fillId="2" borderId="17" xfId="0" applyFont="1" applyFill="1" applyBorder="1" applyAlignment="1" applyProtection="1">
      <alignment horizontal="left" vertical="center"/>
      <protection locked="0"/>
    </xf>
    <xf numFmtId="0" fontId="33" fillId="0" borderId="32" xfId="0" applyFont="1" applyFill="1" applyBorder="1" applyAlignment="1"/>
    <xf numFmtId="3" fontId="33" fillId="0" borderId="32" xfId="0" applyNumberFormat="1" applyFont="1" applyFill="1" applyBorder="1" applyAlignment="1"/>
    <xf numFmtId="0" fontId="33" fillId="0" borderId="33" xfId="0" applyFont="1" applyFill="1" applyBorder="1" applyAlignment="1"/>
    <xf numFmtId="1" fontId="22" fillId="0" borderId="9" xfId="1" applyNumberFormat="1" applyFont="1" applyFill="1" applyBorder="1" applyAlignment="1" applyProtection="1">
      <alignment horizontal="right" vertical="center"/>
      <protection locked="0"/>
    </xf>
    <xf numFmtId="174" fontId="34" fillId="0" borderId="25" xfId="0" applyNumberFormat="1" applyFont="1" applyFill="1" applyBorder="1" applyAlignment="1">
      <alignment horizontal="center" vertical="center"/>
    </xf>
    <xf numFmtId="3" fontId="0" fillId="0" borderId="34" xfId="0" applyNumberFormat="1" applyFont="1" applyFill="1" applyBorder="1" applyAlignment="1">
      <alignment vertical="center"/>
    </xf>
    <xf numFmtId="3" fontId="0" fillId="0" borderId="9" xfId="0" applyNumberFormat="1" applyFont="1" applyFill="1" applyBorder="1" applyAlignment="1" applyProtection="1">
      <alignment horizontal="right" vertical="center"/>
      <protection locked="0"/>
    </xf>
    <xf numFmtId="0" fontId="0" fillId="0" borderId="10" xfId="0" applyFont="1" applyFill="1" applyBorder="1" applyAlignment="1" applyProtection="1">
      <alignment vertical="center"/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27" fillId="2" borderId="2" xfId="0" applyFont="1" applyFill="1" applyBorder="1" applyAlignment="1" applyProtection="1">
      <alignment horizontal="right" vertical="center"/>
      <protection locked="0"/>
    </xf>
    <xf numFmtId="0" fontId="27" fillId="2" borderId="4" xfId="0" applyFont="1" applyFill="1" applyBorder="1" applyAlignment="1" applyProtection="1">
      <alignment horizontal="right" vertical="center"/>
      <protection locked="0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172" fontId="22" fillId="0" borderId="9" xfId="1" applyNumberFormat="1" applyFont="1" applyFill="1" applyBorder="1" applyAlignment="1" applyProtection="1">
      <alignment horizontal="right" vertical="center"/>
      <protection locked="0"/>
    </xf>
    <xf numFmtId="0" fontId="44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2" borderId="37" xfId="0" applyFont="1" applyFill="1" applyBorder="1" applyAlignment="1">
      <alignment vertical="center"/>
    </xf>
    <xf numFmtId="0" fontId="2" fillId="2" borderId="38" xfId="0" applyFont="1" applyFill="1" applyBorder="1" applyAlignment="1">
      <alignment horizontal="center" vertical="center"/>
    </xf>
    <xf numFmtId="0" fontId="0" fillId="2" borderId="38" xfId="0" applyFont="1" applyFill="1" applyBorder="1" applyAlignment="1" applyProtection="1">
      <alignment vertical="center"/>
      <protection locked="0"/>
    </xf>
    <xf numFmtId="167" fontId="0" fillId="2" borderId="38" xfId="1" applyFont="1" applyFill="1" applyBorder="1" applyAlignment="1" applyProtection="1">
      <alignment horizontal="right" vertical="center"/>
      <protection locked="0"/>
    </xf>
    <xf numFmtId="0" fontId="2" fillId="2" borderId="38" xfId="0" applyFont="1" applyFill="1" applyBorder="1" applyAlignment="1">
      <alignment vertical="center"/>
    </xf>
    <xf numFmtId="0" fontId="0" fillId="2" borderId="39" xfId="0" applyFont="1" applyFill="1" applyBorder="1" applyAlignment="1">
      <alignment vertical="center"/>
    </xf>
    <xf numFmtId="0" fontId="9" fillId="2" borderId="39" xfId="0" applyFont="1" applyFill="1" applyBorder="1" applyAlignment="1">
      <alignment vertical="center"/>
    </xf>
    <xf numFmtId="3" fontId="5" fillId="2" borderId="39" xfId="0" applyNumberFormat="1" applyFont="1" applyFill="1" applyBorder="1" applyAlignment="1">
      <alignment vertical="center"/>
    </xf>
    <xf numFmtId="3" fontId="0" fillId="2" borderId="39" xfId="0" applyNumberFormat="1" applyFont="1" applyFill="1" applyBorder="1" applyAlignment="1">
      <alignment vertical="center"/>
    </xf>
    <xf numFmtId="0" fontId="0" fillId="2" borderId="40" xfId="0" applyFont="1" applyFill="1" applyBorder="1" applyAlignment="1">
      <alignment vertical="center"/>
    </xf>
    <xf numFmtId="0" fontId="2" fillId="2" borderId="41" xfId="0" applyFont="1" applyFill="1" applyBorder="1" applyAlignment="1">
      <alignment horizontal="center" vertical="center"/>
    </xf>
    <xf numFmtId="0" fontId="0" fillId="2" borderId="41" xfId="0" applyFont="1" applyFill="1" applyBorder="1" applyAlignment="1" applyProtection="1">
      <alignment vertical="center"/>
      <protection locked="0"/>
    </xf>
    <xf numFmtId="167" fontId="0" fillId="2" borderId="41" xfId="1" applyFont="1" applyFill="1" applyBorder="1" applyAlignment="1" applyProtection="1">
      <alignment horizontal="right" vertical="center"/>
      <protection locked="0"/>
    </xf>
    <xf numFmtId="0" fontId="2" fillId="2" borderId="41" xfId="0" applyFont="1" applyFill="1" applyBorder="1" applyAlignment="1">
      <alignment vertical="center"/>
    </xf>
    <xf numFmtId="0" fontId="0" fillId="0" borderId="10" xfId="0" applyFont="1" applyFill="1" applyBorder="1" applyAlignment="1" applyProtection="1">
      <alignment horizontal="left" vertical="center"/>
      <protection locked="0"/>
    </xf>
    <xf numFmtId="1" fontId="22" fillId="0" borderId="17" xfId="1" applyNumberFormat="1" applyFont="1" applyFill="1" applyBorder="1" applyAlignment="1" applyProtection="1">
      <alignment horizontal="right" vertical="center"/>
      <protection locked="0"/>
    </xf>
    <xf numFmtId="3" fontId="0" fillId="0" borderId="17" xfId="0" applyNumberFormat="1" applyFont="1" applyFill="1" applyBorder="1" applyAlignment="1" applyProtection="1">
      <alignment vertical="center"/>
      <protection locked="0"/>
    </xf>
    <xf numFmtId="0" fontId="0" fillId="0" borderId="21" xfId="0" applyFont="1" applyFill="1" applyBorder="1" applyAlignment="1" applyProtection="1">
      <alignment vertical="center"/>
      <protection locked="0"/>
    </xf>
    <xf numFmtId="3" fontId="10" fillId="7" borderId="16" xfId="0" applyNumberFormat="1" applyFont="1" applyFill="1" applyBorder="1" applyAlignment="1" applyProtection="1">
      <alignment horizontal="right" vertical="center"/>
      <protection hidden="1"/>
    </xf>
    <xf numFmtId="0" fontId="2" fillId="0" borderId="27" xfId="0" applyFont="1" applyFill="1" applyBorder="1" applyAlignment="1" applyProtection="1">
      <alignment horizontal="left" vertical="center"/>
      <protection locked="0"/>
    </xf>
    <xf numFmtId="3" fontId="0" fillId="0" borderId="27" xfId="0" applyNumberFormat="1" applyFont="1" applyFill="1" applyBorder="1" applyAlignment="1" applyProtection="1">
      <alignment vertical="center"/>
      <protection locked="0"/>
    </xf>
    <xf numFmtId="0" fontId="0" fillId="0" borderId="27" xfId="0" applyFont="1" applyFill="1" applyBorder="1" applyAlignment="1" applyProtection="1">
      <alignment vertical="center"/>
      <protection locked="0"/>
    </xf>
    <xf numFmtId="1" fontId="0" fillId="0" borderId="27" xfId="1" applyNumberFormat="1" applyFont="1" applyFill="1" applyBorder="1" applyAlignment="1" applyProtection="1">
      <alignment horizontal="right" vertical="center"/>
      <protection locked="0"/>
    </xf>
    <xf numFmtId="167" fontId="22" fillId="2" borderId="9" xfId="1" applyFont="1" applyFill="1" applyBorder="1" applyAlignment="1" applyProtection="1">
      <alignment horizontal="right" vertical="center"/>
      <protection locked="0"/>
    </xf>
    <xf numFmtId="2" fontId="22" fillId="2" borderId="9" xfId="1" applyNumberFormat="1" applyFont="1" applyFill="1" applyBorder="1" applyAlignment="1" applyProtection="1">
      <alignment horizontal="right" vertical="center"/>
      <protection locked="0"/>
    </xf>
    <xf numFmtId="1" fontId="22" fillId="2" borderId="9" xfId="1" applyNumberFormat="1" applyFont="1" applyFill="1" applyBorder="1" applyAlignment="1" applyProtection="1">
      <alignment horizontal="right" vertical="center"/>
      <protection locked="0"/>
    </xf>
    <xf numFmtId="3" fontId="23" fillId="0" borderId="88" xfId="0" applyNumberFormat="1" applyFont="1" applyFill="1" applyBorder="1" applyAlignment="1">
      <alignment horizontal="center" vertical="top" wrapText="1"/>
    </xf>
    <xf numFmtId="3" fontId="23" fillId="0" borderId="89" xfId="0" applyNumberFormat="1" applyFont="1" applyFill="1" applyBorder="1" applyAlignment="1">
      <alignment horizontal="center" vertical="top" wrapText="1"/>
    </xf>
    <xf numFmtId="3" fontId="23" fillId="0" borderId="90" xfId="0" applyNumberFormat="1" applyFont="1" applyFill="1" applyBorder="1" applyAlignment="1">
      <alignment horizontal="center" vertical="top" wrapText="1"/>
    </xf>
    <xf numFmtId="3" fontId="33" fillId="0" borderId="32" xfId="0" applyNumberFormat="1" applyFont="1" applyFill="1" applyBorder="1" applyAlignment="1">
      <alignment horizontal="center"/>
    </xf>
    <xf numFmtId="0" fontId="33" fillId="0" borderId="42" xfId="0" applyNumberFormat="1" applyFont="1" applyBorder="1" applyAlignment="1">
      <alignment horizontal="left"/>
    </xf>
    <xf numFmtId="0" fontId="33" fillId="0" borderId="39" xfId="0" applyFont="1" applyFill="1" applyBorder="1" applyAlignment="1"/>
    <xf numFmtId="3" fontId="33" fillId="0" borderId="43" xfId="0" applyNumberFormat="1" applyFont="1" applyFill="1" applyBorder="1" applyAlignment="1"/>
    <xf numFmtId="3" fontId="22" fillId="2" borderId="9" xfId="1" applyNumberFormat="1" applyFont="1" applyFill="1" applyBorder="1" applyAlignment="1" applyProtection="1">
      <alignment horizontal="right" vertical="center"/>
      <protection locked="0"/>
    </xf>
    <xf numFmtId="0" fontId="45" fillId="2" borderId="4" xfId="0" applyFont="1" applyFill="1" applyBorder="1" applyAlignment="1" applyProtection="1">
      <alignment horizontal="right" vertical="center"/>
      <protection locked="0"/>
    </xf>
    <xf numFmtId="3" fontId="45" fillId="2" borderId="9" xfId="0" applyNumberFormat="1" applyFont="1" applyFill="1" applyBorder="1" applyAlignment="1" applyProtection="1">
      <alignment vertical="center"/>
      <protection locked="0"/>
    </xf>
    <xf numFmtId="173" fontId="45" fillId="2" borderId="9" xfId="0" applyNumberFormat="1" applyFont="1" applyFill="1" applyBorder="1" applyAlignment="1" applyProtection="1">
      <alignment vertical="center"/>
      <protection locked="0"/>
    </xf>
    <xf numFmtId="3" fontId="0" fillId="2" borderId="11" xfId="1" applyNumberFormat="1" applyFont="1" applyFill="1" applyBorder="1" applyAlignment="1" applyProtection="1">
      <alignment horizontal="right" vertical="center"/>
      <protection locked="0"/>
    </xf>
    <xf numFmtId="0" fontId="2" fillId="2" borderId="27" xfId="0" applyFont="1" applyFill="1" applyBorder="1" applyAlignment="1" applyProtection="1">
      <alignment horizontal="left" vertical="center"/>
      <protection locked="0"/>
    </xf>
    <xf numFmtId="167" fontId="0" fillId="2" borderId="27" xfId="1" applyFont="1" applyFill="1" applyBorder="1" applyAlignment="1" applyProtection="1">
      <alignment horizontal="right" vertical="center"/>
      <protection locked="0"/>
    </xf>
    <xf numFmtId="0" fontId="45" fillId="2" borderId="4" xfId="0" applyFont="1" applyFill="1" applyBorder="1" applyAlignment="1">
      <alignment horizontal="right" vertical="center"/>
    </xf>
    <xf numFmtId="3" fontId="0" fillId="2" borderId="16" xfId="1" applyNumberFormat="1" applyFont="1" applyFill="1" applyBorder="1" applyAlignment="1" applyProtection="1">
      <alignment horizontal="right" vertical="center"/>
      <protection locked="0"/>
    </xf>
    <xf numFmtId="167" fontId="46" fillId="4" borderId="11" xfId="1" applyFont="1" applyFill="1" applyBorder="1" applyAlignment="1" applyProtection="1">
      <alignment horizontal="right" vertical="center"/>
      <protection hidden="1"/>
    </xf>
    <xf numFmtId="167" fontId="10" fillId="2" borderId="17" xfId="1" applyFont="1" applyFill="1" applyBorder="1" applyAlignment="1" applyProtection="1">
      <alignment horizontal="right" vertical="center"/>
      <protection hidden="1"/>
    </xf>
    <xf numFmtId="0" fontId="10" fillId="2" borderId="17" xfId="0" applyFont="1" applyFill="1" applyBorder="1" applyAlignment="1" applyProtection="1">
      <alignment horizontal="center" vertical="center"/>
      <protection hidden="1"/>
    </xf>
    <xf numFmtId="0" fontId="10" fillId="2" borderId="21" xfId="0" applyFont="1" applyFill="1" applyBorder="1" applyAlignment="1" applyProtection="1">
      <alignment horizontal="center" vertical="center"/>
      <protection locked="0"/>
    </xf>
    <xf numFmtId="4" fontId="10" fillId="7" borderId="17" xfId="0" applyNumberFormat="1" applyFont="1" applyFill="1" applyBorder="1" applyAlignment="1" applyProtection="1">
      <alignment horizontal="center" vertical="center"/>
      <protection hidden="1"/>
    </xf>
    <xf numFmtId="4" fontId="10" fillId="2" borderId="17" xfId="0" applyNumberFormat="1" applyFont="1" applyFill="1" applyBorder="1" applyAlignment="1" applyProtection="1">
      <alignment horizontal="center" vertical="center"/>
      <protection hidden="1"/>
    </xf>
    <xf numFmtId="0" fontId="2" fillId="2" borderId="44" xfId="0" applyFont="1" applyFill="1" applyBorder="1" applyAlignment="1" applyProtection="1">
      <alignment horizontal="left" vertical="center"/>
      <protection locked="0"/>
    </xf>
    <xf numFmtId="0" fontId="0" fillId="2" borderId="45" xfId="0" applyFont="1" applyFill="1" applyBorder="1" applyAlignment="1">
      <alignment horizontal="right" vertical="center"/>
    </xf>
    <xf numFmtId="0" fontId="18" fillId="2" borderId="45" xfId="0" applyFont="1" applyFill="1" applyBorder="1" applyAlignment="1">
      <alignment vertical="center"/>
    </xf>
    <xf numFmtId="164" fontId="0" fillId="0" borderId="0" xfId="2" applyNumberFormat="1" applyFont="1"/>
    <xf numFmtId="3" fontId="22" fillId="0" borderId="9" xfId="1" applyNumberFormat="1" applyFont="1" applyFill="1" applyBorder="1" applyAlignment="1" applyProtection="1">
      <alignment horizontal="right" vertical="center"/>
      <protection locked="0"/>
    </xf>
    <xf numFmtId="0" fontId="2" fillId="2" borderId="21" xfId="0" applyFont="1" applyFill="1" applyBorder="1" applyAlignment="1" applyProtection="1">
      <alignment vertical="center"/>
      <protection locked="0"/>
    </xf>
    <xf numFmtId="172" fontId="22" fillId="2" borderId="9" xfId="1" applyNumberFormat="1" applyFont="1" applyFill="1" applyBorder="1" applyAlignment="1" applyProtection="1">
      <alignment horizontal="right" vertical="center"/>
      <protection locked="0"/>
    </xf>
    <xf numFmtId="172" fontId="22" fillId="2" borderId="17" xfId="1" applyNumberFormat="1" applyFont="1" applyFill="1" applyBorder="1" applyAlignment="1" applyProtection="1">
      <alignment horizontal="right" vertical="center"/>
      <protection locked="0"/>
    </xf>
    <xf numFmtId="0" fontId="0" fillId="2" borderId="4" xfId="0" applyFont="1" applyFill="1" applyBorder="1" applyAlignment="1">
      <alignment horizontal="right"/>
    </xf>
    <xf numFmtId="0" fontId="21" fillId="2" borderId="20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left" vertical="center"/>
    </xf>
    <xf numFmtId="3" fontId="22" fillId="2" borderId="9" xfId="0" applyNumberFormat="1" applyFont="1" applyFill="1" applyBorder="1" applyAlignment="1" applyProtection="1">
      <alignment vertical="center"/>
      <protection locked="0"/>
    </xf>
    <xf numFmtId="173" fontId="22" fillId="2" borderId="9" xfId="0" applyNumberFormat="1" applyFont="1" applyFill="1" applyBorder="1" applyAlignment="1" applyProtection="1">
      <alignment vertical="center"/>
      <protection locked="0"/>
    </xf>
    <xf numFmtId="167" fontId="22" fillId="2" borderId="27" xfId="1" applyFont="1" applyFill="1" applyBorder="1" applyAlignment="1" applyProtection="1">
      <alignment horizontal="right" vertical="center"/>
      <protection locked="0"/>
    </xf>
    <xf numFmtId="3" fontId="22" fillId="2" borderId="27" xfId="1" applyNumberFormat="1" applyFont="1" applyFill="1" applyBorder="1" applyAlignment="1" applyProtection="1">
      <alignment horizontal="right" vertical="center"/>
      <protection locked="0"/>
    </xf>
    <xf numFmtId="3" fontId="22" fillId="2" borderId="27" xfId="0" applyNumberFormat="1" applyFont="1" applyFill="1" applyBorder="1" applyAlignment="1" applyProtection="1">
      <alignment vertical="center"/>
      <protection locked="0"/>
    </xf>
    <xf numFmtId="0" fontId="10" fillId="4" borderId="46" xfId="0" applyFont="1" applyFill="1" applyBorder="1" applyAlignment="1">
      <alignment vertical="center"/>
    </xf>
    <xf numFmtId="0" fontId="5" fillId="2" borderId="47" xfId="0" applyNumberFormat="1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67" fontId="22" fillId="0" borderId="0" xfId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168" fontId="5" fillId="2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4" fontId="7" fillId="2" borderId="0" xfId="0" applyNumberFormat="1" applyFont="1" applyFill="1" applyBorder="1" applyAlignment="1" applyProtection="1">
      <alignment horizontal="center" vertical="center"/>
      <protection hidden="1"/>
    </xf>
    <xf numFmtId="4" fontId="10" fillId="2" borderId="0" xfId="0" applyNumberFormat="1" applyFont="1" applyFill="1" applyBorder="1" applyAlignment="1" applyProtection="1">
      <alignment horizontal="center" vertical="center"/>
      <protection hidden="1"/>
    </xf>
    <xf numFmtId="3" fontId="0" fillId="0" borderId="0" xfId="0" applyNumberFormat="1" applyFont="1" applyFill="1" applyBorder="1" applyAlignment="1" applyProtection="1">
      <alignment vertical="center"/>
      <protection locked="0"/>
    </xf>
    <xf numFmtId="3" fontId="10" fillId="2" borderId="0" xfId="0" applyNumberFormat="1" applyFont="1" applyFill="1" applyBorder="1" applyAlignment="1" applyProtection="1">
      <alignment horizontal="right" vertical="center"/>
      <protection hidden="1"/>
    </xf>
    <xf numFmtId="3" fontId="41" fillId="2" borderId="0" xfId="0" applyNumberFormat="1" applyFont="1" applyFill="1" applyBorder="1" applyAlignment="1">
      <alignment vertical="center"/>
    </xf>
    <xf numFmtId="3" fontId="18" fillId="2" borderId="0" xfId="0" applyNumberFormat="1" applyFont="1" applyFill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4" fontId="0" fillId="2" borderId="0" xfId="0" applyNumberFormat="1" applyFont="1" applyFill="1" applyBorder="1" applyAlignment="1" applyProtection="1">
      <alignment vertical="center"/>
      <protection locked="0"/>
    </xf>
    <xf numFmtId="0" fontId="2" fillId="0" borderId="9" xfId="0" applyFont="1" applyFill="1" applyBorder="1" applyAlignment="1" applyProtection="1">
      <alignment horizontal="left" vertical="center"/>
      <protection locked="0"/>
    </xf>
    <xf numFmtId="3" fontId="0" fillId="0" borderId="9" xfId="0" applyNumberFormat="1" applyFont="1" applyFill="1" applyBorder="1" applyAlignment="1">
      <alignment vertical="center"/>
    </xf>
    <xf numFmtId="1" fontId="0" fillId="0" borderId="9" xfId="1" applyNumberFormat="1" applyFont="1" applyFill="1" applyBorder="1" applyAlignment="1" applyProtection="1">
      <alignment horizontal="right" vertical="center"/>
      <protection locked="0"/>
    </xf>
    <xf numFmtId="174" fontId="0" fillId="0" borderId="25" xfId="0" applyNumberFormat="1" applyFont="1" applyFill="1" applyBorder="1" applyAlignment="1">
      <alignment horizontal="center" vertical="center"/>
    </xf>
    <xf numFmtId="3" fontId="32" fillId="0" borderId="0" xfId="0" applyNumberFormat="1" applyFont="1"/>
    <xf numFmtId="14" fontId="47" fillId="0" borderId="37" xfId="5" applyNumberFormat="1" applyFont="1" applyBorder="1" applyAlignment="1">
      <alignment horizontal="center" vertical="center"/>
    </xf>
    <xf numFmtId="0" fontId="47" fillId="0" borderId="39" xfId="5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3" fontId="7" fillId="2" borderId="42" xfId="0" applyNumberFormat="1" applyFont="1" applyFill="1" applyBorder="1" applyAlignment="1" applyProtection="1">
      <alignment vertical="center"/>
      <protection locked="0"/>
    </xf>
    <xf numFmtId="0" fontId="0" fillId="2" borderId="50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169" fontId="26" fillId="2" borderId="34" xfId="0" applyNumberFormat="1" applyFont="1" applyFill="1" applyBorder="1" applyAlignment="1" applyProtection="1">
      <alignment horizontal="center" vertical="center"/>
      <protection locked="0"/>
    </xf>
    <xf numFmtId="0" fontId="5" fillId="2" borderId="34" xfId="0" applyFont="1" applyFill="1" applyBorder="1" applyAlignment="1">
      <alignment horizontal="center" vertical="center"/>
    </xf>
    <xf numFmtId="3" fontId="0" fillId="2" borderId="34" xfId="0" applyNumberFormat="1" applyFont="1" applyFill="1" applyBorder="1" applyAlignment="1">
      <alignment horizontal="center" vertical="center"/>
    </xf>
    <xf numFmtId="3" fontId="5" fillId="2" borderId="34" xfId="0" applyNumberFormat="1" applyFont="1" applyFill="1" applyBorder="1" applyAlignment="1">
      <alignment horizontal="center" vertical="center"/>
    </xf>
    <xf numFmtId="3" fontId="0" fillId="0" borderId="34" xfId="0" applyNumberFormat="1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2" fillId="9" borderId="34" xfId="0" applyFont="1" applyFill="1" applyBorder="1" applyAlignment="1">
      <alignment horizontal="center" vertical="center"/>
    </xf>
    <xf numFmtId="3" fontId="2" fillId="2" borderId="34" xfId="0" applyNumberFormat="1" applyFont="1" applyFill="1" applyBorder="1" applyAlignment="1">
      <alignment horizontal="center" vertical="center"/>
    </xf>
    <xf numFmtId="3" fontId="41" fillId="2" borderId="34" xfId="0" applyNumberFormat="1" applyFont="1" applyFill="1" applyBorder="1" applyAlignment="1">
      <alignment horizontal="center" vertical="center"/>
    </xf>
    <xf numFmtId="0" fontId="0" fillId="2" borderId="5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3" fontId="48" fillId="2" borderId="0" xfId="0" applyNumberFormat="1" applyFont="1" applyFill="1" applyBorder="1" applyAlignment="1">
      <alignment vertical="center"/>
    </xf>
    <xf numFmtId="174" fontId="48" fillId="2" borderId="25" xfId="0" applyNumberFormat="1" applyFont="1" applyFill="1" applyBorder="1" applyAlignment="1">
      <alignment horizontal="center" vertical="center"/>
    </xf>
    <xf numFmtId="3" fontId="48" fillId="2" borderId="4" xfId="0" applyNumberFormat="1" applyFont="1" applyFill="1" applyBorder="1" applyAlignment="1" applyProtection="1">
      <alignment vertical="center"/>
      <protection locked="0"/>
    </xf>
    <xf numFmtId="3" fontId="48" fillId="2" borderId="18" xfId="0" applyNumberFormat="1" applyFont="1" applyFill="1" applyBorder="1" applyAlignment="1">
      <alignment vertical="center"/>
    </xf>
    <xf numFmtId="0" fontId="48" fillId="2" borderId="0" xfId="0" applyFont="1" applyFill="1" applyAlignment="1">
      <alignment vertical="center"/>
    </xf>
    <xf numFmtId="3" fontId="48" fillId="2" borderId="34" xfId="0" applyNumberFormat="1" applyFont="1" applyFill="1" applyBorder="1" applyAlignment="1">
      <alignment horizontal="center" vertical="center"/>
    </xf>
    <xf numFmtId="0" fontId="48" fillId="2" borderId="20" xfId="0" applyFont="1" applyFill="1" applyBorder="1" applyAlignment="1" applyProtection="1">
      <alignment horizontal="right" vertical="center"/>
      <protection locked="0"/>
    </xf>
    <xf numFmtId="1" fontId="48" fillId="2" borderId="0" xfId="1" applyNumberFormat="1" applyFont="1" applyFill="1" applyBorder="1" applyAlignment="1" applyProtection="1">
      <alignment horizontal="right" vertical="center"/>
      <protection locked="0"/>
    </xf>
    <xf numFmtId="4" fontId="48" fillId="2" borderId="0" xfId="0" applyNumberFormat="1" applyFont="1" applyFill="1" applyBorder="1" applyAlignment="1" applyProtection="1">
      <alignment horizontal="right" vertical="center"/>
      <protection locked="0"/>
    </xf>
    <xf numFmtId="172" fontId="48" fillId="2" borderId="0" xfId="0" applyNumberFormat="1" applyFont="1" applyFill="1" applyBorder="1" applyAlignment="1" applyProtection="1">
      <alignment vertical="center"/>
      <protection locked="0"/>
    </xf>
    <xf numFmtId="0" fontId="50" fillId="2" borderId="17" xfId="0" applyFont="1" applyFill="1" applyBorder="1" applyAlignment="1" applyProtection="1">
      <alignment horizontal="left" vertical="center"/>
      <protection locked="0"/>
    </xf>
    <xf numFmtId="167" fontId="52" fillId="2" borderId="9" xfId="1" applyFont="1" applyFill="1" applyBorder="1" applyAlignment="1" applyProtection="1">
      <alignment horizontal="right" vertical="center"/>
      <protection locked="0"/>
    </xf>
    <xf numFmtId="3" fontId="52" fillId="2" borderId="0" xfId="0" applyNumberFormat="1" applyFont="1" applyFill="1" applyBorder="1" applyAlignment="1" applyProtection="1">
      <alignment vertical="center"/>
      <protection locked="0"/>
    </xf>
    <xf numFmtId="4" fontId="52" fillId="2" borderId="4" xfId="0" applyNumberFormat="1" applyFont="1" applyFill="1" applyBorder="1" applyAlignment="1" applyProtection="1">
      <alignment vertical="center"/>
      <protection locked="0"/>
    </xf>
    <xf numFmtId="0" fontId="52" fillId="2" borderId="18" xfId="0" applyFont="1" applyFill="1" applyBorder="1" applyAlignment="1">
      <alignment vertical="center"/>
    </xf>
    <xf numFmtId="3" fontId="52" fillId="2" borderId="0" xfId="0" applyNumberFormat="1" applyFont="1" applyFill="1" applyBorder="1" applyAlignment="1">
      <alignment vertical="center"/>
    </xf>
    <xf numFmtId="174" fontId="52" fillId="2" borderId="25" xfId="0" applyNumberFormat="1" applyFont="1" applyFill="1" applyBorder="1" applyAlignment="1">
      <alignment horizontal="center" vertical="center"/>
    </xf>
    <xf numFmtId="3" fontId="52" fillId="2" borderId="18" xfId="0" applyNumberFormat="1" applyFont="1" applyFill="1" applyBorder="1" applyAlignment="1">
      <alignment vertical="center"/>
    </xf>
    <xf numFmtId="0" fontId="52" fillId="2" borderId="0" xfId="0" applyFont="1" applyFill="1" applyAlignment="1">
      <alignment vertical="center"/>
    </xf>
    <xf numFmtId="3" fontId="52" fillId="2" borderId="34" xfId="0" applyNumberFormat="1" applyFont="1" applyFill="1" applyBorder="1" applyAlignment="1">
      <alignment horizontal="center" vertical="center"/>
    </xf>
    <xf numFmtId="0" fontId="52" fillId="2" borderId="4" xfId="0" applyFont="1" applyFill="1" applyBorder="1" applyAlignment="1" applyProtection="1">
      <alignment horizontal="right" vertical="center"/>
      <protection locked="0"/>
    </xf>
    <xf numFmtId="4" fontId="52" fillId="2" borderId="9" xfId="0" applyNumberFormat="1" applyFont="1" applyFill="1" applyBorder="1" applyAlignment="1" applyProtection="1">
      <alignment horizontal="right" vertical="center"/>
      <protection locked="0"/>
    </xf>
    <xf numFmtId="3" fontId="52" fillId="2" borderId="9" xfId="0" applyNumberFormat="1" applyFont="1" applyFill="1" applyBorder="1" applyAlignment="1" applyProtection="1">
      <alignment vertical="center"/>
      <protection locked="0"/>
    </xf>
    <xf numFmtId="2" fontId="52" fillId="2" borderId="9" xfId="1" applyNumberFormat="1" applyFont="1" applyFill="1" applyBorder="1" applyAlignment="1" applyProtection="1">
      <alignment horizontal="right" vertical="center"/>
      <protection locked="0"/>
    </xf>
    <xf numFmtId="0" fontId="52" fillId="2" borderId="9" xfId="0" applyNumberFormat="1" applyFont="1" applyFill="1" applyBorder="1" applyAlignment="1" applyProtection="1">
      <alignment vertical="center"/>
      <protection locked="0"/>
    </xf>
    <xf numFmtId="1" fontId="52" fillId="2" borderId="9" xfId="1" applyNumberFormat="1" applyFont="1" applyFill="1" applyBorder="1" applyAlignment="1" applyProtection="1">
      <alignment horizontal="right" vertical="center"/>
      <protection locked="0"/>
    </xf>
    <xf numFmtId="3" fontId="52" fillId="2" borderId="9" xfId="0" applyNumberFormat="1" applyFont="1" applyFill="1" applyBorder="1" applyAlignment="1" applyProtection="1">
      <alignment horizontal="right" vertical="center"/>
      <protection locked="0"/>
    </xf>
    <xf numFmtId="0" fontId="52" fillId="2" borderId="4" xfId="0" applyFont="1" applyFill="1" applyBorder="1" applyAlignment="1">
      <alignment horizontal="right" vertical="center"/>
    </xf>
    <xf numFmtId="172" fontId="52" fillId="2" borderId="9" xfId="0" applyNumberFormat="1" applyFont="1" applyFill="1" applyBorder="1" applyAlignment="1" applyProtection="1">
      <alignment vertical="center"/>
      <protection locked="0"/>
    </xf>
    <xf numFmtId="3" fontId="52" fillId="2" borderId="16" xfId="0" applyNumberFormat="1" applyFont="1" applyFill="1" applyBorder="1" applyAlignment="1">
      <alignment vertical="center"/>
    </xf>
    <xf numFmtId="3" fontId="52" fillId="2" borderId="9" xfId="0" applyNumberFormat="1" applyFont="1" applyFill="1" applyBorder="1" applyAlignment="1">
      <alignment vertical="center"/>
    </xf>
    <xf numFmtId="1" fontId="52" fillId="2" borderId="9" xfId="0" applyNumberFormat="1" applyFont="1" applyFill="1" applyBorder="1" applyAlignment="1" applyProtection="1">
      <alignment vertical="center"/>
      <protection locked="0"/>
    </xf>
    <xf numFmtId="0" fontId="0" fillId="10" borderId="52" xfId="0" applyFill="1" applyBorder="1" applyAlignment="1">
      <alignment horizontal="left"/>
    </xf>
    <xf numFmtId="0" fontId="0" fillId="10" borderId="52" xfId="0" applyFill="1" applyBorder="1"/>
    <xf numFmtId="9" fontId="0" fillId="10" borderId="0" xfId="0" applyNumberFormat="1" applyFill="1" applyBorder="1" applyAlignment="1"/>
    <xf numFmtId="0" fontId="0" fillId="10" borderId="0" xfId="0" applyFill="1" applyBorder="1"/>
    <xf numFmtId="0" fontId="0" fillId="10" borderId="53" xfId="0" applyFill="1" applyBorder="1" applyAlignment="1">
      <alignment horizontal="left"/>
    </xf>
    <xf numFmtId="0" fontId="0" fillId="10" borderId="53" xfId="0" applyFill="1" applyBorder="1"/>
    <xf numFmtId="165" fontId="32" fillId="0" borderId="0" xfId="5" applyNumberFormat="1" applyFont="1"/>
    <xf numFmtId="0" fontId="32" fillId="0" borderId="0" xfId="5" applyFont="1"/>
    <xf numFmtId="3" fontId="32" fillId="0" borderId="56" xfId="0" applyNumberFormat="1" applyFont="1" applyBorder="1" applyAlignment="1">
      <alignment horizontal="center"/>
    </xf>
    <xf numFmtId="3" fontId="32" fillId="0" borderId="57" xfId="0" applyNumberFormat="1" applyFont="1" applyBorder="1" applyAlignment="1">
      <alignment horizontal="center"/>
    </xf>
    <xf numFmtId="0" fontId="32" fillId="10" borderId="0" xfId="5" applyFont="1" applyFill="1"/>
    <xf numFmtId="165" fontId="32" fillId="10" borderId="49" xfId="5" applyNumberFormat="1" applyFont="1" applyFill="1" applyBorder="1"/>
    <xf numFmtId="165" fontId="32" fillId="10" borderId="54" xfId="5" applyNumberFormat="1" applyFont="1" applyFill="1" applyBorder="1"/>
    <xf numFmtId="0" fontId="47" fillId="0" borderId="0" xfId="5" applyFont="1"/>
    <xf numFmtId="165" fontId="33" fillId="10" borderId="49" xfId="5" applyNumberFormat="1" applyFont="1" applyFill="1" applyBorder="1"/>
    <xf numFmtId="165" fontId="33" fillId="10" borderId="54" xfId="5" applyNumberFormat="1" applyFont="1" applyFill="1" applyBorder="1"/>
    <xf numFmtId="170" fontId="53" fillId="0" borderId="0" xfId="5" applyNumberFormat="1" applyFont="1" applyAlignment="1">
      <alignment horizontal="center"/>
    </xf>
    <xf numFmtId="170" fontId="47" fillId="0" borderId="0" xfId="5" applyNumberFormat="1" applyFont="1"/>
    <xf numFmtId="170" fontId="32" fillId="10" borderId="0" xfId="5" applyNumberFormat="1" applyFont="1" applyFill="1"/>
    <xf numFmtId="14" fontId="33" fillId="11" borderId="58" xfId="5" applyNumberFormat="1" applyFont="1" applyFill="1" applyBorder="1" applyAlignment="1">
      <alignment horizontal="center" vertical="center"/>
    </xf>
    <xf numFmtId="9" fontId="33" fillId="11" borderId="59" xfId="5" applyNumberFormat="1" applyFont="1" applyFill="1" applyBorder="1" applyAlignment="1">
      <alignment horizontal="center"/>
    </xf>
    <xf numFmtId="0" fontId="47" fillId="11" borderId="0" xfId="5" applyFont="1" applyFill="1"/>
    <xf numFmtId="165" fontId="47" fillId="11" borderId="49" xfId="5" applyNumberFormat="1" applyFont="1" applyFill="1" applyBorder="1"/>
    <xf numFmtId="165" fontId="33" fillId="11" borderId="54" xfId="5" applyNumberFormat="1" applyFont="1" applyFill="1" applyBorder="1"/>
    <xf numFmtId="170" fontId="47" fillId="11" borderId="0" xfId="5" applyNumberFormat="1" applyFont="1" applyFill="1"/>
    <xf numFmtId="4" fontId="0" fillId="2" borderId="21" xfId="0" applyNumberFormat="1" applyFont="1" applyFill="1" applyBorder="1" applyAlignment="1" applyProtection="1">
      <alignment horizontal="right" vertical="center"/>
      <protection locked="0"/>
    </xf>
    <xf numFmtId="4" fontId="0" fillId="2" borderId="13" xfId="0" applyNumberFormat="1" applyFont="1" applyFill="1" applyBorder="1" applyAlignment="1" applyProtection="1">
      <alignment horizontal="right" vertical="center"/>
      <protection locked="0"/>
    </xf>
    <xf numFmtId="1" fontId="0" fillId="2" borderId="13" xfId="0" applyNumberFormat="1" applyFont="1" applyFill="1" applyBorder="1" applyAlignment="1" applyProtection="1">
      <alignment vertical="center"/>
      <protection locked="0"/>
    </xf>
    <xf numFmtId="17" fontId="33" fillId="11" borderId="0" xfId="0" applyNumberFormat="1" applyFont="1" applyFill="1" applyBorder="1" applyAlignment="1">
      <alignment horizontal="left"/>
    </xf>
    <xf numFmtId="174" fontId="34" fillId="2" borderId="0" xfId="0" applyNumberFormat="1" applyFont="1" applyFill="1" applyBorder="1" applyAlignment="1">
      <alignment horizontal="center" vertical="center"/>
    </xf>
    <xf numFmtId="174" fontId="35" fillId="2" borderId="0" xfId="0" applyNumberFormat="1" applyFont="1" applyFill="1" applyBorder="1" applyAlignment="1">
      <alignment horizontal="center" vertical="center"/>
    </xf>
    <xf numFmtId="174" fontId="37" fillId="2" borderId="0" xfId="0" applyNumberFormat="1" applyFont="1" applyFill="1" applyBorder="1" applyAlignment="1" applyProtection="1">
      <alignment horizontal="center" vertical="center"/>
      <protection locked="0"/>
    </xf>
    <xf numFmtId="174" fontId="36" fillId="2" borderId="0" xfId="0" applyNumberFormat="1" applyFont="1" applyFill="1" applyBorder="1" applyAlignment="1">
      <alignment horizontal="center" vertical="center"/>
    </xf>
    <xf numFmtId="174" fontId="34" fillId="0" borderId="0" xfId="0" applyNumberFormat="1" applyFont="1" applyFill="1" applyBorder="1" applyAlignment="1">
      <alignment horizontal="center" vertical="center"/>
    </xf>
    <xf numFmtId="174" fontId="0" fillId="2" borderId="0" xfId="0" applyNumberFormat="1" applyFont="1" applyFill="1" applyBorder="1" applyAlignment="1">
      <alignment horizontal="center" vertical="center"/>
    </xf>
    <xf numFmtId="174" fontId="41" fillId="2" borderId="0" xfId="0" applyNumberFormat="1" applyFont="1" applyFill="1" applyBorder="1" applyAlignment="1">
      <alignment horizontal="center" vertical="center"/>
    </xf>
    <xf numFmtId="174" fontId="52" fillId="2" borderId="0" xfId="0" applyNumberFormat="1" applyFont="1" applyFill="1" applyBorder="1" applyAlignment="1">
      <alignment horizontal="center" vertical="center"/>
    </xf>
    <xf numFmtId="174" fontId="48" fillId="2" borderId="0" xfId="0" applyNumberFormat="1" applyFont="1" applyFill="1" applyBorder="1" applyAlignment="1">
      <alignment horizontal="center" vertical="center"/>
    </xf>
    <xf numFmtId="174" fontId="38" fillId="2" borderId="0" xfId="0" applyNumberFormat="1" applyFont="1" applyFill="1" applyBorder="1" applyAlignment="1">
      <alignment horizontal="center" vertical="center"/>
    </xf>
    <xf numFmtId="174" fontId="0" fillId="0" borderId="0" xfId="0" applyNumberFormat="1" applyFont="1" applyFill="1" applyBorder="1" applyAlignment="1">
      <alignment horizontal="center" vertical="center"/>
    </xf>
    <xf numFmtId="174" fontId="34" fillId="2" borderId="14" xfId="0" applyNumberFormat="1" applyFont="1" applyFill="1" applyBorder="1" applyAlignment="1">
      <alignment horizontal="center" vertical="center"/>
    </xf>
    <xf numFmtId="175" fontId="34" fillId="2" borderId="0" xfId="0" applyNumberFormat="1" applyFont="1" applyFill="1" applyAlignment="1">
      <alignment horizontal="center" vertical="center"/>
    </xf>
    <xf numFmtId="175" fontId="0" fillId="0" borderId="0" xfId="0" applyNumberFormat="1" applyFont="1" applyFill="1" applyBorder="1" applyAlignment="1">
      <alignment horizontal="center" vertical="center"/>
    </xf>
    <xf numFmtId="4" fontId="0" fillId="0" borderId="9" xfId="0" applyNumberFormat="1" applyFont="1" applyFill="1" applyBorder="1" applyAlignment="1" applyProtection="1">
      <alignment vertical="center"/>
      <protection locked="0"/>
    </xf>
    <xf numFmtId="4" fontId="0" fillId="0" borderId="0" xfId="0" applyNumberFormat="1" applyFont="1" applyFill="1" applyBorder="1" applyAlignment="1" applyProtection="1">
      <alignment vertical="center"/>
      <protection locked="0"/>
    </xf>
    <xf numFmtId="174" fontId="38" fillId="0" borderId="25" xfId="0" applyNumberFormat="1" applyFont="1" applyFill="1" applyBorder="1" applyAlignment="1">
      <alignment horizontal="center" vertical="center"/>
    </xf>
    <xf numFmtId="174" fontId="38" fillId="0" borderId="0" xfId="0" applyNumberFormat="1" applyFont="1" applyFill="1" applyBorder="1" applyAlignment="1">
      <alignment horizontal="center" vertical="center"/>
    </xf>
    <xf numFmtId="1" fontId="0" fillId="2" borderId="0" xfId="0" applyNumberFormat="1" applyFont="1" applyFill="1" applyBorder="1" applyAlignment="1" applyProtection="1">
      <alignment vertical="center"/>
      <protection locked="0"/>
    </xf>
    <xf numFmtId="4" fontId="22" fillId="2" borderId="9" xfId="0" applyNumberFormat="1" applyFont="1" applyFill="1" applyBorder="1" applyAlignment="1" applyProtection="1">
      <alignment horizontal="right" vertical="center"/>
      <protection locked="0"/>
    </xf>
    <xf numFmtId="0" fontId="22" fillId="2" borderId="9" xfId="0" applyNumberFormat="1" applyFont="1" applyFill="1" applyBorder="1" applyAlignment="1" applyProtection="1">
      <alignment vertical="center"/>
      <protection locked="0"/>
    </xf>
    <xf numFmtId="173" fontId="22" fillId="2" borderId="0" xfId="0" applyNumberFormat="1" applyFont="1" applyFill="1" applyBorder="1" applyAlignment="1" applyProtection="1">
      <alignment horizontal="right" vertical="center"/>
      <protection locked="0"/>
    </xf>
    <xf numFmtId="3" fontId="22" fillId="2" borderId="9" xfId="0" applyNumberFormat="1" applyFont="1" applyFill="1" applyBorder="1" applyAlignment="1" applyProtection="1">
      <alignment horizontal="right" vertical="center"/>
      <protection locked="0"/>
    </xf>
    <xf numFmtId="172" fontId="22" fillId="2" borderId="9" xfId="0" applyNumberFormat="1" applyFont="1" applyFill="1" applyBorder="1" applyAlignment="1" applyProtection="1">
      <alignment vertical="center"/>
      <protection locked="0"/>
    </xf>
    <xf numFmtId="1" fontId="22" fillId="2" borderId="9" xfId="0" applyNumberFormat="1" applyFont="1" applyFill="1" applyBorder="1" applyAlignment="1" applyProtection="1">
      <alignment vertical="center"/>
      <protection locked="0"/>
    </xf>
    <xf numFmtId="167" fontId="22" fillId="2" borderId="0" xfId="1" applyFont="1" applyFill="1" applyBorder="1" applyAlignment="1" applyProtection="1">
      <alignment horizontal="right" vertical="center"/>
      <protection locked="0"/>
    </xf>
    <xf numFmtId="4" fontId="22" fillId="2" borderId="0" xfId="0" applyNumberFormat="1" applyFont="1" applyFill="1" applyBorder="1" applyAlignment="1" applyProtection="1">
      <alignment horizontal="right" vertical="center"/>
      <protection locked="0"/>
    </xf>
    <xf numFmtId="172" fontId="22" fillId="2" borderId="0" xfId="0" applyNumberFormat="1" applyFont="1" applyFill="1" applyBorder="1" applyAlignment="1" applyProtection="1">
      <alignment vertical="center"/>
      <protection locked="0"/>
    </xf>
    <xf numFmtId="3" fontId="22" fillId="2" borderId="0" xfId="0" applyNumberFormat="1" applyFont="1" applyFill="1" applyBorder="1" applyAlignment="1" applyProtection="1">
      <alignment vertical="center"/>
      <protection locked="0"/>
    </xf>
    <xf numFmtId="0" fontId="2" fillId="13" borderId="4" xfId="0" applyFont="1" applyFill="1" applyBorder="1" applyAlignment="1" applyProtection="1">
      <alignment horizontal="right" vertical="center"/>
      <protection locked="0"/>
    </xf>
    <xf numFmtId="167" fontId="22" fillId="13" borderId="9" xfId="1" applyFont="1" applyFill="1" applyBorder="1" applyAlignment="1" applyProtection="1">
      <alignment horizontal="right" vertical="center"/>
      <protection locked="0"/>
    </xf>
    <xf numFmtId="4" fontId="0" fillId="13" borderId="0" xfId="0" applyNumberFormat="1" applyFont="1" applyFill="1" applyBorder="1" applyAlignment="1" applyProtection="1">
      <alignment horizontal="right" vertical="center"/>
      <protection locked="0"/>
    </xf>
    <xf numFmtId="3" fontId="0" fillId="13" borderId="0" xfId="0" applyNumberFormat="1" applyFont="1" applyFill="1" applyBorder="1" applyAlignment="1" applyProtection="1">
      <alignment vertical="center"/>
      <protection locked="0"/>
    </xf>
    <xf numFmtId="3" fontId="0" fillId="13" borderId="9" xfId="0" applyNumberFormat="1" applyFont="1" applyFill="1" applyBorder="1" applyAlignment="1" applyProtection="1">
      <alignment vertical="center"/>
      <protection locked="0"/>
    </xf>
    <xf numFmtId="0" fontId="45" fillId="13" borderId="4" xfId="0" applyFont="1" applyFill="1" applyBorder="1" applyAlignment="1" applyProtection="1">
      <alignment horizontal="right" vertical="center"/>
      <protection locked="0"/>
    </xf>
    <xf numFmtId="1" fontId="22" fillId="13" borderId="9" xfId="1" applyNumberFormat="1" applyFont="1" applyFill="1" applyBorder="1" applyAlignment="1" applyProtection="1">
      <alignment horizontal="right" vertical="center"/>
      <protection locked="0"/>
    </xf>
    <xf numFmtId="0" fontId="0" fillId="13" borderId="9" xfId="0" applyFont="1" applyFill="1" applyBorder="1" applyAlignment="1" applyProtection="1">
      <alignment vertical="center"/>
      <protection locked="0"/>
    </xf>
    <xf numFmtId="170" fontId="55" fillId="0" borderId="0" xfId="0" applyNumberFormat="1" applyFont="1"/>
    <xf numFmtId="175" fontId="38" fillId="14" borderId="0" xfId="0" applyNumberFormat="1" applyFont="1" applyFill="1" applyBorder="1" applyAlignment="1">
      <alignment horizontal="center" vertical="center"/>
    </xf>
    <xf numFmtId="0" fontId="33" fillId="0" borderId="60" xfId="0" applyFont="1" applyFill="1" applyBorder="1" applyAlignment="1">
      <alignment horizontal="center"/>
    </xf>
    <xf numFmtId="0" fontId="33" fillId="0" borderId="61" xfId="0" applyFont="1" applyFill="1" applyBorder="1" applyAlignment="1">
      <alignment horizontal="center"/>
    </xf>
    <xf numFmtId="0" fontId="32" fillId="0" borderId="62" xfId="0" applyFont="1" applyFill="1" applyBorder="1" applyAlignment="1">
      <alignment horizontal="center"/>
    </xf>
    <xf numFmtId="9" fontId="33" fillId="0" borderId="62" xfId="5" applyNumberFormat="1" applyFont="1" applyFill="1" applyBorder="1" applyAlignment="1">
      <alignment horizontal="center"/>
    </xf>
    <xf numFmtId="3" fontId="33" fillId="10" borderId="32" xfId="0" applyNumberFormat="1" applyFont="1" applyFill="1" applyBorder="1" applyAlignment="1">
      <alignment horizontal="center"/>
    </xf>
    <xf numFmtId="3" fontId="32" fillId="10" borderId="56" xfId="0" applyNumberFormat="1" applyFont="1" applyFill="1" applyBorder="1" applyAlignment="1">
      <alignment horizontal="center"/>
    </xf>
    <xf numFmtId="3" fontId="33" fillId="10" borderId="63" xfId="0" applyNumberFormat="1" applyFont="1" applyFill="1" applyBorder="1" applyAlignment="1">
      <alignment horizontal="center"/>
    </xf>
    <xf numFmtId="3" fontId="32" fillId="10" borderId="64" xfId="0" applyNumberFormat="1" applyFont="1" applyFill="1" applyBorder="1" applyAlignment="1">
      <alignment horizontal="center"/>
    </xf>
    <xf numFmtId="174" fontId="34" fillId="0" borderId="0" xfId="0" applyNumberFormat="1" applyFont="1" applyFill="1" applyAlignment="1">
      <alignment horizontal="center" vertical="center"/>
    </xf>
    <xf numFmtId="170" fontId="0" fillId="0" borderId="0" xfId="0" applyNumberFormat="1" applyBorder="1"/>
    <xf numFmtId="3" fontId="47" fillId="0" borderId="0" xfId="5" applyNumberFormat="1" applyFont="1"/>
    <xf numFmtId="170" fontId="57" fillId="12" borderId="54" xfId="5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vertical="center"/>
    </xf>
    <xf numFmtId="174" fontId="34" fillId="0" borderId="65" xfId="0" applyNumberFormat="1" applyFont="1" applyFill="1" applyBorder="1" applyAlignment="1">
      <alignment horizontal="center" vertical="center"/>
    </xf>
    <xf numFmtId="174" fontId="34" fillId="0" borderId="1" xfId="0" applyNumberFormat="1" applyFont="1" applyFill="1" applyBorder="1" applyAlignment="1">
      <alignment horizontal="center" vertical="center"/>
    </xf>
    <xf numFmtId="167" fontId="0" fillId="2" borderId="66" xfId="1" applyFont="1" applyFill="1" applyBorder="1" applyAlignment="1" applyProtection="1">
      <alignment horizontal="right" vertical="center"/>
      <protection locked="0"/>
    </xf>
    <xf numFmtId="3" fontId="0" fillId="2" borderId="67" xfId="0" applyNumberFormat="1" applyFont="1" applyFill="1" applyBorder="1" applyAlignment="1" applyProtection="1">
      <alignment vertical="center"/>
      <protection locked="0"/>
    </xf>
    <xf numFmtId="3" fontId="0" fillId="2" borderId="68" xfId="0" applyNumberFormat="1" applyFont="1" applyFill="1" applyBorder="1" applyAlignment="1">
      <alignment vertical="center"/>
    </xf>
    <xf numFmtId="0" fontId="2" fillId="2" borderId="60" xfId="0" applyFont="1" applyFill="1" applyBorder="1" applyAlignment="1" applyProtection="1">
      <alignment horizontal="left" vertical="center"/>
      <protection locked="0"/>
    </xf>
    <xf numFmtId="0" fontId="2" fillId="2" borderId="62" xfId="0" applyFont="1" applyFill="1" applyBorder="1" applyAlignment="1" applyProtection="1">
      <alignment horizontal="left" vertical="center"/>
      <protection locked="0"/>
    </xf>
    <xf numFmtId="0" fontId="0" fillId="0" borderId="61" xfId="0" applyFont="1" applyFill="1" applyBorder="1" applyAlignment="1" applyProtection="1">
      <alignment vertical="center"/>
      <protection locked="0"/>
    </xf>
    <xf numFmtId="1" fontId="22" fillId="13" borderId="9" xfId="1" applyNumberFormat="1" applyFont="1" applyFill="1" applyBorder="1" applyAlignment="1" applyProtection="1">
      <alignment horizontal="right" vertical="center"/>
      <protection locked="0"/>
    </xf>
    <xf numFmtId="4" fontId="0" fillId="13" borderId="9" xfId="0" applyNumberFormat="1" applyFont="1" applyFill="1" applyBorder="1" applyAlignment="1" applyProtection="1">
      <alignment horizontal="right" vertical="center"/>
      <protection locked="0"/>
    </xf>
    <xf numFmtId="3" fontId="0" fillId="13" borderId="18" xfId="0" applyNumberFormat="1" applyFont="1" applyFill="1" applyBorder="1" applyAlignment="1">
      <alignment vertical="center"/>
    </xf>
    <xf numFmtId="0" fontId="0" fillId="13" borderId="4" xfId="0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Alignment="1">
      <alignment vertical="center"/>
    </xf>
    <xf numFmtId="4" fontId="7" fillId="2" borderId="69" xfId="0" applyNumberFormat="1" applyFont="1" applyFill="1" applyBorder="1" applyAlignment="1" applyProtection="1">
      <alignment horizontal="center" vertical="center"/>
      <protection hidden="1"/>
    </xf>
    <xf numFmtId="3" fontId="10" fillId="2" borderId="28" xfId="0" applyNumberFormat="1" applyFont="1" applyFill="1" applyBorder="1" applyAlignment="1" applyProtection="1">
      <alignment horizontal="right" vertical="center"/>
      <protection hidden="1"/>
    </xf>
    <xf numFmtId="0" fontId="0" fillId="0" borderId="28" xfId="0" applyBorder="1"/>
    <xf numFmtId="0" fontId="58" fillId="16" borderId="28" xfId="0" applyFont="1" applyFill="1" applyBorder="1"/>
    <xf numFmtId="176" fontId="10" fillId="2" borderId="42" xfId="0" applyNumberFormat="1" applyFont="1" applyFill="1" applyBorder="1" applyAlignment="1" applyProtection="1">
      <alignment horizontal="right" vertical="center"/>
      <protection hidden="1"/>
    </xf>
    <xf numFmtId="176" fontId="10" fillId="2" borderId="58" xfId="0" applyNumberFormat="1" applyFont="1" applyFill="1" applyBorder="1" applyAlignment="1" applyProtection="1">
      <alignment horizontal="right" vertical="center"/>
      <protection hidden="1"/>
    </xf>
    <xf numFmtId="176" fontId="58" fillId="16" borderId="71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167" fontId="10" fillId="17" borderId="91" xfId="0" applyNumberFormat="1" applyFont="1" applyFill="1" applyBorder="1" applyAlignment="1" applyProtection="1">
      <alignment horizontal="left" vertical="center"/>
      <protection hidden="1"/>
    </xf>
    <xf numFmtId="0" fontId="7" fillId="0" borderId="9" xfId="0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175" fontId="2" fillId="0" borderId="0" xfId="0" applyNumberFormat="1" applyFont="1" applyFill="1" applyBorder="1" applyAlignment="1">
      <alignment horizontal="center" vertical="center"/>
    </xf>
    <xf numFmtId="3" fontId="10" fillId="15" borderId="0" xfId="0" applyNumberFormat="1" applyFont="1" applyFill="1" applyBorder="1" applyAlignment="1" applyProtection="1">
      <alignment horizontal="center" vertical="center"/>
      <protection hidden="1"/>
    </xf>
    <xf numFmtId="2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left" vertical="center"/>
    </xf>
    <xf numFmtId="2" fontId="0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2" fontId="10" fillId="0" borderId="0" xfId="0" applyNumberFormat="1" applyFont="1" applyAlignment="1">
      <alignment horizontal="right" vertical="center"/>
    </xf>
    <xf numFmtId="0" fontId="0" fillId="2" borderId="4" xfId="0" applyFont="1" applyFill="1" applyBorder="1" applyAlignment="1" applyProtection="1">
      <alignment horizontal="left" vertical="center"/>
      <protection locked="0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 wrapText="1"/>
    </xf>
    <xf numFmtId="0" fontId="0" fillId="2" borderId="20" xfId="0" applyFont="1" applyFill="1" applyBorder="1" applyAlignment="1" applyProtection="1">
      <alignment horizontal="left" vertical="center"/>
      <protection locked="0"/>
    </xf>
    <xf numFmtId="3" fontId="10" fillId="18" borderId="31" xfId="0" applyNumberFormat="1" applyFont="1" applyFill="1" applyBorder="1" applyAlignment="1" applyProtection="1">
      <alignment horizontal="right" vertical="center"/>
      <protection hidden="1"/>
    </xf>
    <xf numFmtId="3" fontId="10" fillId="18" borderId="16" xfId="0" applyNumberFormat="1" applyFont="1" applyFill="1" applyBorder="1" applyAlignment="1" applyProtection="1">
      <alignment horizontal="right" vertical="center"/>
      <protection hidden="1"/>
    </xf>
    <xf numFmtId="0" fontId="0" fillId="2" borderId="72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7" fillId="14" borderId="28" xfId="0" applyFont="1" applyFill="1" applyBorder="1" applyAlignment="1">
      <alignment horizontal="left" vertical="center"/>
    </xf>
    <xf numFmtId="0" fontId="5" fillId="2" borderId="77" xfId="0" applyFont="1" applyFill="1" applyBorder="1" applyAlignment="1">
      <alignment horizontal="center" vertical="center"/>
    </xf>
    <xf numFmtId="0" fontId="5" fillId="2" borderId="78" xfId="0" applyNumberFormat="1" applyFont="1" applyFill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24" fillId="2" borderId="59" xfId="0" applyFont="1" applyFill="1" applyBorder="1" applyAlignment="1">
      <alignment vertical="center"/>
    </xf>
    <xf numFmtId="0" fontId="15" fillId="2" borderId="59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10" borderId="0" xfId="0" applyFont="1" applyFill="1"/>
    <xf numFmtId="0" fontId="2" fillId="10" borderId="0" xfId="0" applyFont="1" applyFill="1" applyAlignment="1">
      <alignment horizontal="left"/>
    </xf>
    <xf numFmtId="0" fontId="2" fillId="0" borderId="28" xfId="0" applyFont="1" applyBorder="1"/>
    <xf numFmtId="0" fontId="2" fillId="0" borderId="24" xfId="0" applyFont="1" applyBorder="1" applyAlignment="1">
      <alignment horizontal="right"/>
    </xf>
    <xf numFmtId="0" fontId="2" fillId="0" borderId="24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38" xfId="0" applyFont="1" applyFill="1" applyBorder="1" applyAlignment="1">
      <alignment horizontal="center" vertical="center"/>
    </xf>
    <xf numFmtId="0" fontId="0" fillId="2" borderId="38" xfId="0" applyFont="1" applyFill="1" applyBorder="1" applyAlignment="1">
      <alignment vertical="center"/>
    </xf>
    <xf numFmtId="3" fontId="7" fillId="2" borderId="80" xfId="0" applyNumberFormat="1" applyFont="1" applyFill="1" applyBorder="1" applyAlignment="1" applyProtection="1">
      <alignment horizontal="center" vertical="center"/>
      <protection hidden="1"/>
    </xf>
    <xf numFmtId="3" fontId="7" fillId="2" borderId="81" xfId="0" applyNumberFormat="1" applyFont="1" applyFill="1" applyBorder="1" applyAlignment="1" applyProtection="1">
      <alignment horizontal="center" vertical="center"/>
      <protection hidden="1"/>
    </xf>
    <xf numFmtId="4" fontId="7" fillId="7" borderId="30" xfId="0" applyNumberFormat="1" applyFont="1" applyFill="1" applyBorder="1" applyAlignment="1" applyProtection="1">
      <alignment horizontal="center" vertical="center"/>
      <protection hidden="1"/>
    </xf>
    <xf numFmtId="3" fontId="0" fillId="0" borderId="0" xfId="0" applyNumberFormat="1" applyFont="1" applyBorder="1" applyAlignment="1">
      <alignment horizontal="center" vertical="center"/>
    </xf>
    <xf numFmtId="170" fontId="7" fillId="2" borderId="0" xfId="0" applyNumberFormat="1" applyFont="1" applyFill="1" applyBorder="1" applyAlignment="1">
      <alignment horizontal="center" vertical="center"/>
    </xf>
    <xf numFmtId="3" fontId="10" fillId="15" borderId="82" xfId="0" applyNumberFormat="1" applyFont="1" applyFill="1" applyBorder="1" applyAlignment="1" applyProtection="1">
      <alignment horizontal="center" vertical="center"/>
      <protection hidden="1"/>
    </xf>
    <xf numFmtId="3" fontId="10" fillId="7" borderId="82" xfId="0" applyNumberFormat="1" applyFont="1" applyFill="1" applyBorder="1" applyAlignment="1" applyProtection="1">
      <alignment horizontal="right" vertical="center"/>
      <protection hidden="1"/>
    </xf>
    <xf numFmtId="3" fontId="0" fillId="2" borderId="12" xfId="0" applyNumberFormat="1" applyFont="1" applyFill="1" applyBorder="1" applyAlignment="1">
      <alignment horizontal="center" vertical="center"/>
    </xf>
    <xf numFmtId="170" fontId="10" fillId="2" borderId="29" xfId="0" applyNumberFormat="1" applyFont="1" applyFill="1" applyBorder="1" applyAlignment="1">
      <alignment horizontal="center" vertical="center"/>
    </xf>
    <xf numFmtId="3" fontId="0" fillId="2" borderId="83" xfId="0" applyNumberFormat="1" applyFont="1" applyFill="1" applyBorder="1" applyAlignment="1">
      <alignment horizontal="center" vertical="center"/>
    </xf>
    <xf numFmtId="3" fontId="0" fillId="2" borderId="83" xfId="0" applyNumberFormat="1" applyFont="1" applyFill="1" applyBorder="1" applyAlignment="1">
      <alignment vertical="center"/>
    </xf>
    <xf numFmtId="3" fontId="0" fillId="2" borderId="12" xfId="0" applyNumberFormat="1" applyFont="1" applyFill="1" applyBorder="1" applyAlignment="1">
      <alignment vertical="center"/>
    </xf>
    <xf numFmtId="3" fontId="0" fillId="2" borderId="84" xfId="0" applyNumberFormat="1" applyFont="1" applyFill="1" applyBorder="1" applyAlignment="1">
      <alignment horizontal="center" vertical="center"/>
    </xf>
    <xf numFmtId="170" fontId="10" fillId="2" borderId="13" xfId="0" applyNumberFormat="1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 applyProtection="1">
      <alignment horizontal="center" vertical="center"/>
      <protection hidden="1"/>
    </xf>
    <xf numFmtId="3" fontId="10" fillId="2" borderId="42" xfId="0" applyNumberFormat="1" applyFont="1" applyFill="1" applyBorder="1" applyAlignment="1" applyProtection="1">
      <alignment horizontal="center" vertical="center"/>
      <protection hidden="1"/>
    </xf>
    <xf numFmtId="3" fontId="10" fillId="2" borderId="85" xfId="0" applyNumberFormat="1" applyFont="1" applyFill="1" applyBorder="1" applyAlignment="1" applyProtection="1">
      <alignment horizontal="center" vertical="center"/>
      <protection hidden="1"/>
    </xf>
    <xf numFmtId="3" fontId="10" fillId="7" borderId="3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Alignment="1">
      <alignment horizontal="center"/>
    </xf>
    <xf numFmtId="3" fontId="10" fillId="7" borderId="0" xfId="0" applyNumberFormat="1" applyFont="1" applyFill="1" applyBorder="1" applyAlignment="1" applyProtection="1">
      <alignment horizontal="right" vertical="center"/>
      <protection hidden="1"/>
    </xf>
    <xf numFmtId="3" fontId="10" fillId="0" borderId="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Fill="1" applyBorder="1" applyAlignment="1">
      <alignment vertical="center"/>
    </xf>
    <xf numFmtId="3" fontId="10" fillId="15" borderId="0" xfId="0" applyNumberFormat="1" applyFont="1" applyFill="1" applyBorder="1" applyAlignment="1" applyProtection="1">
      <alignment horizontal="right" vertical="center"/>
      <protection hidden="1"/>
    </xf>
    <xf numFmtId="2" fontId="2" fillId="0" borderId="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59" fillId="12" borderId="0" xfId="0" applyFont="1" applyFill="1" applyAlignment="1">
      <alignment horizontal="center"/>
    </xf>
    <xf numFmtId="177" fontId="0" fillId="0" borderId="0" xfId="0" applyNumberFormat="1" applyAlignment="1">
      <alignment horizontal="right"/>
    </xf>
    <xf numFmtId="177" fontId="2" fillId="10" borderId="0" xfId="0" applyNumberFormat="1" applyFont="1" applyFill="1" applyAlignment="1">
      <alignment horizontal="right"/>
    </xf>
    <xf numFmtId="177" fontId="0" fillId="0" borderId="24" xfId="0" applyNumberFormat="1" applyBorder="1" applyAlignment="1">
      <alignment horizontal="right"/>
    </xf>
    <xf numFmtId="177" fontId="0" fillId="0" borderId="34" xfId="0" applyNumberFormat="1" applyFont="1" applyFill="1" applyBorder="1" applyAlignment="1">
      <alignment horizontal="right" vertical="center"/>
    </xf>
    <xf numFmtId="177" fontId="0" fillId="0" borderId="0" xfId="0" applyNumberFormat="1"/>
    <xf numFmtId="177" fontId="2" fillId="10" borderId="0" xfId="0" applyNumberFormat="1" applyFont="1" applyFill="1"/>
    <xf numFmtId="177" fontId="0" fillId="0" borderId="71" xfId="0" applyNumberFormat="1" applyFont="1" applyFill="1" applyBorder="1" applyAlignment="1">
      <alignment vertical="center"/>
    </xf>
    <xf numFmtId="177" fontId="2" fillId="0" borderId="71" xfId="0" applyNumberFormat="1" applyFont="1" applyBorder="1"/>
    <xf numFmtId="2" fontId="40" fillId="0" borderId="0" xfId="0" applyNumberFormat="1" applyFont="1" applyFill="1" applyBorder="1" applyAlignment="1">
      <alignment horizontal="center" vertical="top"/>
    </xf>
    <xf numFmtId="3" fontId="0" fillId="24" borderId="9" xfId="0" applyNumberFormat="1" applyFont="1" applyFill="1" applyBorder="1" applyAlignment="1" applyProtection="1">
      <alignment vertical="center"/>
      <protection locked="0"/>
    </xf>
    <xf numFmtId="3" fontId="34" fillId="2" borderId="9" xfId="0" applyNumberFormat="1" applyFont="1" applyFill="1" applyBorder="1" applyAlignment="1" applyProtection="1">
      <alignment vertical="center"/>
      <protection locked="0"/>
    </xf>
    <xf numFmtId="178" fontId="34" fillId="0" borderId="0" xfId="0" applyNumberFormat="1" applyFont="1" applyAlignment="1">
      <alignment horizontal="center" vertical="center"/>
    </xf>
    <xf numFmtId="3" fontId="0" fillId="6" borderId="11" xfId="0" applyNumberFormat="1" applyFont="1" applyFill="1" applyBorder="1" applyAlignment="1" applyProtection="1">
      <alignment vertical="center"/>
      <protection locked="0"/>
    </xf>
    <xf numFmtId="3" fontId="22" fillId="6" borderId="9" xfId="1" applyNumberFormat="1" applyFont="1" applyFill="1" applyBorder="1" applyAlignment="1" applyProtection="1">
      <alignment horizontal="right" vertical="center"/>
      <protection locked="0"/>
    </xf>
    <xf numFmtId="3" fontId="22" fillId="6" borderId="9" xfId="1" applyNumberFormat="1" applyFont="1" applyFill="1" applyBorder="1" applyAlignment="1" applyProtection="1">
      <alignment horizontal="right" vertical="center"/>
      <protection locked="0"/>
    </xf>
    <xf numFmtId="0" fontId="0" fillId="6" borderId="0" xfId="0" applyFont="1" applyFill="1" applyAlignment="1">
      <alignment vertical="center"/>
    </xf>
    <xf numFmtId="3" fontId="0" fillId="6" borderId="34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 applyProtection="1">
      <alignment horizontal="left" vertical="center"/>
      <protection locked="0"/>
    </xf>
    <xf numFmtId="1" fontId="22" fillId="6" borderId="9" xfId="1" applyNumberFormat="1" applyFont="1" applyFill="1" applyBorder="1" applyAlignment="1" applyProtection="1">
      <alignment horizontal="right" vertical="center"/>
      <protection locked="0"/>
    </xf>
    <xf numFmtId="3" fontId="0" fillId="26" borderId="9" xfId="0" applyNumberFormat="1" applyFont="1" applyFill="1" applyBorder="1" applyAlignment="1" applyProtection="1">
      <alignment vertical="center"/>
      <protection locked="0"/>
    </xf>
    <xf numFmtId="3" fontId="0" fillId="6" borderId="9" xfId="0" applyNumberFormat="1" applyFont="1" applyFill="1" applyBorder="1" applyAlignment="1" applyProtection="1">
      <alignment vertical="center"/>
      <protection locked="0"/>
    </xf>
    <xf numFmtId="3" fontId="0" fillId="26" borderId="9" xfId="0" applyNumberFormat="1" applyFont="1" applyFill="1" applyBorder="1" applyAlignment="1">
      <alignment vertical="center"/>
    </xf>
    <xf numFmtId="3" fontId="0" fillId="26" borderId="0" xfId="0" applyNumberFormat="1" applyFont="1" applyFill="1" applyBorder="1" applyAlignment="1">
      <alignment vertical="center"/>
    </xf>
    <xf numFmtId="174" fontId="34" fillId="6" borderId="25" xfId="0" applyNumberFormat="1" applyFont="1" applyFill="1" applyBorder="1" applyAlignment="1">
      <alignment horizontal="center" vertical="center"/>
    </xf>
    <xf numFmtId="174" fontId="34" fillId="6" borderId="0" xfId="0" applyNumberFormat="1" applyFont="1" applyFill="1" applyBorder="1" applyAlignment="1">
      <alignment horizontal="center" vertical="center"/>
    </xf>
    <xf numFmtId="175" fontId="38" fillId="6" borderId="0" xfId="0" applyNumberFormat="1" applyFont="1" applyFill="1" applyBorder="1" applyAlignment="1">
      <alignment horizontal="center" vertical="center"/>
    </xf>
    <xf numFmtId="0" fontId="0" fillId="26" borderId="0" xfId="0" applyFont="1" applyFill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167" fontId="22" fillId="6" borderId="9" xfId="1" applyFont="1" applyFill="1" applyBorder="1" applyAlignment="1" applyProtection="1">
      <alignment horizontal="right" vertical="center"/>
      <protection locked="0"/>
    </xf>
    <xf numFmtId="3" fontId="0" fillId="6" borderId="9" xfId="0" applyNumberFormat="1" applyFont="1" applyFill="1" applyBorder="1" applyAlignment="1">
      <alignment vertical="center"/>
    </xf>
    <xf numFmtId="3" fontId="0" fillId="6" borderId="0" xfId="0" applyNumberFormat="1" applyFont="1" applyFill="1" applyBorder="1" applyAlignment="1">
      <alignment vertical="center"/>
    </xf>
    <xf numFmtId="0" fontId="18" fillId="6" borderId="0" xfId="0" applyFont="1" applyFill="1" applyAlignment="1">
      <alignment vertical="center"/>
    </xf>
    <xf numFmtId="0" fontId="2" fillId="6" borderId="21" xfId="0" applyFont="1" applyFill="1" applyBorder="1" applyAlignment="1" applyProtection="1">
      <alignment horizontal="left" vertical="center"/>
      <protection locked="0"/>
    </xf>
    <xf numFmtId="167" fontId="18" fillId="6" borderId="10" xfId="1" applyFont="1" applyFill="1" applyBorder="1" applyAlignment="1" applyProtection="1">
      <alignment horizontal="right" vertical="center"/>
      <protection locked="0"/>
    </xf>
    <xf numFmtId="3" fontId="45" fillId="6" borderId="11" xfId="0" applyNumberFormat="1" applyFont="1" applyFill="1" applyBorder="1" applyAlignment="1" applyProtection="1">
      <alignment vertical="center"/>
      <protection locked="0"/>
    </xf>
    <xf numFmtId="3" fontId="18" fillId="6" borderId="22" xfId="0" applyNumberFormat="1" applyFont="1" applyFill="1" applyBorder="1" applyAlignment="1" applyProtection="1">
      <alignment vertical="center"/>
      <protection locked="0"/>
    </xf>
    <xf numFmtId="3" fontId="18" fillId="6" borderId="9" xfId="0" applyNumberFormat="1" applyFont="1" applyFill="1" applyBorder="1" applyAlignment="1" applyProtection="1">
      <alignment vertical="center"/>
      <protection locked="0"/>
    </xf>
    <xf numFmtId="3" fontId="18" fillId="6" borderId="19" xfId="0" applyNumberFormat="1" applyFont="1" applyFill="1" applyBorder="1" applyAlignment="1">
      <alignment vertical="center"/>
    </xf>
    <xf numFmtId="3" fontId="18" fillId="6" borderId="0" xfId="0" applyNumberFormat="1" applyFont="1" applyFill="1" applyBorder="1" applyAlignment="1">
      <alignment vertical="center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6" borderId="16" xfId="0" applyFont="1" applyFill="1" applyBorder="1" applyAlignment="1">
      <alignment horizontal="right" vertical="center"/>
    </xf>
    <xf numFmtId="3" fontId="0" fillId="6" borderId="23" xfId="0" applyNumberFormat="1" applyFont="1" applyFill="1" applyBorder="1" applyAlignment="1" applyProtection="1">
      <alignment vertical="center"/>
      <protection locked="0"/>
    </xf>
    <xf numFmtId="1" fontId="22" fillId="6" borderId="9" xfId="1" applyNumberFormat="1" applyFont="1" applyFill="1" applyBorder="1" applyAlignment="1" applyProtection="1">
      <alignment horizontal="right" vertical="center"/>
      <protection locked="0"/>
    </xf>
    <xf numFmtId="0" fontId="2" fillId="6" borderId="10" xfId="0" applyFont="1" applyFill="1" applyBorder="1" applyAlignment="1" applyProtection="1">
      <alignment horizontal="left" vertical="center"/>
      <protection locked="0"/>
    </xf>
    <xf numFmtId="3" fontId="0" fillId="26" borderId="34" xfId="0" applyNumberFormat="1" applyFont="1" applyFill="1" applyBorder="1" applyAlignment="1">
      <alignment horizontal="center" vertical="center"/>
    </xf>
    <xf numFmtId="0" fontId="2" fillId="26" borderId="10" xfId="0" applyFont="1" applyFill="1" applyBorder="1" applyAlignment="1" applyProtection="1">
      <alignment horizontal="left" vertical="center"/>
      <protection locked="0"/>
    </xf>
    <xf numFmtId="1" fontId="22" fillId="26" borderId="9" xfId="1" applyNumberFormat="1" applyFont="1" applyFill="1" applyBorder="1" applyAlignment="1" applyProtection="1">
      <alignment horizontal="right" vertical="center"/>
      <protection locked="0"/>
    </xf>
    <xf numFmtId="3" fontId="0" fillId="26" borderId="23" xfId="0" applyNumberFormat="1" applyFont="1" applyFill="1" applyBorder="1" applyAlignment="1" applyProtection="1">
      <alignment vertical="center"/>
      <protection locked="0"/>
    </xf>
    <xf numFmtId="174" fontId="34" fillId="26" borderId="25" xfId="0" applyNumberFormat="1" applyFont="1" applyFill="1" applyBorder="1" applyAlignment="1">
      <alignment horizontal="center" vertical="center"/>
    </xf>
    <xf numFmtId="174" fontId="34" fillId="26" borderId="0" xfId="0" applyNumberFormat="1" applyFont="1" applyFill="1" applyBorder="1" applyAlignment="1">
      <alignment horizontal="center" vertical="center"/>
    </xf>
    <xf numFmtId="175" fontId="38" fillId="26" borderId="0" xfId="0" applyNumberFormat="1" applyFont="1" applyFill="1" applyBorder="1" applyAlignment="1">
      <alignment horizontal="center" vertical="center"/>
    </xf>
    <xf numFmtId="0" fontId="0" fillId="6" borderId="34" xfId="0" applyFont="1" applyFill="1" applyBorder="1" applyAlignment="1">
      <alignment horizontal="center" vertical="center"/>
    </xf>
    <xf numFmtId="3" fontId="0" fillId="6" borderId="18" xfId="0" applyNumberFormat="1" applyFont="1" applyFill="1" applyBorder="1" applyAlignment="1">
      <alignment vertical="center"/>
    </xf>
    <xf numFmtId="3" fontId="0" fillId="6" borderId="0" xfId="0" applyNumberFormat="1" applyFont="1" applyFill="1" applyBorder="1" applyAlignment="1" applyProtection="1">
      <alignment vertical="center"/>
      <protection locked="0"/>
    </xf>
    <xf numFmtId="167" fontId="22" fillId="6" borderId="10" xfId="1" applyFont="1" applyFill="1" applyBorder="1" applyAlignment="1" applyProtection="1">
      <alignment horizontal="right" vertical="center"/>
      <protection locked="0"/>
    </xf>
    <xf numFmtId="3" fontId="0" fillId="6" borderId="22" xfId="0" applyNumberFormat="1" applyFont="1" applyFill="1" applyBorder="1" applyAlignment="1" applyProtection="1">
      <alignment vertical="center"/>
      <protection locked="0"/>
    </xf>
    <xf numFmtId="3" fontId="0" fillId="6" borderId="19" xfId="0" applyNumberFormat="1" applyFont="1" applyFill="1" applyBorder="1" applyAlignment="1">
      <alignment vertical="center"/>
    </xf>
    <xf numFmtId="0" fontId="0" fillId="6" borderId="16" xfId="0" applyFont="1" applyFill="1" applyBorder="1" applyAlignment="1" applyProtection="1">
      <alignment horizontal="right" vertical="center"/>
      <protection locked="0"/>
    </xf>
    <xf numFmtId="3" fontId="0" fillId="6" borderId="16" xfId="0" applyNumberFormat="1" applyFont="1" applyFill="1" applyBorder="1" applyAlignment="1" applyProtection="1">
      <alignment vertical="center"/>
      <protection locked="0"/>
    </xf>
    <xf numFmtId="3" fontId="61" fillId="2" borderId="9" xfId="1" applyNumberFormat="1" applyFont="1" applyFill="1" applyBorder="1" applyAlignment="1" applyProtection="1">
      <alignment horizontal="right" vertical="center"/>
      <protection locked="0"/>
    </xf>
    <xf numFmtId="3" fontId="61" fillId="0" borderId="9" xfId="1" applyNumberFormat="1" applyFont="1" applyFill="1" applyBorder="1" applyAlignment="1" applyProtection="1">
      <alignment horizontal="right" vertical="center"/>
      <protection locked="0"/>
    </xf>
    <xf numFmtId="166" fontId="0" fillId="0" borderId="0" xfId="2" applyFont="1" applyAlignment="1">
      <alignment vertical="center"/>
    </xf>
    <xf numFmtId="178" fontId="10" fillId="14" borderId="28" xfId="0" applyNumberFormat="1" applyFont="1" applyFill="1" applyBorder="1" applyAlignment="1">
      <alignment horizontal="center" vertical="center"/>
    </xf>
    <xf numFmtId="0" fontId="58" fillId="0" borderId="0" xfId="0" applyFont="1" applyBorder="1"/>
    <xf numFmtId="176" fontId="58" fillId="0" borderId="0" xfId="0" applyNumberFormat="1" applyFont="1" applyBorder="1" applyAlignment="1">
      <alignment horizontal="left"/>
    </xf>
    <xf numFmtId="0" fontId="10" fillId="0" borderId="0" xfId="0" applyFont="1" applyBorder="1" applyAlignment="1">
      <alignment vertical="center"/>
    </xf>
    <xf numFmtId="170" fontId="5" fillId="2" borderId="0" xfId="0" applyNumberFormat="1" applyFont="1" applyFill="1" applyBorder="1" applyAlignment="1">
      <alignment horizontal="center" vertical="center"/>
    </xf>
    <xf numFmtId="3" fontId="0" fillId="2" borderId="0" xfId="0" applyNumberFormat="1" applyFont="1" applyFill="1" applyBorder="1" applyAlignment="1">
      <alignment horizontal="center" vertical="center"/>
    </xf>
    <xf numFmtId="170" fontId="10" fillId="2" borderId="0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3" fontId="62" fillId="2" borderId="0" xfId="0" applyNumberFormat="1" applyFont="1" applyFill="1" applyBorder="1" applyAlignment="1" applyProtection="1">
      <alignment vertical="center"/>
      <protection locked="0"/>
    </xf>
    <xf numFmtId="0" fontId="2" fillId="26" borderId="0" xfId="0" applyFont="1" applyFill="1"/>
    <xf numFmtId="176" fontId="0" fillId="26" borderId="0" xfId="0" applyNumberFormat="1" applyFill="1"/>
    <xf numFmtId="176" fontId="2" fillId="26" borderId="0" xfId="0" applyNumberFormat="1" applyFont="1" applyFill="1"/>
    <xf numFmtId="2" fontId="0" fillId="26" borderId="0" xfId="0" applyNumberFormat="1" applyFont="1" applyFill="1"/>
    <xf numFmtId="0" fontId="0" fillId="26" borderId="0" xfId="0" applyFill="1"/>
    <xf numFmtId="175" fontId="36" fillId="6" borderId="0" xfId="0" applyNumberFormat="1" applyFont="1" applyFill="1" applyBorder="1" applyAlignment="1">
      <alignment horizontal="center" vertical="center"/>
    </xf>
    <xf numFmtId="175" fontId="35" fillId="6" borderId="0" xfId="0" applyNumberFormat="1" applyFont="1" applyFill="1" applyBorder="1" applyAlignment="1">
      <alignment horizontal="center" vertical="center"/>
    </xf>
    <xf numFmtId="175" fontId="37" fillId="6" borderId="0" xfId="0" applyNumberFormat="1" applyFont="1" applyFill="1" applyBorder="1" applyAlignment="1" applyProtection="1">
      <alignment horizontal="center" vertical="center"/>
      <protection locked="0"/>
    </xf>
    <xf numFmtId="175" fontId="56" fillId="26" borderId="0" xfId="0" applyNumberFormat="1" applyFont="1" applyFill="1" applyBorder="1" applyAlignment="1" applyProtection="1">
      <alignment horizontal="center" vertical="center"/>
      <protection hidden="1"/>
    </xf>
    <xf numFmtId="175" fontId="2" fillId="6" borderId="0" xfId="0" applyNumberFormat="1" applyFont="1" applyFill="1" applyBorder="1" applyAlignment="1">
      <alignment horizontal="center" vertical="center"/>
    </xf>
    <xf numFmtId="175" fontId="42" fillId="6" borderId="0" xfId="0" applyNumberFormat="1" applyFont="1" applyFill="1" applyBorder="1" applyAlignment="1">
      <alignment horizontal="center" vertical="center"/>
    </xf>
    <xf numFmtId="175" fontId="50" fillId="6" borderId="0" xfId="0" applyNumberFormat="1" applyFont="1" applyFill="1" applyBorder="1" applyAlignment="1">
      <alignment horizontal="center" vertical="center"/>
    </xf>
    <xf numFmtId="175" fontId="49" fillId="6" borderId="0" xfId="0" applyNumberFormat="1" applyFont="1" applyFill="1" applyBorder="1" applyAlignment="1">
      <alignment horizontal="center" vertical="center"/>
    </xf>
    <xf numFmtId="175" fontId="56" fillId="26" borderId="27" xfId="0" applyNumberFormat="1" applyFont="1" applyFill="1" applyBorder="1" applyAlignment="1" applyProtection="1">
      <alignment horizontal="center" vertical="center"/>
      <protection hidden="1"/>
    </xf>
    <xf numFmtId="175" fontId="36" fillId="6" borderId="42" xfId="0" applyNumberFormat="1" applyFont="1" applyFill="1" applyBorder="1" applyAlignment="1">
      <alignment horizontal="center" vertical="center"/>
    </xf>
    <xf numFmtId="175" fontId="2" fillId="26" borderId="0" xfId="0" applyNumberFormat="1" applyFont="1" applyFill="1" applyBorder="1" applyAlignment="1">
      <alignment horizontal="center" vertical="center"/>
    </xf>
    <xf numFmtId="175" fontId="38" fillId="6" borderId="14" xfId="0" applyNumberFormat="1" applyFont="1" applyFill="1" applyBorder="1" applyAlignment="1">
      <alignment horizontal="center" vertical="center"/>
    </xf>
    <xf numFmtId="175" fontId="34" fillId="6" borderId="0" xfId="0" applyNumberFormat="1" applyFont="1" applyFill="1" applyAlignment="1">
      <alignment horizontal="center" vertical="center"/>
    </xf>
    <xf numFmtId="178" fontId="54" fillId="26" borderId="0" xfId="0" applyNumberFormat="1" applyFont="1" applyFill="1" applyAlignment="1">
      <alignment horizontal="center" vertical="center"/>
    </xf>
    <xf numFmtId="178" fontId="34" fillId="26" borderId="0" xfId="0" applyNumberFormat="1" applyFont="1" applyFill="1" applyAlignment="1">
      <alignment horizontal="center" vertical="center"/>
    </xf>
    <xf numFmtId="178" fontId="38" fillId="26" borderId="0" xfId="0" applyNumberFormat="1" applyFont="1" applyFill="1" applyAlignment="1">
      <alignment horizontal="center" vertical="center"/>
    </xf>
    <xf numFmtId="175" fontId="38" fillId="26" borderId="0" xfId="0" applyNumberFormat="1" applyFont="1" applyFill="1" applyAlignment="1">
      <alignment horizontal="center" vertical="center"/>
    </xf>
    <xf numFmtId="0" fontId="0" fillId="26" borderId="34" xfId="0" applyFont="1" applyFill="1" applyBorder="1" applyAlignment="1">
      <alignment horizontal="center" vertical="center"/>
    </xf>
    <xf numFmtId="0" fontId="34" fillId="26" borderId="0" xfId="0" applyFont="1" applyFill="1" applyBorder="1" applyAlignment="1" applyProtection="1">
      <alignment horizontal="left" vertical="center"/>
      <protection locked="0"/>
    </xf>
    <xf numFmtId="0" fontId="39" fillId="26" borderId="0" xfId="0" applyFont="1" applyFill="1" applyBorder="1" applyAlignment="1" applyProtection="1">
      <alignment vertical="center"/>
      <protection locked="0"/>
    </xf>
    <xf numFmtId="4" fontId="39" fillId="26" borderId="0" xfId="0" applyNumberFormat="1" applyFont="1" applyFill="1" applyBorder="1" applyAlignment="1" applyProtection="1">
      <alignment vertical="center"/>
      <protection locked="0"/>
    </xf>
    <xf numFmtId="4" fontId="38" fillId="26" borderId="0" xfId="0" applyNumberFormat="1" applyFont="1" applyFill="1" applyBorder="1" applyAlignment="1">
      <alignment vertical="center"/>
    </xf>
    <xf numFmtId="0" fontId="2" fillId="26" borderId="21" xfId="0" applyFont="1" applyFill="1" applyBorder="1" applyAlignment="1" applyProtection="1">
      <alignment horizontal="left" vertical="center"/>
      <protection locked="0"/>
    </xf>
    <xf numFmtId="0" fontId="0" fillId="6" borderId="20" xfId="0" applyFont="1" applyFill="1" applyBorder="1" applyAlignment="1">
      <alignment horizontal="right" vertical="center"/>
    </xf>
    <xf numFmtId="0" fontId="0" fillId="6" borderId="0" xfId="0" applyFont="1" applyFill="1" applyBorder="1" applyAlignment="1">
      <alignment vertical="center"/>
    </xf>
    <xf numFmtId="3" fontId="0" fillId="6" borderId="4" xfId="0" applyNumberFormat="1" applyFont="1" applyFill="1" applyBorder="1" applyAlignment="1">
      <alignment vertical="center"/>
    </xf>
    <xf numFmtId="3" fontId="18" fillId="6" borderId="22" xfId="0" applyNumberFormat="1" applyFont="1" applyFill="1" applyBorder="1" applyAlignment="1">
      <alignment vertical="center"/>
    </xf>
    <xf numFmtId="0" fontId="0" fillId="26" borderId="20" xfId="0" applyFont="1" applyFill="1" applyBorder="1" applyAlignment="1" applyProtection="1">
      <alignment horizontal="center" vertical="center"/>
      <protection locked="0"/>
    </xf>
    <xf numFmtId="0" fontId="0" fillId="26" borderId="4" xfId="0" applyFont="1" applyFill="1" applyBorder="1" applyAlignment="1" applyProtection="1">
      <alignment horizontal="right" vertical="center"/>
      <protection locked="0"/>
    </xf>
    <xf numFmtId="1" fontId="0" fillId="6" borderId="9" xfId="0" applyNumberFormat="1" applyFont="1" applyFill="1" applyBorder="1" applyAlignment="1" applyProtection="1">
      <alignment horizontal="right" vertical="center"/>
      <protection locked="0"/>
    </xf>
    <xf numFmtId="0" fontId="0" fillId="6" borderId="9" xfId="0" applyFont="1" applyFill="1" applyBorder="1" applyAlignment="1" applyProtection="1">
      <alignment vertical="center"/>
      <protection locked="0"/>
    </xf>
    <xf numFmtId="3" fontId="0" fillId="6" borderId="23" xfId="0" applyNumberFormat="1" applyFont="1" applyFill="1" applyBorder="1" applyAlignment="1">
      <alignment vertical="center"/>
    </xf>
    <xf numFmtId="0" fontId="0" fillId="26" borderId="16" xfId="0" applyFont="1" applyFill="1" applyBorder="1" applyAlignment="1" applyProtection="1">
      <alignment horizontal="right" vertical="center"/>
      <protection locked="0"/>
    </xf>
    <xf numFmtId="167" fontId="0" fillId="6" borderId="9" xfId="1" applyFont="1" applyFill="1" applyBorder="1" applyAlignment="1" applyProtection="1">
      <alignment horizontal="right" vertical="center"/>
      <protection locked="0"/>
    </xf>
    <xf numFmtId="0" fontId="10" fillId="6" borderId="0" xfId="0" applyFont="1" applyFill="1" applyAlignment="1">
      <alignment vertical="center"/>
    </xf>
    <xf numFmtId="3" fontId="5" fillId="6" borderId="34" xfId="0" applyNumberFormat="1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vertical="center"/>
    </xf>
    <xf numFmtId="0" fontId="5" fillId="6" borderId="0" xfId="0" applyFont="1" applyFill="1" applyBorder="1" applyAlignment="1">
      <alignment horizontal="right" vertical="center"/>
    </xf>
    <xf numFmtId="3" fontId="10" fillId="15" borderId="31" xfId="0" applyNumberFormat="1" applyFont="1" applyFill="1" applyBorder="1" applyAlignment="1" applyProtection="1">
      <alignment horizontal="right" vertical="center"/>
      <protection hidden="1"/>
    </xf>
    <xf numFmtId="3" fontId="10" fillId="6" borderId="31" xfId="0" applyNumberFormat="1" applyFont="1" applyFill="1" applyBorder="1" applyAlignment="1" applyProtection="1">
      <alignment horizontal="right" vertical="center"/>
      <protection hidden="1"/>
    </xf>
    <xf numFmtId="3" fontId="10" fillId="6" borderId="0" xfId="0" applyNumberFormat="1" applyFont="1" applyFill="1" applyBorder="1" applyAlignment="1" applyProtection="1">
      <alignment horizontal="right" vertical="center"/>
      <protection hidden="1"/>
    </xf>
    <xf numFmtId="174" fontId="36" fillId="6" borderId="25" xfId="0" applyNumberFormat="1" applyFont="1" applyFill="1" applyBorder="1" applyAlignment="1">
      <alignment horizontal="center" vertical="center"/>
    </xf>
    <xf numFmtId="174" fontId="36" fillId="6" borderId="0" xfId="0" applyNumberFormat="1" applyFont="1" applyFill="1" applyBorder="1" applyAlignment="1">
      <alignment horizontal="center" vertical="center"/>
    </xf>
    <xf numFmtId="0" fontId="10" fillId="26" borderId="0" xfId="0" applyFont="1" applyFill="1" applyAlignment="1">
      <alignment vertical="center"/>
    </xf>
    <xf numFmtId="167" fontId="34" fillId="26" borderId="0" xfId="1" applyFont="1" applyFill="1" applyBorder="1" applyAlignment="1" applyProtection="1">
      <alignment horizontal="right" vertical="center"/>
      <protection locked="0"/>
    </xf>
    <xf numFmtId="0" fontId="34" fillId="26" borderId="0" xfId="0" applyFont="1" applyFill="1" applyBorder="1" applyAlignment="1" applyProtection="1">
      <alignment vertical="center"/>
      <protection locked="0"/>
    </xf>
    <xf numFmtId="167" fontId="0" fillId="6" borderId="0" xfId="1" applyFont="1" applyFill="1" applyBorder="1" applyAlignment="1" applyProtection="1">
      <alignment horizontal="right" vertical="center"/>
      <protection locked="0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 applyProtection="1">
      <alignment vertical="center"/>
      <protection locked="0"/>
    </xf>
    <xf numFmtId="0" fontId="0" fillId="26" borderId="0" xfId="0" applyFont="1" applyFill="1" applyBorder="1" applyAlignment="1">
      <alignment horizontal="center" vertical="center"/>
    </xf>
    <xf numFmtId="0" fontId="0" fillId="26" borderId="0" xfId="0" applyFont="1" applyFill="1" applyBorder="1" applyAlignment="1" applyProtection="1">
      <alignment vertical="center"/>
      <protection locked="0"/>
    </xf>
    <xf numFmtId="167" fontId="0" fillId="26" borderId="0" xfId="1" applyFont="1" applyFill="1" applyBorder="1" applyAlignment="1" applyProtection="1">
      <alignment horizontal="right" vertical="center"/>
      <protection locked="0"/>
    </xf>
    <xf numFmtId="0" fontId="10" fillId="26" borderId="0" xfId="0" applyFont="1" applyFill="1" applyBorder="1" applyAlignment="1" applyProtection="1">
      <alignment vertical="center"/>
      <protection locked="0"/>
    </xf>
    <xf numFmtId="0" fontId="2" fillId="26" borderId="0" xfId="0" applyFont="1" applyFill="1" applyAlignment="1">
      <alignment vertical="center"/>
    </xf>
    <xf numFmtId="178" fontId="2" fillId="26" borderId="0" xfId="0" applyNumberFormat="1" applyFont="1" applyFill="1" applyAlignment="1">
      <alignment vertical="center"/>
    </xf>
    <xf numFmtId="175" fontId="54" fillId="26" borderId="0" xfId="0" applyNumberFormat="1" applyFont="1" applyFill="1" applyAlignment="1">
      <alignment horizontal="center" vertical="center"/>
    </xf>
    <xf numFmtId="178" fontId="58" fillId="26" borderId="0" xfId="0" applyNumberFormat="1" applyFont="1" applyFill="1" applyAlignment="1">
      <alignment horizontal="center" vertical="center"/>
    </xf>
    <xf numFmtId="174" fontId="34" fillId="26" borderId="0" xfId="0" applyNumberFormat="1" applyFont="1" applyFill="1" applyAlignment="1">
      <alignment horizontal="center" vertical="center"/>
    </xf>
    <xf numFmtId="3" fontId="10" fillId="27" borderId="31" xfId="0" applyNumberFormat="1" applyFont="1" applyFill="1" applyBorder="1" applyAlignment="1" applyProtection="1">
      <alignment horizontal="right" vertical="center"/>
      <protection hidden="1"/>
    </xf>
    <xf numFmtId="3" fontId="0" fillId="27" borderId="9" xfId="0" applyNumberFormat="1" applyFont="1" applyFill="1" applyBorder="1" applyAlignment="1" applyProtection="1">
      <alignment vertical="center"/>
      <protection locked="0"/>
    </xf>
    <xf numFmtId="3" fontId="0" fillId="28" borderId="9" xfId="0" applyNumberFormat="1" applyFont="1" applyFill="1" applyBorder="1" applyAlignment="1" applyProtection="1">
      <alignment vertical="center"/>
      <protection locked="0"/>
    </xf>
    <xf numFmtId="3" fontId="0" fillId="29" borderId="9" xfId="0" applyNumberFormat="1" applyFont="1" applyFill="1" applyBorder="1" applyAlignment="1" applyProtection="1">
      <alignment vertical="center"/>
      <protection locked="0"/>
    </xf>
    <xf numFmtId="3" fontId="22" fillId="29" borderId="9" xfId="1" applyNumberFormat="1" applyFont="1" applyFill="1" applyBorder="1" applyAlignment="1" applyProtection="1">
      <alignment horizontal="right" vertical="center"/>
      <protection locked="0"/>
    </xf>
    <xf numFmtId="0" fontId="62" fillId="25" borderId="0" xfId="0" applyFont="1" applyFill="1" applyAlignment="1">
      <alignment vertical="center"/>
    </xf>
    <xf numFmtId="16" fontId="10" fillId="23" borderId="0" xfId="0" applyNumberFormat="1" applyFont="1" applyFill="1" applyAlignment="1">
      <alignment horizontal="center" vertical="center"/>
    </xf>
    <xf numFmtId="166" fontId="0" fillId="2" borderId="0" xfId="0" applyNumberFormat="1" applyFont="1" applyFill="1" applyAlignment="1">
      <alignment vertical="center"/>
    </xf>
    <xf numFmtId="9" fontId="18" fillId="2" borderId="22" xfId="6" applyFont="1" applyFill="1" applyBorder="1" applyAlignment="1">
      <alignment vertical="center"/>
    </xf>
    <xf numFmtId="0" fontId="0" fillId="33" borderId="0" xfId="0" applyFont="1" applyFill="1" applyAlignment="1">
      <alignment vertical="center"/>
    </xf>
    <xf numFmtId="3" fontId="0" fillId="33" borderId="34" xfId="0" applyNumberFormat="1" applyFont="1" applyFill="1" applyBorder="1" applyAlignment="1">
      <alignment horizontal="center" vertical="center"/>
    </xf>
    <xf numFmtId="0" fontId="2" fillId="34" borderId="10" xfId="0" applyFont="1" applyFill="1" applyBorder="1" applyAlignment="1" applyProtection="1">
      <alignment horizontal="left" vertical="center"/>
      <protection locked="0"/>
    </xf>
    <xf numFmtId="172" fontId="22" fillId="34" borderId="9" xfId="1" applyNumberFormat="1" applyFont="1" applyFill="1" applyBorder="1" applyAlignment="1" applyProtection="1">
      <alignment horizontal="right" vertical="center"/>
      <protection locked="0"/>
    </xf>
    <xf numFmtId="3" fontId="22" fillId="34" borderId="9" xfId="1" applyNumberFormat="1" applyFont="1" applyFill="1" applyBorder="1" applyAlignment="1" applyProtection="1">
      <alignment horizontal="right" vertical="center"/>
      <protection locked="0"/>
    </xf>
    <xf numFmtId="3" fontId="0" fillId="34" borderId="9" xfId="0" applyNumberFormat="1" applyFont="1" applyFill="1" applyBorder="1" applyAlignment="1" applyProtection="1">
      <alignment vertical="center"/>
      <protection locked="0"/>
    </xf>
    <xf numFmtId="3" fontId="0" fillId="33" borderId="9" xfId="0" applyNumberFormat="1" applyFont="1" applyFill="1" applyBorder="1" applyAlignment="1" applyProtection="1">
      <alignment vertical="center"/>
      <protection locked="0"/>
    </xf>
    <xf numFmtId="3" fontId="0" fillId="34" borderId="9" xfId="0" applyNumberFormat="1" applyFont="1" applyFill="1" applyBorder="1" applyAlignment="1">
      <alignment vertical="center"/>
    </xf>
    <xf numFmtId="4" fontId="38" fillId="34" borderId="0" xfId="0" applyNumberFormat="1" applyFont="1" applyFill="1" applyBorder="1" applyAlignment="1">
      <alignment vertical="center"/>
    </xf>
    <xf numFmtId="174" fontId="36" fillId="33" borderId="25" xfId="0" applyNumberFormat="1" applyFont="1" applyFill="1" applyBorder="1" applyAlignment="1">
      <alignment horizontal="center" vertical="center"/>
    </xf>
    <xf numFmtId="174" fontId="36" fillId="33" borderId="0" xfId="0" applyNumberFormat="1" applyFont="1" applyFill="1" applyBorder="1" applyAlignment="1">
      <alignment horizontal="center" vertical="center"/>
    </xf>
    <xf numFmtId="175" fontId="38" fillId="33" borderId="0" xfId="0" applyNumberFormat="1" applyFont="1" applyFill="1" applyBorder="1" applyAlignment="1">
      <alignment horizontal="center" vertical="center"/>
    </xf>
    <xf numFmtId="166" fontId="0" fillId="33" borderId="0" xfId="0" applyNumberFormat="1" applyFont="1" applyFill="1" applyAlignment="1">
      <alignment vertical="center"/>
    </xf>
    <xf numFmtId="0" fontId="0" fillId="34" borderId="0" xfId="0" applyFont="1" applyFill="1" applyAlignment="1">
      <alignment vertical="center"/>
    </xf>
    <xf numFmtId="3" fontId="0" fillId="2" borderId="9" xfId="0" applyNumberFormat="1" applyFont="1" applyFill="1" applyBorder="1" applyAlignment="1" applyProtection="1">
      <alignment vertical="center"/>
    </xf>
    <xf numFmtId="179" fontId="0" fillId="0" borderId="27" xfId="2" applyNumberFormat="1" applyFont="1" applyBorder="1" applyAlignment="1">
      <alignment vertical="center"/>
    </xf>
    <xf numFmtId="179" fontId="10" fillId="0" borderId="27" xfId="2" applyNumberFormat="1" applyFont="1" applyBorder="1" applyAlignment="1">
      <alignment vertical="center"/>
    </xf>
    <xf numFmtId="179" fontId="0" fillId="0" borderId="27" xfId="2" applyNumberFormat="1" applyFont="1" applyFill="1" applyBorder="1" applyAlignment="1">
      <alignment vertical="center"/>
    </xf>
    <xf numFmtId="179" fontId="0" fillId="2" borderId="27" xfId="2" applyNumberFormat="1" applyFont="1" applyFill="1" applyBorder="1" applyAlignment="1">
      <alignment vertical="center"/>
    </xf>
    <xf numFmtId="179" fontId="0" fillId="2" borderId="0" xfId="2" applyNumberFormat="1" applyFont="1" applyFill="1" applyAlignment="1">
      <alignment vertical="center"/>
    </xf>
    <xf numFmtId="179" fontId="34" fillId="2" borderId="27" xfId="2" applyNumberFormat="1" applyFont="1" applyFill="1" applyBorder="1" applyAlignment="1">
      <alignment vertical="center"/>
    </xf>
    <xf numFmtId="179" fontId="34" fillId="2" borderId="0" xfId="2" applyNumberFormat="1" applyFont="1" applyFill="1" applyAlignment="1">
      <alignment vertical="center"/>
    </xf>
    <xf numFmtId="179" fontId="65" fillId="2" borderId="27" xfId="2" applyNumberFormat="1" applyFont="1" applyFill="1" applyBorder="1" applyAlignment="1">
      <alignment vertical="center"/>
    </xf>
    <xf numFmtId="179" fontId="65" fillId="2" borderId="0" xfId="2" applyNumberFormat="1" applyFont="1" applyFill="1" applyAlignment="1">
      <alignment vertical="center"/>
    </xf>
    <xf numFmtId="179" fontId="41" fillId="2" borderId="27" xfId="2" applyNumberFormat="1" applyFont="1" applyFill="1" applyBorder="1" applyAlignment="1">
      <alignment vertical="center"/>
    </xf>
    <xf numFmtId="179" fontId="52" fillId="2" borderId="27" xfId="2" applyNumberFormat="1" applyFont="1" applyFill="1" applyBorder="1" applyAlignment="1">
      <alignment vertical="center"/>
    </xf>
    <xf numFmtId="179" fontId="48" fillId="2" borderId="27" xfId="2" applyNumberFormat="1" applyFont="1" applyFill="1" applyBorder="1" applyAlignment="1">
      <alignment vertical="center"/>
    </xf>
    <xf numFmtId="179" fontId="0" fillId="26" borderId="27" xfId="2" applyNumberFormat="1" applyFont="1" applyFill="1" applyBorder="1" applyAlignment="1">
      <alignment vertical="center"/>
    </xf>
    <xf numFmtId="179" fontId="18" fillId="2" borderId="27" xfId="2" applyNumberFormat="1" applyFont="1" applyFill="1" applyBorder="1" applyAlignment="1">
      <alignment vertical="center"/>
    </xf>
    <xf numFmtId="179" fontId="18" fillId="6" borderId="27" xfId="2" applyNumberFormat="1" applyFont="1" applyFill="1" applyBorder="1" applyAlignment="1">
      <alignment vertical="center"/>
    </xf>
    <xf numFmtId="179" fontId="0" fillId="6" borderId="27" xfId="2" applyNumberFormat="1" applyFont="1" applyFill="1" applyBorder="1" applyAlignment="1">
      <alignment vertical="center"/>
    </xf>
    <xf numFmtId="179" fontId="10" fillId="26" borderId="27" xfId="2" applyNumberFormat="1" applyFont="1" applyFill="1" applyBorder="1" applyAlignment="1">
      <alignment vertical="center"/>
    </xf>
    <xf numFmtId="179" fontId="0" fillId="34" borderId="27" xfId="2" applyNumberFormat="1" applyFont="1" applyFill="1" applyBorder="1" applyAlignment="1">
      <alignment vertical="center"/>
    </xf>
    <xf numFmtId="179" fontId="34" fillId="0" borderId="27" xfId="2" applyNumberFormat="1" applyFont="1" applyFill="1" applyBorder="1" applyAlignment="1">
      <alignment vertical="center"/>
    </xf>
    <xf numFmtId="179" fontId="34" fillId="0" borderId="27" xfId="2" applyNumberFormat="1" applyFont="1" applyBorder="1" applyAlignment="1">
      <alignment vertical="center"/>
    </xf>
    <xf numFmtId="166" fontId="34" fillId="2" borderId="0" xfId="2" applyFont="1" applyFill="1" applyAlignment="1">
      <alignment horizontal="center" vertical="center"/>
    </xf>
    <xf numFmtId="166" fontId="34" fillId="0" borderId="1" xfId="2" applyFont="1" applyFill="1" applyBorder="1" applyAlignment="1">
      <alignment horizontal="center" vertical="center"/>
    </xf>
    <xf numFmtId="166" fontId="7" fillId="0" borderId="0" xfId="2" applyFont="1" applyAlignment="1">
      <alignment vertical="center"/>
    </xf>
    <xf numFmtId="166" fontId="0" fillId="0" borderId="0" xfId="2" applyFont="1" applyFill="1" applyAlignment="1">
      <alignment vertical="center"/>
    </xf>
    <xf numFmtId="166" fontId="5" fillId="0" borderId="0" xfId="2" applyFont="1" applyAlignment="1">
      <alignment vertical="center"/>
    </xf>
    <xf numFmtId="166" fontId="10" fillId="0" borderId="0" xfId="2" applyFont="1" applyAlignment="1">
      <alignment vertical="center"/>
    </xf>
    <xf numFmtId="166" fontId="0" fillId="2" borderId="0" xfId="2" applyFont="1" applyFill="1" applyAlignment="1">
      <alignment vertical="center"/>
    </xf>
    <xf numFmtId="166" fontId="0" fillId="33" borderId="0" xfId="2" applyFont="1" applyFill="1" applyAlignment="1">
      <alignment vertical="center"/>
    </xf>
    <xf numFmtId="0" fontId="69" fillId="0" borderId="0" xfId="0" applyFont="1" applyAlignment="1">
      <alignment horizontal="left" vertical="top"/>
    </xf>
    <xf numFmtId="16" fontId="69" fillId="0" borderId="0" xfId="0" applyNumberFormat="1" applyFont="1" applyAlignment="1">
      <alignment horizontal="left" vertical="top"/>
    </xf>
    <xf numFmtId="0" fontId="68" fillId="0" borderId="107" xfId="0" applyFont="1" applyBorder="1" applyAlignment="1">
      <alignment horizontal="center" vertical="top" wrapText="1"/>
    </xf>
    <xf numFmtId="0" fontId="68" fillId="0" borderId="107" xfId="0" applyFont="1" applyBorder="1" applyAlignment="1">
      <alignment horizontal="center" vertical="center" wrapText="1"/>
    </xf>
    <xf numFmtId="0" fontId="68" fillId="0" borderId="107" xfId="0" applyFont="1" applyBorder="1" applyAlignment="1">
      <alignment horizontal="left" vertical="top" wrapText="1"/>
    </xf>
    <xf numFmtId="0" fontId="68" fillId="35" borderId="107" xfId="0" applyFont="1" applyFill="1" applyBorder="1" applyAlignment="1">
      <alignment horizontal="left" vertical="top" wrapText="1"/>
    </xf>
    <xf numFmtId="0" fontId="68" fillId="35" borderId="107" xfId="0" applyFont="1" applyFill="1" applyBorder="1" applyAlignment="1">
      <alignment horizontal="center" vertical="top" wrapText="1"/>
    </xf>
    <xf numFmtId="1" fontId="68" fillId="0" borderId="107" xfId="0" applyNumberFormat="1" applyFont="1" applyBorder="1" applyAlignment="1">
      <alignment horizontal="center" vertical="top"/>
    </xf>
    <xf numFmtId="0" fontId="68" fillId="36" borderId="107" xfId="0" applyFont="1" applyFill="1" applyBorder="1" applyAlignment="1">
      <alignment horizontal="left" vertical="top" wrapText="1"/>
    </xf>
    <xf numFmtId="0" fontId="68" fillId="36" borderId="107" xfId="0" applyFont="1" applyFill="1" applyBorder="1" applyAlignment="1">
      <alignment horizontal="center" vertical="top" wrapText="1"/>
    </xf>
    <xf numFmtId="0" fontId="68" fillId="30" borderId="107" xfId="0" applyFont="1" applyFill="1" applyBorder="1" applyAlignment="1">
      <alignment horizontal="left" vertical="top" wrapText="1"/>
    </xf>
    <xf numFmtId="1" fontId="72" fillId="0" borderId="107" xfId="0" applyNumberFormat="1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73" fillId="0" borderId="0" xfId="0" applyFont="1"/>
    <xf numFmtId="167" fontId="34" fillId="2" borderId="9" xfId="1" applyFont="1" applyFill="1" applyBorder="1" applyAlignment="1" applyProtection="1">
      <alignment horizontal="right" vertical="center"/>
      <protection locked="0"/>
    </xf>
    <xf numFmtId="3" fontId="34" fillId="2" borderId="9" xfId="1" applyNumberFormat="1" applyFont="1" applyFill="1" applyBorder="1" applyAlignment="1" applyProtection="1">
      <alignment horizontal="right" vertical="center"/>
      <protection locked="0"/>
    </xf>
    <xf numFmtId="0" fontId="2" fillId="2" borderId="4" xfId="0" applyFont="1" applyFill="1" applyBorder="1" applyAlignment="1">
      <alignment horizontal="left" vertical="center"/>
    </xf>
    <xf numFmtId="0" fontId="38" fillId="37" borderId="10" xfId="0" applyFont="1" applyFill="1" applyBorder="1" applyAlignment="1" applyProtection="1">
      <alignment horizontal="left" vertical="center"/>
      <protection locked="0"/>
    </xf>
    <xf numFmtId="1" fontId="34" fillId="37" borderId="9" xfId="1" applyNumberFormat="1" applyFont="1" applyFill="1" applyBorder="1" applyAlignment="1" applyProtection="1">
      <alignment horizontal="right" vertical="center"/>
      <protection locked="0"/>
    </xf>
    <xf numFmtId="3" fontId="34" fillId="37" borderId="9" xfId="0" applyNumberFormat="1" applyFont="1" applyFill="1" applyBorder="1" applyAlignment="1" applyProtection="1">
      <alignment vertical="center"/>
      <protection locked="0"/>
    </xf>
    <xf numFmtId="3" fontId="34" fillId="37" borderId="23" xfId="0" applyNumberFormat="1" applyFont="1" applyFill="1" applyBorder="1" applyAlignment="1" applyProtection="1">
      <alignment vertical="center"/>
      <protection locked="0"/>
    </xf>
    <xf numFmtId="0" fontId="74" fillId="0" borderId="0" xfId="0" applyFont="1" applyAlignment="1">
      <alignment vertical="center"/>
    </xf>
    <xf numFmtId="0" fontId="2" fillId="2" borderId="20" xfId="0" applyFont="1" applyFill="1" applyBorder="1" applyAlignment="1" applyProtection="1">
      <alignment horizontal="left" vertical="center"/>
      <protection locked="0"/>
    </xf>
    <xf numFmtId="173" fontId="0" fillId="2" borderId="22" xfId="0" applyNumberFormat="1" applyFont="1" applyFill="1" applyBorder="1" applyAlignment="1" applyProtection="1">
      <alignment vertical="center"/>
      <protection locked="0"/>
    </xf>
    <xf numFmtId="0" fontId="75" fillId="0" borderId="107" xfId="0" applyFont="1" applyBorder="1" applyAlignment="1">
      <alignment horizontal="center" vertical="center" wrapText="1"/>
    </xf>
    <xf numFmtId="0" fontId="75" fillId="0" borderId="107" xfId="0" applyFont="1" applyBorder="1" applyAlignment="1">
      <alignment horizontal="left" vertical="top" wrapText="1"/>
    </xf>
    <xf numFmtId="0" fontId="75" fillId="0" borderId="107" xfId="0" applyFont="1" applyBorder="1" applyAlignment="1">
      <alignment horizontal="center" vertical="top" wrapText="1"/>
    </xf>
    <xf numFmtId="1" fontId="75" fillId="0" borderId="107" xfId="0" applyNumberFormat="1" applyFont="1" applyBorder="1" applyAlignment="1">
      <alignment horizontal="center" vertical="top"/>
    </xf>
    <xf numFmtId="0" fontId="77" fillId="0" borderId="0" xfId="0" applyFont="1" applyAlignment="1">
      <alignment horizontal="left" vertical="top"/>
    </xf>
    <xf numFmtId="166" fontId="0" fillId="26" borderId="0" xfId="2" applyFont="1" applyFill="1"/>
    <xf numFmtId="166" fontId="0" fillId="0" borderId="0" xfId="2" applyFont="1"/>
    <xf numFmtId="178" fontId="0" fillId="0" borderId="0" xfId="0" applyNumberFormat="1"/>
    <xf numFmtId="166" fontId="0" fillId="0" borderId="0" xfId="0" applyNumberFormat="1"/>
    <xf numFmtId="178" fontId="0" fillId="0" borderId="0" xfId="2" applyNumberFormat="1" applyFont="1"/>
    <xf numFmtId="0" fontId="0" fillId="2" borderId="62" xfId="0" applyFont="1" applyFill="1" applyBorder="1" applyAlignment="1" applyProtection="1">
      <alignment horizontal="left" vertical="center"/>
      <protection locked="0"/>
    </xf>
    <xf numFmtId="0" fontId="38" fillId="2" borderId="62" xfId="0" applyFont="1" applyFill="1" applyBorder="1" applyAlignment="1" applyProtection="1">
      <alignment horizontal="left" vertical="center"/>
      <protection locked="0"/>
    </xf>
    <xf numFmtId="167" fontId="2" fillId="2" borderId="20" xfId="1" applyFont="1" applyFill="1" applyBorder="1" applyAlignment="1" applyProtection="1">
      <alignment horizontal="right" vertical="center"/>
      <protection locked="0"/>
    </xf>
    <xf numFmtId="3" fontId="2" fillId="2" borderId="0" xfId="0" applyNumberFormat="1" applyFont="1" applyFill="1" applyBorder="1" applyAlignment="1" applyProtection="1">
      <alignment vertical="center"/>
      <protection locked="0"/>
    </xf>
    <xf numFmtId="3" fontId="2" fillId="2" borderId="18" xfId="0" applyNumberFormat="1" applyFont="1" applyFill="1" applyBorder="1" applyAlignment="1" applyProtection="1">
      <alignment vertical="center"/>
      <protection locked="0"/>
    </xf>
    <xf numFmtId="3" fontId="2" fillId="2" borderId="4" xfId="0" applyNumberFormat="1" applyFont="1" applyFill="1" applyBorder="1" applyAlignment="1" applyProtection="1">
      <alignment vertical="center"/>
      <protection locked="0"/>
    </xf>
    <xf numFmtId="3" fontId="2" fillId="2" borderId="18" xfId="0" applyNumberFormat="1" applyFont="1" applyFill="1" applyBorder="1" applyAlignment="1">
      <alignment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17" xfId="0" applyFont="1" applyFill="1" applyBorder="1" applyAlignment="1" applyProtection="1">
      <alignment horizontal="left" vertical="center"/>
      <protection locked="0"/>
    </xf>
    <xf numFmtId="4" fontId="0" fillId="6" borderId="0" xfId="0" applyNumberFormat="1" applyFont="1" applyFill="1" applyBorder="1" applyAlignment="1" applyProtection="1">
      <alignment horizontal="right" vertical="center"/>
      <protection locked="0"/>
    </xf>
    <xf numFmtId="4" fontId="0" fillId="6" borderId="4" xfId="0" applyNumberFormat="1" applyFont="1" applyFill="1" applyBorder="1" applyAlignment="1" applyProtection="1">
      <alignment vertical="center"/>
      <protection locked="0"/>
    </xf>
    <xf numFmtId="0" fontId="0" fillId="6" borderId="18" xfId="0" applyFont="1" applyFill="1" applyBorder="1" applyAlignment="1">
      <alignment vertical="center"/>
    </xf>
    <xf numFmtId="166" fontId="0" fillId="26" borderId="0" xfId="2" applyFont="1" applyFill="1" applyAlignment="1">
      <alignment vertical="center"/>
    </xf>
    <xf numFmtId="166" fontId="0" fillId="6" borderId="0" xfId="0" applyNumberFormat="1" applyFont="1" applyFill="1" applyAlignment="1">
      <alignment vertical="center"/>
    </xf>
    <xf numFmtId="172" fontId="22" fillId="26" borderId="9" xfId="1" applyNumberFormat="1" applyFont="1" applyFill="1" applyBorder="1" applyAlignment="1" applyProtection="1">
      <alignment horizontal="right" vertical="center"/>
      <protection locked="0"/>
    </xf>
    <xf numFmtId="3" fontId="22" fillId="26" borderId="9" xfId="1" applyNumberFormat="1" applyFont="1" applyFill="1" applyBorder="1" applyAlignment="1" applyProtection="1">
      <alignment horizontal="right" vertical="center"/>
      <protection locked="0"/>
    </xf>
    <xf numFmtId="166" fontId="0" fillId="6" borderId="0" xfId="2" applyFont="1" applyFill="1" applyAlignment="1">
      <alignment vertical="center"/>
    </xf>
    <xf numFmtId="0" fontId="0" fillId="2" borderId="0" xfId="2" applyNumberFormat="1" applyFont="1" applyFill="1" applyAlignment="1">
      <alignment vertical="center"/>
    </xf>
    <xf numFmtId="3" fontId="22" fillId="6" borderId="9" xfId="0" applyNumberFormat="1" applyFont="1" applyFill="1" applyBorder="1" applyAlignment="1" applyProtection="1">
      <alignment vertical="center"/>
      <protection locked="0"/>
    </xf>
    <xf numFmtId="1" fontId="0" fillId="6" borderId="9" xfId="1" applyNumberFormat="1" applyFont="1" applyFill="1" applyBorder="1" applyAlignment="1" applyProtection="1">
      <alignment horizontal="right" vertical="center"/>
      <protection locked="0"/>
    </xf>
    <xf numFmtId="3" fontId="0" fillId="6" borderId="9" xfId="1" applyNumberFormat="1" applyFont="1" applyFill="1" applyBorder="1" applyAlignment="1" applyProtection="1">
      <alignment horizontal="right" vertical="center"/>
      <protection locked="0"/>
    </xf>
    <xf numFmtId="3" fontId="22" fillId="6" borderId="27" xfId="0" applyNumberFormat="1" applyFont="1" applyFill="1" applyBorder="1" applyAlignment="1" applyProtection="1">
      <alignment vertical="center"/>
      <protection locked="0"/>
    </xf>
    <xf numFmtId="0" fontId="61" fillId="2" borderId="13" xfId="0" applyFont="1" applyFill="1" applyBorder="1" applyAlignment="1">
      <alignment vertical="center"/>
    </xf>
    <xf numFmtId="0" fontId="1" fillId="0" borderId="0" xfId="5" applyFont="1"/>
    <xf numFmtId="170" fontId="1" fillId="0" borderId="0" xfId="5" applyNumberFormat="1" applyFont="1"/>
    <xf numFmtId="0" fontId="1" fillId="10" borderId="0" xfId="5" applyFont="1" applyFill="1"/>
    <xf numFmtId="165" fontId="1" fillId="10" borderId="49" xfId="5" applyNumberFormat="1" applyFont="1" applyFill="1" applyBorder="1"/>
    <xf numFmtId="170" fontId="1" fillId="10" borderId="0" xfId="5" applyNumberFormat="1" applyFont="1" applyFill="1"/>
    <xf numFmtId="165" fontId="1" fillId="0" borderId="49" xfId="5" applyNumberFormat="1" applyFont="1" applyBorder="1"/>
    <xf numFmtId="165" fontId="32" fillId="0" borderId="54" xfId="5" applyNumberFormat="1" applyFont="1" applyBorder="1"/>
    <xf numFmtId="3" fontId="1" fillId="10" borderId="49" xfId="5" applyNumberFormat="1" applyFont="1" applyFill="1" applyBorder="1"/>
    <xf numFmtId="165" fontId="47" fillId="0" borderId="49" xfId="5" applyNumberFormat="1" applyFont="1" applyBorder="1"/>
    <xf numFmtId="165" fontId="33" fillId="0" borderId="54" xfId="5" applyNumberFormat="1" applyFont="1" applyBorder="1"/>
    <xf numFmtId="3" fontId="1" fillId="0" borderId="0" xfId="5" applyNumberFormat="1" applyFont="1"/>
    <xf numFmtId="165" fontId="32" fillId="0" borderId="55" xfId="5" applyNumberFormat="1" applyFont="1" applyBorder="1"/>
    <xf numFmtId="1" fontId="0" fillId="6" borderId="23" xfId="1" applyNumberFormat="1" applyFont="1" applyFill="1" applyBorder="1" applyAlignment="1" applyProtection="1">
      <alignment horizontal="right" vertical="center"/>
      <protection locked="0"/>
    </xf>
    <xf numFmtId="3" fontId="61" fillId="6" borderId="16" xfId="1" applyNumberFormat="1" applyFont="1" applyFill="1" applyBorder="1" applyAlignment="1" applyProtection="1">
      <alignment horizontal="right" vertical="center"/>
      <protection locked="0"/>
    </xf>
    <xf numFmtId="2" fontId="0" fillId="6" borderId="16" xfId="0" applyNumberFormat="1" applyFont="1" applyFill="1" applyBorder="1" applyAlignment="1" applyProtection="1">
      <alignment vertical="center"/>
      <protection locked="0"/>
    </xf>
    <xf numFmtId="3" fontId="0" fillId="6" borderId="16" xfId="0" applyNumberFormat="1" applyFont="1" applyFill="1" applyBorder="1" applyAlignment="1">
      <alignment vertical="center"/>
    </xf>
    <xf numFmtId="0" fontId="60" fillId="6" borderId="16" xfId="0" applyFont="1" applyFill="1" applyBorder="1" applyAlignment="1" applyProtection="1">
      <alignment horizontal="left" vertical="center"/>
      <protection locked="0"/>
    </xf>
    <xf numFmtId="1" fontId="22" fillId="6" borderId="23" xfId="1" applyNumberFormat="1" applyFont="1" applyFill="1" applyBorder="1" applyAlignment="1" applyProtection="1">
      <alignment horizontal="right" vertical="center"/>
      <protection locked="0"/>
    </xf>
    <xf numFmtId="3" fontId="34" fillId="6" borderId="16" xfId="1" applyNumberFormat="1" applyFont="1" applyFill="1" applyBorder="1" applyAlignment="1" applyProtection="1">
      <alignment horizontal="right" vertical="center"/>
      <protection locked="0"/>
    </xf>
    <xf numFmtId="0" fontId="2" fillId="6" borderId="16" xfId="0" applyFont="1" applyFill="1" applyBorder="1" applyAlignment="1" applyProtection="1">
      <alignment horizontal="left" vertical="center"/>
      <protection locked="0"/>
    </xf>
    <xf numFmtId="1" fontId="16" fillId="6" borderId="9" xfId="1" applyNumberFormat="1" applyFont="1" applyFill="1" applyBorder="1" applyAlignment="1" applyProtection="1">
      <alignment horizontal="left" vertical="center"/>
      <protection locked="0"/>
    </xf>
    <xf numFmtId="1" fontId="0" fillId="6" borderId="9" xfId="0" applyNumberFormat="1" applyFont="1" applyFill="1" applyBorder="1" applyAlignment="1" applyProtection="1">
      <alignment vertical="center"/>
      <protection locked="0"/>
    </xf>
    <xf numFmtId="3" fontId="18" fillId="2" borderId="0" xfId="0" applyNumberFormat="1" applyFont="1" applyFill="1" applyAlignment="1">
      <alignment vertical="center"/>
    </xf>
    <xf numFmtId="0" fontId="0" fillId="2" borderId="4" xfId="0" applyFill="1" applyBorder="1" applyAlignment="1" applyProtection="1">
      <alignment horizontal="right" vertical="center"/>
      <protection locked="0"/>
    </xf>
    <xf numFmtId="3" fontId="0" fillId="2" borderId="9" xfId="0" applyNumberFormat="1" applyFill="1" applyBorder="1" applyAlignme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  <protection locked="0"/>
    </xf>
    <xf numFmtId="3" fontId="0" fillId="2" borderId="18" xfId="0" applyNumberFormat="1" applyFill="1" applyBorder="1" applyAlignment="1">
      <alignment vertical="center"/>
    </xf>
    <xf numFmtId="3" fontId="0" fillId="2" borderId="0" xfId="0" applyNumberFormat="1" applyFill="1" applyAlignment="1">
      <alignment vertical="center"/>
    </xf>
    <xf numFmtId="3" fontId="0" fillId="2" borderId="9" xfId="0" applyNumberFormat="1" applyFill="1" applyBorder="1" applyAlignment="1" applyProtection="1">
      <alignment horizontal="right" vertical="center"/>
      <protection locked="0"/>
    </xf>
    <xf numFmtId="0" fontId="0" fillId="2" borderId="4" xfId="0" applyFill="1" applyBorder="1" applyAlignment="1">
      <alignment horizontal="right" vertical="center"/>
    </xf>
    <xf numFmtId="4" fontId="0" fillId="2" borderId="9" xfId="0" applyNumberFormat="1" applyFill="1" applyBorder="1" applyAlignment="1" applyProtection="1">
      <alignment horizontal="right" vertical="center"/>
      <protection locked="0"/>
    </xf>
    <xf numFmtId="172" fontId="0" fillId="2" borderId="9" xfId="0" applyNumberFormat="1" applyFill="1" applyBorder="1" applyAlignment="1" applyProtection="1">
      <alignment vertical="center"/>
      <protection locked="0"/>
    </xf>
    <xf numFmtId="0" fontId="0" fillId="2" borderId="16" xfId="0" applyFill="1" applyBorder="1" applyAlignment="1">
      <alignment horizontal="right" vertical="center"/>
    </xf>
    <xf numFmtId="1" fontId="0" fillId="2" borderId="9" xfId="0" applyNumberFormat="1" applyFill="1" applyBorder="1" applyAlignment="1" applyProtection="1">
      <alignment vertical="center"/>
      <protection locked="0"/>
    </xf>
    <xf numFmtId="3" fontId="0" fillId="2" borderId="9" xfId="0" applyNumberFormat="1" applyFill="1" applyBorder="1" applyAlignment="1">
      <alignment vertical="center"/>
    </xf>
    <xf numFmtId="166" fontId="63" fillId="25" borderId="0" xfId="0" applyNumberFormat="1" applyFont="1" applyFill="1" applyAlignment="1">
      <alignment vertical="center"/>
    </xf>
    <xf numFmtId="0" fontId="7" fillId="20" borderId="0" xfId="0" applyFont="1" applyFill="1" applyAlignment="1">
      <alignment vertical="center"/>
    </xf>
    <xf numFmtId="0" fontId="58" fillId="31" borderId="0" xfId="0" applyFont="1" applyFill="1"/>
    <xf numFmtId="0" fontId="0" fillId="38" borderId="0" xfId="0" applyFill="1"/>
    <xf numFmtId="1" fontId="0" fillId="2" borderId="13" xfId="1" applyNumberFormat="1" applyFont="1" applyFill="1" applyBorder="1" applyAlignment="1" applyProtection="1">
      <alignment horizontal="right" vertical="center"/>
      <protection locked="0"/>
    </xf>
    <xf numFmtId="3" fontId="22" fillId="2" borderId="0" xfId="1" applyNumberFormat="1" applyFont="1" applyFill="1" applyBorder="1" applyAlignment="1" applyProtection="1">
      <alignment horizontal="right" vertical="center"/>
      <protection locked="0"/>
    </xf>
    <xf numFmtId="166" fontId="0" fillId="38" borderId="0" xfId="2" applyFont="1" applyFill="1"/>
    <xf numFmtId="180" fontId="2" fillId="38" borderId="0" xfId="0" applyNumberFormat="1" applyFont="1" applyFill="1" applyAlignment="1">
      <alignment vertical="center"/>
    </xf>
    <xf numFmtId="180" fontId="0" fillId="39" borderId="0" xfId="2" applyNumberFormat="1" applyFont="1" applyFill="1" applyAlignment="1">
      <alignment vertical="center"/>
    </xf>
    <xf numFmtId="0" fontId="5" fillId="26" borderId="0" xfId="0" applyFont="1" applyFill="1" applyAlignment="1">
      <alignment vertical="center"/>
    </xf>
    <xf numFmtId="178" fontId="5" fillId="2" borderId="39" xfId="0" applyNumberFormat="1" applyFont="1" applyFill="1" applyBorder="1" applyAlignment="1">
      <alignment vertical="center"/>
    </xf>
    <xf numFmtId="178" fontId="0" fillId="2" borderId="39" xfId="0" applyNumberFormat="1" applyFont="1" applyFill="1" applyBorder="1" applyAlignment="1">
      <alignment vertical="center"/>
    </xf>
    <xf numFmtId="178" fontId="10" fillId="19" borderId="33" xfId="0" applyNumberFormat="1" applyFont="1" applyFill="1" applyBorder="1" applyAlignment="1" applyProtection="1">
      <alignment horizontal="center" vertical="center"/>
      <protection hidden="1"/>
    </xf>
    <xf numFmtId="181" fontId="9" fillId="2" borderId="0" xfId="0" applyNumberFormat="1" applyFont="1" applyFill="1" applyBorder="1" applyAlignment="1">
      <alignment horizontal="center" vertical="center"/>
    </xf>
    <xf numFmtId="181" fontId="10" fillId="15" borderId="70" xfId="0" applyNumberFormat="1" applyFont="1" applyFill="1" applyBorder="1" applyAlignment="1" applyProtection="1">
      <alignment horizontal="right" vertical="center"/>
      <protection hidden="1"/>
    </xf>
    <xf numFmtId="181" fontId="5" fillId="6" borderId="29" xfId="0" applyNumberFormat="1" applyFont="1" applyFill="1" applyBorder="1" applyAlignment="1">
      <alignment horizontal="center" vertical="center"/>
    </xf>
    <xf numFmtId="178" fontId="15" fillId="2" borderId="0" xfId="0" applyNumberFormat="1" applyFont="1" applyFill="1" applyAlignment="1">
      <alignment vertical="center"/>
    </xf>
    <xf numFmtId="178" fontId="0" fillId="0" borderId="0" xfId="0" applyNumberFormat="1" applyFont="1" applyAlignment="1">
      <alignment horizontal="center" vertical="center"/>
    </xf>
    <xf numFmtId="178" fontId="7" fillId="20" borderId="71" xfId="0" applyNumberFormat="1" applyFont="1" applyFill="1" applyBorder="1" applyAlignment="1">
      <alignment horizontal="center" vertical="center"/>
    </xf>
    <xf numFmtId="178" fontId="0" fillId="0" borderId="73" xfId="0" applyNumberFormat="1" applyFont="1" applyBorder="1" applyAlignment="1">
      <alignment vertical="center"/>
    </xf>
    <xf numFmtId="178" fontId="10" fillId="15" borderId="74" xfId="0" applyNumberFormat="1" applyFont="1" applyFill="1" applyBorder="1" applyAlignment="1" applyProtection="1">
      <alignment horizontal="center" vertical="center"/>
      <protection hidden="1"/>
    </xf>
    <xf numFmtId="178" fontId="10" fillId="15" borderId="75" xfId="0" applyNumberFormat="1" applyFont="1" applyFill="1" applyBorder="1" applyAlignment="1" applyProtection="1">
      <alignment horizontal="center" vertical="center"/>
      <protection hidden="1"/>
    </xf>
    <xf numFmtId="178" fontId="10" fillId="21" borderId="92" xfId="0" applyNumberFormat="1" applyFont="1" applyFill="1" applyBorder="1" applyAlignment="1" applyProtection="1">
      <alignment horizontal="center" vertical="center"/>
      <protection hidden="1"/>
    </xf>
    <xf numFmtId="178" fontId="10" fillId="15" borderId="76" xfId="0" applyNumberFormat="1" applyFont="1" applyFill="1" applyBorder="1" applyAlignment="1" applyProtection="1">
      <alignment horizontal="center" vertical="center"/>
      <protection hidden="1"/>
    </xf>
    <xf numFmtId="178" fontId="10" fillId="22" borderId="71" xfId="0" applyNumberFormat="1" applyFont="1" applyFill="1" applyBorder="1" applyAlignment="1" applyProtection="1">
      <alignment horizontal="center" vertical="center"/>
      <protection hidden="1"/>
    </xf>
    <xf numFmtId="178" fontId="15" fillId="2" borderId="0" xfId="0" applyNumberFormat="1" applyFont="1" applyFill="1" applyBorder="1" applyAlignment="1">
      <alignment vertical="center"/>
    </xf>
    <xf numFmtId="178" fontId="0" fillId="2" borderId="0" xfId="0" applyNumberFormat="1" applyFont="1" applyFill="1" applyBorder="1" applyAlignment="1" applyProtection="1">
      <alignment vertical="center"/>
      <protection locked="0"/>
    </xf>
    <xf numFmtId="166" fontId="0" fillId="2" borderId="0" xfId="0" applyNumberFormat="1" applyFont="1" applyFill="1" applyBorder="1" applyAlignment="1" applyProtection="1">
      <alignment vertical="center"/>
      <protection locked="0"/>
    </xf>
    <xf numFmtId="166" fontId="58" fillId="32" borderId="0" xfId="0" applyNumberFormat="1" applyFont="1" applyFill="1"/>
    <xf numFmtId="0" fontId="58" fillId="32" borderId="0" xfId="0" applyFont="1" applyFill="1"/>
    <xf numFmtId="0" fontId="58" fillId="30" borderId="0" xfId="0" applyFont="1" applyFill="1"/>
    <xf numFmtId="166" fontId="58" fillId="30" borderId="0" xfId="2" applyFont="1" applyFill="1"/>
    <xf numFmtId="178" fontId="58" fillId="40" borderId="0" xfId="0" applyNumberFormat="1" applyFont="1" applyFill="1" applyBorder="1" applyAlignment="1" applyProtection="1">
      <alignment vertical="center"/>
      <protection locked="0"/>
    </xf>
    <xf numFmtId="178" fontId="58" fillId="30" borderId="0" xfId="0" applyNumberFormat="1" applyFont="1" applyFill="1"/>
    <xf numFmtId="49" fontId="2" fillId="2" borderId="0" xfId="0" applyNumberFormat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/>
    <xf numFmtId="49" fontId="2" fillId="0" borderId="0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  <xf numFmtId="49" fontId="10" fillId="3" borderId="9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13" fillId="2" borderId="9" xfId="0" applyNumberFormat="1" applyFont="1" applyFill="1" applyBorder="1" applyAlignment="1">
      <alignment horizontal="center" vertical="center"/>
    </xf>
    <xf numFmtId="49" fontId="15" fillId="2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6" borderId="0" xfId="0" applyNumberFormat="1" applyFont="1" applyFill="1" applyBorder="1" applyAlignment="1" applyProtection="1">
      <alignment horizontal="center" vertical="center"/>
      <protection locked="0"/>
    </xf>
    <xf numFmtId="49" fontId="42" fillId="2" borderId="0" xfId="0" applyNumberFormat="1" applyFont="1" applyFill="1" applyBorder="1" applyAlignment="1">
      <alignment horizontal="center" vertical="center"/>
    </xf>
    <xf numFmtId="49" fontId="51" fillId="2" borderId="0" xfId="0" applyNumberFormat="1" applyFont="1" applyFill="1" applyBorder="1" applyAlignment="1" applyProtection="1">
      <alignment horizontal="center" vertical="center"/>
      <protection locked="0"/>
    </xf>
    <xf numFmtId="49" fontId="50" fillId="2" borderId="0" xfId="0" applyNumberFormat="1" applyFont="1" applyFill="1" applyBorder="1" applyAlignment="1">
      <alignment horizontal="center" vertical="center"/>
    </xf>
    <xf numFmtId="49" fontId="49" fillId="2" borderId="0" xfId="0" applyNumberFormat="1" applyFont="1" applyFill="1" applyBorder="1" applyAlignment="1">
      <alignment horizontal="center" vertical="center"/>
    </xf>
    <xf numFmtId="49" fontId="13" fillId="2" borderId="10" xfId="0" applyNumberFormat="1" applyFont="1" applyFill="1" applyBorder="1" applyAlignment="1">
      <alignment horizontal="center" vertical="center"/>
    </xf>
    <xf numFmtId="49" fontId="2" fillId="26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Alignment="1">
      <alignment vertical="center"/>
    </xf>
    <xf numFmtId="49" fontId="2" fillId="6" borderId="0" xfId="0" applyNumberFormat="1" applyFont="1" applyFill="1" applyBorder="1" applyAlignment="1">
      <alignment horizontal="center" vertical="center"/>
    </xf>
    <xf numFmtId="49" fontId="17" fillId="2" borderId="0" xfId="0" applyNumberFormat="1" applyFont="1" applyFill="1" applyBorder="1" applyAlignment="1">
      <alignment horizontal="center" vertical="center"/>
    </xf>
    <xf numFmtId="49" fontId="13" fillId="6" borderId="9" xfId="0" applyNumberFormat="1" applyFont="1" applyFill="1" applyBorder="1" applyAlignment="1">
      <alignment horizontal="center" vertical="center"/>
    </xf>
    <xf numFmtId="49" fontId="17" fillId="6" borderId="0" xfId="0" applyNumberFormat="1" applyFont="1" applyFill="1" applyBorder="1" applyAlignment="1">
      <alignment horizontal="center" vertical="center"/>
    </xf>
    <xf numFmtId="49" fontId="10" fillId="6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10" fillId="26" borderId="0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2" fillId="26" borderId="0" xfId="0" applyNumberFormat="1" applyFont="1" applyFill="1" applyAlignment="1">
      <alignment horizontal="center" vertical="center"/>
    </xf>
    <xf numFmtId="49" fontId="0" fillId="26" borderId="0" xfId="0" applyNumberFormat="1" applyFont="1" applyFill="1" applyAlignment="1">
      <alignment vertical="center"/>
    </xf>
    <xf numFmtId="49" fontId="0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4" fontId="36" fillId="2" borderId="9" xfId="0" applyNumberFormat="1" applyFont="1" applyFill="1" applyBorder="1" applyAlignment="1" applyProtection="1">
      <alignment horizontal="center" vertical="center"/>
      <protection hidden="1"/>
    </xf>
    <xf numFmtId="3" fontId="34" fillId="2" borderId="9" xfId="0" applyNumberFormat="1" applyFont="1" applyFill="1" applyBorder="1" applyAlignment="1">
      <alignment vertical="center"/>
    </xf>
    <xf numFmtId="4" fontId="36" fillId="2" borderId="17" xfId="0" applyNumberFormat="1" applyFont="1" applyFill="1" applyBorder="1" applyAlignment="1" applyProtection="1">
      <alignment horizontal="center" vertical="center"/>
      <protection hidden="1"/>
    </xf>
    <xf numFmtId="3" fontId="34" fillId="6" borderId="16" xfId="0" applyNumberFormat="1" applyFont="1" applyFill="1" applyBorder="1" applyAlignment="1">
      <alignment vertical="center"/>
    </xf>
    <xf numFmtId="3" fontId="34" fillId="2" borderId="18" xfId="0" applyNumberFormat="1" applyFont="1" applyFill="1" applyBorder="1" applyAlignment="1">
      <alignment vertical="center"/>
    </xf>
    <xf numFmtId="0" fontId="78" fillId="0" borderId="0" xfId="0" applyFont="1"/>
    <xf numFmtId="0" fontId="78" fillId="42" borderId="0" xfId="0" applyFont="1" applyFill="1" applyBorder="1"/>
    <xf numFmtId="0" fontId="78" fillId="26" borderId="0" xfId="0" applyFont="1" applyFill="1" applyBorder="1"/>
    <xf numFmtId="0" fontId="80" fillId="0" borderId="0" xfId="0" applyFont="1"/>
    <xf numFmtId="16" fontId="0" fillId="0" borderId="0" xfId="0" applyNumberFormat="1"/>
    <xf numFmtId="182" fontId="0" fillId="0" borderId="0" xfId="0" applyNumberFormat="1"/>
    <xf numFmtId="0" fontId="0" fillId="0" borderId="24" xfId="0" applyBorder="1"/>
    <xf numFmtId="182" fontId="0" fillId="0" borderId="71" xfId="0" applyNumberFormat="1" applyBorder="1"/>
    <xf numFmtId="0" fontId="79" fillId="0" borderId="0" xfId="0" applyFont="1" applyAlignment="1">
      <alignment horizontal="center"/>
    </xf>
    <xf numFmtId="6" fontId="0" fillId="0" borderId="0" xfId="0" applyNumberFormat="1"/>
    <xf numFmtId="0" fontId="64" fillId="25" borderId="0" xfId="0" applyFont="1" applyFill="1" applyAlignment="1">
      <alignment horizontal="center"/>
    </xf>
    <xf numFmtId="0" fontId="23" fillId="0" borderId="0" xfId="0" applyFont="1"/>
    <xf numFmtId="182" fontId="78" fillId="0" borderId="0" xfId="0" applyNumberFormat="1" applyFont="1" applyFill="1" applyBorder="1" applyAlignment="1">
      <alignment horizontal="center"/>
    </xf>
    <xf numFmtId="183" fontId="64" fillId="25" borderId="0" xfId="0" applyNumberFormat="1" applyFont="1" applyFill="1" applyAlignment="1">
      <alignment horizontal="center"/>
    </xf>
    <xf numFmtId="0" fontId="78" fillId="0" borderId="27" xfId="0" applyFont="1" applyBorder="1"/>
    <xf numFmtId="182" fontId="78" fillId="0" borderId="27" xfId="0" applyNumberFormat="1" applyFont="1" applyBorder="1"/>
    <xf numFmtId="6" fontId="78" fillId="0" borderId="27" xfId="0" applyNumberFormat="1" applyFont="1" applyFill="1" applyBorder="1" applyAlignment="1">
      <alignment horizontal="center" vertical="center"/>
    </xf>
    <xf numFmtId="6" fontId="78" fillId="0" borderId="27" xfId="0" applyNumberFormat="1" applyFont="1" applyFill="1" applyBorder="1" applyAlignment="1">
      <alignment horizontal="center"/>
    </xf>
    <xf numFmtId="0" fontId="78" fillId="41" borderId="27" xfId="0" applyFont="1" applyFill="1" applyBorder="1"/>
    <xf numFmtId="182" fontId="78" fillId="0" borderId="27" xfId="0" applyNumberFormat="1" applyFont="1" applyFill="1" applyBorder="1" applyAlignment="1">
      <alignment horizontal="center"/>
    </xf>
    <xf numFmtId="0" fontId="81" fillId="43" borderId="27" xfId="0" applyFont="1" applyFill="1" applyBorder="1" applyAlignment="1">
      <alignment horizontal="center"/>
    </xf>
    <xf numFmtId="0" fontId="82" fillId="43" borderId="27" xfId="0" applyFont="1" applyFill="1" applyBorder="1" applyAlignment="1">
      <alignment horizontal="center"/>
    </xf>
    <xf numFmtId="0" fontId="78" fillId="42" borderId="60" xfId="0" applyFont="1" applyFill="1" applyBorder="1"/>
    <xf numFmtId="0" fontId="78" fillId="42" borderId="52" xfId="0" applyFont="1" applyFill="1" applyBorder="1"/>
    <xf numFmtId="0" fontId="78" fillId="42" borderId="114" xfId="0" applyFont="1" applyFill="1" applyBorder="1"/>
    <xf numFmtId="182" fontId="83" fillId="42" borderId="113" xfId="0" applyNumberFormat="1" applyFont="1" applyFill="1" applyBorder="1" applyAlignment="1">
      <alignment horizontal="center"/>
    </xf>
    <xf numFmtId="182" fontId="83" fillId="42" borderId="27" xfId="0" applyNumberFormat="1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6" fontId="0" fillId="0" borderId="0" xfId="0" applyNumberFormat="1" applyAlignment="1">
      <alignment horizontal="center"/>
    </xf>
    <xf numFmtId="182" fontId="78" fillId="44" borderId="27" xfId="0" applyNumberFormat="1" applyFont="1" applyFill="1" applyBorder="1"/>
    <xf numFmtId="0" fontId="3" fillId="2" borderId="87" xfId="0" applyFont="1" applyFill="1" applyBorder="1" applyAlignment="1">
      <alignment horizontal="center" vertical="center"/>
    </xf>
    <xf numFmtId="3" fontId="4" fillId="19" borderId="80" xfId="0" applyNumberFormat="1" applyFont="1" applyFill="1" applyBorder="1" applyAlignment="1" applyProtection="1">
      <alignment horizontal="center" vertical="center" wrapText="1"/>
      <protection locked="0"/>
    </xf>
    <xf numFmtId="0" fontId="4" fillId="19" borderId="80" xfId="0" applyFont="1" applyFill="1" applyBorder="1" applyAlignment="1" applyProtection="1">
      <alignment horizontal="center" vertical="center"/>
      <protection locked="0"/>
    </xf>
    <xf numFmtId="0" fontId="10" fillId="2" borderId="30" xfId="0" applyFont="1" applyFill="1" applyBorder="1" applyAlignment="1" applyProtection="1">
      <alignment horizontal="center" vertical="center"/>
      <protection locked="0"/>
    </xf>
    <xf numFmtId="3" fontId="6" fillId="7" borderId="30" xfId="0" applyNumberFormat="1" applyFont="1" applyFill="1" applyBorder="1" applyAlignment="1">
      <alignment horizontal="center" vertical="center"/>
    </xf>
    <xf numFmtId="0" fontId="64" fillId="32" borderId="0" xfId="0" applyFont="1" applyFill="1" applyAlignment="1">
      <alignment horizontal="center" vertical="center"/>
    </xf>
    <xf numFmtId="0" fontId="54" fillId="30" borderId="0" xfId="0" applyFont="1" applyFill="1" applyAlignment="1">
      <alignment horizontal="center" vertical="center"/>
    </xf>
    <xf numFmtId="0" fontId="63" fillId="31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62" fillId="25" borderId="0" xfId="0" applyFont="1" applyFill="1" applyAlignment="1">
      <alignment horizontal="center" vertical="center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49" fontId="3" fillId="2" borderId="87" xfId="0" applyNumberFormat="1" applyFont="1" applyFill="1" applyBorder="1" applyAlignment="1">
      <alignment horizontal="center" vertical="center"/>
    </xf>
    <xf numFmtId="3" fontId="4" fillId="0" borderId="8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80" xfId="0" applyFont="1" applyFill="1" applyBorder="1" applyAlignment="1" applyProtection="1">
      <alignment horizontal="center" vertical="center"/>
      <protection locked="0"/>
    </xf>
    <xf numFmtId="0" fontId="10" fillId="2" borderId="15" xfId="0" applyFont="1" applyFill="1" applyBorder="1" applyAlignment="1" applyProtection="1">
      <alignment horizontal="center" vertical="center"/>
      <protection locked="0"/>
    </xf>
    <xf numFmtId="0" fontId="10" fillId="6" borderId="10" xfId="0" applyFont="1" applyFill="1" applyBorder="1" applyAlignment="1" applyProtection="1">
      <alignment horizontal="center" vertical="center"/>
      <protection locked="0"/>
    </xf>
    <xf numFmtId="0" fontId="1" fillId="0" borderId="86" xfId="5" applyFont="1" applyBorder="1" applyAlignment="1">
      <alignment vertical="top" wrapText="1"/>
    </xf>
    <xf numFmtId="165" fontId="1" fillId="0" borderId="109" xfId="5" applyNumberFormat="1" applyFont="1" applyBorder="1" applyAlignment="1">
      <alignment vertical="center"/>
    </xf>
    <xf numFmtId="165" fontId="1" fillId="0" borderId="111" xfId="5" applyNumberFormat="1" applyFont="1" applyBorder="1" applyAlignment="1">
      <alignment vertical="center"/>
    </xf>
    <xf numFmtId="165" fontId="32" fillId="0" borderId="110" xfId="5" applyNumberFormat="1" applyFont="1" applyBorder="1" applyAlignment="1">
      <alignment vertical="center"/>
    </xf>
    <xf numFmtId="165" fontId="32" fillId="0" borderId="112" xfId="5" applyNumberFormat="1" applyFont="1" applyBorder="1" applyAlignment="1">
      <alignment vertical="center"/>
    </xf>
    <xf numFmtId="0" fontId="79" fillId="0" borderId="0" xfId="0" applyFont="1" applyAlignment="1">
      <alignment horizontal="center"/>
    </xf>
    <xf numFmtId="0" fontId="69" fillId="36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68" fillId="0" borderId="0" xfId="0" applyFont="1" applyAlignment="1">
      <alignment horizontal="center" vertical="center" wrapText="1"/>
    </xf>
    <xf numFmtId="0" fontId="68" fillId="0" borderId="105" xfId="0" applyFont="1" applyBorder="1" applyAlignment="1">
      <alignment horizontal="center" vertical="top" wrapText="1"/>
    </xf>
    <xf numFmtId="0" fontId="70" fillId="0" borderId="100" xfId="0" applyFont="1" applyBorder="1" applyAlignment="1">
      <alignment horizontal="left" vertical="top"/>
    </xf>
    <xf numFmtId="0" fontId="68" fillId="0" borderId="106" xfId="0" applyFont="1" applyBorder="1" applyAlignment="1">
      <alignment horizontal="center" vertical="center" wrapText="1"/>
    </xf>
    <xf numFmtId="0" fontId="70" fillId="0" borderId="108" xfId="0" applyFont="1" applyBorder="1" applyAlignment="1">
      <alignment horizontal="left" vertical="top"/>
    </xf>
    <xf numFmtId="0" fontId="68" fillId="35" borderId="0" xfId="0" applyFont="1" applyFill="1" applyAlignment="1">
      <alignment horizontal="left" vertical="top" wrapText="1"/>
    </xf>
    <xf numFmtId="0" fontId="23" fillId="0" borderId="93" xfId="0" applyFont="1" applyFill="1" applyBorder="1" applyAlignment="1">
      <alignment horizontal="left" vertical="top" wrapText="1"/>
    </xf>
    <xf numFmtId="0" fontId="23" fillId="0" borderId="94" xfId="0" applyFont="1" applyFill="1" applyBorder="1" applyAlignment="1">
      <alignment horizontal="left" vertical="top" wrapText="1"/>
    </xf>
    <xf numFmtId="0" fontId="23" fillId="0" borderId="95" xfId="0" applyFont="1" applyFill="1" applyBorder="1" applyAlignment="1">
      <alignment horizontal="left" vertical="top" wrapText="1"/>
    </xf>
    <xf numFmtId="0" fontId="23" fillId="0" borderId="96" xfId="0" applyFont="1" applyFill="1" applyBorder="1" applyAlignment="1">
      <alignment horizontal="left" vertical="top" wrapText="1"/>
    </xf>
    <xf numFmtId="0" fontId="23" fillId="0" borderId="97" xfId="0" applyFont="1" applyFill="1" applyBorder="1" applyAlignment="1">
      <alignment horizontal="left" vertical="top" wrapText="1"/>
    </xf>
    <xf numFmtId="0" fontId="23" fillId="0" borderId="98" xfId="0" applyFont="1" applyFill="1" applyBorder="1" applyAlignment="1">
      <alignment horizontal="left" vertical="top" wrapText="1"/>
    </xf>
    <xf numFmtId="0" fontId="23" fillId="0" borderId="99" xfId="0" applyFont="1" applyFill="1" applyBorder="1" applyAlignment="1">
      <alignment horizontal="left" vertical="top" wrapText="1"/>
    </xf>
    <xf numFmtId="0" fontId="23" fillId="0" borderId="100" xfId="0" applyFont="1" applyFill="1" applyBorder="1" applyAlignment="1">
      <alignment horizontal="left" vertical="top" wrapText="1"/>
    </xf>
    <xf numFmtId="0" fontId="23" fillId="0" borderId="101" xfId="0" applyFont="1" applyFill="1" applyBorder="1" applyAlignment="1">
      <alignment horizontal="left" vertical="top" wrapText="1"/>
    </xf>
    <xf numFmtId="0" fontId="23" fillId="0" borderId="102" xfId="0" applyFont="1" applyFill="1" applyBorder="1" applyAlignment="1">
      <alignment horizontal="left" vertical="top" wrapText="1"/>
    </xf>
    <xf numFmtId="0" fontId="40" fillId="11" borderId="28" xfId="0" applyFont="1" applyFill="1" applyBorder="1" applyAlignment="1">
      <alignment horizontal="left" vertical="top" wrapText="1"/>
    </xf>
    <xf numFmtId="0" fontId="40" fillId="11" borderId="24" xfId="0" applyFont="1" applyFill="1" applyBorder="1" applyAlignment="1">
      <alignment horizontal="left" vertical="top" wrapText="1"/>
    </xf>
    <xf numFmtId="0" fontId="40" fillId="11" borderId="71" xfId="0" applyFont="1" applyFill="1" applyBorder="1" applyAlignment="1">
      <alignment horizontal="left" vertical="top" wrapText="1"/>
    </xf>
    <xf numFmtId="0" fontId="23" fillId="0" borderId="103" xfId="0" applyFont="1" applyFill="1" applyBorder="1" applyAlignment="1">
      <alignment horizontal="left" vertical="top" wrapText="1"/>
    </xf>
    <xf numFmtId="0" fontId="23" fillId="0" borderId="104" xfId="0" applyFont="1" applyFill="1" applyBorder="1" applyAlignment="1">
      <alignment horizontal="left" vertical="top" wrapText="1"/>
    </xf>
  </cellXfs>
  <cellStyles count="7">
    <cellStyle name="Millares" xfId="1" builtinId="3"/>
    <cellStyle name="Moneda" xfId="2" builtinId="4"/>
    <cellStyle name="Moneda 2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Porcentaje" xfId="6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ABEA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60325</xdr:rowOff>
    </xdr:from>
    <xdr:to>
      <xdr:col>6</xdr:col>
      <xdr:colOff>480314</xdr:colOff>
      <xdr:row>25</xdr:row>
      <xdr:rowOff>34925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6E8DAF-2944-F2D5-0ABC-28EC1C6CF4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845" t="25036" r="5845" b="42084"/>
        <a:stretch/>
      </xdr:blipFill>
      <xdr:spPr>
        <a:xfrm>
          <a:off x="0" y="2867025"/>
          <a:ext cx="7071614" cy="146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workbookViewId="0">
      <selection activeCell="A3" sqref="A3:C5"/>
    </sheetView>
  </sheetViews>
  <sheetFormatPr baseColWidth="10" defaultColWidth="11.5" defaultRowHeight="13"/>
  <cols>
    <col min="1" max="2" width="11.5" style="592"/>
    <col min="3" max="3" width="15.5" style="592" bestFit="1" customWidth="1"/>
    <col min="4" max="4" width="11.5" style="592"/>
    <col min="5" max="5" width="16.83203125" style="592" customWidth="1"/>
    <col min="6" max="16384" width="11.5" style="592"/>
  </cols>
  <sheetData>
    <row r="1" spans="1:3">
      <c r="A1" s="588" t="s">
        <v>813</v>
      </c>
    </row>
    <row r="3" spans="1:3">
      <c r="A3" s="592" t="s">
        <v>814</v>
      </c>
      <c r="C3" s="732">
        <v>135.75</v>
      </c>
    </row>
    <row r="4" spans="1:3">
      <c r="A4" s="592" t="s">
        <v>815</v>
      </c>
      <c r="C4" s="732">
        <v>304</v>
      </c>
    </row>
    <row r="5" spans="1:3">
      <c r="A5" s="592" t="s">
        <v>816</v>
      </c>
      <c r="C5" s="732">
        <v>317</v>
      </c>
    </row>
    <row r="7" spans="1:3">
      <c r="A7" s="588" t="s">
        <v>817</v>
      </c>
    </row>
    <row r="9" spans="1:3">
      <c r="A9" s="588" t="s">
        <v>818</v>
      </c>
    </row>
    <row r="10" spans="1:3">
      <c r="A10" s="592" t="s">
        <v>819</v>
      </c>
    </row>
    <row r="11" spans="1:3">
      <c r="A11" s="592" t="s">
        <v>820</v>
      </c>
    </row>
    <row r="12" spans="1:3">
      <c r="A12" s="592" t="s">
        <v>821</v>
      </c>
    </row>
    <row r="13" spans="1:3">
      <c r="A13" s="592" t="s">
        <v>822</v>
      </c>
    </row>
    <row r="14" spans="1:3">
      <c r="A14" s="592" t="s">
        <v>823</v>
      </c>
    </row>
    <row r="15" spans="1:3">
      <c r="A15" s="592" t="s">
        <v>824</v>
      </c>
    </row>
    <row r="17" spans="1:5">
      <c r="A17" s="588" t="s">
        <v>826</v>
      </c>
    </row>
    <row r="18" spans="1:5">
      <c r="A18" s="592" t="s">
        <v>827</v>
      </c>
    </row>
    <row r="20" spans="1:5">
      <c r="A20" s="588" t="s">
        <v>825</v>
      </c>
    </row>
    <row r="21" spans="1:5">
      <c r="A21" s="592" t="s">
        <v>828</v>
      </c>
    </row>
    <row r="23" spans="1:5">
      <c r="A23" s="592" t="s">
        <v>833</v>
      </c>
    </row>
    <row r="25" spans="1:5">
      <c r="A25" s="588" t="s">
        <v>837</v>
      </c>
    </row>
    <row r="26" spans="1:5">
      <c r="A26" s="588" t="s">
        <v>838</v>
      </c>
    </row>
    <row r="29" spans="1:5">
      <c r="A29" s="797" t="s">
        <v>841</v>
      </c>
      <c r="B29" s="797"/>
      <c r="C29" s="797"/>
      <c r="D29" s="797"/>
      <c r="E29" s="797"/>
    </row>
    <row r="30" spans="1:5">
      <c r="C30" s="798" t="s">
        <v>846</v>
      </c>
      <c r="D30" s="798"/>
      <c r="E30" s="798" t="s">
        <v>847</v>
      </c>
    </row>
    <row r="31" spans="1:5">
      <c r="A31" s="588" t="s">
        <v>842</v>
      </c>
      <c r="C31" s="732">
        <f>+PRESUPUESTO!I714+PRESUPUESTO!I720</f>
        <v>9728000</v>
      </c>
      <c r="E31" s="732">
        <f>+C31/12</f>
        <v>810666.66666666663</v>
      </c>
    </row>
    <row r="32" spans="1:5">
      <c r="A32" s="588" t="s">
        <v>93</v>
      </c>
      <c r="C32" s="732">
        <f>+PRESUPUESTO!I700</f>
        <v>3638400</v>
      </c>
      <c r="E32" s="732">
        <f>+C32/12</f>
        <v>303200</v>
      </c>
    </row>
    <row r="33" spans="1:5">
      <c r="A33" s="588" t="s">
        <v>120</v>
      </c>
      <c r="C33" s="732">
        <f>+PRESUPUESTO!I750+PRESUPUESTO!I1005+PRESUPUESTO!I1078</f>
        <v>11142700</v>
      </c>
      <c r="E33" s="732">
        <f>+C33/8</f>
        <v>1392837.5</v>
      </c>
    </row>
    <row r="34" spans="1:5">
      <c r="A34" s="588" t="s">
        <v>23</v>
      </c>
      <c r="C34" s="732">
        <v>750000</v>
      </c>
      <c r="E34" s="732">
        <f>+C34/5</f>
        <v>150000</v>
      </c>
    </row>
    <row r="35" spans="1:5">
      <c r="A35" s="588" t="s">
        <v>843</v>
      </c>
      <c r="C35" s="732">
        <f>+PRESUPUESTO!I1031</f>
        <v>13246888</v>
      </c>
      <c r="E35" s="732">
        <f>+C35/6</f>
        <v>2207814.6666666665</v>
      </c>
    </row>
    <row r="36" spans="1:5">
      <c r="A36" s="588" t="s">
        <v>844</v>
      </c>
      <c r="C36" s="732">
        <f>+PRESUPUESTO!I1049</f>
        <v>12370000</v>
      </c>
      <c r="E36" s="732">
        <f>+C36/10</f>
        <v>1237000</v>
      </c>
    </row>
    <row r="37" spans="1:5">
      <c r="A37" s="588" t="s">
        <v>845</v>
      </c>
      <c r="C37" s="732">
        <v>300000</v>
      </c>
      <c r="E37" s="732">
        <v>45000</v>
      </c>
    </row>
    <row r="38" spans="1:5">
      <c r="A38" s="588" t="s">
        <v>849</v>
      </c>
      <c r="C38" s="732">
        <v>1500000</v>
      </c>
      <c r="E38" s="732">
        <f>+C38/6</f>
        <v>250000</v>
      </c>
    </row>
    <row r="39" spans="1:5">
      <c r="A39" s="588" t="s">
        <v>850</v>
      </c>
      <c r="C39" s="732"/>
      <c r="E39" s="732"/>
    </row>
    <row r="41" spans="1:5">
      <c r="C41" s="823">
        <f>SUM(C31:C40)</f>
        <v>52675988</v>
      </c>
      <c r="D41" s="824"/>
      <c r="E41" s="823">
        <f>SUM(E31:E40)</f>
        <v>6396518.833333333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"/>
  <sheetViews>
    <sheetView workbookViewId="0">
      <selection activeCell="D7" sqref="D7:D9"/>
    </sheetView>
  </sheetViews>
  <sheetFormatPr baseColWidth="10" defaultRowHeight="13"/>
  <cols>
    <col min="1" max="1" width="28.5" bestFit="1" customWidth="1"/>
    <col min="4" max="4" width="17.5" customWidth="1"/>
    <col min="5" max="6" width="15" bestFit="1" customWidth="1"/>
    <col min="7" max="7" width="12" bestFit="1" customWidth="1"/>
  </cols>
  <sheetData>
    <row r="1" spans="1:7">
      <c r="C1" t="s">
        <v>549</v>
      </c>
    </row>
    <row r="2" spans="1:7">
      <c r="F2" t="s">
        <v>830</v>
      </c>
      <c r="G2" s="735">
        <f>+ASSUMPTIONS!C5</f>
        <v>317</v>
      </c>
    </row>
    <row r="3" spans="1:7">
      <c r="A3" t="s">
        <v>550</v>
      </c>
      <c r="C3" t="s">
        <v>551</v>
      </c>
      <c r="D3" t="s">
        <v>831</v>
      </c>
      <c r="E3" t="s">
        <v>552</v>
      </c>
      <c r="F3" t="s">
        <v>832</v>
      </c>
    </row>
    <row r="4" spans="1:7">
      <c r="A4" t="s">
        <v>553</v>
      </c>
      <c r="B4" t="s">
        <v>551</v>
      </c>
      <c r="C4">
        <v>100</v>
      </c>
      <c r="D4" s="734">
        <v>58</v>
      </c>
      <c r="E4" s="734">
        <f>+D4*C4</f>
        <v>5800</v>
      </c>
      <c r="F4" s="733">
        <f>+E4*$G$2</f>
        <v>1838600</v>
      </c>
    </row>
    <row r="5" spans="1:7">
      <c r="A5" t="s">
        <v>554</v>
      </c>
      <c r="B5" t="s">
        <v>551</v>
      </c>
      <c r="C5">
        <v>100</v>
      </c>
      <c r="D5" s="734">
        <v>120</v>
      </c>
      <c r="E5" s="734">
        <f t="shared" ref="E5:E12" si="0">+D5*C5</f>
        <v>12000</v>
      </c>
      <c r="F5" s="733">
        <f t="shared" ref="F5:F12" si="1">+E5*$G$2</f>
        <v>3804000</v>
      </c>
    </row>
    <row r="6" spans="1:7">
      <c r="A6" t="s">
        <v>555</v>
      </c>
      <c r="B6" t="s">
        <v>551</v>
      </c>
      <c r="C6">
        <v>100</v>
      </c>
      <c r="D6" s="734">
        <v>35</v>
      </c>
      <c r="E6" s="734">
        <f t="shared" si="0"/>
        <v>3500</v>
      </c>
      <c r="F6" s="733">
        <f t="shared" si="1"/>
        <v>1109500</v>
      </c>
    </row>
    <row r="7" spans="1:7">
      <c r="A7" t="s">
        <v>556</v>
      </c>
      <c r="B7" t="s">
        <v>557</v>
      </c>
      <c r="C7">
        <v>24233</v>
      </c>
      <c r="D7" s="734">
        <v>0</v>
      </c>
      <c r="E7" s="734">
        <f t="shared" si="0"/>
        <v>0</v>
      </c>
      <c r="F7" s="733">
        <f t="shared" si="1"/>
        <v>0</v>
      </c>
    </row>
    <row r="8" spans="1:7">
      <c r="A8" t="s">
        <v>558</v>
      </c>
      <c r="B8" t="s">
        <v>557</v>
      </c>
      <c r="C8">
        <v>24233</v>
      </c>
      <c r="D8" s="734">
        <v>0</v>
      </c>
      <c r="E8" s="734">
        <f t="shared" si="0"/>
        <v>0</v>
      </c>
      <c r="F8" s="733">
        <f t="shared" si="1"/>
        <v>0</v>
      </c>
    </row>
    <row r="9" spans="1:7">
      <c r="A9" t="s">
        <v>559</v>
      </c>
      <c r="B9" t="s">
        <v>557</v>
      </c>
      <c r="C9">
        <v>24233</v>
      </c>
      <c r="D9" s="734">
        <v>0</v>
      </c>
      <c r="E9" s="734">
        <f t="shared" si="0"/>
        <v>0</v>
      </c>
      <c r="F9" s="733">
        <f t="shared" si="1"/>
        <v>0</v>
      </c>
    </row>
    <row r="10" spans="1:7">
      <c r="A10" t="s">
        <v>560</v>
      </c>
      <c r="B10" t="s">
        <v>551</v>
      </c>
      <c r="C10">
        <v>100</v>
      </c>
      <c r="D10" s="734">
        <v>12</v>
      </c>
      <c r="E10" s="734">
        <f t="shared" si="0"/>
        <v>1200</v>
      </c>
      <c r="F10" s="733">
        <f t="shared" si="1"/>
        <v>380400</v>
      </c>
    </row>
    <row r="11" spans="1:7">
      <c r="A11" t="s">
        <v>561</v>
      </c>
      <c r="B11" t="s">
        <v>551</v>
      </c>
      <c r="C11">
        <v>100</v>
      </c>
      <c r="D11" s="734">
        <v>14</v>
      </c>
      <c r="E11" s="734">
        <f t="shared" si="0"/>
        <v>1400</v>
      </c>
      <c r="F11" s="733">
        <f t="shared" si="1"/>
        <v>443800</v>
      </c>
    </row>
    <row r="12" spans="1:7">
      <c r="A12" t="s">
        <v>562</v>
      </c>
      <c r="B12" t="s">
        <v>551</v>
      </c>
      <c r="C12">
        <v>100</v>
      </c>
      <c r="D12" s="734">
        <v>7</v>
      </c>
      <c r="E12" s="734">
        <f t="shared" si="0"/>
        <v>700</v>
      </c>
      <c r="F12" s="733">
        <f t="shared" si="1"/>
        <v>221900</v>
      </c>
    </row>
    <row r="13" spans="1:7">
      <c r="E13" s="733"/>
      <c r="F13" s="734"/>
    </row>
    <row r="14" spans="1:7">
      <c r="E14" s="736">
        <f>SUM(E4:E13)</f>
        <v>24600</v>
      </c>
      <c r="F14" s="733">
        <f>SUM(F4:F13)</f>
        <v>7798200</v>
      </c>
    </row>
    <row r="15" spans="1:7">
      <c r="E15" s="733"/>
      <c r="F15" s="73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X20"/>
  <sheetViews>
    <sheetView zoomScale="150" zoomScaleNormal="150" workbookViewId="0">
      <selection activeCell="C12" sqref="C12"/>
    </sheetView>
  </sheetViews>
  <sheetFormatPr baseColWidth="10" defaultRowHeight="13"/>
  <cols>
    <col min="1" max="1" width="25" customWidth="1"/>
    <col min="2" max="2" width="14.5" style="517" bestFit="1" customWidth="1"/>
    <col min="4" max="4" width="14.5" style="521" bestFit="1" customWidth="1"/>
    <col min="6" max="9" width="11" bestFit="1" customWidth="1"/>
    <col min="10" max="10" width="11.1640625" bestFit="1" customWidth="1"/>
  </cols>
  <sheetData>
    <row r="1" spans="1:24">
      <c r="N1" s="459"/>
    </row>
    <row r="2" spans="1:24">
      <c r="N2" s="459"/>
    </row>
    <row r="3" spans="1:24" ht="16">
      <c r="A3" s="458" t="s">
        <v>497</v>
      </c>
      <c r="N3" s="459"/>
    </row>
    <row r="4" spans="1:24" ht="14" thickBot="1">
      <c r="A4" s="484" t="s">
        <v>496</v>
      </c>
      <c r="B4" s="518"/>
      <c r="C4" s="483"/>
      <c r="D4" s="522"/>
      <c r="N4" s="459"/>
    </row>
    <row r="5" spans="1:24" ht="14" thickBot="1">
      <c r="A5" s="450"/>
      <c r="B5" s="519"/>
      <c r="C5" s="487" t="s">
        <v>495</v>
      </c>
      <c r="D5" s="523"/>
      <c r="E5" s="53"/>
      <c r="F5" s="53"/>
      <c r="G5" s="53"/>
      <c r="H5" s="53"/>
      <c r="I5" s="53"/>
      <c r="J5" s="53"/>
      <c r="K5" s="170"/>
      <c r="L5" s="302"/>
      <c r="M5" s="393"/>
      <c r="N5" s="460"/>
      <c r="O5" s="396"/>
      <c r="P5" s="206"/>
      <c r="Q5" s="180"/>
      <c r="R5" s="53"/>
      <c r="S5" s="53"/>
      <c r="T5" s="53"/>
      <c r="U5" s="53"/>
      <c r="V5" s="53"/>
      <c r="W5" s="53"/>
      <c r="X5" s="53"/>
    </row>
    <row r="6" spans="1:24" s="53" customFormat="1" ht="14.5" customHeight="1">
      <c r="A6" s="447"/>
      <c r="B6" s="520"/>
      <c r="C6"/>
      <c r="D6" s="521"/>
      <c r="E6"/>
      <c r="F6"/>
      <c r="G6"/>
      <c r="H6"/>
      <c r="I6"/>
      <c r="J6"/>
      <c r="K6"/>
      <c r="L6"/>
      <c r="M6"/>
      <c r="N6" s="459"/>
      <c r="O6"/>
      <c r="P6"/>
      <c r="Q6"/>
      <c r="R6"/>
      <c r="S6"/>
      <c r="T6"/>
      <c r="U6"/>
      <c r="V6"/>
      <c r="W6"/>
      <c r="X6"/>
    </row>
    <row r="7" spans="1:24">
      <c r="A7" s="455" t="s">
        <v>499</v>
      </c>
      <c r="B7" s="517">
        <v>2500</v>
      </c>
      <c r="C7">
        <v>200</v>
      </c>
      <c r="D7" s="521">
        <f>C7*B7</f>
        <v>500000</v>
      </c>
      <c r="N7" s="459"/>
    </row>
    <row r="8" spans="1:24">
      <c r="A8" s="455" t="s">
        <v>498</v>
      </c>
      <c r="B8" s="517">
        <v>2500</v>
      </c>
      <c r="C8">
        <v>350</v>
      </c>
      <c r="D8" s="521">
        <f>C8*B8</f>
        <v>875000</v>
      </c>
      <c r="N8" s="459"/>
    </row>
    <row r="9" spans="1:24" ht="14" thickBot="1">
      <c r="A9" s="455" t="s">
        <v>494</v>
      </c>
      <c r="B9" s="517">
        <v>20000</v>
      </c>
      <c r="C9">
        <v>6</v>
      </c>
      <c r="D9" s="521">
        <f>C9*B9</f>
        <v>120000</v>
      </c>
      <c r="N9" s="459"/>
    </row>
    <row r="10" spans="1:24" ht="14" thickBot="1">
      <c r="A10" s="485"/>
      <c r="B10" s="519"/>
      <c r="C10" s="486" t="s">
        <v>8</v>
      </c>
      <c r="D10" s="524">
        <f>SUM(D6:D9)</f>
        <v>1495000</v>
      </c>
      <c r="N10" s="459"/>
    </row>
    <row r="11" spans="1:24">
      <c r="N11" s="459"/>
    </row>
    <row r="12" spans="1:24">
      <c r="N12" s="459"/>
    </row>
    <row r="13" spans="1:24">
      <c r="N13" s="459"/>
    </row>
    <row r="14" spans="1:24">
      <c r="N14" s="459"/>
    </row>
    <row r="15" spans="1:24">
      <c r="N15" s="459"/>
    </row>
    <row r="16" spans="1:24">
      <c r="N16" s="459"/>
    </row>
    <row r="17" spans="14:14">
      <c r="N17" s="459"/>
    </row>
    <row r="18" spans="14:14">
      <c r="N18" s="459"/>
    </row>
    <row r="19" spans="14:14">
      <c r="N19" s="459"/>
    </row>
    <row r="20" spans="14:14">
      <c r="N20" s="459"/>
    </row>
  </sheetData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1"/>
  <sheetViews>
    <sheetView workbookViewId="0">
      <selection activeCell="D1" sqref="D1:D1048576"/>
    </sheetView>
  </sheetViews>
  <sheetFormatPr baseColWidth="10" defaultColWidth="8" defaultRowHeight="18"/>
  <cols>
    <col min="1" max="1" width="13.5" style="176" bestFit="1" customWidth="1"/>
    <col min="2" max="2" width="41.33203125" style="176" customWidth="1"/>
    <col min="3" max="3" width="34.1640625" style="178" customWidth="1"/>
    <col min="4" max="4" width="16.6640625" style="176" bestFit="1" customWidth="1"/>
    <col min="5" max="5" width="12.5" style="176" bestFit="1" customWidth="1"/>
    <col min="6" max="6" width="8" style="176"/>
    <col min="7" max="7" width="10.33203125" style="176" customWidth="1"/>
    <col min="8" max="16384" width="8" style="176"/>
  </cols>
  <sheetData>
    <row r="1" spans="1:5" ht="19" thickBot="1"/>
    <row r="2" spans="1:5" ht="19" thickBot="1">
      <c r="A2" s="936" t="s">
        <v>520</v>
      </c>
      <c r="B2" s="937"/>
      <c r="C2" s="938"/>
      <c r="D2" s="181"/>
      <c r="E2" s="181"/>
    </row>
    <row r="3" spans="1:5" ht="19" thickBot="1">
      <c r="A3" s="177"/>
      <c r="B3" s="151"/>
      <c r="C3" s="179"/>
      <c r="D3" s="525" t="s">
        <v>509</v>
      </c>
      <c r="E3" s="182"/>
    </row>
    <row r="4" spans="1:5">
      <c r="A4" s="939" t="s">
        <v>223</v>
      </c>
      <c r="B4" s="940"/>
      <c r="C4" s="246">
        <v>48973</v>
      </c>
      <c r="D4" s="183">
        <f>+C4*1.15</f>
        <v>56318.95</v>
      </c>
      <c r="E4" s="183">
        <f t="shared" ref="E4:E11" si="0">+D4*1</f>
        <v>56318.95</v>
      </c>
    </row>
    <row r="5" spans="1:5">
      <c r="A5" s="926" t="s">
        <v>224</v>
      </c>
      <c r="B5" s="927"/>
      <c r="C5" s="247">
        <v>36923</v>
      </c>
      <c r="D5" s="183">
        <f t="shared" ref="D5:E51" si="1">+C5*1.15</f>
        <v>42461.45</v>
      </c>
      <c r="E5" s="183">
        <f t="shared" si="0"/>
        <v>42461.45</v>
      </c>
    </row>
    <row r="6" spans="1:5">
      <c r="A6" s="926" t="s">
        <v>225</v>
      </c>
      <c r="B6" s="927"/>
      <c r="C6" s="247">
        <v>25666</v>
      </c>
      <c r="D6" s="183">
        <f t="shared" si="1"/>
        <v>29515.899999999998</v>
      </c>
      <c r="E6" s="183">
        <f t="shared" si="0"/>
        <v>29515.899999999998</v>
      </c>
    </row>
    <row r="7" spans="1:5">
      <c r="A7" s="926" t="s">
        <v>226</v>
      </c>
      <c r="B7" s="927"/>
      <c r="C7" s="247">
        <v>45906</v>
      </c>
      <c r="D7" s="183">
        <f t="shared" si="1"/>
        <v>52791.899999999994</v>
      </c>
      <c r="E7" s="183">
        <f t="shared" si="0"/>
        <v>52791.899999999994</v>
      </c>
    </row>
    <row r="8" spans="1:5">
      <c r="A8" s="926" t="s">
        <v>37</v>
      </c>
      <c r="B8" s="927"/>
      <c r="C8" s="247">
        <v>33725</v>
      </c>
      <c r="D8" s="183">
        <f t="shared" si="1"/>
        <v>38783.75</v>
      </c>
      <c r="E8" s="183">
        <f t="shared" si="0"/>
        <v>38783.75</v>
      </c>
    </row>
    <row r="9" spans="1:5">
      <c r="A9" s="926" t="s">
        <v>227</v>
      </c>
      <c r="B9" s="927"/>
      <c r="C9" s="247">
        <v>48973</v>
      </c>
      <c r="D9" s="183">
        <f t="shared" si="1"/>
        <v>56318.95</v>
      </c>
      <c r="E9" s="183">
        <f t="shared" si="0"/>
        <v>56318.95</v>
      </c>
    </row>
    <row r="10" spans="1:5">
      <c r="A10" s="926" t="s">
        <v>228</v>
      </c>
      <c r="B10" s="927"/>
      <c r="C10" s="247">
        <v>36923</v>
      </c>
      <c r="D10" s="183">
        <f t="shared" si="1"/>
        <v>42461.45</v>
      </c>
      <c r="E10" s="183">
        <f t="shared" si="0"/>
        <v>42461.45</v>
      </c>
    </row>
    <row r="11" spans="1:5">
      <c r="A11" s="926" t="s">
        <v>229</v>
      </c>
      <c r="B11" s="927"/>
      <c r="C11" s="247">
        <v>36924</v>
      </c>
      <c r="D11" s="183">
        <f t="shared" si="1"/>
        <v>42462.6</v>
      </c>
      <c r="E11" s="183">
        <f t="shared" si="0"/>
        <v>42462.6</v>
      </c>
    </row>
    <row r="12" spans="1:5">
      <c r="A12" s="926" t="s">
        <v>230</v>
      </c>
      <c r="B12" s="927"/>
      <c r="C12" s="247">
        <v>24099</v>
      </c>
      <c r="D12" s="183">
        <f t="shared" si="1"/>
        <v>27713.85</v>
      </c>
      <c r="E12" s="183">
        <f>+D12*1.15</f>
        <v>31870.927499999994</v>
      </c>
    </row>
    <row r="13" spans="1:5">
      <c r="A13" s="926" t="s">
        <v>231</v>
      </c>
      <c r="B13" s="927"/>
      <c r="C13" s="247">
        <v>54563</v>
      </c>
      <c r="D13" s="183">
        <f t="shared" si="1"/>
        <v>62747.45</v>
      </c>
      <c r="E13" s="183">
        <f t="shared" ref="E13:E40" si="2">+D13*1</f>
        <v>62747.45</v>
      </c>
    </row>
    <row r="14" spans="1:5">
      <c r="A14" s="926" t="s">
        <v>42</v>
      </c>
      <c r="B14" s="927"/>
      <c r="C14" s="247">
        <v>33725</v>
      </c>
      <c r="D14" s="183">
        <f t="shared" si="1"/>
        <v>38783.75</v>
      </c>
      <c r="E14" s="183">
        <f t="shared" si="2"/>
        <v>38783.75</v>
      </c>
    </row>
    <row r="15" spans="1:5">
      <c r="A15" s="926" t="s">
        <v>232</v>
      </c>
      <c r="B15" s="927"/>
      <c r="C15" s="247">
        <v>54563</v>
      </c>
      <c r="D15" s="183">
        <f t="shared" si="1"/>
        <v>62747.45</v>
      </c>
      <c r="E15" s="183">
        <f t="shared" si="2"/>
        <v>62747.45</v>
      </c>
    </row>
    <row r="16" spans="1:5">
      <c r="A16" s="926" t="s">
        <v>233</v>
      </c>
      <c r="B16" s="927"/>
      <c r="C16" s="247">
        <v>48150</v>
      </c>
      <c r="D16" s="183">
        <f t="shared" si="1"/>
        <v>55372.499999999993</v>
      </c>
      <c r="E16" s="183">
        <f t="shared" si="2"/>
        <v>55372.499999999993</v>
      </c>
    </row>
    <row r="17" spans="1:5">
      <c r="A17" s="926" t="s">
        <v>234</v>
      </c>
      <c r="B17" s="927"/>
      <c r="C17" s="247">
        <v>43804</v>
      </c>
      <c r="D17" s="183">
        <f t="shared" si="1"/>
        <v>50374.6</v>
      </c>
      <c r="E17" s="183">
        <f t="shared" si="2"/>
        <v>50374.6</v>
      </c>
    </row>
    <row r="18" spans="1:5">
      <c r="A18" s="926" t="s">
        <v>235</v>
      </c>
      <c r="B18" s="927"/>
      <c r="C18" s="247">
        <v>36924</v>
      </c>
      <c r="D18" s="183">
        <f t="shared" si="1"/>
        <v>42462.6</v>
      </c>
      <c r="E18" s="183">
        <f t="shared" si="2"/>
        <v>42462.6</v>
      </c>
    </row>
    <row r="19" spans="1:5">
      <c r="A19" s="926" t="s">
        <v>236</v>
      </c>
      <c r="B19" s="927"/>
      <c r="C19" s="247">
        <v>28880</v>
      </c>
      <c r="D19" s="183">
        <f t="shared" si="1"/>
        <v>33212</v>
      </c>
      <c r="E19" s="183">
        <f t="shared" si="2"/>
        <v>33212</v>
      </c>
    </row>
    <row r="20" spans="1:5">
      <c r="A20" s="926" t="s">
        <v>50</v>
      </c>
      <c r="B20" s="927"/>
      <c r="C20" s="247">
        <v>36924</v>
      </c>
      <c r="D20" s="183">
        <f t="shared" si="1"/>
        <v>42462.6</v>
      </c>
      <c r="E20" s="183">
        <f t="shared" si="2"/>
        <v>42462.6</v>
      </c>
    </row>
    <row r="21" spans="1:5">
      <c r="A21" s="926" t="s">
        <v>51</v>
      </c>
      <c r="B21" s="927"/>
      <c r="C21" s="247">
        <v>33725</v>
      </c>
      <c r="D21" s="183">
        <f t="shared" si="1"/>
        <v>38783.75</v>
      </c>
      <c r="E21" s="183">
        <f t="shared" si="2"/>
        <v>38783.75</v>
      </c>
    </row>
    <row r="22" spans="1:5">
      <c r="A22" s="926" t="s">
        <v>52</v>
      </c>
      <c r="B22" s="927"/>
      <c r="C22" s="247">
        <v>25666</v>
      </c>
      <c r="D22" s="183">
        <f t="shared" si="1"/>
        <v>29515.899999999998</v>
      </c>
      <c r="E22" s="183">
        <f t="shared" si="2"/>
        <v>29515.899999999998</v>
      </c>
    </row>
    <row r="23" spans="1:5">
      <c r="A23" s="926" t="s">
        <v>53</v>
      </c>
      <c r="B23" s="927"/>
      <c r="C23" s="247">
        <v>22015</v>
      </c>
      <c r="D23" s="183">
        <f t="shared" si="1"/>
        <v>25317.249999999996</v>
      </c>
      <c r="E23" s="183">
        <f t="shared" si="2"/>
        <v>25317.249999999996</v>
      </c>
    </row>
    <row r="24" spans="1:5">
      <c r="A24" s="926" t="s">
        <v>237</v>
      </c>
      <c r="B24" s="927"/>
      <c r="C24" s="247">
        <v>28880</v>
      </c>
      <c r="D24" s="183">
        <f t="shared" si="1"/>
        <v>33212</v>
      </c>
      <c r="E24" s="183">
        <f t="shared" si="2"/>
        <v>33212</v>
      </c>
    </row>
    <row r="25" spans="1:5">
      <c r="A25" s="926" t="s">
        <v>54</v>
      </c>
      <c r="B25" s="927"/>
      <c r="C25" s="247">
        <v>36924</v>
      </c>
      <c r="D25" s="183">
        <f t="shared" si="1"/>
        <v>42462.6</v>
      </c>
      <c r="E25" s="183">
        <f t="shared" si="2"/>
        <v>42462.6</v>
      </c>
    </row>
    <row r="26" spans="1:5">
      <c r="A26" s="926" t="s">
        <v>238</v>
      </c>
      <c r="B26" s="927"/>
      <c r="C26" s="247">
        <v>33725</v>
      </c>
      <c r="D26" s="183">
        <f t="shared" si="1"/>
        <v>38783.75</v>
      </c>
      <c r="E26" s="183">
        <f t="shared" si="2"/>
        <v>38783.75</v>
      </c>
    </row>
    <row r="27" spans="1:5">
      <c r="A27" s="926" t="s">
        <v>56</v>
      </c>
      <c r="B27" s="927"/>
      <c r="C27" s="247">
        <v>30511</v>
      </c>
      <c r="D27" s="183">
        <f t="shared" si="1"/>
        <v>35087.649999999994</v>
      </c>
      <c r="E27" s="183">
        <f t="shared" si="2"/>
        <v>35087.649999999994</v>
      </c>
    </row>
    <row r="28" spans="1:5">
      <c r="A28" s="926" t="s">
        <v>57</v>
      </c>
      <c r="B28" s="927"/>
      <c r="C28" s="247">
        <v>27297</v>
      </c>
      <c r="D28" s="183">
        <f t="shared" si="1"/>
        <v>31391.55</v>
      </c>
      <c r="E28" s="183">
        <f t="shared" si="2"/>
        <v>31391.55</v>
      </c>
    </row>
    <row r="29" spans="1:5">
      <c r="A29" s="926" t="s">
        <v>239</v>
      </c>
      <c r="B29" s="927"/>
      <c r="C29" s="247">
        <v>25666</v>
      </c>
      <c r="D29" s="183">
        <f t="shared" si="1"/>
        <v>29515.899999999998</v>
      </c>
      <c r="E29" s="183">
        <f t="shared" si="2"/>
        <v>29515.899999999998</v>
      </c>
    </row>
    <row r="30" spans="1:5">
      <c r="A30" s="926" t="s">
        <v>240</v>
      </c>
      <c r="B30" s="927"/>
      <c r="C30" s="247">
        <v>54563</v>
      </c>
      <c r="D30" s="183">
        <f t="shared" si="1"/>
        <v>62747.45</v>
      </c>
      <c r="E30" s="183">
        <f t="shared" si="2"/>
        <v>62747.45</v>
      </c>
    </row>
    <row r="31" spans="1:5">
      <c r="A31" s="926" t="s">
        <v>241</v>
      </c>
      <c r="B31" s="927"/>
      <c r="C31" s="247">
        <v>46568</v>
      </c>
      <c r="D31" s="183">
        <f t="shared" si="1"/>
        <v>53553.2</v>
      </c>
      <c r="E31" s="183">
        <f t="shared" si="2"/>
        <v>53553.2</v>
      </c>
    </row>
    <row r="32" spans="1:5">
      <c r="A32" s="926" t="s">
        <v>62</v>
      </c>
      <c r="B32" s="927"/>
      <c r="C32" s="247">
        <v>36924</v>
      </c>
      <c r="D32" s="183">
        <f t="shared" si="1"/>
        <v>42462.6</v>
      </c>
      <c r="E32" s="183">
        <f t="shared" si="2"/>
        <v>42462.6</v>
      </c>
    </row>
    <row r="33" spans="1:5">
      <c r="A33" s="926" t="s">
        <v>242</v>
      </c>
      <c r="B33" s="927"/>
      <c r="C33" s="247">
        <v>33725</v>
      </c>
      <c r="D33" s="183">
        <f t="shared" si="1"/>
        <v>38783.75</v>
      </c>
      <c r="E33" s="183">
        <f t="shared" si="2"/>
        <v>38783.75</v>
      </c>
    </row>
    <row r="34" spans="1:5">
      <c r="A34" s="926" t="s">
        <v>64</v>
      </c>
      <c r="B34" s="927"/>
      <c r="C34" s="247">
        <v>46568</v>
      </c>
      <c r="D34" s="183">
        <f t="shared" si="1"/>
        <v>53553.2</v>
      </c>
      <c r="E34" s="183">
        <f t="shared" si="2"/>
        <v>53553.2</v>
      </c>
    </row>
    <row r="35" spans="1:5">
      <c r="A35" s="926" t="s">
        <v>65</v>
      </c>
      <c r="B35" s="927"/>
      <c r="C35" s="247">
        <v>33725</v>
      </c>
      <c r="D35" s="183">
        <f t="shared" si="1"/>
        <v>38783.75</v>
      </c>
      <c r="E35" s="183">
        <f t="shared" si="2"/>
        <v>38783.75</v>
      </c>
    </row>
    <row r="36" spans="1:5">
      <c r="A36" s="926" t="s">
        <v>243</v>
      </c>
      <c r="B36" s="927"/>
      <c r="C36" s="247">
        <v>25374</v>
      </c>
      <c r="D36" s="183">
        <f t="shared" si="1"/>
        <v>29180.1</v>
      </c>
      <c r="E36" s="183">
        <f t="shared" si="2"/>
        <v>29180.1</v>
      </c>
    </row>
    <row r="37" spans="1:5">
      <c r="A37" s="926" t="s">
        <v>244</v>
      </c>
      <c r="B37" s="927"/>
      <c r="C37" s="247">
        <v>33725</v>
      </c>
      <c r="D37" s="183">
        <f t="shared" si="1"/>
        <v>38783.75</v>
      </c>
      <c r="E37" s="183">
        <f t="shared" si="2"/>
        <v>38783.75</v>
      </c>
    </row>
    <row r="38" spans="1:5">
      <c r="A38" s="926" t="s">
        <v>245</v>
      </c>
      <c r="B38" s="927"/>
      <c r="C38" s="247">
        <v>25666</v>
      </c>
      <c r="D38" s="183">
        <f t="shared" si="1"/>
        <v>29515.899999999998</v>
      </c>
      <c r="E38" s="183">
        <f t="shared" si="2"/>
        <v>29515.899999999998</v>
      </c>
    </row>
    <row r="39" spans="1:5">
      <c r="A39" s="926" t="s">
        <v>246</v>
      </c>
      <c r="B39" s="927"/>
      <c r="C39" s="247">
        <v>33725</v>
      </c>
      <c r="D39" s="183">
        <f t="shared" si="1"/>
        <v>38783.75</v>
      </c>
      <c r="E39" s="183">
        <f t="shared" si="2"/>
        <v>38783.75</v>
      </c>
    </row>
    <row r="40" spans="1:5">
      <c r="A40" s="926" t="s">
        <v>247</v>
      </c>
      <c r="B40" s="927"/>
      <c r="C40" s="247">
        <v>36924</v>
      </c>
      <c r="D40" s="183">
        <f t="shared" si="1"/>
        <v>42462.6</v>
      </c>
      <c r="E40" s="183">
        <f t="shared" si="2"/>
        <v>42462.6</v>
      </c>
    </row>
    <row r="41" spans="1:5">
      <c r="A41" s="926" t="s">
        <v>248</v>
      </c>
      <c r="B41" s="927"/>
      <c r="C41" s="247">
        <v>32111</v>
      </c>
      <c r="D41" s="183">
        <f t="shared" si="1"/>
        <v>36927.649999999994</v>
      </c>
      <c r="E41" s="183">
        <f t="shared" si="1"/>
        <v>42466.797499999993</v>
      </c>
    </row>
    <row r="42" spans="1:5">
      <c r="A42" s="926" t="s">
        <v>249</v>
      </c>
      <c r="B42" s="927"/>
      <c r="C42" s="247">
        <v>24099</v>
      </c>
      <c r="D42" s="183">
        <f t="shared" si="1"/>
        <v>27713.85</v>
      </c>
      <c r="E42" s="183">
        <f t="shared" ref="E42:E51" si="3">+D42*1</f>
        <v>27713.85</v>
      </c>
    </row>
    <row r="43" spans="1:5">
      <c r="A43" s="926" t="s">
        <v>250</v>
      </c>
      <c r="B43" s="927"/>
      <c r="C43" s="247">
        <v>46568</v>
      </c>
      <c r="D43" s="183">
        <f t="shared" si="1"/>
        <v>53553.2</v>
      </c>
      <c r="E43" s="183">
        <f t="shared" si="3"/>
        <v>53553.2</v>
      </c>
    </row>
    <row r="44" spans="1:5">
      <c r="A44" s="928" t="s">
        <v>251</v>
      </c>
      <c r="B44" s="929"/>
      <c r="C44" s="247">
        <v>36924</v>
      </c>
      <c r="D44" s="183">
        <f t="shared" si="1"/>
        <v>42462.6</v>
      </c>
      <c r="E44" s="183">
        <f t="shared" si="3"/>
        <v>42462.6</v>
      </c>
    </row>
    <row r="45" spans="1:5">
      <c r="A45" s="932" t="s">
        <v>252</v>
      </c>
      <c r="B45" s="933"/>
      <c r="C45" s="247">
        <v>46568</v>
      </c>
      <c r="D45" s="183">
        <f t="shared" si="1"/>
        <v>53553.2</v>
      </c>
      <c r="E45" s="183">
        <f t="shared" si="3"/>
        <v>53553.2</v>
      </c>
    </row>
    <row r="46" spans="1:5">
      <c r="A46" s="932" t="s">
        <v>253</v>
      </c>
      <c r="B46" s="933"/>
      <c r="C46" s="247">
        <v>36924</v>
      </c>
      <c r="D46" s="183">
        <f t="shared" si="1"/>
        <v>42462.6</v>
      </c>
      <c r="E46" s="183">
        <f t="shared" si="3"/>
        <v>42462.6</v>
      </c>
    </row>
    <row r="47" spans="1:5">
      <c r="A47" s="932" t="s">
        <v>254</v>
      </c>
      <c r="B47" s="933"/>
      <c r="C47" s="247">
        <v>36924</v>
      </c>
      <c r="D47" s="183">
        <f t="shared" si="1"/>
        <v>42462.6</v>
      </c>
      <c r="E47" s="183">
        <f t="shared" si="3"/>
        <v>42462.6</v>
      </c>
    </row>
    <row r="48" spans="1:5">
      <c r="A48" s="934" t="s">
        <v>255</v>
      </c>
      <c r="B48" s="935"/>
      <c r="C48" s="247">
        <v>54563</v>
      </c>
      <c r="D48" s="183">
        <f t="shared" si="1"/>
        <v>62747.45</v>
      </c>
      <c r="E48" s="183">
        <f t="shared" si="3"/>
        <v>62747.45</v>
      </c>
    </row>
    <row r="49" spans="1:5">
      <c r="A49" s="926" t="s">
        <v>256</v>
      </c>
      <c r="B49" s="927"/>
      <c r="C49" s="247">
        <v>37436</v>
      </c>
      <c r="D49" s="183">
        <f t="shared" si="1"/>
        <v>43051.399999999994</v>
      </c>
      <c r="E49" s="183">
        <f t="shared" si="3"/>
        <v>43051.399999999994</v>
      </c>
    </row>
    <row r="50" spans="1:5">
      <c r="A50" s="926" t="s">
        <v>257</v>
      </c>
      <c r="B50" s="927"/>
      <c r="C50" s="247">
        <v>26749</v>
      </c>
      <c r="D50" s="183">
        <f t="shared" si="1"/>
        <v>30761.35</v>
      </c>
      <c r="E50" s="183">
        <f t="shared" si="3"/>
        <v>30761.35</v>
      </c>
    </row>
    <row r="51" spans="1:5" ht="19" thickBot="1">
      <c r="A51" s="930" t="s">
        <v>258</v>
      </c>
      <c r="B51" s="931"/>
      <c r="C51" s="248">
        <v>13098</v>
      </c>
      <c r="D51" s="183">
        <f t="shared" si="1"/>
        <v>15062.699999999999</v>
      </c>
      <c r="E51" s="183">
        <f t="shared" si="3"/>
        <v>15062.699999999999</v>
      </c>
    </row>
  </sheetData>
  <mergeCells count="49">
    <mergeCell ref="A2:C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51:B51"/>
    <mergeCell ref="A45:B45"/>
    <mergeCell ref="A46:B46"/>
    <mergeCell ref="A47:B47"/>
    <mergeCell ref="A48:B48"/>
    <mergeCell ref="A49:B49"/>
    <mergeCell ref="A50:B5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E22"/>
  <sheetViews>
    <sheetView topLeftCell="A7" zoomScale="150" zoomScaleNormal="150" workbookViewId="0">
      <selection activeCell="D5" sqref="D5:D21"/>
    </sheetView>
  </sheetViews>
  <sheetFormatPr baseColWidth="10" defaultColWidth="11.5" defaultRowHeight="15"/>
  <cols>
    <col min="1" max="1" width="3.33203125" style="152" customWidth="1"/>
    <col min="2" max="2" width="45.5" style="152" bestFit="1" customWidth="1"/>
    <col min="3" max="3" width="14.1640625" style="152" customWidth="1"/>
    <col min="4" max="16384" width="11.5" style="152"/>
  </cols>
  <sheetData>
    <row r="1" spans="2:5" ht="16" thickBot="1">
      <c r="B1" s="153" t="s">
        <v>267</v>
      </c>
      <c r="C1" s="422"/>
    </row>
    <row r="2" spans="2:5" ht="16" thickBot="1">
      <c r="B2" s="250"/>
      <c r="C2" s="423" t="s">
        <v>443</v>
      </c>
    </row>
    <row r="3" spans="2:5">
      <c r="C3" s="424"/>
    </row>
    <row r="4" spans="2:5" ht="16" thickBot="1">
      <c r="C4" s="425"/>
    </row>
    <row r="5" spans="2:5">
      <c r="B5" s="428" t="s">
        <v>259</v>
      </c>
      <c r="C5" s="429">
        <v>4669</v>
      </c>
      <c r="D5" s="303">
        <f>+C5*1.25</f>
        <v>5836.25</v>
      </c>
      <c r="E5" s="303"/>
    </row>
    <row r="6" spans="2:5">
      <c r="B6" s="201" t="s">
        <v>266</v>
      </c>
      <c r="C6" s="362">
        <v>876</v>
      </c>
      <c r="D6" s="303">
        <f t="shared" ref="D6:D21" si="0">+C6*1.25</f>
        <v>1095</v>
      </c>
    </row>
    <row r="7" spans="2:5">
      <c r="B7" s="202" t="s">
        <v>261</v>
      </c>
      <c r="C7" s="362">
        <v>1168</v>
      </c>
      <c r="D7" s="303">
        <f t="shared" si="0"/>
        <v>1460</v>
      </c>
    </row>
    <row r="8" spans="2:5">
      <c r="B8" s="202" t="s">
        <v>265</v>
      </c>
      <c r="C8" s="362">
        <v>1437</v>
      </c>
      <c r="D8" s="303">
        <f t="shared" si="0"/>
        <v>1796.25</v>
      </c>
    </row>
    <row r="9" spans="2:5">
      <c r="B9" s="202" t="s">
        <v>308</v>
      </c>
      <c r="C9" s="362">
        <v>2335</v>
      </c>
      <c r="D9" s="303">
        <f t="shared" si="0"/>
        <v>2918.75</v>
      </c>
    </row>
    <row r="10" spans="2:5">
      <c r="B10" s="426" t="s">
        <v>260</v>
      </c>
      <c r="C10" s="427">
        <v>7779</v>
      </c>
      <c r="D10" s="303">
        <f t="shared" si="0"/>
        <v>9723.75</v>
      </c>
    </row>
    <row r="11" spans="2:5">
      <c r="B11" s="201" t="s">
        <v>266</v>
      </c>
      <c r="C11" s="362">
        <v>1459</v>
      </c>
      <c r="D11" s="303">
        <f t="shared" si="0"/>
        <v>1823.75</v>
      </c>
    </row>
    <row r="12" spans="2:5">
      <c r="B12" s="202" t="s">
        <v>261</v>
      </c>
      <c r="C12" s="362">
        <v>1945</v>
      </c>
      <c r="D12" s="303">
        <f t="shared" si="0"/>
        <v>2431.25</v>
      </c>
    </row>
    <row r="13" spans="2:5">
      <c r="B13" s="249" t="s">
        <v>263</v>
      </c>
      <c r="C13" s="362">
        <v>9583</v>
      </c>
      <c r="D13" s="303">
        <f t="shared" si="0"/>
        <v>11978.75</v>
      </c>
    </row>
    <row r="14" spans="2:5">
      <c r="B14" s="201" t="s">
        <v>266</v>
      </c>
      <c r="C14" s="362">
        <v>1798</v>
      </c>
      <c r="D14" s="303">
        <f t="shared" si="0"/>
        <v>2247.5</v>
      </c>
    </row>
    <row r="15" spans="2:5">
      <c r="B15" s="202" t="s">
        <v>261</v>
      </c>
      <c r="C15" s="362">
        <v>2396</v>
      </c>
      <c r="D15" s="303">
        <f t="shared" si="0"/>
        <v>2995</v>
      </c>
    </row>
    <row r="16" spans="2:5">
      <c r="B16" s="249" t="s">
        <v>264</v>
      </c>
      <c r="C16" s="362">
        <v>9583</v>
      </c>
      <c r="D16" s="303">
        <f t="shared" si="0"/>
        <v>11978.75</v>
      </c>
    </row>
    <row r="17" spans="2:4">
      <c r="B17" s="203" t="s">
        <v>262</v>
      </c>
      <c r="C17" s="362">
        <v>9195</v>
      </c>
      <c r="D17" s="303">
        <f t="shared" si="0"/>
        <v>11493.75</v>
      </c>
    </row>
    <row r="18" spans="2:4">
      <c r="B18" s="203" t="s">
        <v>266</v>
      </c>
      <c r="C18" s="362">
        <v>1726</v>
      </c>
      <c r="D18" s="303">
        <f t="shared" si="0"/>
        <v>2157.5</v>
      </c>
    </row>
    <row r="19" spans="2:4">
      <c r="B19" s="203" t="s">
        <v>309</v>
      </c>
      <c r="C19" s="362">
        <v>2299</v>
      </c>
      <c r="D19" s="303">
        <f t="shared" si="0"/>
        <v>2873.75</v>
      </c>
    </row>
    <row r="20" spans="2:4">
      <c r="B20" s="251"/>
      <c r="C20" s="362"/>
      <c r="D20" s="303">
        <f t="shared" si="0"/>
        <v>0</v>
      </c>
    </row>
    <row r="21" spans="2:4">
      <c r="B21" s="203" t="s">
        <v>311</v>
      </c>
      <c r="C21" s="362"/>
      <c r="D21" s="303">
        <f t="shared" si="0"/>
        <v>0</v>
      </c>
    </row>
    <row r="22" spans="2:4" ht="16" thickBot="1">
      <c r="B22" s="252" t="s">
        <v>310</v>
      </c>
      <c r="C22" s="363"/>
      <c r="D22" s="303">
        <f t="shared" ref="D22" si="1">+C22*1.15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"/>
  <sheetViews>
    <sheetView zoomScale="150" zoomScaleNormal="150" workbookViewId="0">
      <selection activeCell="C15" sqref="C15"/>
    </sheetView>
  </sheetViews>
  <sheetFormatPr baseColWidth="10" defaultRowHeight="13"/>
  <cols>
    <col min="1" max="1" width="18.6640625" style="217" bestFit="1" customWidth="1"/>
    <col min="4" max="4" width="13" bestFit="1" customWidth="1"/>
  </cols>
  <sheetData>
    <row r="1" spans="1:4">
      <c r="A1" s="306" t="s">
        <v>341</v>
      </c>
    </row>
    <row r="2" spans="1:4" ht="15">
      <c r="A2" s="382"/>
    </row>
    <row r="3" spans="1:4" ht="15">
      <c r="A3" s="382" t="s">
        <v>435</v>
      </c>
    </row>
    <row r="4" spans="1:4">
      <c r="B4" t="s">
        <v>275</v>
      </c>
    </row>
    <row r="5" spans="1:4">
      <c r="B5" t="s">
        <v>276</v>
      </c>
    </row>
    <row r="6" spans="1:4">
      <c r="B6" t="s">
        <v>270</v>
      </c>
    </row>
    <row r="7" spans="1:4">
      <c r="B7" t="s">
        <v>271</v>
      </c>
      <c r="D7" s="271">
        <v>573300</v>
      </c>
    </row>
    <row r="8" spans="1:4">
      <c r="B8" t="s">
        <v>272</v>
      </c>
      <c r="D8" s="271">
        <v>299400</v>
      </c>
    </row>
    <row r="9" spans="1:4">
      <c r="A9" s="217" t="s">
        <v>421</v>
      </c>
      <c r="B9" t="s">
        <v>273</v>
      </c>
      <c r="D9" s="271">
        <v>199500</v>
      </c>
    </row>
    <row r="10" spans="1:4">
      <c r="B10" t="s">
        <v>274</v>
      </c>
      <c r="D10" s="271">
        <v>1005500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00"/>
    <pageSetUpPr fitToPage="1"/>
  </sheetPr>
  <dimension ref="A1:R93"/>
  <sheetViews>
    <sheetView view="pageLayout" topLeftCell="A10" zoomScale="73" zoomScaleNormal="85" zoomScalePageLayoutView="73" workbookViewId="0">
      <selection activeCell="E95" sqref="E95"/>
    </sheetView>
  </sheetViews>
  <sheetFormatPr baseColWidth="10" defaultRowHeight="13"/>
  <cols>
    <col min="1" max="1" width="2.1640625" customWidth="1"/>
    <col min="2" max="2" width="3.5" customWidth="1"/>
    <col min="3" max="3" width="4.6640625" bestFit="1" customWidth="1"/>
    <col min="4" max="4" width="34.6640625" customWidth="1"/>
    <col min="5" max="5" width="15.6640625" customWidth="1"/>
    <col min="6" max="6" width="11.5" customWidth="1"/>
    <col min="7" max="7" width="14.1640625" customWidth="1"/>
    <col min="8" max="8" width="18.33203125" customWidth="1"/>
    <col min="9" max="9" width="38.1640625" bestFit="1" customWidth="1"/>
    <col min="10" max="10" width="18.33203125" customWidth="1"/>
    <col min="11" max="11" width="15.5" style="734" bestFit="1" customWidth="1"/>
    <col min="12" max="12" width="11" bestFit="1" customWidth="1"/>
    <col min="13" max="13" width="3.5" customWidth="1"/>
    <col min="14" max="14" width="15.5" hidden="1" customWidth="1"/>
    <col min="15" max="17" width="11.5" style="509" hidden="1" customWidth="1"/>
    <col min="18" max="18" width="16.33203125" hidden="1" customWidth="1"/>
    <col min="19" max="19" width="0" hidden="1" customWidth="1"/>
  </cols>
  <sheetData>
    <row r="1" spans="1:18" s="1" customFormat="1" ht="11.25" customHeight="1" thickBot="1">
      <c r="A1" s="5"/>
      <c r="B1" s="6"/>
      <c r="C1" s="7"/>
      <c r="D1" s="8"/>
      <c r="E1" s="9"/>
      <c r="F1" s="8"/>
      <c r="G1" s="75"/>
      <c r="H1" s="75"/>
      <c r="I1" s="10"/>
      <c r="J1" s="10"/>
      <c r="K1" s="811"/>
      <c r="O1" s="488"/>
      <c r="P1" s="488"/>
      <c r="Q1" s="488"/>
      <c r="R1" s="5"/>
    </row>
    <row r="2" spans="1:18" s="1" customFormat="1" ht="17" customHeight="1">
      <c r="A2" s="5"/>
      <c r="B2" s="220"/>
      <c r="C2" s="221"/>
      <c r="D2" s="222"/>
      <c r="E2" s="223"/>
      <c r="F2" s="222"/>
      <c r="G2" s="222"/>
      <c r="H2" s="222"/>
      <c r="I2" s="224"/>
      <c r="J2" s="224"/>
      <c r="K2" s="811"/>
      <c r="O2" s="489"/>
      <c r="P2" s="489"/>
      <c r="Q2" s="489"/>
      <c r="R2" s="490"/>
    </row>
    <row r="3" spans="1:18" s="1" customFormat="1" ht="17" customHeight="1" thickBot="1">
      <c r="A3" s="5"/>
      <c r="B3" s="225"/>
      <c r="C3" s="27"/>
      <c r="D3" s="8"/>
      <c r="E3" s="9"/>
      <c r="F3" s="8"/>
      <c r="G3" s="8"/>
      <c r="H3" s="8"/>
      <c r="I3" s="51"/>
      <c r="J3" s="51"/>
      <c r="K3" s="811"/>
      <c r="O3" s="218"/>
      <c r="P3" s="218"/>
      <c r="Q3" s="218"/>
      <c r="R3" s="6"/>
    </row>
    <row r="4" spans="1:18" s="1" customFormat="1" ht="15.75" customHeight="1" thickBot="1">
      <c r="A4" s="5"/>
      <c r="B4" s="225"/>
      <c r="C4" s="896"/>
      <c r="D4" s="897" t="s">
        <v>547</v>
      </c>
      <c r="E4" s="211" t="s">
        <v>0</v>
      </c>
      <c r="F4" s="209">
        <v>6</v>
      </c>
      <c r="G4" s="15" t="s">
        <v>1</v>
      </c>
      <c r="H4" s="213">
        <v>0</v>
      </c>
      <c r="I4" s="474" t="s">
        <v>2</v>
      </c>
      <c r="J4" s="477">
        <v>30</v>
      </c>
      <c r="K4" s="811"/>
      <c r="O4" s="900" t="s">
        <v>502</v>
      </c>
      <c r="P4" s="900"/>
      <c r="Q4" s="900"/>
      <c r="R4" s="900"/>
    </row>
    <row r="5" spans="1:18" s="1" customFormat="1" ht="15.75" customHeight="1" thickBot="1">
      <c r="A5" s="5"/>
      <c r="B5" s="225"/>
      <c r="C5" s="896"/>
      <c r="D5" s="898"/>
      <c r="E5" s="212" t="s">
        <v>3</v>
      </c>
      <c r="F5" s="210">
        <v>6</v>
      </c>
      <c r="G5" s="19" t="s">
        <v>4</v>
      </c>
      <c r="H5" s="214">
        <v>0</v>
      </c>
      <c r="I5" s="475" t="s">
        <v>334</v>
      </c>
      <c r="J5" s="478"/>
      <c r="K5" s="811"/>
      <c r="O5" s="900"/>
      <c r="P5" s="900"/>
      <c r="Q5" s="900"/>
      <c r="R5" s="900"/>
    </row>
    <row r="6" spans="1:18" s="1" customFormat="1" ht="47" customHeight="1" thickBot="1">
      <c r="A6" s="5"/>
      <c r="B6" s="225"/>
      <c r="C6" s="896"/>
      <c r="D6" s="898"/>
      <c r="E6" s="212" t="s">
        <v>5</v>
      </c>
      <c r="F6" s="210" t="s">
        <v>424</v>
      </c>
      <c r="G6" s="19" t="s">
        <v>283</v>
      </c>
      <c r="H6" s="18">
        <f>5*2.25+2</f>
        <v>13.25</v>
      </c>
      <c r="I6" s="321" t="s">
        <v>335</v>
      </c>
      <c r="J6" s="479"/>
      <c r="K6" s="812" t="s">
        <v>513</v>
      </c>
      <c r="L6" s="578">
        <f>+ASSUMPTIONS!C3</f>
        <v>135.75</v>
      </c>
      <c r="O6" s="900"/>
      <c r="P6" s="900"/>
      <c r="Q6" s="900"/>
      <c r="R6" s="900"/>
    </row>
    <row r="7" spans="1:18" s="26" customFormat="1" ht="20" customHeight="1" thickBot="1">
      <c r="A7" s="20"/>
      <c r="B7" s="226"/>
      <c r="C7" s="21"/>
      <c r="D7" s="22" t="s">
        <v>7</v>
      </c>
      <c r="E7" s="23"/>
      <c r="F7" s="23"/>
      <c r="G7" s="24"/>
      <c r="H7" s="448" t="s">
        <v>492</v>
      </c>
      <c r="I7" s="476" t="s">
        <v>475</v>
      </c>
      <c r="J7" s="480"/>
      <c r="K7" s="813" t="s">
        <v>481</v>
      </c>
      <c r="L7" s="462" t="s">
        <v>268</v>
      </c>
      <c r="O7" s="491" t="s">
        <v>500</v>
      </c>
      <c r="P7" s="492" t="s">
        <v>9</v>
      </c>
      <c r="Q7" s="492" t="s">
        <v>501</v>
      </c>
      <c r="R7" s="493" t="s">
        <v>8</v>
      </c>
    </row>
    <row r="8" spans="1:18" s="1" customFormat="1" ht="9" customHeight="1" thickBot="1">
      <c r="A8" s="5"/>
      <c r="B8" s="225"/>
      <c r="C8" s="27"/>
      <c r="D8" s="28"/>
      <c r="E8" s="29"/>
      <c r="F8" s="30"/>
      <c r="G8" s="30"/>
      <c r="H8" s="808"/>
      <c r="I8" s="225"/>
      <c r="J8" s="481"/>
      <c r="K8" s="814"/>
      <c r="L8" s="464"/>
      <c r="O8" s="494"/>
      <c r="P8" s="494"/>
      <c r="Q8" s="494"/>
      <c r="R8" s="495"/>
    </row>
    <row r="9" spans="1:18" s="36" customFormat="1" ht="20" customHeight="1">
      <c r="A9" s="31"/>
      <c r="B9" s="227"/>
      <c r="C9" s="32">
        <v>1</v>
      </c>
      <c r="D9" s="33" t="s">
        <v>480</v>
      </c>
      <c r="E9" s="34"/>
      <c r="F9" s="35"/>
      <c r="G9" s="35"/>
      <c r="H9" s="809">
        <f>PRESUPUESTO!I17</f>
        <v>280000</v>
      </c>
      <c r="I9" s="227"/>
      <c r="J9" s="481"/>
      <c r="K9" s="815">
        <f>H9/$L$6</f>
        <v>2062.6151012891346</v>
      </c>
      <c r="L9" s="465">
        <f>K9*100/K60</f>
        <v>0.13882700266219716</v>
      </c>
      <c r="M9" s="463" t="s">
        <v>268</v>
      </c>
      <c r="N9" s="463"/>
      <c r="O9" s="496" t="e">
        <f>PRESUPUESTO!#REF!</f>
        <v>#REF!</v>
      </c>
      <c r="P9" s="496"/>
      <c r="Q9" s="496" t="e">
        <f>PRESUPUESTO!#REF!</f>
        <v>#REF!</v>
      </c>
      <c r="R9" s="497" t="e">
        <f>SUM(O9:Q9)</f>
        <v>#REF!</v>
      </c>
    </row>
    <row r="10" spans="1:18" s="1" customFormat="1" ht="9" customHeight="1" thickBot="1">
      <c r="A10" s="5"/>
      <c r="B10" s="228"/>
      <c r="C10" s="37"/>
      <c r="D10" s="38"/>
      <c r="E10" s="39"/>
      <c r="F10" s="40"/>
      <c r="G10" s="40"/>
      <c r="H10" s="810"/>
      <c r="I10" s="228"/>
      <c r="J10" s="481"/>
      <c r="K10" s="816"/>
      <c r="L10" s="466"/>
      <c r="O10" s="498"/>
      <c r="P10" s="498"/>
      <c r="Q10" s="498"/>
      <c r="R10" s="499"/>
    </row>
    <row r="11" spans="1:18" s="36" customFormat="1" ht="20" customHeight="1">
      <c r="A11" s="31"/>
      <c r="B11" s="227"/>
      <c r="C11" s="32">
        <v>2</v>
      </c>
      <c r="D11" s="457" t="s">
        <v>479</v>
      </c>
      <c r="E11" s="34"/>
      <c r="F11" s="35"/>
      <c r="G11" s="35"/>
      <c r="H11" s="809">
        <f>PRESUPUESTO!I23</f>
        <v>0</v>
      </c>
      <c r="I11" s="227"/>
      <c r="J11" s="481"/>
      <c r="K11" s="815">
        <f>H11/L6</f>
        <v>0</v>
      </c>
      <c r="L11" s="465">
        <f>K11*100/K60</f>
        <v>0</v>
      </c>
      <c r="M11" s="463" t="s">
        <v>268</v>
      </c>
      <c r="N11" s="463"/>
      <c r="O11" s="496" t="e">
        <f>PRESUPUESTO!#REF!</f>
        <v>#REF!</v>
      </c>
      <c r="P11" s="496" t="e">
        <f>PRESUPUESTO!#REF!</f>
        <v>#REF!</v>
      </c>
      <c r="Q11" s="496" t="e">
        <f>PRESUPUESTO!#REF!</f>
        <v>#REF!</v>
      </c>
      <c r="R11" s="497" t="e">
        <f>SUM(O11:Q11)</f>
        <v>#REF!</v>
      </c>
    </row>
    <row r="12" spans="1:18" s="1" customFormat="1" ht="9" customHeight="1" thickBot="1">
      <c r="A12" s="5"/>
      <c r="B12" s="228"/>
      <c r="C12" s="37"/>
      <c r="D12" s="38"/>
      <c r="E12" s="39"/>
      <c r="F12" s="40"/>
      <c r="G12" s="40"/>
      <c r="H12" s="810"/>
      <c r="I12" s="228"/>
      <c r="J12" s="481"/>
      <c r="K12" s="816"/>
      <c r="L12" s="466"/>
      <c r="O12" s="500"/>
      <c r="P12" s="500"/>
      <c r="Q12" s="500"/>
      <c r="R12" s="501"/>
    </row>
    <row r="13" spans="1:18" s="36" customFormat="1" ht="20" customHeight="1">
      <c r="A13" s="31"/>
      <c r="B13" s="227"/>
      <c r="C13" s="32">
        <v>3</v>
      </c>
      <c r="D13" s="33" t="str">
        <f>PRESUPUESTO!D25</f>
        <v>PRODUCCION</v>
      </c>
      <c r="E13" s="34"/>
      <c r="F13" s="35"/>
      <c r="G13" s="35"/>
      <c r="H13" s="809">
        <f>PRESUPUESTO!I30</f>
        <v>2200000</v>
      </c>
      <c r="I13" s="805"/>
      <c r="J13" s="481"/>
      <c r="K13" s="817">
        <f>H13/L6</f>
        <v>16206.261510128914</v>
      </c>
      <c r="L13" s="465">
        <f>K13*100/K60</f>
        <v>1.0907835923458349</v>
      </c>
      <c r="M13" s="463" t="s">
        <v>268</v>
      </c>
      <c r="N13" s="463"/>
      <c r="O13" s="496" t="e">
        <f>PRESUPUESTO!#REF!</f>
        <v>#REF!</v>
      </c>
      <c r="P13" s="496" t="e">
        <f>PRESUPUESTO!#REF!</f>
        <v>#REF!</v>
      </c>
      <c r="Q13" s="496" t="e">
        <f>PRESUPUESTO!#REF!</f>
        <v>#REF!</v>
      </c>
      <c r="R13" s="497" t="e">
        <f>SUM(O13:Q13)</f>
        <v>#REF!</v>
      </c>
    </row>
    <row r="14" spans="1:18" s="1" customFormat="1" ht="9" customHeight="1" thickBot="1">
      <c r="A14" s="5"/>
      <c r="B14" s="228"/>
      <c r="C14" s="37"/>
      <c r="D14" s="38"/>
      <c r="E14" s="39"/>
      <c r="F14" s="40"/>
      <c r="G14" s="40"/>
      <c r="H14" s="810"/>
      <c r="I14" s="806"/>
      <c r="J14" s="481"/>
      <c r="K14" s="816"/>
      <c r="L14" s="466"/>
      <c r="O14" s="498"/>
      <c r="P14" s="498"/>
      <c r="Q14" s="498"/>
      <c r="R14" s="502"/>
    </row>
    <row r="15" spans="1:18" s="36" customFormat="1" ht="20" customHeight="1">
      <c r="A15" s="31"/>
      <c r="B15" s="227"/>
      <c r="C15" s="32">
        <v>4</v>
      </c>
      <c r="D15" s="33" t="s">
        <v>514</v>
      </c>
      <c r="E15" s="34"/>
      <c r="F15" s="35"/>
      <c r="G15" s="35"/>
      <c r="H15" s="809">
        <f>PRESUPUESTO!I622</f>
        <v>44263215.554688171</v>
      </c>
      <c r="I15" s="805"/>
      <c r="J15" s="481"/>
      <c r="K15" s="815">
        <f>H15/L6</f>
        <v>326064.2029811283</v>
      </c>
      <c r="L15" s="465">
        <f>K15*100/K60</f>
        <v>21.94617694160036</v>
      </c>
      <c r="M15" s="463" t="s">
        <v>268</v>
      </c>
      <c r="N15" s="463"/>
      <c r="O15" s="496" t="e">
        <f>PRESUPUESTO!#REF!</f>
        <v>#REF!</v>
      </c>
      <c r="P15" s="496" t="e">
        <f>PRESUPUESTO!#REF!</f>
        <v>#REF!</v>
      </c>
      <c r="Q15" s="496" t="e">
        <f>PRESUPUESTO!#REF!</f>
        <v>#REF!</v>
      </c>
      <c r="R15" s="497" t="e">
        <f>SUM(O15:Q15)</f>
        <v>#REF!</v>
      </c>
    </row>
    <row r="16" spans="1:18" s="1" customFormat="1" ht="9" customHeight="1" thickBot="1">
      <c r="A16" s="5"/>
      <c r="B16" s="228"/>
      <c r="C16" s="37"/>
      <c r="D16" s="38"/>
      <c r="E16" s="39"/>
      <c r="F16" s="40"/>
      <c r="G16" s="40"/>
      <c r="H16" s="810"/>
      <c r="I16" s="806"/>
      <c r="J16" s="481"/>
      <c r="K16" s="816"/>
      <c r="L16" s="466"/>
      <c r="O16" s="498"/>
      <c r="P16" s="498"/>
      <c r="Q16" s="498"/>
      <c r="R16" s="502"/>
    </row>
    <row r="17" spans="1:18" s="36" customFormat="1" ht="20" customHeight="1">
      <c r="A17" s="31"/>
      <c r="B17" s="227"/>
      <c r="C17" s="32">
        <v>5</v>
      </c>
      <c r="D17" s="33" t="str">
        <f>PRESUPUESTO!D625</f>
        <v xml:space="preserve">ELENCO </v>
      </c>
      <c r="E17" s="34"/>
      <c r="F17" s="35"/>
      <c r="G17" s="35"/>
      <c r="H17" s="809">
        <f>PRESUPUESTO!I672</f>
        <v>14594442.014625</v>
      </c>
      <c r="I17" s="807">
        <v>150000</v>
      </c>
      <c r="J17" s="481"/>
      <c r="K17" s="815">
        <f>(H17/L6)+I17</f>
        <v>257509.70176519337</v>
      </c>
      <c r="L17" s="465">
        <f>K17*100/K60</f>
        <v>17.332026721880773</v>
      </c>
      <c r="M17" s="463" t="s">
        <v>268</v>
      </c>
      <c r="N17" s="463"/>
      <c r="O17" s="496" t="e">
        <f>PRESUPUESTO!#REF!</f>
        <v>#REF!</v>
      </c>
      <c r="P17" s="496" t="e">
        <f>PRESUPUESTO!#REF!</f>
        <v>#REF!</v>
      </c>
      <c r="Q17" s="496" t="e">
        <f>PRESUPUESTO!#REF!</f>
        <v>#REF!</v>
      </c>
      <c r="R17" s="497" t="e">
        <f>SUM(O17:Q17)</f>
        <v>#REF!</v>
      </c>
    </row>
    <row r="18" spans="1:18" s="1" customFormat="1" ht="9" customHeight="1" thickBot="1">
      <c r="A18" s="5"/>
      <c r="B18" s="228"/>
      <c r="C18" s="37"/>
      <c r="D18" s="38"/>
      <c r="E18" s="39"/>
      <c r="F18" s="40"/>
      <c r="G18" s="40"/>
      <c r="H18" s="810"/>
      <c r="I18" s="806"/>
      <c r="J18" s="481"/>
      <c r="K18" s="816"/>
      <c r="L18" s="466"/>
      <c r="O18" s="500"/>
      <c r="P18" s="500"/>
      <c r="Q18" s="500"/>
      <c r="R18" s="501"/>
    </row>
    <row r="19" spans="1:18" s="36" customFormat="1" ht="20" customHeight="1" thickBot="1">
      <c r="A19" s="31"/>
      <c r="B19" s="227"/>
      <c r="C19" s="32">
        <v>6</v>
      </c>
      <c r="D19" s="33" t="str">
        <f>PRESUPUESTO!D675</f>
        <v>CARGAS SOCIALES</v>
      </c>
      <c r="E19" s="34"/>
      <c r="F19" s="35"/>
      <c r="G19" s="35"/>
      <c r="H19" s="809">
        <f>PRESUPUESTO!I682</f>
        <v>14318124.150420522</v>
      </c>
      <c r="I19" s="805"/>
      <c r="J19" s="481"/>
      <c r="K19" s="815">
        <f>H19/L6</f>
        <v>105474.21105282153</v>
      </c>
      <c r="L19" s="465">
        <f>K19*100/K60</f>
        <v>7.0990794983860681</v>
      </c>
      <c r="M19" s="463" t="s">
        <v>268</v>
      </c>
      <c r="N19" s="463"/>
      <c r="O19" s="496" t="e">
        <f>PRESUPUESTO!#REF!</f>
        <v>#REF!</v>
      </c>
      <c r="P19" s="496" t="e">
        <f>PRESUPUESTO!#REF!</f>
        <v>#REF!</v>
      </c>
      <c r="Q19" s="496" t="e">
        <f>PRESUPUESTO!#REF!</f>
        <v>#REF!</v>
      </c>
      <c r="R19" s="497" t="e">
        <f>SUM(O19:Q19)</f>
        <v>#REF!</v>
      </c>
    </row>
    <row r="20" spans="1:18" s="1" customFormat="1" ht="9" customHeight="1" thickBot="1">
      <c r="A20" s="5"/>
      <c r="B20" s="228"/>
      <c r="C20" s="37"/>
      <c r="D20" s="38"/>
      <c r="E20" s="39"/>
      <c r="F20" s="40"/>
      <c r="G20" s="40"/>
      <c r="H20" s="810"/>
      <c r="I20" s="806"/>
      <c r="J20" s="481"/>
      <c r="K20" s="815"/>
      <c r="L20" s="466"/>
      <c r="O20" s="500"/>
      <c r="P20" s="500"/>
      <c r="Q20" s="500"/>
      <c r="R20" s="501"/>
    </row>
    <row r="21" spans="1:18" s="36" customFormat="1" ht="20" customHeight="1" thickBot="1">
      <c r="A21" s="31"/>
      <c r="B21" s="227"/>
      <c r="C21" s="32">
        <v>7</v>
      </c>
      <c r="D21" s="33" t="str">
        <f>PRESUPUESTO!D684</f>
        <v>VESTUARIO</v>
      </c>
      <c r="E21" s="34"/>
      <c r="F21" s="35"/>
      <c r="G21" s="35"/>
      <c r="H21" s="809">
        <f>PRESUPUESTO!I700</f>
        <v>3638400</v>
      </c>
      <c r="I21" s="805"/>
      <c r="J21" s="481"/>
      <c r="K21" s="815">
        <f>H21/L6</f>
        <v>26802.209944751383</v>
      </c>
      <c r="L21" s="465">
        <f>K21*100/K60</f>
        <v>1.8039577374504936</v>
      </c>
      <c r="M21" s="463" t="s">
        <v>268</v>
      </c>
      <c r="N21" s="463"/>
      <c r="O21" s="496" t="e">
        <f>PRESUPUESTO!#REF!</f>
        <v>#REF!</v>
      </c>
      <c r="P21" s="496" t="e">
        <f>PRESUPUESTO!#REF!</f>
        <v>#REF!</v>
      </c>
      <c r="Q21" s="496" t="e">
        <f>PRESUPUESTO!#REF!</f>
        <v>#REF!</v>
      </c>
      <c r="R21" s="497" t="e">
        <f>SUM(O21:Q21)</f>
        <v>#REF!</v>
      </c>
    </row>
    <row r="22" spans="1:18" s="1" customFormat="1" ht="9" customHeight="1" thickBot="1">
      <c r="A22" s="5"/>
      <c r="B22" s="228"/>
      <c r="C22" s="37"/>
      <c r="D22" s="38"/>
      <c r="E22" s="39"/>
      <c r="F22" s="40"/>
      <c r="G22" s="40"/>
      <c r="H22" s="810"/>
      <c r="I22" s="806"/>
      <c r="J22" s="481"/>
      <c r="K22" s="815"/>
      <c r="L22" s="466"/>
      <c r="O22" s="498"/>
      <c r="P22" s="498"/>
      <c r="Q22" s="498"/>
      <c r="R22" s="502"/>
    </row>
    <row r="23" spans="1:18" s="36" customFormat="1" ht="20" customHeight="1" thickBot="1">
      <c r="A23" s="31"/>
      <c r="B23" s="227"/>
      <c r="C23" s="32">
        <v>8</v>
      </c>
      <c r="D23" s="33" t="str">
        <f>PRESUPUESTO!D702</f>
        <v>MAQUILLAJE</v>
      </c>
      <c r="E23" s="34"/>
      <c r="F23" s="35"/>
      <c r="G23" s="35"/>
      <c r="H23" s="809">
        <f>PRESUPUESTO!I709</f>
        <v>580000</v>
      </c>
      <c r="I23" s="805"/>
      <c r="J23" s="481"/>
      <c r="K23" s="815">
        <f>H23/L6</f>
        <v>4272.5598526703498</v>
      </c>
      <c r="L23" s="465">
        <f>K23*100/K60</f>
        <v>0.28757021980026554</v>
      </c>
      <c r="M23" s="463" t="s">
        <v>268</v>
      </c>
      <c r="N23" s="463"/>
      <c r="O23" s="496" t="e">
        <f>PRESUPUESTO!#REF!</f>
        <v>#REF!</v>
      </c>
      <c r="P23" s="496" t="e">
        <f>PRESUPUESTO!#REF!</f>
        <v>#REF!</v>
      </c>
      <c r="Q23" s="496" t="e">
        <f>PRESUPUESTO!#REF!</f>
        <v>#REF!</v>
      </c>
      <c r="R23" s="497" t="e">
        <f>SUM(O23:Q23)</f>
        <v>#REF!</v>
      </c>
    </row>
    <row r="24" spans="1:18" s="1" customFormat="1" ht="9" customHeight="1" thickBot="1">
      <c r="A24" s="5"/>
      <c r="B24" s="228"/>
      <c r="C24" s="37"/>
      <c r="D24" s="38"/>
      <c r="E24" s="39"/>
      <c r="F24" s="40"/>
      <c r="G24" s="40"/>
      <c r="H24" s="810"/>
      <c r="I24" s="806"/>
      <c r="J24" s="481"/>
      <c r="K24" s="815"/>
      <c r="L24" s="466"/>
      <c r="O24" s="500"/>
      <c r="P24" s="500"/>
      <c r="Q24" s="500"/>
      <c r="R24" s="501"/>
    </row>
    <row r="25" spans="1:18" s="36" customFormat="1" ht="20" customHeight="1" thickBot="1">
      <c r="A25" s="31"/>
      <c r="B25" s="227"/>
      <c r="C25" s="32">
        <v>9</v>
      </c>
      <c r="D25" s="33" t="str">
        <f>PRESUPUESTO!D711</f>
        <v>UTILERIA</v>
      </c>
      <c r="E25" s="34"/>
      <c r="F25" s="35"/>
      <c r="G25" s="35"/>
      <c r="H25" s="809">
        <f>PRESUPUESTO!I714</f>
        <v>1923500</v>
      </c>
      <c r="I25" s="805"/>
      <c r="J25" s="481"/>
      <c r="K25" s="815">
        <f>+H25/L6</f>
        <v>14169.429097605893</v>
      </c>
      <c r="L25" s="465">
        <f>K25*100/K60</f>
        <v>0.95369192721691509</v>
      </c>
      <c r="M25" s="463" t="s">
        <v>268</v>
      </c>
      <c r="N25" s="463"/>
      <c r="O25" s="496" t="e">
        <f>PRESUPUESTO!#REF!</f>
        <v>#REF!</v>
      </c>
      <c r="P25" s="496" t="e">
        <f>PRESUPUESTO!#REF!</f>
        <v>#REF!</v>
      </c>
      <c r="Q25" s="496" t="e">
        <f>PRESUPUESTO!#REF!</f>
        <v>#REF!</v>
      </c>
      <c r="R25" s="497" t="e">
        <f>SUM(O25:Q25)</f>
        <v>#REF!</v>
      </c>
    </row>
    <row r="26" spans="1:18" s="1" customFormat="1" ht="9" customHeight="1" thickBot="1">
      <c r="A26" s="5"/>
      <c r="B26" s="228"/>
      <c r="C26" s="37"/>
      <c r="D26" s="38"/>
      <c r="E26" s="39"/>
      <c r="F26" s="40"/>
      <c r="G26" s="40"/>
      <c r="H26" s="810"/>
      <c r="I26" s="806"/>
      <c r="J26" s="481"/>
      <c r="K26" s="815"/>
      <c r="L26" s="466"/>
      <c r="O26" s="498"/>
      <c r="P26" s="498"/>
      <c r="Q26" s="498"/>
      <c r="R26" s="502"/>
    </row>
    <row r="27" spans="1:18" s="36" customFormat="1" ht="20" customHeight="1" thickBot="1">
      <c r="A27" s="31"/>
      <c r="B27" s="227"/>
      <c r="C27" s="32">
        <v>10</v>
      </c>
      <c r="D27" s="33" t="str">
        <f>PRESUPUESTO!D716</f>
        <v>ESCENOGRAFIA</v>
      </c>
      <c r="E27" s="34"/>
      <c r="F27" s="35"/>
      <c r="G27" s="35"/>
      <c r="H27" s="809">
        <f>PRESUPUESTO!I720</f>
        <v>7804500</v>
      </c>
      <c r="I27" s="805"/>
      <c r="J27" s="481"/>
      <c r="K27" s="815">
        <f>H27/L6</f>
        <v>57491.71270718232</v>
      </c>
      <c r="L27" s="465">
        <f>K27*100/K60</f>
        <v>3.8695547938468486</v>
      </c>
      <c r="M27" s="463" t="s">
        <v>268</v>
      </c>
      <c r="N27" s="463"/>
      <c r="O27" s="496" t="e">
        <f>PRESUPUESTO!#REF!</f>
        <v>#REF!</v>
      </c>
      <c r="P27" s="496" t="e">
        <f>PRESUPUESTO!#REF!</f>
        <v>#REF!</v>
      </c>
      <c r="Q27" s="496" t="e">
        <f>PRESUPUESTO!#REF!</f>
        <v>#REF!</v>
      </c>
      <c r="R27" s="497" t="e">
        <f>SUM(O27:Q27)</f>
        <v>#REF!</v>
      </c>
    </row>
    <row r="28" spans="1:18" s="1" customFormat="1" ht="9" customHeight="1" thickBot="1">
      <c r="A28" s="5"/>
      <c r="B28" s="228"/>
      <c r="C28" s="37"/>
      <c r="D28" s="38"/>
      <c r="E28" s="39"/>
      <c r="F28" s="40"/>
      <c r="G28" s="40"/>
      <c r="H28" s="810"/>
      <c r="I28" s="806"/>
      <c r="J28" s="481"/>
      <c r="K28" s="815"/>
      <c r="L28" s="466"/>
      <c r="O28" s="498"/>
      <c r="P28" s="498"/>
      <c r="Q28" s="498"/>
      <c r="R28" s="502"/>
    </row>
    <row r="29" spans="1:18" s="36" customFormat="1" ht="20" customHeight="1" thickBot="1">
      <c r="A29" s="31"/>
      <c r="B29" s="227"/>
      <c r="C29" s="32">
        <v>11</v>
      </c>
      <c r="D29" s="33" t="str">
        <f>PRESUPUESTO!D722</f>
        <v>LOCACIONES</v>
      </c>
      <c r="E29" s="34"/>
      <c r="F29" s="35"/>
      <c r="G29" s="35"/>
      <c r="H29" s="809">
        <f>PRESUPUESTO!I750</f>
        <v>8585200</v>
      </c>
      <c r="I29" s="805"/>
      <c r="J29" s="481"/>
      <c r="K29" s="815">
        <f>H29/L6</f>
        <v>63242.725598526704</v>
      </c>
      <c r="L29" s="465">
        <f>K29*100/K60</f>
        <v>4.2566342259124816</v>
      </c>
      <c r="M29" s="463" t="s">
        <v>268</v>
      </c>
      <c r="N29" s="463"/>
      <c r="O29" s="496" t="e">
        <f>PRESUPUESTO!#REF!</f>
        <v>#REF!</v>
      </c>
      <c r="P29" s="496" t="e">
        <f>PRESUPUESTO!#REF!</f>
        <v>#REF!</v>
      </c>
      <c r="Q29" s="496" t="e">
        <f>PRESUPUESTO!#REF!</f>
        <v>#REF!</v>
      </c>
      <c r="R29" s="497" t="e">
        <f>SUM(O29:Q29)</f>
        <v>#REF!</v>
      </c>
    </row>
    <row r="30" spans="1:18" s="1" customFormat="1" ht="9" customHeight="1" thickBot="1">
      <c r="A30" s="5"/>
      <c r="B30" s="228"/>
      <c r="C30" s="37"/>
      <c r="D30" s="38"/>
      <c r="E30" s="39"/>
      <c r="F30" s="40"/>
      <c r="G30" s="40"/>
      <c r="H30" s="810"/>
      <c r="I30" s="806"/>
      <c r="J30" s="481"/>
      <c r="K30" s="815"/>
      <c r="L30" s="466"/>
      <c r="O30" s="500"/>
      <c r="P30" s="500"/>
      <c r="Q30" s="500"/>
      <c r="R30" s="501"/>
    </row>
    <row r="31" spans="1:18" s="36" customFormat="1" ht="20" customHeight="1" thickBot="1">
      <c r="A31" s="31"/>
      <c r="B31" s="227"/>
      <c r="C31" s="32">
        <v>12</v>
      </c>
      <c r="D31" s="33" t="str">
        <f>PRESUPUESTO!D752</f>
        <v>MATERIAL DE ARCHIVO</v>
      </c>
      <c r="E31" s="34"/>
      <c r="F31" s="35"/>
      <c r="G31" s="35"/>
      <c r="H31" s="809">
        <f>PRESUPUESTO!I755</f>
        <v>360500</v>
      </c>
      <c r="I31" s="805"/>
      <c r="J31" s="481"/>
      <c r="K31" s="815">
        <f>H31/L6</f>
        <v>2655.6169429097604</v>
      </c>
      <c r="L31" s="465">
        <f>K31*100/K60</f>
        <v>0.17873976592757881</v>
      </c>
      <c r="M31" s="463" t="s">
        <v>268</v>
      </c>
      <c r="N31" s="463"/>
      <c r="O31" s="496" t="e">
        <f>PRESUPUESTO!#REF!</f>
        <v>#REF!</v>
      </c>
      <c r="P31" s="496" t="e">
        <f>PRESUPUESTO!#REF!</f>
        <v>#REF!</v>
      </c>
      <c r="Q31" s="496" t="e">
        <f>PRESUPUESTO!#REF!</f>
        <v>#REF!</v>
      </c>
      <c r="R31" s="497" t="e">
        <f>SUM(O31:Q31)</f>
        <v>#REF!</v>
      </c>
    </row>
    <row r="32" spans="1:18" s="1" customFormat="1" ht="9" customHeight="1" thickBot="1">
      <c r="A32" s="5"/>
      <c r="B32" s="228"/>
      <c r="C32" s="37"/>
      <c r="D32" s="38"/>
      <c r="E32" s="39"/>
      <c r="F32" s="40"/>
      <c r="G32" s="40"/>
      <c r="H32" s="810"/>
      <c r="I32" s="806"/>
      <c r="J32" s="481"/>
      <c r="K32" s="815"/>
      <c r="L32" s="466"/>
      <c r="O32" s="498"/>
      <c r="P32" s="498"/>
      <c r="Q32" s="498"/>
      <c r="R32" s="502"/>
    </row>
    <row r="33" spans="1:18" s="36" customFormat="1" ht="20" customHeight="1" thickBot="1">
      <c r="A33" s="31"/>
      <c r="B33" s="227"/>
      <c r="C33" s="32">
        <v>13</v>
      </c>
      <c r="D33" s="33" t="str">
        <f>PRESUPUESTO!D757</f>
        <v>MUSICA</v>
      </c>
      <c r="E33" s="34"/>
      <c r="F33" s="35"/>
      <c r="G33" s="35"/>
      <c r="H33" s="809">
        <f>PRESUPUESTO!I765</f>
        <v>2150802.2199999997</v>
      </c>
      <c r="I33" s="807">
        <v>10000</v>
      </c>
      <c r="J33" s="481"/>
      <c r="K33" s="815">
        <f>(H33/L6)+I33</f>
        <v>25843.846924493555</v>
      </c>
      <c r="L33" s="465">
        <f>K33*100/K60</f>
        <v>1.7394538629847578</v>
      </c>
      <c r="M33" s="463" t="s">
        <v>268</v>
      </c>
      <c r="N33" s="463"/>
      <c r="O33" s="496" t="e">
        <f>PRESUPUESTO!#REF!</f>
        <v>#REF!</v>
      </c>
      <c r="P33" s="496" t="e">
        <f>PRESUPUESTO!#REF!</f>
        <v>#REF!</v>
      </c>
      <c r="Q33" s="496" t="e">
        <f>PRESUPUESTO!#REF!</f>
        <v>#REF!</v>
      </c>
      <c r="R33" s="497" t="e">
        <f>SUM(O33:Q33)</f>
        <v>#REF!</v>
      </c>
    </row>
    <row r="34" spans="1:18" s="1" customFormat="1" ht="9" customHeight="1" thickBot="1">
      <c r="A34" s="5"/>
      <c r="B34" s="228"/>
      <c r="C34" s="37"/>
      <c r="D34" s="38"/>
      <c r="E34" s="39"/>
      <c r="F34" s="40"/>
      <c r="G34" s="40"/>
      <c r="H34" s="810"/>
      <c r="I34" s="806"/>
      <c r="J34" s="481"/>
      <c r="K34" s="815"/>
      <c r="L34" s="466"/>
      <c r="O34" s="498"/>
      <c r="P34" s="498"/>
      <c r="Q34" s="498"/>
      <c r="R34" s="502"/>
    </row>
    <row r="35" spans="1:18" s="36" customFormat="1" ht="20" customHeight="1" thickBot="1">
      <c r="A35" s="31"/>
      <c r="B35" s="227"/>
      <c r="C35" s="32">
        <v>14</v>
      </c>
      <c r="D35" s="33" t="str">
        <f>PRESUPUESTO!D767</f>
        <v>MATERIAL VIRGEN</v>
      </c>
      <c r="E35" s="34"/>
      <c r="F35" s="35"/>
      <c r="G35" s="35"/>
      <c r="H35" s="809">
        <f>PRESUPUESTO!I772</f>
        <v>900400</v>
      </c>
      <c r="I35" s="805"/>
      <c r="J35" s="481"/>
      <c r="K35" s="815">
        <f>H35/L6</f>
        <v>6632.7808471454882</v>
      </c>
      <c r="L35" s="465">
        <f>K35*100/K60</f>
        <v>0.44642797570372256</v>
      </c>
      <c r="M35" s="463" t="s">
        <v>268</v>
      </c>
      <c r="N35" s="463"/>
      <c r="O35" s="496" t="e">
        <f>PRESUPUESTO!#REF!</f>
        <v>#REF!</v>
      </c>
      <c r="P35" s="496" t="e">
        <f>PRESUPUESTO!#REF!</f>
        <v>#REF!</v>
      </c>
      <c r="Q35" s="496" t="e">
        <f>PRESUPUESTO!#REF!</f>
        <v>#REF!</v>
      </c>
      <c r="R35" s="497" t="e">
        <f>SUM(O35:Q35)</f>
        <v>#REF!</v>
      </c>
    </row>
    <row r="36" spans="1:18" s="1" customFormat="1" ht="9" customHeight="1" thickBot="1">
      <c r="A36" s="5"/>
      <c r="B36" s="228"/>
      <c r="C36" s="37"/>
      <c r="D36" s="38"/>
      <c r="E36" s="39"/>
      <c r="F36" s="40"/>
      <c r="G36" s="40"/>
      <c r="H36" s="810"/>
      <c r="I36" s="806"/>
      <c r="J36" s="481"/>
      <c r="K36" s="815"/>
      <c r="L36" s="466"/>
      <c r="O36" s="500"/>
      <c r="P36" s="500"/>
      <c r="Q36" s="500"/>
      <c r="R36" s="501"/>
    </row>
    <row r="37" spans="1:18" s="36" customFormat="1" ht="20" customHeight="1" thickBot="1">
      <c r="A37" s="31"/>
      <c r="B37" s="227"/>
      <c r="C37" s="32">
        <v>15</v>
      </c>
      <c r="D37" s="33" t="str">
        <f>PRESUPUESTO!D774</f>
        <v>PROCESO DE LABORATORIO</v>
      </c>
      <c r="E37" s="34"/>
      <c r="F37" s="35"/>
      <c r="G37" s="35"/>
      <c r="H37" s="809">
        <f>PRESUPUESTO!I804</f>
        <v>7503125</v>
      </c>
      <c r="I37" s="805"/>
      <c r="J37" s="481"/>
      <c r="K37" s="815">
        <f>H37/L6</f>
        <v>55271.639042357274</v>
      </c>
      <c r="L37" s="465">
        <f>K37*100/K60</f>
        <v>3.7201298369635643</v>
      </c>
      <c r="M37" s="463" t="s">
        <v>268</v>
      </c>
      <c r="N37" s="463"/>
      <c r="O37" s="496" t="e">
        <f>PRESUPUESTO!#REF!</f>
        <v>#REF!</v>
      </c>
      <c r="P37" s="496" t="e">
        <f>PRESUPUESTO!#REF!</f>
        <v>#REF!</v>
      </c>
      <c r="Q37" s="496" t="e">
        <f>PRESUPUESTO!#REF!</f>
        <v>#REF!</v>
      </c>
      <c r="R37" s="497" t="e">
        <f>SUM(O37:Q37)</f>
        <v>#REF!</v>
      </c>
    </row>
    <row r="38" spans="1:18" s="1" customFormat="1" ht="9" customHeight="1" thickBot="1">
      <c r="A38" s="5"/>
      <c r="B38" s="228"/>
      <c r="C38" s="37"/>
      <c r="D38" s="38"/>
      <c r="E38" s="39"/>
      <c r="F38" s="40"/>
      <c r="G38" s="40"/>
      <c r="H38" s="810"/>
      <c r="I38" s="228"/>
      <c r="J38" s="481"/>
      <c r="K38" s="815"/>
      <c r="L38" s="466"/>
      <c r="O38" s="500"/>
      <c r="P38" s="500"/>
      <c r="Q38" s="500"/>
      <c r="R38" s="501"/>
    </row>
    <row r="39" spans="1:18" s="36" customFormat="1" ht="20" customHeight="1" thickBot="1">
      <c r="A39" s="31"/>
      <c r="B39" s="227"/>
      <c r="C39" s="32">
        <v>16</v>
      </c>
      <c r="D39" s="33" t="str">
        <f>PRESUPUESTO!D806</f>
        <v>EDICION</v>
      </c>
      <c r="E39" s="34"/>
      <c r="F39" s="35"/>
      <c r="G39" s="35"/>
      <c r="H39" s="809">
        <f>PRESUPUESTO!I815</f>
        <v>2392250</v>
      </c>
      <c r="I39" s="227"/>
      <c r="J39" s="481"/>
      <c r="K39" s="815">
        <f>H39/L6</f>
        <v>17622.467771639043</v>
      </c>
      <c r="L39" s="465">
        <f>K39*100/K60</f>
        <v>1.1861032039951471</v>
      </c>
      <c r="M39" s="463" t="s">
        <v>268</v>
      </c>
      <c r="N39" s="463"/>
      <c r="O39" s="496" t="e">
        <f>PRESUPUESTO!#REF!</f>
        <v>#REF!</v>
      </c>
      <c r="P39" s="496" t="e">
        <f>PRESUPUESTO!#REF!</f>
        <v>#REF!</v>
      </c>
      <c r="Q39" s="496" t="e">
        <f>PRESUPUESTO!#REF!</f>
        <v>#REF!</v>
      </c>
      <c r="R39" s="497" t="e">
        <f>SUM(O39:Q39)</f>
        <v>#REF!</v>
      </c>
    </row>
    <row r="40" spans="1:18" s="1" customFormat="1" ht="9" customHeight="1" thickBot="1">
      <c r="A40" s="5"/>
      <c r="B40" s="228"/>
      <c r="C40" s="37"/>
      <c r="D40" s="38"/>
      <c r="E40" s="39"/>
      <c r="F40" s="40"/>
      <c r="G40" s="40"/>
      <c r="H40" s="810"/>
      <c r="I40" s="228"/>
      <c r="J40" s="481"/>
      <c r="K40" s="815"/>
      <c r="L40" s="466"/>
      <c r="O40" s="498"/>
      <c r="P40" s="498"/>
      <c r="Q40" s="498"/>
      <c r="R40" s="502"/>
    </row>
    <row r="41" spans="1:18" s="36" customFormat="1" ht="20" customHeight="1" thickBot="1">
      <c r="A41" s="31"/>
      <c r="B41" s="227"/>
      <c r="C41" s="32">
        <v>17</v>
      </c>
      <c r="D41" s="33" t="str">
        <f>PRESUPUESTO!D817</f>
        <v>PROCESOS DE SONIDO</v>
      </c>
      <c r="E41" s="34"/>
      <c r="F41" s="35"/>
      <c r="G41" s="35"/>
      <c r="H41" s="809">
        <f>PRESUPUESTO!I864</f>
        <v>11341275</v>
      </c>
      <c r="I41" s="227"/>
      <c r="J41" s="481"/>
      <c r="K41" s="815">
        <f>H41/L6</f>
        <v>83545.303867403316</v>
      </c>
      <c r="L41" s="465">
        <f>K41*100/K60</f>
        <v>5.6231257664918219</v>
      </c>
      <c r="M41" s="463" t="s">
        <v>268</v>
      </c>
      <c r="N41" s="463"/>
      <c r="O41" s="496" t="e">
        <f>PRESUPUESTO!#REF!</f>
        <v>#REF!</v>
      </c>
      <c r="P41" s="496" t="e">
        <f>PRESUPUESTO!#REF!</f>
        <v>#REF!</v>
      </c>
      <c r="Q41" s="496" t="e">
        <f>PRESUPUESTO!#REF!</f>
        <v>#REF!</v>
      </c>
      <c r="R41" s="497" t="e">
        <f>SUM(O41:Q41)</f>
        <v>#REF!</v>
      </c>
    </row>
    <row r="42" spans="1:18" s="1" customFormat="1" ht="9" customHeight="1" thickBot="1">
      <c r="A42" s="5"/>
      <c r="B42" s="228"/>
      <c r="C42" s="37"/>
      <c r="D42" s="38"/>
      <c r="E42" s="39"/>
      <c r="F42" s="40"/>
      <c r="G42" s="40"/>
      <c r="H42" s="810"/>
      <c r="I42" s="228"/>
      <c r="J42" s="481"/>
      <c r="K42" s="815"/>
      <c r="L42" s="466"/>
      <c r="O42" s="500"/>
      <c r="P42" s="500"/>
      <c r="Q42" s="500"/>
      <c r="R42" s="501"/>
    </row>
    <row r="43" spans="1:18" s="36" customFormat="1" ht="20" customHeight="1" thickBot="1">
      <c r="A43" s="31"/>
      <c r="B43" s="227"/>
      <c r="C43" s="32">
        <v>18</v>
      </c>
      <c r="D43" s="33" t="str">
        <f>PRESUPUESTO!D866</f>
        <v>EQUIPOS DE CAMARAS Y LUCES</v>
      </c>
      <c r="E43" s="34"/>
      <c r="F43" s="35"/>
      <c r="G43" s="35"/>
      <c r="H43" s="809">
        <f>PRESUPUESTO!I994</f>
        <v>14439197.199999999</v>
      </c>
      <c r="I43" s="227"/>
      <c r="J43" s="481"/>
      <c r="K43" s="815">
        <f>H43/L6</f>
        <v>106366.0935543278</v>
      </c>
      <c r="L43" s="465">
        <f>K43*100/K60</f>
        <v>7.1591088147299633</v>
      </c>
      <c r="M43" s="463" t="s">
        <v>268</v>
      </c>
      <c r="N43" s="463"/>
      <c r="O43" s="496" t="e">
        <f>PRESUPUESTO!#REF!</f>
        <v>#REF!</v>
      </c>
      <c r="P43" s="496" t="e">
        <f>PRESUPUESTO!#REF!</f>
        <v>#REF!</v>
      </c>
      <c r="Q43" s="496" t="e">
        <f>PRESUPUESTO!#REF!</f>
        <v>#REF!</v>
      </c>
      <c r="R43" s="497" t="e">
        <f>SUM(O43:Q43)</f>
        <v>#REF!</v>
      </c>
    </row>
    <row r="44" spans="1:18" s="1" customFormat="1" ht="9" customHeight="1" thickBot="1">
      <c r="A44" s="5"/>
      <c r="B44" s="228"/>
      <c r="C44" s="37"/>
      <c r="D44" s="38"/>
      <c r="E44" s="39"/>
      <c r="F44" s="40"/>
      <c r="G44" s="40"/>
      <c r="H44" s="810"/>
      <c r="I44" s="228"/>
      <c r="J44" s="481"/>
      <c r="K44" s="815"/>
      <c r="L44" s="466"/>
      <c r="O44" s="500"/>
      <c r="P44" s="500"/>
      <c r="Q44" s="500"/>
      <c r="R44" s="501"/>
    </row>
    <row r="45" spans="1:18" s="36" customFormat="1" ht="20" customHeight="1" thickBot="1">
      <c r="A45" s="31"/>
      <c r="B45" s="227"/>
      <c r="C45" s="32">
        <v>19</v>
      </c>
      <c r="D45" s="33" t="str">
        <f>PRESUPUESTO!D996</f>
        <v>EFECTOS ESPECIALES</v>
      </c>
      <c r="E45" s="34"/>
      <c r="F45" s="35"/>
      <c r="G45" s="35"/>
      <c r="H45" s="809">
        <f>PRESUPUESTO!I999</f>
        <v>250000</v>
      </c>
      <c r="I45" s="227"/>
      <c r="J45" s="481"/>
      <c r="K45" s="815">
        <f>H45/L6</f>
        <v>1841.6206261510129</v>
      </c>
      <c r="L45" s="465">
        <f>K45*100/K60</f>
        <v>0.12395268094839032</v>
      </c>
      <c r="M45" s="463" t="s">
        <v>268</v>
      </c>
      <c r="N45" s="463"/>
      <c r="O45" s="496" t="e">
        <f>PRESUPUESTO!#REF!</f>
        <v>#REF!</v>
      </c>
      <c r="P45" s="496" t="e">
        <f>PRESUPUESTO!#REF!</f>
        <v>#REF!</v>
      </c>
      <c r="Q45" s="496" t="e">
        <f>PRESUPUESTO!#REF!</f>
        <v>#REF!</v>
      </c>
      <c r="R45" s="497" t="e">
        <f>SUM(O45:Q45)</f>
        <v>#REF!</v>
      </c>
    </row>
    <row r="46" spans="1:18" s="1" customFormat="1" ht="9" customHeight="1" thickBot="1">
      <c r="A46" s="5"/>
      <c r="B46" s="228"/>
      <c r="C46" s="37"/>
      <c r="D46" s="38"/>
      <c r="E46" s="39"/>
      <c r="F46" s="40"/>
      <c r="G46" s="40"/>
      <c r="H46" s="810"/>
      <c r="I46" s="228"/>
      <c r="J46" s="481"/>
      <c r="K46" s="815"/>
      <c r="L46" s="466"/>
      <c r="O46" s="498"/>
      <c r="P46" s="498"/>
      <c r="Q46" s="498"/>
      <c r="R46" s="502"/>
    </row>
    <row r="47" spans="1:18" s="36" customFormat="1" ht="20" customHeight="1" thickBot="1">
      <c r="A47" s="31"/>
      <c r="B47" s="227"/>
      <c r="C47" s="32">
        <v>20</v>
      </c>
      <c r="D47" s="33" t="str">
        <f>PRESUPUESTO!D1001</f>
        <v>MOVILIDAD</v>
      </c>
      <c r="E47" s="34"/>
      <c r="F47" s="35"/>
      <c r="G47" s="35"/>
      <c r="H47" s="809">
        <f>PRESUPUESTO!I1031</f>
        <v>13246888</v>
      </c>
      <c r="I47" s="227"/>
      <c r="J47" s="481"/>
      <c r="K47" s="815">
        <f>H47/L6</f>
        <v>97582.968692449358</v>
      </c>
      <c r="L47" s="465">
        <f>K47*100/K60</f>
        <v>6.5679491272922412</v>
      </c>
      <c r="M47" s="463" t="s">
        <v>268</v>
      </c>
      <c r="N47" s="463"/>
      <c r="O47" s="496" t="e">
        <f>PRESUPUESTO!#REF!</f>
        <v>#REF!</v>
      </c>
      <c r="P47" s="496" t="e">
        <f>PRESUPUESTO!#REF!</f>
        <v>#REF!</v>
      </c>
      <c r="Q47" s="496" t="e">
        <f>PRESUPUESTO!#REF!</f>
        <v>#REF!</v>
      </c>
      <c r="R47" s="497" t="e">
        <f>SUM(O47:Q47)</f>
        <v>#REF!</v>
      </c>
    </row>
    <row r="48" spans="1:18" s="1" customFormat="1" ht="9" customHeight="1" thickBot="1">
      <c r="A48" s="5"/>
      <c r="B48" s="228"/>
      <c r="C48" s="37"/>
      <c r="D48" s="38"/>
      <c r="E48" s="39"/>
      <c r="F48" s="40"/>
      <c r="G48" s="40"/>
      <c r="H48" s="810"/>
      <c r="I48" s="228"/>
      <c r="J48" s="481"/>
      <c r="K48" s="815"/>
      <c r="L48" s="466"/>
      <c r="O48" s="500"/>
      <c r="P48" s="500"/>
      <c r="Q48" s="500"/>
      <c r="R48" s="501"/>
    </row>
    <row r="49" spans="1:18" s="36" customFormat="1" ht="20" customHeight="1" thickBot="1">
      <c r="A49" s="31"/>
      <c r="B49" s="227"/>
      <c r="C49" s="32">
        <v>21</v>
      </c>
      <c r="D49" s="33" t="str">
        <f>PRESUPUESTO!D1033</f>
        <v>FUERZA MOTRIZ</v>
      </c>
      <c r="E49" s="34"/>
      <c r="F49" s="35"/>
      <c r="G49" s="35"/>
      <c r="H49" s="809">
        <f>PRESUPUESTO!I1039</f>
        <v>2080000</v>
      </c>
      <c r="I49" s="227"/>
      <c r="J49" s="481"/>
      <c r="K49" s="815">
        <f>H49/L6</f>
        <v>15322.283609576427</v>
      </c>
      <c r="L49" s="465">
        <f>K49*100/K60</f>
        <v>1.0312863054906074</v>
      </c>
      <c r="M49" s="463" t="s">
        <v>268</v>
      </c>
      <c r="N49" s="463"/>
      <c r="O49" s="496" t="e">
        <f>PRESUPUESTO!#REF!</f>
        <v>#REF!</v>
      </c>
      <c r="P49" s="496" t="e">
        <f>PRESUPUESTO!#REF!</f>
        <v>#REF!</v>
      </c>
      <c r="Q49" s="496" t="e">
        <f>PRESUPUESTO!#REF!</f>
        <v>#REF!</v>
      </c>
      <c r="R49" s="497" t="e">
        <f>SUM(O49:Q49)</f>
        <v>#REF!</v>
      </c>
    </row>
    <row r="50" spans="1:18" s="1" customFormat="1" ht="9" customHeight="1" thickBot="1">
      <c r="A50" s="5"/>
      <c r="B50" s="228"/>
      <c r="C50" s="37"/>
      <c r="D50" s="38"/>
      <c r="E50" s="39"/>
      <c r="F50" s="40"/>
      <c r="G50" s="40"/>
      <c r="H50" s="810"/>
      <c r="I50" s="228"/>
      <c r="J50" s="481"/>
      <c r="K50" s="815"/>
      <c r="L50" s="466"/>
      <c r="O50" s="498"/>
      <c r="P50" s="498"/>
      <c r="Q50" s="498"/>
      <c r="R50" s="502"/>
    </row>
    <row r="51" spans="1:18" s="36" customFormat="1" ht="20" customHeight="1" thickBot="1">
      <c r="A51" s="31"/>
      <c r="B51" s="227"/>
      <c r="C51" s="32">
        <v>22</v>
      </c>
      <c r="D51" s="33" t="str">
        <f>PRESUPUESTO!D1041</f>
        <v>COMIDAS y ALOJAMIENTOS</v>
      </c>
      <c r="E51" s="262"/>
      <c r="F51" s="35"/>
      <c r="G51" s="35"/>
      <c r="H51" s="809">
        <f>PRESUPUESTO!I1049</f>
        <v>12370000</v>
      </c>
      <c r="I51" s="227"/>
      <c r="J51" s="481"/>
      <c r="K51" s="815">
        <f>H51/L6</f>
        <v>91123.388581952124</v>
      </c>
      <c r="L51" s="465">
        <f>K51*100/K60</f>
        <v>6.133178653326353</v>
      </c>
      <c r="M51" s="463" t="s">
        <v>268</v>
      </c>
      <c r="N51" s="463"/>
      <c r="O51" s="496" t="e">
        <f>PRESUPUESTO!#REF!</f>
        <v>#REF!</v>
      </c>
      <c r="P51" s="496" t="e">
        <f>PRESUPUESTO!#REF!</f>
        <v>#REF!</v>
      </c>
      <c r="Q51" s="496" t="e">
        <f>PRESUPUESTO!#REF!</f>
        <v>#REF!</v>
      </c>
      <c r="R51" s="497" t="e">
        <f>SUM(O51:Q51)</f>
        <v>#REF!</v>
      </c>
    </row>
    <row r="52" spans="1:18" s="1" customFormat="1" ht="9" customHeight="1" thickBot="1">
      <c r="A52" s="5"/>
      <c r="B52" s="228"/>
      <c r="C52" s="37"/>
      <c r="D52" s="38"/>
      <c r="E52" s="39"/>
      <c r="F52" s="40"/>
      <c r="G52" s="40"/>
      <c r="H52" s="810"/>
      <c r="I52" s="228"/>
      <c r="J52" s="481"/>
      <c r="K52" s="815"/>
      <c r="L52" s="466"/>
      <c r="O52" s="498"/>
      <c r="P52" s="498"/>
      <c r="Q52" s="498"/>
      <c r="R52" s="502"/>
    </row>
    <row r="53" spans="1:18" s="36" customFormat="1" ht="20" customHeight="1" thickBot="1">
      <c r="A53" s="31"/>
      <c r="B53" s="227"/>
      <c r="C53" s="32">
        <v>23</v>
      </c>
      <c r="D53" s="33" t="s">
        <v>478</v>
      </c>
      <c r="E53" s="34"/>
      <c r="F53" s="35"/>
      <c r="G53" s="35"/>
      <c r="H53" s="809">
        <f>PRESUPUESTO!I1062</f>
        <v>5942800</v>
      </c>
      <c r="I53" s="227"/>
      <c r="J53" s="481"/>
      <c r="K53" s="815">
        <f>H53/L6</f>
        <v>43777.532228360957</v>
      </c>
      <c r="L53" s="465">
        <f>K53*100/K60</f>
        <v>2.9465039693603758</v>
      </c>
      <c r="M53" s="463" t="s">
        <v>268</v>
      </c>
      <c r="N53" s="463"/>
      <c r="O53" s="496" t="e">
        <f>PRESUPUESTO!#REF!</f>
        <v>#REF!</v>
      </c>
      <c r="P53" s="496" t="e">
        <f>PRESUPUESTO!#REF!</f>
        <v>#REF!</v>
      </c>
      <c r="Q53" s="496" t="e">
        <f>PRESUPUESTO!#REF!</f>
        <v>#REF!</v>
      </c>
      <c r="R53" s="497" t="e">
        <f>SUM(O53:Q53)</f>
        <v>#REF!</v>
      </c>
    </row>
    <row r="54" spans="1:18" s="1" customFormat="1" ht="9" customHeight="1" thickBot="1">
      <c r="A54" s="5"/>
      <c r="B54" s="228"/>
      <c r="C54" s="37"/>
      <c r="D54" s="38"/>
      <c r="E54" s="39"/>
      <c r="F54" s="40"/>
      <c r="G54" s="40"/>
      <c r="H54" s="810"/>
      <c r="I54" s="228"/>
      <c r="J54" s="481"/>
      <c r="K54" s="815"/>
      <c r="L54" s="466"/>
      <c r="O54" s="500"/>
      <c r="P54" s="500"/>
      <c r="Q54" s="500"/>
      <c r="R54" s="501"/>
    </row>
    <row r="55" spans="1:18" s="36" customFormat="1" ht="20" customHeight="1" thickBot="1">
      <c r="A55" s="31"/>
      <c r="B55" s="227"/>
      <c r="C55" s="32">
        <v>24</v>
      </c>
      <c r="D55" s="33" t="s">
        <v>519</v>
      </c>
      <c r="E55" s="34"/>
      <c r="F55" s="35"/>
      <c r="G55" s="35"/>
      <c r="H55" s="809">
        <f>PRESUPUESTO!I1070</f>
        <v>7087750</v>
      </c>
      <c r="I55" s="227"/>
      <c r="J55" s="481"/>
      <c r="K55" s="815">
        <f>H55/L6</f>
        <v>52211.786372007366</v>
      </c>
      <c r="L55" s="465">
        <f>K55*100/K60</f>
        <v>3.5141824575678138</v>
      </c>
      <c r="M55" s="463" t="s">
        <v>268</v>
      </c>
      <c r="N55" s="463"/>
      <c r="O55" s="496" t="e">
        <f>PRESUPUESTO!#REF!</f>
        <v>#REF!</v>
      </c>
      <c r="P55" s="496" t="e">
        <f>PRESUPUESTO!#REF!</f>
        <v>#REF!</v>
      </c>
      <c r="Q55" s="496" t="e">
        <f>PRESUPUESTO!#REF!</f>
        <v>#REF!</v>
      </c>
      <c r="R55" s="497" t="e">
        <f>SUM(O55:Q55)</f>
        <v>#REF!</v>
      </c>
    </row>
    <row r="56" spans="1:18" s="1" customFormat="1" ht="9" customHeight="1" thickBot="1">
      <c r="A56" s="5"/>
      <c r="B56" s="228"/>
      <c r="C56" s="37"/>
      <c r="D56" s="38"/>
      <c r="E56" s="39"/>
      <c r="F56" s="40"/>
      <c r="G56" s="40"/>
      <c r="H56" s="810"/>
      <c r="I56" s="228"/>
      <c r="J56" s="481"/>
      <c r="K56" s="815"/>
      <c r="L56" s="466"/>
      <c r="O56" s="500"/>
      <c r="P56" s="500"/>
      <c r="Q56" s="500"/>
      <c r="R56" s="501"/>
    </row>
    <row r="57" spans="1:18" s="36" customFormat="1" ht="20" customHeight="1" thickBot="1">
      <c r="A57" s="31"/>
      <c r="B57" s="227"/>
      <c r="C57" s="32">
        <v>25</v>
      </c>
      <c r="D57" s="33" t="str">
        <f>PRESUPUESTO!D1072</f>
        <v>SEGURIDAD</v>
      </c>
      <c r="E57" s="34"/>
      <c r="F57" s="35"/>
      <c r="G57" s="35"/>
      <c r="H57" s="809">
        <f>PRESUPUESTO!I1078</f>
        <v>1717500</v>
      </c>
      <c r="I57" s="227"/>
      <c r="J57" s="481"/>
      <c r="K57" s="815">
        <f>H57/L6</f>
        <v>12651.933701657459</v>
      </c>
      <c r="L57" s="465">
        <f>K57*100/K60</f>
        <v>0.85155491811544159</v>
      </c>
      <c r="M57" s="36" t="s">
        <v>268</v>
      </c>
      <c r="O57" s="496" t="e">
        <f>PRESUPUESTO!#REF!</f>
        <v>#REF!</v>
      </c>
      <c r="P57" s="496" t="e">
        <f>PRESUPUESTO!#REF!</f>
        <v>#REF!</v>
      </c>
      <c r="Q57" s="496" t="e">
        <f>PRESUPUESTO!#REF!</f>
        <v>#REF!</v>
      </c>
      <c r="R57" s="497" t="e">
        <f>SUM(O57:Q57)</f>
        <v>#REF!</v>
      </c>
    </row>
    <row r="58" spans="1:18" s="1" customFormat="1" ht="15" thickBot="1">
      <c r="A58" s="5"/>
      <c r="B58" s="228"/>
      <c r="C58" s="41"/>
      <c r="D58" s="42"/>
      <c r="E58" s="43"/>
      <c r="F58" s="30"/>
      <c r="G58" s="30"/>
      <c r="H58" s="44"/>
      <c r="I58" s="228"/>
      <c r="J58" s="481"/>
      <c r="K58" s="818"/>
      <c r="L58" s="464"/>
      <c r="O58" s="500"/>
      <c r="P58" s="503"/>
      <c r="Q58" s="500"/>
      <c r="R58" s="504"/>
    </row>
    <row r="59" spans="1:18" s="1" customFormat="1" ht="15" thickBot="1">
      <c r="A59" s="5"/>
      <c r="B59" s="228"/>
      <c r="C59" s="27"/>
      <c r="D59" s="582"/>
      <c r="E59" s="29"/>
      <c r="F59" s="30"/>
      <c r="G59" s="30"/>
      <c r="H59" s="583"/>
      <c r="I59" s="228"/>
      <c r="J59" s="481"/>
      <c r="K59" s="818"/>
      <c r="L59" s="464"/>
      <c r="O59" s="584"/>
      <c r="P59" s="584"/>
      <c r="Q59" s="584"/>
      <c r="R59" s="585"/>
    </row>
    <row r="60" spans="1:18" s="48" customFormat="1" ht="20" customHeight="1" thickBot="1">
      <c r="A60" s="45"/>
      <c r="B60" s="227"/>
      <c r="C60" s="216"/>
      <c r="D60" s="46"/>
      <c r="E60" s="47"/>
      <c r="F60" s="899" t="s">
        <v>10</v>
      </c>
      <c r="G60" s="899"/>
      <c r="H60" s="449">
        <f>SUM(H8:H58)</f>
        <v>179969869.13973367</v>
      </c>
      <c r="I60" s="579">
        <f>SUM(I9:I57)</f>
        <v>160000</v>
      </c>
      <c r="J60" s="480"/>
      <c r="K60" s="819">
        <f>SUM(K9:K59)</f>
        <v>1485744.8923737286</v>
      </c>
      <c r="L60" s="467">
        <f>SUM(L9:L59)</f>
        <v>100.00000000000001</v>
      </c>
      <c r="M60" s="463" t="s">
        <v>268</v>
      </c>
      <c r="N60" s="463"/>
      <c r="O60" s="505" t="e">
        <f>SUM(O8:O58)</f>
        <v>#REF!</v>
      </c>
      <c r="P60" s="506" t="e">
        <f>SUM(P8:P58)</f>
        <v>#REF!</v>
      </c>
      <c r="Q60" s="507" t="e">
        <f>SUM(Q8:Q58)</f>
        <v>#REF!</v>
      </c>
      <c r="R60" s="508" t="e">
        <f>SUM(O60:Q60)</f>
        <v>#REF!</v>
      </c>
    </row>
    <row r="61" spans="1:18" s="1" customFormat="1" ht="17" customHeight="1" thickBot="1">
      <c r="A61" s="5"/>
      <c r="B61" s="229"/>
      <c r="C61" s="230"/>
      <c r="D61" s="231"/>
      <c r="E61" s="232"/>
      <c r="F61" s="231"/>
      <c r="G61" s="231"/>
      <c r="H61" s="231"/>
      <c r="I61" s="233"/>
      <c r="J61" s="482"/>
      <c r="K61" s="811"/>
      <c r="M61" s="461"/>
      <c r="N61" s="511"/>
      <c r="O61" s="514"/>
      <c r="P61" s="514"/>
      <c r="Q61" s="514"/>
      <c r="R61" s="512"/>
    </row>
    <row r="62" spans="1:18" s="219" customFormat="1" ht="17" customHeight="1" thickBot="1">
      <c r="A62" s="6"/>
      <c r="B62" s="6"/>
      <c r="C62" s="27"/>
      <c r="D62" s="8"/>
      <c r="E62" s="9"/>
      <c r="F62" s="8"/>
      <c r="G62" s="8"/>
      <c r="H62" s="822"/>
      <c r="I62" s="51"/>
      <c r="J62" s="51"/>
      <c r="K62" s="820"/>
      <c r="M62" s="461"/>
      <c r="N62" s="461"/>
      <c r="O62" s="510"/>
      <c r="P62" s="510" t="s">
        <v>503</v>
      </c>
      <c r="Q62" s="510"/>
      <c r="R62" s="510"/>
    </row>
    <row r="63" spans="1:18" ht="15" hidden="1" thickBot="1">
      <c r="A63" s="6"/>
      <c r="B63" s="6"/>
      <c r="C63" s="27"/>
      <c r="D63" s="8"/>
      <c r="E63" s="9"/>
      <c r="F63" s="8"/>
      <c r="G63" s="8"/>
      <c r="H63" s="8"/>
      <c r="I63" s="217"/>
      <c r="J63" s="217"/>
      <c r="L63" s="217"/>
      <c r="M63" s="461"/>
      <c r="N63" s="461"/>
      <c r="O63" s="510"/>
      <c r="P63" s="510"/>
      <c r="Q63" s="510"/>
      <c r="R63" s="510"/>
    </row>
    <row r="64" spans="1:18" ht="15" hidden="1" thickBot="1">
      <c r="A64" s="6"/>
      <c r="B64" s="6"/>
      <c r="C64" s="27"/>
      <c r="D64" s="8"/>
      <c r="E64" s="9"/>
      <c r="F64" s="8"/>
      <c r="G64" s="8"/>
      <c r="H64" s="8"/>
      <c r="I64" s="354" t="s">
        <v>354</v>
      </c>
      <c r="J64" s="355"/>
      <c r="L64" s="217"/>
      <c r="M64" s="461"/>
      <c r="N64" s="461"/>
      <c r="O64" s="510"/>
      <c r="P64" s="510"/>
      <c r="Q64" s="510"/>
      <c r="R64" s="510"/>
    </row>
    <row r="65" spans="1:18" ht="15" hidden="1" thickBot="1">
      <c r="A65" s="6"/>
      <c r="B65" s="6"/>
      <c r="C65" s="27"/>
      <c r="D65" s="8"/>
      <c r="E65" s="9"/>
      <c r="F65" s="8"/>
      <c r="G65" s="8"/>
      <c r="H65" s="8"/>
      <c r="I65" s="356" t="s">
        <v>355</v>
      </c>
      <c r="J65" s="357"/>
      <c r="L65" s="217"/>
      <c r="M65" s="461"/>
      <c r="N65" s="461"/>
      <c r="O65" s="510"/>
      <c r="P65" s="510"/>
      <c r="Q65" s="510"/>
      <c r="R65" s="510"/>
    </row>
    <row r="66" spans="1:18" ht="15" hidden="1" thickBot="1">
      <c r="A66" s="6"/>
      <c r="B66" s="6"/>
      <c r="C66" s="27"/>
      <c r="D66" s="8"/>
      <c r="E66" s="9"/>
      <c r="F66" s="8"/>
      <c r="G66" s="8"/>
      <c r="H66" s="8"/>
      <c r="I66" s="358" t="s">
        <v>356</v>
      </c>
      <c r="J66" s="359"/>
      <c r="L66" s="217"/>
      <c r="M66" s="461"/>
      <c r="N66" s="461"/>
      <c r="O66" s="510"/>
      <c r="P66" s="510"/>
      <c r="Q66" s="510"/>
      <c r="R66" s="510"/>
    </row>
    <row r="67" spans="1:18" ht="15" hidden="1" thickBot="1">
      <c r="A67" s="6"/>
      <c r="B67" s="6"/>
      <c r="C67" s="27"/>
      <c r="D67" s="8"/>
      <c r="E67" s="9"/>
      <c r="F67" s="8"/>
      <c r="G67" s="8"/>
      <c r="H67" s="8"/>
      <c r="L67" s="217"/>
      <c r="M67" s="461"/>
      <c r="N67" s="461"/>
      <c r="O67" s="510"/>
      <c r="P67" s="510"/>
      <c r="Q67" s="510"/>
      <c r="R67" s="510"/>
    </row>
    <row r="68" spans="1:18" ht="15" thickBot="1">
      <c r="A68" s="6"/>
      <c r="B68" s="6"/>
      <c r="C68" s="27"/>
      <c r="D68" s="8"/>
      <c r="E68" s="9"/>
      <c r="F68" s="8"/>
      <c r="G68" s="8"/>
      <c r="H68" s="8"/>
      <c r="I68" s="456" t="s">
        <v>829</v>
      </c>
      <c r="J68" s="579">
        <f>(H60/ASSUMPTIONS!C3)+I60</f>
        <v>1485744.8923737288</v>
      </c>
      <c r="L68" s="217"/>
      <c r="M68" s="461"/>
      <c r="O68" s="510"/>
      <c r="P68" s="510"/>
      <c r="Q68" s="510" t="s">
        <v>504</v>
      </c>
      <c r="R68" s="510"/>
    </row>
    <row r="69" spans="1:18" ht="15" thickBot="1">
      <c r="A69" s="6"/>
      <c r="B69" s="6"/>
      <c r="C69" s="27"/>
      <c r="D69" s="8"/>
      <c r="E69" s="9"/>
      <c r="F69" s="8"/>
      <c r="G69" s="8"/>
      <c r="H69" s="8"/>
      <c r="I69" s="455" t="s">
        <v>476</v>
      </c>
      <c r="J69" s="453"/>
      <c r="L69" s="431"/>
      <c r="M69" s="461"/>
      <c r="N69" t="s">
        <v>517</v>
      </c>
    </row>
    <row r="70" spans="1:18" ht="15" thickBot="1">
      <c r="A70" s="6"/>
      <c r="B70" s="6"/>
      <c r="C70" s="27"/>
      <c r="D70" s="8"/>
      <c r="E70" s="9"/>
      <c r="F70" s="8"/>
      <c r="G70" s="8"/>
      <c r="H70" s="8"/>
      <c r="I70" s="451" t="s">
        <v>477</v>
      </c>
      <c r="J70" s="454">
        <f>SUM(J68:J69)</f>
        <v>1485744.8923737288</v>
      </c>
      <c r="L70" s="431"/>
      <c r="M70" s="461"/>
      <c r="N70" s="516">
        <v>113</v>
      </c>
      <c r="O70" s="496" t="e">
        <f>O60/N70</f>
        <v>#REF!</v>
      </c>
      <c r="P70" s="496" t="e">
        <f>P60/N70</f>
        <v>#REF!</v>
      </c>
      <c r="Q70" s="496" t="e">
        <f>Q60/N70</f>
        <v>#REF!</v>
      </c>
    </row>
    <row r="71" spans="1:18" ht="14" hidden="1">
      <c r="A71" s="6"/>
      <c r="B71" s="6"/>
      <c r="C71" s="27"/>
      <c r="D71" s="8"/>
      <c r="E71" s="9"/>
      <c r="F71" s="8"/>
      <c r="G71" s="8"/>
      <c r="H71" s="8"/>
      <c r="L71" s="217"/>
      <c r="M71" s="461"/>
      <c r="N71" s="455" t="s">
        <v>506</v>
      </c>
      <c r="O71" s="496"/>
      <c r="P71" s="496">
        <f>I60</f>
        <v>160000</v>
      </c>
      <c r="Q71" s="496"/>
    </row>
    <row r="72" spans="1:18" ht="15" hidden="1" thickBot="1">
      <c r="A72" s="6"/>
      <c r="B72" s="6"/>
      <c r="C72" s="27"/>
      <c r="D72" s="8"/>
      <c r="E72" s="9"/>
      <c r="F72" s="8"/>
      <c r="G72" s="8"/>
      <c r="H72" s="8"/>
      <c r="L72" s="217"/>
      <c r="M72" s="461"/>
      <c r="N72" s="455" t="s">
        <v>507</v>
      </c>
      <c r="O72" s="496"/>
      <c r="P72" s="496"/>
      <c r="Q72" s="496">
        <f>J69</f>
        <v>0</v>
      </c>
    </row>
    <row r="73" spans="1:18" ht="15" hidden="1" thickBot="1">
      <c r="A73" s="6"/>
      <c r="B73" s="6"/>
      <c r="C73" s="27"/>
      <c r="D73" s="8"/>
      <c r="E73" s="9"/>
      <c r="F73" s="8"/>
      <c r="G73" s="8"/>
      <c r="H73" s="8"/>
      <c r="L73" s="217"/>
      <c r="M73" s="461"/>
      <c r="N73" s="461"/>
      <c r="O73" s="506" t="e">
        <f>SUM(O70:O72)</f>
        <v>#REF!</v>
      </c>
      <c r="P73" s="506" t="e">
        <f>SUM(P70:P72)</f>
        <v>#REF!</v>
      </c>
      <c r="Q73" s="506" t="e">
        <f>SUM(Q70:Q72)</f>
        <v>#REF!</v>
      </c>
      <c r="R73" s="510" t="e">
        <f>SUM(O73:Q73)</f>
        <v>#REF!</v>
      </c>
    </row>
    <row r="74" spans="1:18" ht="14" hidden="1">
      <c r="A74" s="6"/>
      <c r="B74" s="6"/>
      <c r="C74" s="27"/>
      <c r="D74" s="8"/>
      <c r="E74" s="9"/>
      <c r="F74" s="8"/>
      <c r="G74" s="8"/>
      <c r="H74" s="8"/>
      <c r="L74" s="580" t="s">
        <v>493</v>
      </c>
      <c r="M74" s="461"/>
      <c r="N74" s="513" t="s">
        <v>268</v>
      </c>
      <c r="O74" s="515" t="e">
        <f>O73*100/R73</f>
        <v>#REF!</v>
      </c>
      <c r="P74" s="515" t="e">
        <f>P73*100/R73</f>
        <v>#REF!</v>
      </c>
      <c r="Q74" s="515" t="e">
        <f>Q73*100/R73</f>
        <v>#REF!</v>
      </c>
      <c r="R74" t="e">
        <f>SUM(O74:Q74)</f>
        <v>#REF!</v>
      </c>
    </row>
    <row r="75" spans="1:18" ht="14" hidden="1">
      <c r="A75" s="6"/>
      <c r="B75" s="6"/>
      <c r="C75" s="27"/>
      <c r="D75" s="8"/>
      <c r="E75" s="9"/>
      <c r="F75" s="8"/>
      <c r="G75" s="8"/>
      <c r="H75" s="8"/>
      <c r="L75" s="581">
        <f>J70-J79</f>
        <v>72452.042038059793</v>
      </c>
      <c r="M75" s="461"/>
      <c r="O75" s="515"/>
      <c r="P75" s="515"/>
      <c r="Q75" s="515"/>
    </row>
    <row r="76" spans="1:18" ht="15" hidden="1" thickBot="1">
      <c r="A76" s="6"/>
      <c r="B76" s="6"/>
      <c r="C76" s="27"/>
      <c r="D76" s="8"/>
      <c r="E76" s="9"/>
      <c r="F76" s="8"/>
      <c r="G76" s="8"/>
      <c r="H76" s="8"/>
      <c r="L76" s="217"/>
      <c r="M76" s="461"/>
      <c r="N76" s="461"/>
      <c r="O76" s="515"/>
      <c r="P76" s="515"/>
      <c r="Q76" s="515"/>
    </row>
    <row r="77" spans="1:18" ht="15" hidden="1" thickBot="1">
      <c r="A77" s="6"/>
      <c r="B77" s="6"/>
      <c r="C77" s="27"/>
      <c r="D77" s="8"/>
      <c r="E77" s="9"/>
      <c r="F77" s="8"/>
      <c r="G77" s="8"/>
      <c r="H77" s="8"/>
      <c r="I77" s="456" t="s">
        <v>516</v>
      </c>
      <c r="J77" s="452">
        <f>(H60/160)+I60</f>
        <v>1284811.6821233355</v>
      </c>
      <c r="L77" s="217"/>
      <c r="M77" s="461"/>
      <c r="N77" s="516" t="s">
        <v>505</v>
      </c>
      <c r="O77" s="496" t="e">
        <f>O60/140</f>
        <v>#REF!</v>
      </c>
      <c r="P77" s="496" t="e">
        <f>P60/140</f>
        <v>#REF!</v>
      </c>
      <c r="Q77" s="496" t="e">
        <f>Q60/140</f>
        <v>#REF!</v>
      </c>
    </row>
    <row r="78" spans="1:18" ht="15" hidden="1" thickBot="1">
      <c r="A78" s="6"/>
      <c r="B78" s="6"/>
      <c r="C78" s="27"/>
      <c r="D78" s="8"/>
      <c r="E78" s="9"/>
      <c r="F78" s="8"/>
      <c r="G78" s="8"/>
      <c r="H78" s="8"/>
      <c r="I78" s="455" t="s">
        <v>476</v>
      </c>
      <c r="J78" s="453">
        <f>J77*10%</f>
        <v>128481.16821233356</v>
      </c>
      <c r="L78" s="217"/>
      <c r="M78" s="461"/>
      <c r="N78" s="455" t="s">
        <v>506</v>
      </c>
      <c r="O78" s="496"/>
      <c r="P78" s="496">
        <f>I60</f>
        <v>160000</v>
      </c>
      <c r="Q78" s="496"/>
    </row>
    <row r="79" spans="1:18" ht="15" hidden="1" thickBot="1">
      <c r="A79" s="6"/>
      <c r="B79" s="6"/>
      <c r="C79" s="27"/>
      <c r="D79" s="8"/>
      <c r="E79" s="9"/>
      <c r="F79" s="8"/>
      <c r="G79" s="8"/>
      <c r="H79" s="8"/>
      <c r="I79" s="451" t="s">
        <v>477</v>
      </c>
      <c r="J79" s="454">
        <f>SUM(J77:J78)</f>
        <v>1413292.850335669</v>
      </c>
      <c r="L79" s="217"/>
      <c r="M79" s="461"/>
      <c r="N79" s="455" t="s">
        <v>507</v>
      </c>
      <c r="O79" s="496"/>
      <c r="P79" s="496"/>
      <c r="Q79" s="496">
        <f>J78</f>
        <v>128481.16821233356</v>
      </c>
    </row>
    <row r="80" spans="1:18" ht="15" hidden="1" thickBot="1">
      <c r="A80" s="6"/>
      <c r="B80" s="6"/>
      <c r="C80" s="27"/>
      <c r="D80" s="8"/>
      <c r="E80" s="9"/>
      <c r="F80" s="8"/>
      <c r="G80" s="8"/>
      <c r="H80" s="8"/>
      <c r="L80" s="217"/>
      <c r="M80" s="461"/>
      <c r="N80" s="461"/>
      <c r="O80" s="506" t="e">
        <f>SUM(O77:O79)</f>
        <v>#REF!</v>
      </c>
      <c r="P80" s="506" t="e">
        <f>SUM(P77:P79)</f>
        <v>#REF!</v>
      </c>
      <c r="Q80" s="506" t="e">
        <f>SUM(Q77:Q79)</f>
        <v>#REF!</v>
      </c>
      <c r="R80" s="510" t="e">
        <f>SUM(O80:Q80)</f>
        <v>#REF!</v>
      </c>
    </row>
    <row r="81" spans="1:18" ht="14" hidden="1">
      <c r="A81" s="6"/>
      <c r="B81" s="6"/>
      <c r="C81" s="27"/>
      <c r="D81" s="8"/>
      <c r="E81" s="9"/>
      <c r="F81" s="8"/>
      <c r="G81" s="8"/>
      <c r="H81" s="8"/>
      <c r="L81" s="217"/>
      <c r="M81" s="461"/>
      <c r="N81" s="513" t="s">
        <v>268</v>
      </c>
      <c r="O81" s="515" t="e">
        <f>O80*100/R80</f>
        <v>#REF!</v>
      </c>
      <c r="P81" s="515" t="e">
        <f>P80*100/R80</f>
        <v>#REF!</v>
      </c>
      <c r="Q81" s="515" t="e">
        <f>Q80*100/R80</f>
        <v>#REF!</v>
      </c>
      <c r="R81" t="e">
        <f>SUM(O81:Q81)</f>
        <v>#REF!</v>
      </c>
    </row>
    <row r="82" spans="1:18" ht="14" hidden="1">
      <c r="A82" s="6"/>
      <c r="B82" s="6"/>
      <c r="C82" s="27"/>
      <c r="D82" s="8"/>
      <c r="E82" s="9"/>
      <c r="F82" s="8"/>
      <c r="G82" s="8"/>
      <c r="H82" s="8"/>
      <c r="L82" s="217"/>
      <c r="M82" s="461"/>
      <c r="N82" s="461"/>
    </row>
    <row r="83" spans="1:18" ht="14" hidden="1">
      <c r="A83" s="6"/>
      <c r="B83" s="6"/>
      <c r="C83" s="27"/>
      <c r="D83" s="8"/>
      <c r="E83" s="9"/>
      <c r="F83" s="8"/>
      <c r="G83" s="8"/>
      <c r="H83" s="8"/>
      <c r="L83" s="217"/>
      <c r="M83" s="461"/>
      <c r="N83" s="461"/>
    </row>
    <row r="84" spans="1:18" ht="14" hidden="1">
      <c r="A84" s="6"/>
      <c r="B84" s="6"/>
      <c r="C84" s="27"/>
      <c r="D84" s="8"/>
      <c r="E84" s="9"/>
      <c r="F84" s="8"/>
      <c r="G84" s="8"/>
      <c r="H84" s="8"/>
      <c r="L84" s="217"/>
      <c r="M84" s="461"/>
      <c r="N84" s="461"/>
    </row>
    <row r="85" spans="1:18" ht="14" hidden="1">
      <c r="A85" s="6"/>
      <c r="B85" s="6"/>
      <c r="C85" s="27"/>
      <c r="D85" s="8"/>
      <c r="E85" s="9"/>
      <c r="F85" s="8"/>
      <c r="G85" s="8"/>
      <c r="H85" s="8"/>
      <c r="L85" s="431"/>
      <c r="M85" s="461"/>
      <c r="N85" s="461"/>
    </row>
    <row r="86" spans="1:18" ht="14" hidden="1">
      <c r="A86" s="6"/>
      <c r="B86" s="6"/>
      <c r="C86" s="27"/>
      <c r="D86" s="8"/>
      <c r="E86" s="9"/>
      <c r="F86" s="8"/>
      <c r="G86" s="8"/>
      <c r="H86" s="8"/>
      <c r="L86" s="217"/>
      <c r="M86" s="461"/>
      <c r="N86" s="461"/>
    </row>
    <row r="87" spans="1:18" ht="14">
      <c r="A87" s="6"/>
      <c r="B87" s="6"/>
      <c r="C87" s="27"/>
      <c r="D87" s="8"/>
      <c r="E87" s="9"/>
      <c r="F87" s="8"/>
      <c r="G87" s="8"/>
      <c r="H87" s="8"/>
      <c r="I87" s="8"/>
      <c r="J87" s="8"/>
      <c r="L87" s="217"/>
      <c r="M87" s="461"/>
      <c r="N87" s="461"/>
    </row>
    <row r="88" spans="1:18" ht="14">
      <c r="A88" s="6"/>
      <c r="B88" s="6"/>
      <c r="C88" s="27"/>
      <c r="D88" s="8"/>
      <c r="E88" s="9"/>
      <c r="F88" s="8"/>
      <c r="G88" s="8"/>
      <c r="H88" s="8"/>
      <c r="I88" s="8"/>
      <c r="J88" s="8"/>
      <c r="K88" s="821"/>
      <c r="L88" s="217"/>
      <c r="M88" s="461"/>
      <c r="N88" s="461"/>
    </row>
    <row r="89" spans="1:18" ht="14">
      <c r="A89" s="6"/>
      <c r="B89" s="6"/>
      <c r="C89" s="27"/>
      <c r="D89" s="8"/>
      <c r="E89" s="9"/>
      <c r="F89" s="8"/>
      <c r="G89" s="8"/>
      <c r="H89" s="8"/>
      <c r="I89" s="8"/>
      <c r="J89" s="8"/>
      <c r="K89" s="821"/>
      <c r="L89" s="217"/>
      <c r="M89" s="461"/>
      <c r="N89" s="461"/>
    </row>
    <row r="90" spans="1:18" ht="14">
      <c r="A90" s="6"/>
      <c r="B90" s="6"/>
      <c r="C90" s="27"/>
      <c r="D90" s="8"/>
      <c r="E90" s="9"/>
      <c r="F90" s="8"/>
      <c r="G90" s="8"/>
      <c r="H90" s="825" t="s">
        <v>814</v>
      </c>
      <c r="I90" s="825"/>
      <c r="J90" s="826">
        <v>135.75</v>
      </c>
      <c r="K90" s="827">
        <f>+H60/J90+I60</f>
        <v>1485744.8923737288</v>
      </c>
      <c r="L90" s="217"/>
      <c r="M90" s="461"/>
      <c r="N90" s="461"/>
    </row>
    <row r="91" spans="1:18">
      <c r="H91" s="825" t="s">
        <v>815</v>
      </c>
      <c r="I91" s="825"/>
      <c r="J91" s="826">
        <v>322</v>
      </c>
      <c r="K91" s="828">
        <f>+H60/J91+I60</f>
        <v>718912.63707991829</v>
      </c>
      <c r="L91" s="217"/>
      <c r="M91" s="217"/>
      <c r="N91" s="217"/>
    </row>
    <row r="92" spans="1:18">
      <c r="H92" s="825" t="s">
        <v>816</v>
      </c>
      <c r="I92" s="825"/>
      <c r="J92" s="826">
        <v>333</v>
      </c>
      <c r="K92" s="828">
        <f>+H60/J92+I60</f>
        <v>700450.0574766777</v>
      </c>
      <c r="L92" s="217"/>
      <c r="M92" s="217"/>
      <c r="N92" s="217"/>
    </row>
    <row r="93" spans="1:18">
      <c r="L93" s="217"/>
      <c r="M93" s="217"/>
      <c r="N93" s="217"/>
    </row>
  </sheetData>
  <mergeCells count="4">
    <mergeCell ref="C4:C6"/>
    <mergeCell ref="D4:D6"/>
    <mergeCell ref="F60:G60"/>
    <mergeCell ref="O4:R6"/>
  </mergeCells>
  <pageMargins left="0.70866141732283472" right="0.70866141732283472" top="0.74803149606299213" bottom="0.74803149606299213" header="0.31496062992125984" footer="0.31496062992125984"/>
  <pageSetup scale="64" fitToHeight="2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W25"/>
  <sheetViews>
    <sheetView zoomScale="85" zoomScaleNormal="85" workbookViewId="0">
      <selection activeCell="B15" sqref="B15"/>
    </sheetView>
  </sheetViews>
  <sheetFormatPr baseColWidth="10" defaultColWidth="11.5" defaultRowHeight="13"/>
  <cols>
    <col min="1" max="1" width="11.5" style="592"/>
    <col min="2" max="3" width="17.1640625" style="592" bestFit="1" customWidth="1"/>
    <col min="4" max="6" width="17.1640625" style="589" bestFit="1" customWidth="1"/>
    <col min="7" max="7" width="17.1640625" style="590" bestFit="1" customWidth="1"/>
    <col min="8" max="8" width="18.33203125" style="591" bestFit="1" customWidth="1"/>
    <col min="9" max="15" width="18.33203125" style="592" bestFit="1" customWidth="1"/>
    <col min="16" max="17" width="17.1640625" style="592" bestFit="1" customWidth="1"/>
    <col min="18" max="19" width="15.1640625" style="592" bestFit="1" customWidth="1"/>
    <col min="20" max="20" width="17.1640625" style="592" bestFit="1" customWidth="1"/>
    <col min="21" max="22" width="15.1640625" style="592" bestFit="1" customWidth="1"/>
    <col min="23" max="23" width="17.1640625" style="592" bestFit="1" customWidth="1"/>
    <col min="24" max="16384" width="11.5" style="592"/>
  </cols>
  <sheetData>
    <row r="1" spans="2:23" ht="18">
      <c r="B1" s="804"/>
      <c r="C1" s="804"/>
      <c r="D1" s="804"/>
      <c r="E1" s="804"/>
      <c r="F1" s="804"/>
      <c r="G1" s="804"/>
      <c r="H1" s="804"/>
      <c r="I1" s="804"/>
      <c r="J1" s="901" t="s">
        <v>534</v>
      </c>
      <c r="K1" s="901"/>
      <c r="L1" s="901"/>
      <c r="M1" s="901"/>
      <c r="N1" s="901"/>
      <c r="O1" s="901"/>
      <c r="P1" s="901"/>
      <c r="Q1" s="901"/>
      <c r="R1" s="901"/>
      <c r="S1" s="901"/>
      <c r="T1" s="901"/>
      <c r="U1" s="901"/>
      <c r="V1" s="901"/>
      <c r="W1" s="901"/>
    </row>
    <row r="2" spans="2:23" ht="14">
      <c r="B2" s="902" t="s">
        <v>525</v>
      </c>
      <c r="C2" s="902"/>
      <c r="D2" s="902"/>
      <c r="E2" s="902"/>
      <c r="F2" s="902"/>
      <c r="G2" s="902"/>
      <c r="H2" s="902"/>
      <c r="I2" s="902"/>
      <c r="J2" s="903" t="s">
        <v>9</v>
      </c>
      <c r="K2" s="903"/>
      <c r="L2" s="903"/>
      <c r="M2" s="903"/>
      <c r="N2" s="903"/>
      <c r="O2" s="903"/>
      <c r="P2" s="543"/>
      <c r="Q2" s="543"/>
      <c r="R2" s="543"/>
      <c r="S2" s="543"/>
      <c r="T2" s="543"/>
      <c r="U2" s="543"/>
      <c r="V2" s="543"/>
      <c r="W2" s="543"/>
    </row>
    <row r="3" spans="2:23" ht="16">
      <c r="B3" s="796" t="s">
        <v>541</v>
      </c>
      <c r="C3" s="904" t="s">
        <v>542</v>
      </c>
      <c r="D3" s="904"/>
      <c r="E3" s="904"/>
      <c r="F3" s="904"/>
      <c r="G3" s="904"/>
      <c r="H3" s="904" t="s">
        <v>543</v>
      </c>
      <c r="I3" s="904"/>
      <c r="J3" s="904"/>
      <c r="K3" s="904"/>
      <c r="L3" s="904" t="s">
        <v>544</v>
      </c>
      <c r="M3" s="904"/>
      <c r="N3" s="904"/>
      <c r="O3" s="904"/>
      <c r="P3" s="904"/>
      <c r="Q3" s="904" t="s">
        <v>545</v>
      </c>
      <c r="R3" s="904"/>
      <c r="S3" s="904"/>
      <c r="T3" s="904"/>
      <c r="U3" s="904" t="s">
        <v>546</v>
      </c>
      <c r="V3" s="904"/>
      <c r="W3" s="904"/>
    </row>
    <row r="4" spans="2:23" ht="14">
      <c r="B4" s="657">
        <v>44767</v>
      </c>
      <c r="C4" s="657">
        <v>44774</v>
      </c>
      <c r="D4" s="657">
        <v>44781</v>
      </c>
      <c r="E4" s="657">
        <v>44788</v>
      </c>
      <c r="F4" s="657">
        <v>44795</v>
      </c>
      <c r="G4" s="657">
        <v>44802</v>
      </c>
      <c r="H4" s="657">
        <v>44809</v>
      </c>
      <c r="I4" s="657">
        <v>44816</v>
      </c>
      <c r="J4" s="657">
        <v>44823</v>
      </c>
      <c r="K4" s="657">
        <v>44830</v>
      </c>
      <c r="L4" s="657">
        <v>44837</v>
      </c>
      <c r="M4" s="657">
        <v>44844</v>
      </c>
      <c r="N4" s="657">
        <v>44851</v>
      </c>
      <c r="O4" s="657">
        <v>44858</v>
      </c>
      <c r="P4" s="657">
        <v>44865</v>
      </c>
      <c r="Q4" s="657">
        <v>44872</v>
      </c>
      <c r="R4" s="657">
        <v>44879</v>
      </c>
      <c r="S4" s="657">
        <v>44886</v>
      </c>
      <c r="T4" s="657">
        <v>44893</v>
      </c>
      <c r="U4" s="657">
        <v>44900</v>
      </c>
      <c r="V4" s="657">
        <v>44907</v>
      </c>
      <c r="W4" s="657">
        <v>44914</v>
      </c>
    </row>
    <row r="5" spans="2:23" ht="14">
      <c r="B5" s="795">
        <f>PRESUPUESTO!O1081</f>
        <v>1375299.0592980804</v>
      </c>
      <c r="C5" s="795">
        <f>PRESUPUESTO!P1081</f>
        <v>1325299.0592980804</v>
      </c>
      <c r="D5" s="795">
        <f>PRESUPUESTO!Q1081</f>
        <v>1983016.6640052455</v>
      </c>
      <c r="E5" s="795">
        <f>PRESUPUESTO!R1081</f>
        <v>6156906.664005246</v>
      </c>
      <c r="F5" s="795">
        <f>PRESUPUESTO!S1081</f>
        <v>2335950.214326065</v>
      </c>
      <c r="G5" s="795">
        <f>PRESUPUESTO!T1081</f>
        <v>3987094.0540611967</v>
      </c>
      <c r="H5" s="795">
        <f>PRESUPUESTO!U1081</f>
        <v>10985292.196576683</v>
      </c>
      <c r="I5" s="795">
        <f>PRESUPUESTO!V1081</f>
        <v>17111224.127138153</v>
      </c>
      <c r="J5" s="795">
        <f>PRESUPUESTO!W1081</f>
        <v>20312152.211858578</v>
      </c>
      <c r="K5" s="795">
        <f>PRESUPUESTO!X1081</f>
        <v>22051600.277236469</v>
      </c>
      <c r="L5" s="795">
        <f>PRESUPUESTO!Y1081</f>
        <v>16097890.608857526</v>
      </c>
      <c r="M5" s="795">
        <f>PRESUPUESTO!Z1081</f>
        <v>16460595.194045808</v>
      </c>
      <c r="N5" s="795">
        <f>PRESUPUESTO!AA1081</f>
        <v>25389658.194507387</v>
      </c>
      <c r="O5" s="795">
        <f>PRESUPUESTO!AB1081</f>
        <v>14645882.634103738</v>
      </c>
      <c r="P5" s="795">
        <f>PRESUPUESTO!AC1081</f>
        <v>3690261.7863266235</v>
      </c>
      <c r="Q5" s="795">
        <f>PRESUPUESTO!AD1081</f>
        <v>8710241.281955909</v>
      </c>
      <c r="R5" s="795">
        <f>PRESUPUESTO!AE1081</f>
        <v>587274.27727672993</v>
      </c>
      <c r="S5" s="795">
        <f>PRESUPUESTO!AF1081</f>
        <v>272111.01473326498</v>
      </c>
      <c r="T5" s="795">
        <f>PRESUPUESTO!AG1081</f>
        <v>2606366.0147332652</v>
      </c>
      <c r="U5" s="795">
        <f>PRESUPUESTO!AH1081</f>
        <v>272111.01473326498</v>
      </c>
      <c r="V5" s="795">
        <f>PRESUPUESTO!AI1081</f>
        <v>552111.01473326504</v>
      </c>
      <c r="W5" s="795">
        <f>PRESUPUESTO!AJ1081</f>
        <v>3187710.4362972649</v>
      </c>
    </row>
    <row r="6" spans="2:23">
      <c r="B6" s="543"/>
      <c r="C6" s="543"/>
      <c r="D6" s="543"/>
      <c r="E6" s="543"/>
      <c r="F6" s="543"/>
      <c r="G6" s="543"/>
      <c r="H6" s="543"/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</row>
    <row r="7" spans="2:23">
      <c r="B7" s="543"/>
      <c r="C7" s="543"/>
      <c r="D7" s="543"/>
      <c r="E7" s="543"/>
      <c r="F7" s="543"/>
      <c r="G7" s="543"/>
      <c r="H7" s="543"/>
      <c r="I7" s="543"/>
      <c r="J7" s="543"/>
      <c r="K7" s="543"/>
      <c r="L7" s="543"/>
      <c r="M7" s="543"/>
      <c r="N7" s="543"/>
      <c r="O7" s="543"/>
      <c r="P7" s="543"/>
      <c r="Q7" s="543"/>
      <c r="R7" s="543"/>
      <c r="S7" s="543"/>
      <c r="T7" s="543"/>
      <c r="U7" s="543"/>
      <c r="V7" s="543"/>
      <c r="W7" s="543"/>
    </row>
    <row r="8" spans="2:23">
      <c r="B8" s="543"/>
      <c r="C8" s="543"/>
      <c r="D8" s="543"/>
      <c r="E8" s="543"/>
      <c r="F8" s="543"/>
      <c r="G8" s="543"/>
      <c r="H8" s="543"/>
      <c r="I8" s="543"/>
      <c r="J8" s="543"/>
      <c r="K8" s="543"/>
      <c r="L8" s="543"/>
      <c r="M8" s="543"/>
      <c r="N8" s="543"/>
      <c r="O8" s="543"/>
      <c r="P8" s="543"/>
      <c r="Q8" s="543"/>
      <c r="R8" s="543"/>
      <c r="S8" s="543"/>
      <c r="T8" s="543"/>
      <c r="U8" s="543"/>
      <c r="V8" s="543"/>
      <c r="W8" s="543"/>
    </row>
    <row r="9" spans="2:23">
      <c r="B9" s="543"/>
      <c r="C9" s="543"/>
      <c r="D9" s="543"/>
      <c r="E9" s="543"/>
      <c r="F9" s="543"/>
      <c r="G9" s="543"/>
      <c r="H9" s="543"/>
      <c r="I9" s="543"/>
      <c r="J9" s="543"/>
      <c r="K9" s="543"/>
      <c r="L9" s="543"/>
      <c r="M9" s="543"/>
      <c r="N9" s="543"/>
      <c r="O9" s="543"/>
      <c r="P9" s="543"/>
      <c r="Q9" s="543"/>
      <c r="R9" s="543"/>
      <c r="S9" s="543"/>
      <c r="T9" s="543"/>
      <c r="U9" s="543"/>
      <c r="V9" s="543"/>
      <c r="W9" s="543"/>
    </row>
    <row r="10" spans="2:23" ht="5" customHeight="1">
      <c r="B10" s="543"/>
      <c r="C10" s="543"/>
      <c r="D10" s="543"/>
      <c r="E10" s="543"/>
      <c r="F10" s="543"/>
      <c r="G10" s="543"/>
      <c r="H10" s="543"/>
      <c r="I10" s="543"/>
      <c r="J10" s="543"/>
      <c r="K10" s="543"/>
      <c r="L10" s="543"/>
      <c r="M10" s="543"/>
      <c r="N10" s="543"/>
      <c r="O10" s="543"/>
      <c r="P10" s="543"/>
      <c r="Q10" s="543"/>
      <c r="R10" s="543"/>
      <c r="S10" s="543"/>
      <c r="T10" s="543"/>
      <c r="U10" s="543"/>
      <c r="V10" s="543"/>
      <c r="W10" s="543"/>
    </row>
    <row r="13" spans="2:23" ht="5" customHeight="1">
      <c r="D13" s="592"/>
      <c r="E13" s="592"/>
      <c r="F13" s="592"/>
      <c r="G13" s="592"/>
      <c r="H13" s="592"/>
    </row>
    <row r="14" spans="2:23" ht="7.25" customHeight="1">
      <c r="D14" s="592"/>
      <c r="E14" s="592"/>
      <c r="F14" s="592"/>
      <c r="G14" s="592"/>
      <c r="H14" s="592"/>
    </row>
    <row r="15" spans="2:23" ht="4.25" customHeight="1">
      <c r="D15" s="592"/>
      <c r="E15" s="592"/>
      <c r="F15" s="592"/>
      <c r="G15" s="592"/>
      <c r="H15" s="592"/>
    </row>
    <row r="16" spans="2:23">
      <c r="D16" s="592"/>
      <c r="E16" s="592"/>
      <c r="F16" s="592"/>
      <c r="G16" s="592"/>
      <c r="H16" s="592"/>
    </row>
    <row r="17" s="592" customFormat="1"/>
    <row r="18" s="592" customFormat="1"/>
    <row r="19" s="592" customFormat="1"/>
    <row r="20" s="592" customFormat="1" ht="4.25" customHeight="1"/>
    <row r="21" s="592" customFormat="1" ht="21" customHeight="1"/>
    <row r="22" s="592" customFormat="1"/>
    <row r="23" s="592" customFormat="1"/>
    <row r="24" s="592" customFormat="1"/>
    <row r="25" s="592" customFormat="1"/>
  </sheetData>
  <mergeCells count="8">
    <mergeCell ref="J1:W1"/>
    <mergeCell ref="B2:I2"/>
    <mergeCell ref="J2:O2"/>
    <mergeCell ref="C3:G3"/>
    <mergeCell ref="H3:K3"/>
    <mergeCell ref="L3:P3"/>
    <mergeCell ref="Q3:T3"/>
    <mergeCell ref="U3:W3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  <pageSetUpPr fitToPage="1"/>
  </sheetPr>
  <dimension ref="A1:AK1524"/>
  <sheetViews>
    <sheetView zoomScale="70" zoomScaleNormal="70" workbookViewId="0">
      <pane xSplit="12" ySplit="10" topLeftCell="M1036" activePane="bottomRight" state="frozen"/>
      <selection pane="topRight" activeCell="M1" sqref="M1"/>
      <selection pane="bottomLeft" activeCell="A11" sqref="A11"/>
      <selection pane="bottomRight" activeCell="C1052" sqref="C1052"/>
    </sheetView>
  </sheetViews>
  <sheetFormatPr baseColWidth="10" defaultColWidth="11.33203125" defaultRowHeight="13"/>
  <cols>
    <col min="1" max="1" width="1.33203125" style="1" customWidth="1"/>
    <col min="2" max="2" width="4.33203125" style="321" bestFit="1" customWidth="1"/>
    <col min="3" max="3" width="17.6640625" style="859" customWidth="1"/>
    <col min="4" max="4" width="64.6640625" style="2" customWidth="1"/>
    <col min="5" max="5" width="25.5" style="3" bestFit="1" customWidth="1"/>
    <col min="6" max="6" width="13.5" style="2" customWidth="1"/>
    <col min="7" max="7" width="13.6640625" style="2" customWidth="1"/>
    <col min="8" max="8" width="16.33203125" style="2" customWidth="1"/>
    <col min="9" max="9" width="18.6640625" style="4" bestFit="1" customWidth="1"/>
    <col min="10" max="10" width="12.5" style="4" customWidth="1"/>
    <col min="11" max="11" width="10.1640625" style="162" customWidth="1"/>
    <col min="12" max="12" width="0.33203125" style="162" customWidth="1"/>
    <col min="13" max="13" width="7.5" style="609" bestFit="1" customWidth="1"/>
    <col min="14" max="14" width="15.5" style="578" bestFit="1" customWidth="1"/>
    <col min="15" max="18" width="21" style="1" bestFit="1" customWidth="1"/>
    <col min="19" max="20" width="21.5" style="1" bestFit="1" customWidth="1"/>
    <col min="21" max="21" width="22.5" style="1" bestFit="1" customWidth="1"/>
    <col min="22" max="22" width="23" style="1" bestFit="1" customWidth="1"/>
    <col min="23" max="25" width="22.5" style="1" bestFit="1" customWidth="1"/>
    <col min="26" max="26" width="22" style="1" bestFit="1" customWidth="1"/>
    <col min="27" max="27" width="23.5" style="1" bestFit="1" customWidth="1"/>
    <col min="28" max="28" width="22" style="1" bestFit="1" customWidth="1"/>
    <col min="29" max="29" width="21.6640625" style="1" bestFit="1" customWidth="1"/>
    <col min="30" max="30" width="21" style="1" bestFit="1" customWidth="1"/>
    <col min="31" max="31" width="19.5" style="1" bestFit="1" customWidth="1"/>
    <col min="32" max="32" width="17.83203125" style="1" bestFit="1" customWidth="1"/>
    <col min="33" max="33" width="20.5" style="1" bestFit="1" customWidth="1"/>
    <col min="34" max="35" width="17.83203125" style="1" bestFit="1" customWidth="1"/>
    <col min="36" max="36" width="21.5" style="1" bestFit="1" customWidth="1"/>
    <col min="37" max="37" width="15.6640625" style="1" bestFit="1" customWidth="1"/>
    <col min="38" max="16384" width="11.33203125" style="1"/>
  </cols>
  <sheetData>
    <row r="1" spans="1:36" ht="12.75" customHeight="1" thickBot="1">
      <c r="A1" s="5"/>
      <c r="B1" s="218"/>
      <c r="C1" s="829"/>
      <c r="D1" s="8"/>
      <c r="E1" s="9"/>
      <c r="F1" s="8"/>
      <c r="G1" s="8"/>
      <c r="H1" s="10"/>
      <c r="I1" s="10"/>
      <c r="J1" s="10"/>
      <c r="K1" s="155"/>
      <c r="L1" s="155"/>
      <c r="M1" s="155"/>
      <c r="N1" s="695"/>
    </row>
    <row r="2" spans="1:36" ht="17" customHeight="1" thickTop="1" thickBot="1">
      <c r="A2" s="5"/>
      <c r="B2" s="308"/>
      <c r="C2" s="830"/>
      <c r="D2" s="11"/>
      <c r="E2" s="12"/>
      <c r="F2" s="11"/>
      <c r="G2" s="11"/>
      <c r="H2" s="434"/>
      <c r="I2" s="434"/>
      <c r="J2" s="434"/>
      <c r="K2" s="435"/>
      <c r="L2" s="436"/>
      <c r="M2" s="436"/>
      <c r="N2" s="696"/>
    </row>
    <row r="3" spans="1:36" ht="15.75" customHeight="1" thickBot="1">
      <c r="A3" s="5"/>
      <c r="B3" s="309"/>
      <c r="C3" s="907"/>
      <c r="D3" s="908"/>
      <c r="E3" s="13" t="s">
        <v>0</v>
      </c>
      <c r="F3" s="209">
        <v>6</v>
      </c>
      <c r="G3" s="15" t="s">
        <v>1</v>
      </c>
      <c r="H3" s="14">
        <v>0</v>
      </c>
      <c r="I3" s="16">
        <v>30</v>
      </c>
      <c r="J3" s="288"/>
      <c r="K3" s="156"/>
      <c r="L3" s="383"/>
      <c r="M3" s="542"/>
    </row>
    <row r="4" spans="1:36" ht="15.75" customHeight="1" thickBot="1">
      <c r="A4" s="5"/>
      <c r="B4" s="309"/>
      <c r="C4" s="907"/>
      <c r="D4" s="909"/>
      <c r="E4" s="17" t="s">
        <v>3</v>
      </c>
      <c r="F4" s="210">
        <v>6</v>
      </c>
      <c r="G4" s="19" t="s">
        <v>4</v>
      </c>
      <c r="H4" s="18">
        <v>0</v>
      </c>
      <c r="I4" s="285"/>
      <c r="J4" s="289"/>
      <c r="K4" s="156"/>
      <c r="L4" s="383"/>
      <c r="M4" s="542"/>
    </row>
    <row r="5" spans="1:36" ht="15.75" customHeight="1" thickBot="1">
      <c r="A5" s="5"/>
      <c r="B5" s="309"/>
      <c r="C5" s="907"/>
      <c r="D5" s="909"/>
      <c r="E5" s="17" t="s">
        <v>5</v>
      </c>
      <c r="F5" s="210"/>
      <c r="G5" s="19" t="s">
        <v>6</v>
      </c>
      <c r="H5" s="18">
        <f>5*2.25 +2</f>
        <v>13.25</v>
      </c>
      <c r="I5" s="286"/>
      <c r="J5" s="290"/>
      <c r="K5" s="156"/>
      <c r="L5" s="383"/>
      <c r="M5" s="542"/>
    </row>
    <row r="6" spans="1:36" s="26" customFormat="1" ht="20" customHeight="1" thickBot="1">
      <c r="A6" s="20"/>
      <c r="B6" s="310"/>
      <c r="C6" s="831"/>
      <c r="D6" s="22" t="s">
        <v>7</v>
      </c>
      <c r="E6" s="23"/>
      <c r="F6" s="23"/>
      <c r="G6" s="24"/>
      <c r="H6" s="190" t="s">
        <v>8</v>
      </c>
      <c r="I6" s="25"/>
      <c r="J6" s="291"/>
      <c r="K6" s="157" t="s">
        <v>268</v>
      </c>
      <c r="L6" s="384"/>
      <c r="M6" s="594"/>
      <c r="N6" s="697"/>
      <c r="O6" s="656" t="s">
        <v>541</v>
      </c>
      <c r="P6" s="905" t="s">
        <v>542</v>
      </c>
      <c r="Q6" s="905"/>
      <c r="R6" s="905"/>
      <c r="S6" s="905"/>
      <c r="T6" s="905"/>
      <c r="U6" s="905" t="s">
        <v>543</v>
      </c>
      <c r="V6" s="905"/>
      <c r="W6" s="905"/>
      <c r="X6" s="905"/>
      <c r="Y6" s="905" t="s">
        <v>544</v>
      </c>
      <c r="Z6" s="905"/>
      <c r="AA6" s="905"/>
      <c r="AB6" s="905"/>
      <c r="AC6" s="905"/>
      <c r="AD6" s="905" t="s">
        <v>545</v>
      </c>
      <c r="AE6" s="905"/>
      <c r="AF6" s="905"/>
      <c r="AG6" s="905"/>
      <c r="AH6" s="905" t="s">
        <v>546</v>
      </c>
      <c r="AI6" s="905"/>
      <c r="AJ6" s="905"/>
    </row>
    <row r="7" spans="1:36" s="53" customFormat="1" ht="14">
      <c r="A7" s="5"/>
      <c r="B7" s="309"/>
      <c r="C7" s="832"/>
      <c r="D7" s="49"/>
      <c r="E7" s="9"/>
      <c r="F7" s="8"/>
      <c r="G7" s="8"/>
      <c r="H7" s="50"/>
      <c r="I7" s="51"/>
      <c r="J7" s="51"/>
      <c r="K7" s="156"/>
      <c r="L7" s="383"/>
      <c r="M7" s="542"/>
      <c r="N7" s="698"/>
      <c r="O7" s="657">
        <v>44767</v>
      </c>
      <c r="P7" s="657">
        <v>44774</v>
      </c>
      <c r="Q7" s="657">
        <v>44781</v>
      </c>
      <c r="R7" s="657">
        <v>44788</v>
      </c>
      <c r="S7" s="657">
        <v>44795</v>
      </c>
      <c r="T7" s="657">
        <v>44802</v>
      </c>
      <c r="U7" s="657">
        <v>44809</v>
      </c>
      <c r="V7" s="657">
        <v>44816</v>
      </c>
      <c r="W7" s="657">
        <v>44823</v>
      </c>
      <c r="X7" s="657">
        <v>44830</v>
      </c>
      <c r="Y7" s="657">
        <v>44837</v>
      </c>
      <c r="Z7" s="657">
        <v>44844</v>
      </c>
      <c r="AA7" s="657">
        <v>44851</v>
      </c>
      <c r="AB7" s="657">
        <v>44858</v>
      </c>
      <c r="AC7" s="657">
        <v>44865</v>
      </c>
      <c r="AD7" s="657">
        <v>44872</v>
      </c>
      <c r="AE7" s="657">
        <v>44879</v>
      </c>
      <c r="AF7" s="657">
        <v>44886</v>
      </c>
      <c r="AG7" s="657">
        <v>44893</v>
      </c>
      <c r="AH7" s="657">
        <v>44900</v>
      </c>
      <c r="AI7" s="657">
        <v>44907</v>
      </c>
      <c r="AJ7" s="657">
        <v>44914</v>
      </c>
    </row>
    <row r="8" spans="1:36" s="36" customFormat="1" ht="20" customHeight="1">
      <c r="A8" s="31"/>
      <c r="B8" s="311"/>
      <c r="C8" s="833"/>
      <c r="D8" s="171" t="s">
        <v>11</v>
      </c>
      <c r="E8" s="54"/>
      <c r="F8" s="54"/>
      <c r="G8" s="54"/>
      <c r="H8" s="54"/>
      <c r="I8" s="55"/>
      <c r="J8" s="55"/>
      <c r="K8" s="160"/>
      <c r="L8" s="385"/>
      <c r="M8" s="595"/>
      <c r="N8" s="699"/>
      <c r="W8" s="901" t="s">
        <v>534</v>
      </c>
      <c r="X8" s="901"/>
      <c r="Y8" s="901"/>
      <c r="Z8" s="901"/>
      <c r="AA8" s="901"/>
      <c r="AB8" s="901"/>
      <c r="AC8" s="901"/>
      <c r="AD8" s="901"/>
      <c r="AE8" s="901"/>
      <c r="AF8" s="901"/>
      <c r="AG8" s="901"/>
      <c r="AH8" s="901"/>
      <c r="AI8" s="901"/>
      <c r="AJ8" s="901"/>
    </row>
    <row r="9" spans="1:36" s="53" customFormat="1" ht="14">
      <c r="A9" s="5"/>
      <c r="B9" s="309"/>
      <c r="C9" s="832"/>
      <c r="D9" s="49"/>
      <c r="E9" s="9"/>
      <c r="F9" s="8"/>
      <c r="G9" s="8"/>
      <c r="H9" s="50"/>
      <c r="I9" s="51"/>
      <c r="J9" s="51"/>
      <c r="K9" s="156"/>
      <c r="L9" s="383"/>
      <c r="M9" s="542"/>
      <c r="N9" s="698"/>
      <c r="O9" s="902" t="s">
        <v>525</v>
      </c>
      <c r="P9" s="902"/>
      <c r="Q9" s="902"/>
      <c r="R9" s="902"/>
      <c r="S9" s="902"/>
      <c r="T9" s="902"/>
      <c r="U9" s="902"/>
      <c r="V9" s="902"/>
      <c r="W9" s="903" t="s">
        <v>9</v>
      </c>
      <c r="X9" s="903"/>
      <c r="Y9" s="903"/>
      <c r="Z9" s="903"/>
      <c r="AA9" s="903"/>
      <c r="AB9" s="903"/>
    </row>
    <row r="10" spans="1:36" s="48" customFormat="1" ht="15" customHeight="1">
      <c r="A10" s="45"/>
      <c r="B10" s="312"/>
      <c r="C10" s="834"/>
      <c r="D10" s="33" t="s">
        <v>12</v>
      </c>
      <c r="E10" s="56" t="s">
        <v>13</v>
      </c>
      <c r="F10" s="57" t="s">
        <v>14</v>
      </c>
      <c r="G10" s="58" t="s">
        <v>15</v>
      </c>
      <c r="H10" s="192" t="s">
        <v>8</v>
      </c>
      <c r="I10" s="59"/>
      <c r="J10" s="292"/>
      <c r="K10" s="158"/>
      <c r="L10" s="386"/>
      <c r="M10" s="593"/>
      <c r="N10" s="700"/>
      <c r="O10" s="48" t="s">
        <v>526</v>
      </c>
      <c r="P10" s="48" t="s">
        <v>527</v>
      </c>
      <c r="Q10" s="48" t="s">
        <v>528</v>
      </c>
      <c r="R10" s="48" t="s">
        <v>529</v>
      </c>
      <c r="S10" s="48" t="s">
        <v>530</v>
      </c>
      <c r="T10" s="48" t="s">
        <v>531</v>
      </c>
      <c r="U10" s="48" t="s">
        <v>532</v>
      </c>
      <c r="V10" s="48" t="s">
        <v>533</v>
      </c>
      <c r="W10" s="48" t="s">
        <v>526</v>
      </c>
      <c r="X10" s="48" t="s">
        <v>527</v>
      </c>
      <c r="Y10" s="48" t="s">
        <v>528</v>
      </c>
      <c r="Z10" s="48" t="s">
        <v>529</v>
      </c>
      <c r="AA10" s="48" t="s">
        <v>530</v>
      </c>
      <c r="AB10" s="48" t="s">
        <v>531</v>
      </c>
      <c r="AC10" s="48" t="s">
        <v>532</v>
      </c>
      <c r="AD10" s="48" t="s">
        <v>533</v>
      </c>
      <c r="AE10" s="48" t="s">
        <v>535</v>
      </c>
      <c r="AF10" s="48" t="s">
        <v>536</v>
      </c>
      <c r="AG10" s="48" t="s">
        <v>537</v>
      </c>
      <c r="AH10" s="48" t="s">
        <v>538</v>
      </c>
      <c r="AI10" s="48" t="s">
        <v>539</v>
      </c>
      <c r="AJ10" s="48" t="s">
        <v>540</v>
      </c>
    </row>
    <row r="11" spans="1:36" ht="15" customHeight="1">
      <c r="A11" s="5"/>
      <c r="B11" s="313"/>
      <c r="C11" s="835" t="s">
        <v>853</v>
      </c>
      <c r="D11" s="189" t="s">
        <v>312</v>
      </c>
      <c r="E11" s="61" t="s">
        <v>16</v>
      </c>
      <c r="F11" s="207"/>
      <c r="G11" s="63">
        <v>1</v>
      </c>
      <c r="H11" s="674">
        <f t="shared" ref="H11:H16" si="0">F11*G11</f>
        <v>0</v>
      </c>
      <c r="I11" s="65"/>
      <c r="J11" s="293"/>
      <c r="K11" s="156"/>
      <c r="L11" s="383"/>
      <c r="M11" s="542"/>
      <c r="N11" s="578">
        <f>SUM(O11:AL11)-H11</f>
        <v>0</v>
      </c>
      <c r="O11" s="675"/>
      <c r="P11" s="675"/>
      <c r="Q11" s="675"/>
      <c r="R11" s="675"/>
      <c r="S11" s="675"/>
      <c r="T11" s="675"/>
      <c r="U11" s="675"/>
      <c r="V11" s="675"/>
      <c r="W11" s="675"/>
      <c r="X11" s="675"/>
      <c r="Y11" s="675"/>
      <c r="Z11" s="675"/>
      <c r="AA11" s="675"/>
      <c r="AB11" s="675"/>
      <c r="AC11" s="675"/>
      <c r="AD11" s="675"/>
      <c r="AE11" s="675"/>
      <c r="AF11" s="675"/>
      <c r="AG11" s="675"/>
      <c r="AH11" s="675"/>
      <c r="AI11" s="675"/>
      <c r="AJ11" s="675"/>
    </row>
    <row r="12" spans="1:36" ht="15" customHeight="1">
      <c r="A12" s="5"/>
      <c r="B12" s="313"/>
      <c r="C12" s="835" t="s">
        <v>854</v>
      </c>
      <c r="D12" s="66" t="s">
        <v>458</v>
      </c>
      <c r="E12" s="67" t="s">
        <v>16</v>
      </c>
      <c r="F12" s="207">
        <v>0</v>
      </c>
      <c r="G12" s="69">
        <v>1</v>
      </c>
      <c r="H12" s="64">
        <f t="shared" si="0"/>
        <v>0</v>
      </c>
      <c r="I12" s="65"/>
      <c r="J12" s="293"/>
      <c r="K12" s="156"/>
      <c r="L12" s="383"/>
      <c r="M12" s="542"/>
      <c r="N12" s="578">
        <f t="shared" ref="N12:N75" si="1">SUM(O12:AL12)-H12</f>
        <v>0</v>
      </c>
      <c r="O12" s="675"/>
      <c r="P12" s="675"/>
      <c r="Q12" s="675"/>
      <c r="R12" s="675"/>
      <c r="S12" s="675"/>
      <c r="T12" s="675"/>
      <c r="U12" s="675"/>
      <c r="V12" s="675"/>
      <c r="W12" s="675"/>
      <c r="X12" s="675"/>
      <c r="Y12" s="675"/>
      <c r="Z12" s="675"/>
      <c r="AA12" s="675"/>
      <c r="AB12" s="675"/>
      <c r="AC12" s="675"/>
      <c r="AD12" s="675"/>
      <c r="AE12" s="675"/>
      <c r="AF12" s="675"/>
      <c r="AG12" s="675"/>
      <c r="AH12" s="675"/>
      <c r="AI12" s="675"/>
      <c r="AJ12" s="675"/>
    </row>
    <row r="13" spans="1:36" ht="15" customHeight="1">
      <c r="A13" s="5"/>
      <c r="B13" s="313"/>
      <c r="C13" s="835" t="s">
        <v>855</v>
      </c>
      <c r="D13" s="66" t="s">
        <v>17</v>
      </c>
      <c r="E13" s="67" t="s">
        <v>16</v>
      </c>
      <c r="F13" s="68"/>
      <c r="G13" s="69">
        <v>1</v>
      </c>
      <c r="H13" s="64">
        <f t="shared" si="0"/>
        <v>0</v>
      </c>
      <c r="I13" s="65"/>
      <c r="J13" s="293"/>
      <c r="K13" s="156"/>
      <c r="L13" s="383"/>
      <c r="M13" s="542"/>
      <c r="N13" s="578">
        <f t="shared" si="1"/>
        <v>0</v>
      </c>
      <c r="O13" s="675"/>
      <c r="P13" s="675"/>
      <c r="Q13" s="675"/>
      <c r="R13" s="675"/>
      <c r="S13" s="675"/>
      <c r="T13" s="675"/>
      <c r="U13" s="675"/>
      <c r="V13" s="675"/>
      <c r="W13" s="675"/>
      <c r="X13" s="675"/>
      <c r="Y13" s="675"/>
      <c r="Z13" s="675"/>
      <c r="AA13" s="675"/>
      <c r="AB13" s="675"/>
      <c r="AC13" s="675"/>
      <c r="AD13" s="675"/>
      <c r="AE13" s="675"/>
      <c r="AF13" s="675"/>
      <c r="AG13" s="675"/>
      <c r="AH13" s="675"/>
      <c r="AI13" s="675"/>
      <c r="AJ13" s="675"/>
    </row>
    <row r="14" spans="1:36" ht="15" customHeight="1">
      <c r="A14" s="5"/>
      <c r="B14" s="313"/>
      <c r="C14" s="835" t="s">
        <v>856</v>
      </c>
      <c r="D14" s="70" t="s">
        <v>423</v>
      </c>
      <c r="E14" s="67" t="s">
        <v>16</v>
      </c>
      <c r="F14" s="64">
        <v>200000</v>
      </c>
      <c r="G14" s="69">
        <v>1</v>
      </c>
      <c r="H14" s="64">
        <f t="shared" si="0"/>
        <v>200000</v>
      </c>
      <c r="I14" s="65"/>
      <c r="J14" s="293"/>
      <c r="K14" s="156"/>
      <c r="L14" s="383"/>
      <c r="M14" s="542"/>
      <c r="N14" s="578">
        <f t="shared" si="1"/>
        <v>0</v>
      </c>
      <c r="O14" s="675"/>
      <c r="P14" s="675"/>
      <c r="Q14" s="675"/>
      <c r="R14" s="675"/>
      <c r="S14" s="675"/>
      <c r="T14" s="675"/>
      <c r="U14" s="675"/>
      <c r="V14" s="675"/>
      <c r="W14" s="675"/>
      <c r="X14" s="675"/>
      <c r="Y14" s="675"/>
      <c r="Z14" s="675"/>
      <c r="AA14" s="675"/>
      <c r="AB14" s="675"/>
      <c r="AC14" s="675"/>
      <c r="AD14" s="675"/>
      <c r="AE14" s="675"/>
      <c r="AF14" s="675"/>
      <c r="AG14" s="675"/>
      <c r="AH14" s="675"/>
      <c r="AI14" s="675">
        <f>+H14</f>
        <v>200000</v>
      </c>
      <c r="AJ14" s="675"/>
    </row>
    <row r="15" spans="1:36" ht="15" customHeight="1">
      <c r="A15" s="5"/>
      <c r="B15" s="313"/>
      <c r="C15" s="835" t="s">
        <v>857</v>
      </c>
      <c r="D15" s="66" t="s">
        <v>18</v>
      </c>
      <c r="E15" s="67" t="s">
        <v>19</v>
      </c>
      <c r="F15" s="64">
        <v>80000</v>
      </c>
      <c r="G15" s="69">
        <v>1</v>
      </c>
      <c r="H15" s="64">
        <f t="shared" si="0"/>
        <v>80000</v>
      </c>
      <c r="I15" s="65"/>
      <c r="J15" s="293"/>
      <c r="K15" s="156"/>
      <c r="L15" s="383"/>
      <c r="M15" s="542"/>
      <c r="N15" s="578">
        <f t="shared" si="1"/>
        <v>0</v>
      </c>
      <c r="O15" s="675"/>
      <c r="P15" s="675"/>
      <c r="Q15" s="675"/>
      <c r="R15" s="675"/>
      <c r="S15" s="675"/>
      <c r="T15" s="675"/>
      <c r="U15" s="675"/>
      <c r="V15" s="675"/>
      <c r="W15" s="675"/>
      <c r="X15" s="675"/>
      <c r="Y15" s="675"/>
      <c r="Z15" s="675"/>
      <c r="AA15" s="675"/>
      <c r="AB15" s="675"/>
      <c r="AC15" s="675"/>
      <c r="AD15" s="675"/>
      <c r="AE15" s="675"/>
      <c r="AF15" s="675"/>
      <c r="AG15" s="675"/>
      <c r="AH15" s="675"/>
      <c r="AI15" s="675">
        <f>+H15</f>
        <v>80000</v>
      </c>
      <c r="AJ15" s="675"/>
    </row>
    <row r="16" spans="1:36" ht="15" customHeight="1">
      <c r="A16" s="5"/>
      <c r="B16" s="313"/>
      <c r="C16" s="835" t="s">
        <v>858</v>
      </c>
      <c r="D16" s="66" t="s">
        <v>133</v>
      </c>
      <c r="E16" s="67" t="s">
        <v>16</v>
      </c>
      <c r="F16" s="64">
        <v>0</v>
      </c>
      <c r="G16" s="69">
        <v>1</v>
      </c>
      <c r="H16" s="64">
        <f t="shared" si="0"/>
        <v>0</v>
      </c>
      <c r="I16" s="65"/>
      <c r="J16" s="293"/>
      <c r="K16" s="156"/>
      <c r="L16" s="383"/>
      <c r="M16" s="542"/>
      <c r="N16" s="578">
        <f t="shared" si="1"/>
        <v>0</v>
      </c>
      <c r="O16" s="675"/>
      <c r="P16" s="675"/>
      <c r="Q16" s="675"/>
      <c r="R16" s="675"/>
      <c r="S16" s="675"/>
      <c r="T16" s="675"/>
      <c r="U16" s="675"/>
      <c r="V16" s="675"/>
      <c r="W16" s="675"/>
      <c r="X16" s="675"/>
      <c r="Y16" s="675"/>
      <c r="Z16" s="675"/>
      <c r="AA16" s="675"/>
      <c r="AB16" s="675"/>
      <c r="AC16" s="675"/>
      <c r="AD16" s="675"/>
      <c r="AE16" s="675"/>
      <c r="AF16" s="675"/>
      <c r="AG16" s="675"/>
      <c r="AH16" s="675"/>
      <c r="AI16" s="675"/>
      <c r="AJ16" s="675"/>
    </row>
    <row r="17" spans="1:36" s="48" customFormat="1" ht="15" customHeight="1">
      <c r="A17" s="45"/>
      <c r="B17" s="314"/>
      <c r="C17" s="836"/>
      <c r="D17" s="154"/>
      <c r="E17" s="71"/>
      <c r="F17" s="906" t="s">
        <v>20</v>
      </c>
      <c r="G17" s="906" t="s">
        <v>10</v>
      </c>
      <c r="H17" s="191"/>
      <c r="I17" s="472">
        <f>SUM(H11:H16)</f>
        <v>280000</v>
      </c>
      <c r="J17" s="294">
        <f>6*3</f>
        <v>18</v>
      </c>
      <c r="K17" s="158">
        <f>SUM(G11:G16)</f>
        <v>6</v>
      </c>
      <c r="L17" s="386"/>
      <c r="M17" s="593"/>
      <c r="N17" s="578">
        <f t="shared" si="1"/>
        <v>0</v>
      </c>
      <c r="O17" s="676"/>
      <c r="P17" s="676"/>
      <c r="Q17" s="676"/>
      <c r="R17" s="676"/>
      <c r="S17" s="676"/>
      <c r="T17" s="676"/>
      <c r="U17" s="676"/>
      <c r="V17" s="676"/>
      <c r="W17" s="676"/>
      <c r="X17" s="676"/>
      <c r="Y17" s="676"/>
      <c r="Z17" s="676"/>
      <c r="AA17" s="676"/>
      <c r="AB17" s="676"/>
      <c r="AC17" s="676"/>
      <c r="AD17" s="676"/>
      <c r="AE17" s="676"/>
      <c r="AF17" s="676"/>
      <c r="AG17" s="676"/>
      <c r="AH17" s="676"/>
      <c r="AI17" s="676"/>
      <c r="AJ17" s="676"/>
    </row>
    <row r="18" spans="1:36" s="53" customFormat="1" ht="30" customHeight="1">
      <c r="A18" s="5"/>
      <c r="B18" s="309"/>
      <c r="C18" s="832"/>
      <c r="D18" s="49"/>
      <c r="E18" s="9"/>
      <c r="F18" s="8"/>
      <c r="G18" s="8"/>
      <c r="H18" s="50"/>
      <c r="I18" s="51"/>
      <c r="J18" s="51"/>
      <c r="K18" s="156"/>
      <c r="L18" s="383"/>
      <c r="M18" s="542"/>
      <c r="N18" s="578">
        <f t="shared" si="1"/>
        <v>0</v>
      </c>
      <c r="O18" s="677"/>
      <c r="P18" s="677"/>
      <c r="Q18" s="677"/>
      <c r="R18" s="677"/>
      <c r="S18" s="677"/>
      <c r="T18" s="677"/>
      <c r="U18" s="677"/>
      <c r="V18" s="677"/>
      <c r="W18" s="677"/>
      <c r="X18" s="677"/>
      <c r="Y18" s="677"/>
      <c r="Z18" s="677"/>
      <c r="AA18" s="677"/>
      <c r="AB18" s="677"/>
      <c r="AC18" s="677"/>
      <c r="AD18" s="677"/>
      <c r="AE18" s="677"/>
      <c r="AF18" s="677"/>
      <c r="AG18" s="677"/>
      <c r="AH18" s="677"/>
      <c r="AI18" s="677"/>
      <c r="AJ18" s="677"/>
    </row>
    <row r="19" spans="1:36" s="48" customFormat="1" ht="15" customHeight="1">
      <c r="A19" s="45"/>
      <c r="B19" s="312"/>
      <c r="C19" s="834"/>
      <c r="D19" s="33" t="s">
        <v>21</v>
      </c>
      <c r="E19" s="56" t="s">
        <v>13</v>
      </c>
      <c r="F19" s="57" t="s">
        <v>14</v>
      </c>
      <c r="G19" s="58" t="s">
        <v>15</v>
      </c>
      <c r="H19" s="192" t="s">
        <v>8</v>
      </c>
      <c r="I19" s="59"/>
      <c r="J19" s="292"/>
      <c r="K19" s="158"/>
      <c r="L19" s="386"/>
      <c r="M19" s="593"/>
      <c r="N19" s="578"/>
      <c r="O19" s="676"/>
      <c r="P19" s="676"/>
      <c r="Q19" s="676"/>
      <c r="R19" s="676"/>
      <c r="S19" s="676"/>
      <c r="T19" s="676"/>
      <c r="U19" s="676"/>
      <c r="V19" s="676"/>
      <c r="W19" s="676"/>
      <c r="X19" s="676"/>
      <c r="Y19" s="676"/>
      <c r="Z19" s="676"/>
      <c r="AA19" s="676"/>
      <c r="AB19" s="676"/>
      <c r="AC19" s="676"/>
      <c r="AD19" s="676"/>
      <c r="AE19" s="676"/>
      <c r="AF19" s="676"/>
      <c r="AG19" s="676"/>
      <c r="AH19" s="676"/>
      <c r="AI19" s="676"/>
      <c r="AJ19" s="676"/>
    </row>
    <row r="20" spans="1:36" s="5" customFormat="1" ht="15" customHeight="1">
      <c r="B20" s="313"/>
      <c r="C20" s="837"/>
      <c r="D20" s="66" t="s">
        <v>456</v>
      </c>
      <c r="E20" s="67" t="s">
        <v>16</v>
      </c>
      <c r="F20" s="68"/>
      <c r="G20" s="69">
        <v>1</v>
      </c>
      <c r="H20" s="654">
        <f>F20</f>
        <v>0</v>
      </c>
      <c r="I20" s="72"/>
      <c r="J20" s="52"/>
      <c r="K20" s="156"/>
      <c r="L20" s="383"/>
      <c r="M20" s="542"/>
      <c r="N20" s="578">
        <f t="shared" si="1"/>
        <v>0</v>
      </c>
      <c r="O20" s="678"/>
      <c r="P20" s="678"/>
      <c r="Q20" s="678"/>
      <c r="R20" s="678"/>
      <c r="S20" s="678"/>
      <c r="T20" s="678"/>
      <c r="U20" s="678"/>
      <c r="V20" s="678"/>
      <c r="W20" s="678"/>
      <c r="X20" s="678"/>
      <c r="Y20" s="678"/>
      <c r="Z20" s="678"/>
      <c r="AA20" s="678"/>
      <c r="AB20" s="678"/>
      <c r="AC20" s="678"/>
      <c r="AD20" s="678"/>
      <c r="AE20" s="678"/>
      <c r="AF20" s="678"/>
      <c r="AG20" s="678"/>
      <c r="AH20" s="678"/>
      <c r="AI20" s="678"/>
      <c r="AJ20" s="678"/>
    </row>
    <row r="21" spans="1:36" s="5" customFormat="1" ht="15" customHeight="1">
      <c r="B21" s="313"/>
      <c r="C21" s="837"/>
      <c r="D21" s="66" t="s">
        <v>351</v>
      </c>
      <c r="E21" s="67" t="s">
        <v>16</v>
      </c>
      <c r="G21" s="69">
        <v>1</v>
      </c>
      <c r="H21" s="64"/>
      <c r="I21" s="64"/>
      <c r="J21" s="75"/>
      <c r="K21" s="156"/>
      <c r="L21" s="383"/>
      <c r="M21" s="542"/>
      <c r="N21" s="578">
        <f t="shared" si="1"/>
        <v>0</v>
      </c>
      <c r="O21" s="678"/>
      <c r="P21" s="678"/>
      <c r="Q21" s="678"/>
      <c r="R21" s="678"/>
      <c r="S21" s="678"/>
      <c r="T21" s="678"/>
      <c r="U21" s="678"/>
      <c r="V21" s="678"/>
      <c r="W21" s="678"/>
      <c r="X21" s="678"/>
      <c r="Y21" s="678"/>
      <c r="Z21" s="678"/>
      <c r="AA21" s="678"/>
      <c r="AB21" s="678"/>
      <c r="AC21" s="678"/>
      <c r="AD21" s="678"/>
      <c r="AE21" s="678"/>
      <c r="AF21" s="678"/>
      <c r="AG21" s="678"/>
      <c r="AH21" s="678"/>
      <c r="AI21" s="678"/>
      <c r="AJ21" s="678"/>
    </row>
    <row r="22" spans="1:36" s="5" customFormat="1" ht="15" customHeight="1">
      <c r="B22" s="313"/>
      <c r="C22" s="837"/>
      <c r="D22" s="66" t="s">
        <v>133</v>
      </c>
      <c r="E22" s="67" t="s">
        <v>16</v>
      </c>
      <c r="F22" s="64">
        <v>0</v>
      </c>
      <c r="G22" s="69">
        <v>1</v>
      </c>
      <c r="H22" s="64">
        <f>F22*G22</f>
        <v>0</v>
      </c>
      <c r="I22" s="64"/>
      <c r="J22" s="75"/>
      <c r="K22" s="156"/>
      <c r="L22" s="383"/>
      <c r="M22" s="542"/>
      <c r="N22" s="578">
        <f t="shared" si="1"/>
        <v>0</v>
      </c>
      <c r="O22" s="678"/>
      <c r="P22" s="678"/>
      <c r="Q22" s="678"/>
      <c r="R22" s="678"/>
      <c r="S22" s="678"/>
      <c r="T22" s="678"/>
      <c r="U22" s="678"/>
      <c r="V22" s="678"/>
      <c r="W22" s="678"/>
      <c r="X22" s="678"/>
      <c r="Y22" s="678"/>
      <c r="Z22" s="678"/>
      <c r="AA22" s="678"/>
      <c r="AB22" s="678"/>
      <c r="AC22" s="678"/>
      <c r="AD22" s="678"/>
      <c r="AE22" s="678"/>
      <c r="AF22" s="678"/>
      <c r="AG22" s="678"/>
      <c r="AH22" s="678"/>
      <c r="AI22" s="678"/>
      <c r="AJ22" s="678"/>
    </row>
    <row r="23" spans="1:36" s="48" customFormat="1" ht="15" customHeight="1">
      <c r="A23" s="45"/>
      <c r="B23" s="314"/>
      <c r="C23" s="836"/>
      <c r="D23" s="73"/>
      <c r="E23" s="71"/>
      <c r="F23" s="906" t="s">
        <v>22</v>
      </c>
      <c r="G23" s="906" t="s">
        <v>10</v>
      </c>
      <c r="H23" s="191"/>
      <c r="I23" s="472">
        <f>SUM(H20:H22)</f>
        <v>0</v>
      </c>
      <c r="J23" s="294">
        <f>3*3</f>
        <v>9</v>
      </c>
      <c r="K23" s="158"/>
      <c r="L23" s="386"/>
      <c r="M23" s="593"/>
      <c r="N23" s="578">
        <f t="shared" si="1"/>
        <v>0</v>
      </c>
      <c r="O23" s="676"/>
      <c r="P23" s="676"/>
      <c r="Q23" s="676"/>
      <c r="R23" s="676"/>
      <c r="S23" s="676"/>
      <c r="T23" s="676"/>
      <c r="U23" s="676"/>
      <c r="V23" s="676"/>
      <c r="W23" s="676"/>
      <c r="X23" s="676"/>
      <c r="Y23" s="676"/>
      <c r="Z23" s="676"/>
      <c r="AA23" s="676"/>
      <c r="AB23" s="676"/>
      <c r="AC23" s="676"/>
      <c r="AD23" s="676"/>
      <c r="AE23" s="676"/>
      <c r="AF23" s="676"/>
      <c r="AG23" s="676"/>
      <c r="AH23" s="676"/>
      <c r="AI23" s="676"/>
      <c r="AJ23" s="676"/>
    </row>
    <row r="24" spans="1:36" s="53" customFormat="1" ht="30" customHeight="1">
      <c r="A24" s="5"/>
      <c r="B24" s="309"/>
      <c r="C24" s="832"/>
      <c r="E24" s="9"/>
      <c r="F24" s="8"/>
      <c r="G24" s="8"/>
      <c r="H24" s="50"/>
      <c r="I24" s="51"/>
      <c r="J24" s="51"/>
      <c r="K24" s="156"/>
      <c r="L24" s="383"/>
      <c r="M24" s="542"/>
      <c r="N24" s="578">
        <f t="shared" si="1"/>
        <v>0</v>
      </c>
      <c r="O24" s="677"/>
      <c r="P24" s="677"/>
      <c r="Q24" s="677"/>
      <c r="R24" s="677"/>
      <c r="S24" s="677"/>
      <c r="T24" s="677"/>
      <c r="U24" s="677"/>
      <c r="V24" s="677"/>
      <c r="W24" s="677"/>
      <c r="X24" s="677"/>
      <c r="Y24" s="677"/>
      <c r="Z24" s="677"/>
      <c r="AA24" s="677"/>
      <c r="AB24" s="677"/>
      <c r="AC24" s="677"/>
      <c r="AD24" s="677"/>
      <c r="AE24" s="677"/>
      <c r="AF24" s="677"/>
      <c r="AG24" s="677"/>
      <c r="AH24" s="677"/>
      <c r="AI24" s="677"/>
      <c r="AJ24" s="677"/>
    </row>
    <row r="25" spans="1:36" s="48" customFormat="1" ht="15" customHeight="1">
      <c r="A25" s="45"/>
      <c r="B25" s="312"/>
      <c r="C25" s="834"/>
      <c r="D25" s="33" t="s">
        <v>23</v>
      </c>
      <c r="E25" s="56" t="s">
        <v>13</v>
      </c>
      <c r="F25" s="57" t="s">
        <v>14</v>
      </c>
      <c r="G25" s="58" t="s">
        <v>15</v>
      </c>
      <c r="H25" s="192" t="s">
        <v>8</v>
      </c>
      <c r="I25" s="59"/>
      <c r="J25" s="292"/>
      <c r="K25" s="158"/>
      <c r="L25" s="386"/>
      <c r="M25" s="593"/>
      <c r="N25" s="578"/>
      <c r="O25" s="676"/>
      <c r="P25" s="676"/>
      <c r="Q25" s="676"/>
      <c r="R25" s="676"/>
      <c r="S25" s="676"/>
    </row>
    <row r="26" spans="1:36" s="5" customFormat="1" ht="15" customHeight="1">
      <c r="B26" s="313"/>
      <c r="C26" s="835" t="s">
        <v>859</v>
      </c>
      <c r="D26" s="66" t="s">
        <v>457</v>
      </c>
      <c r="E26" s="67" t="s">
        <v>16</v>
      </c>
      <c r="F26" s="68">
        <v>200000</v>
      </c>
      <c r="G26" s="69">
        <v>5</v>
      </c>
      <c r="H26" s="654">
        <f>+G26*F26</f>
        <v>1000000</v>
      </c>
      <c r="I26" s="64"/>
      <c r="J26" s="75"/>
      <c r="K26" s="156"/>
      <c r="L26" s="383"/>
      <c r="M26" s="542"/>
      <c r="N26" s="578">
        <f>SUM(P26:AL26)-H26</f>
        <v>0</v>
      </c>
      <c r="P26" s="676"/>
      <c r="Q26" s="676"/>
      <c r="R26" s="676"/>
      <c r="S26" s="676">
        <f>+AJ26</f>
        <v>200000</v>
      </c>
      <c r="T26" s="676"/>
      <c r="U26" s="676"/>
      <c r="V26" s="676"/>
      <c r="W26" s="676">
        <f>+S26</f>
        <v>200000</v>
      </c>
      <c r="X26" s="676"/>
      <c r="Y26" s="676"/>
      <c r="Z26" s="676"/>
      <c r="AA26" s="676"/>
      <c r="AB26" s="676">
        <f>+W26</f>
        <v>200000</v>
      </c>
      <c r="AC26" s="676"/>
      <c r="AD26" s="676"/>
      <c r="AE26" s="676">
        <f>+AB26</f>
        <v>200000</v>
      </c>
      <c r="AF26" s="678"/>
      <c r="AG26" s="678"/>
      <c r="AH26" s="678"/>
      <c r="AI26" s="678"/>
      <c r="AJ26" s="676">
        <f>+F26</f>
        <v>200000</v>
      </c>
    </row>
    <row r="27" spans="1:36" s="53" customFormat="1" ht="15" customHeight="1">
      <c r="B27" s="315"/>
      <c r="C27" s="835" t="s">
        <v>860</v>
      </c>
      <c r="D27" s="122" t="s">
        <v>352</v>
      </c>
      <c r="E27" s="204" t="s">
        <v>24</v>
      </c>
      <c r="F27" s="65">
        <v>120000</v>
      </c>
      <c r="G27" s="208">
        <v>6</v>
      </c>
      <c r="H27" s="65">
        <f>F27*G27</f>
        <v>720000</v>
      </c>
      <c r="I27" s="65"/>
      <c r="J27" s="293"/>
      <c r="K27" s="205"/>
      <c r="L27" s="387"/>
      <c r="M27" s="567"/>
      <c r="N27" s="578">
        <f t="shared" si="1"/>
        <v>0</v>
      </c>
      <c r="O27" s="677"/>
      <c r="P27" s="677"/>
      <c r="Q27" s="677"/>
      <c r="R27" s="677"/>
      <c r="S27" s="677"/>
      <c r="T27" s="677"/>
      <c r="U27" s="677">
        <f>+X27</f>
        <v>120000</v>
      </c>
      <c r="V27" s="677"/>
      <c r="W27" s="677"/>
      <c r="X27" s="677">
        <f>+F27</f>
        <v>120000</v>
      </c>
      <c r="Y27" s="677"/>
      <c r="Z27" s="677"/>
      <c r="AA27" s="677"/>
      <c r="AB27" s="677">
        <f>+X27</f>
        <v>120000</v>
      </c>
      <c r="AC27" s="677"/>
      <c r="AD27" s="677"/>
      <c r="AE27" s="677"/>
      <c r="AF27" s="677"/>
      <c r="AG27" s="677">
        <f>+AB27</f>
        <v>120000</v>
      </c>
      <c r="AH27" s="677"/>
      <c r="AI27" s="677"/>
      <c r="AJ27" s="677">
        <v>240000</v>
      </c>
    </row>
    <row r="28" spans="1:36" s="53" customFormat="1" ht="15" customHeight="1">
      <c r="B28" s="315"/>
      <c r="C28" s="835" t="s">
        <v>861</v>
      </c>
      <c r="D28" s="174" t="s">
        <v>353</v>
      </c>
      <c r="E28" s="235" t="s">
        <v>24</v>
      </c>
      <c r="F28" s="236">
        <v>80000</v>
      </c>
      <c r="G28" s="237">
        <v>6</v>
      </c>
      <c r="H28" s="236">
        <f>F28*G28</f>
        <v>480000</v>
      </c>
      <c r="I28" s="236"/>
      <c r="J28" s="293"/>
      <c r="K28" s="205"/>
      <c r="L28" s="387"/>
      <c r="M28" s="567"/>
      <c r="N28" s="578">
        <f t="shared" si="1"/>
        <v>0</v>
      </c>
      <c r="O28" s="677"/>
      <c r="P28" s="677"/>
      <c r="Q28" s="677"/>
      <c r="R28" s="677"/>
      <c r="S28" s="677"/>
      <c r="T28" s="677">
        <f>+F28</f>
        <v>80000</v>
      </c>
      <c r="U28" s="677"/>
      <c r="V28" s="677"/>
      <c r="W28" s="677"/>
      <c r="X28" s="677">
        <f>+T28</f>
        <v>80000</v>
      </c>
      <c r="Y28" s="677"/>
      <c r="Z28" s="677"/>
      <c r="AA28" s="677"/>
      <c r="AB28" s="677">
        <f>+X28</f>
        <v>80000</v>
      </c>
      <c r="AC28" s="677"/>
      <c r="AD28" s="677"/>
      <c r="AE28" s="677"/>
      <c r="AF28" s="677"/>
      <c r="AG28" s="677">
        <f>+AB28</f>
        <v>80000</v>
      </c>
      <c r="AH28" s="677"/>
      <c r="AI28" s="677"/>
      <c r="AJ28" s="677">
        <f>+AG28*2</f>
        <v>160000</v>
      </c>
    </row>
    <row r="29" spans="1:36" s="53" customFormat="1" ht="15" customHeight="1">
      <c r="B29" s="315"/>
      <c r="C29" s="838"/>
      <c r="D29" s="239"/>
      <c r="E29" s="242" t="s">
        <v>16</v>
      </c>
      <c r="F29" s="240"/>
      <c r="G29" s="241">
        <v>1</v>
      </c>
      <c r="H29" s="240">
        <f>F29*G29</f>
        <v>0</v>
      </c>
      <c r="I29" s="240"/>
      <c r="J29" s="293"/>
      <c r="K29" s="205"/>
      <c r="L29" s="387"/>
      <c r="M29" s="567"/>
      <c r="N29" s="578">
        <f t="shared" si="1"/>
        <v>0</v>
      </c>
      <c r="O29" s="677"/>
      <c r="P29" s="677"/>
      <c r="Q29" s="677"/>
      <c r="R29" s="677"/>
      <c r="S29" s="677"/>
      <c r="T29" s="677"/>
      <c r="U29" s="677"/>
      <c r="V29" s="677"/>
      <c r="W29" s="677"/>
      <c r="X29" s="677"/>
      <c r="Y29" s="677"/>
      <c r="Z29" s="677"/>
      <c r="AA29" s="677"/>
      <c r="AB29" s="677"/>
      <c r="AC29" s="677"/>
      <c r="AD29" s="677"/>
      <c r="AE29" s="677"/>
      <c r="AF29" s="677"/>
      <c r="AG29" s="677"/>
      <c r="AH29" s="677"/>
      <c r="AI29" s="677"/>
      <c r="AJ29" s="677"/>
    </row>
    <row r="30" spans="1:36" s="48" customFormat="1" ht="15" customHeight="1">
      <c r="A30" s="45"/>
      <c r="B30" s="314"/>
      <c r="C30" s="836"/>
      <c r="D30" s="73"/>
      <c r="E30" s="71"/>
      <c r="F30" s="910" t="s">
        <v>25</v>
      </c>
      <c r="G30" s="910" t="s">
        <v>10</v>
      </c>
      <c r="H30" s="238"/>
      <c r="I30" s="473">
        <f>SUM(H26:H29)</f>
        <v>2200000</v>
      </c>
      <c r="J30" s="294">
        <f>SUM(G26:G29)</f>
        <v>18</v>
      </c>
      <c r="K30" s="158"/>
      <c r="L30" s="386"/>
      <c r="M30" s="593"/>
      <c r="N30" s="578">
        <f t="shared" si="1"/>
        <v>0</v>
      </c>
      <c r="O30" s="676"/>
      <c r="P30" s="676"/>
      <c r="Q30" s="676"/>
      <c r="R30" s="676"/>
      <c r="S30" s="676"/>
      <c r="T30" s="676"/>
      <c r="U30" s="676"/>
      <c r="V30" s="676"/>
      <c r="W30" s="676"/>
      <c r="X30" s="676"/>
      <c r="Y30" s="676"/>
      <c r="Z30" s="676"/>
      <c r="AA30" s="676"/>
      <c r="AB30" s="676"/>
      <c r="AC30" s="676"/>
      <c r="AD30" s="676"/>
      <c r="AE30" s="676"/>
      <c r="AF30" s="676"/>
      <c r="AG30" s="676"/>
      <c r="AH30" s="676"/>
      <c r="AI30" s="676"/>
      <c r="AJ30" s="676"/>
    </row>
    <row r="31" spans="1:36" s="53" customFormat="1" ht="16.25" customHeight="1">
      <c r="B31" s="316"/>
      <c r="C31" s="832"/>
      <c r="D31" s="164"/>
      <c r="E31" s="165"/>
      <c r="F31" s="166"/>
      <c r="G31" s="167"/>
      <c r="H31" s="168"/>
      <c r="I31" s="169"/>
      <c r="J31" s="169"/>
      <c r="K31" s="158"/>
      <c r="L31" s="386"/>
      <c r="M31" s="596"/>
      <c r="N31" s="578">
        <f t="shared" si="1"/>
        <v>0</v>
      </c>
      <c r="O31" s="677"/>
      <c r="P31" s="677"/>
      <c r="Q31" s="677"/>
      <c r="R31" s="677"/>
      <c r="S31" s="677"/>
      <c r="T31" s="677"/>
      <c r="U31" s="677"/>
      <c r="V31" s="677"/>
      <c r="W31" s="677"/>
      <c r="X31" s="677"/>
      <c r="Y31" s="677"/>
      <c r="Z31" s="677"/>
      <c r="AA31" s="677"/>
      <c r="AB31" s="677"/>
      <c r="AC31" s="677"/>
      <c r="AD31" s="677"/>
      <c r="AE31" s="677"/>
      <c r="AF31" s="677"/>
      <c r="AG31" s="677"/>
      <c r="AH31" s="677"/>
      <c r="AI31" s="677"/>
      <c r="AJ31" s="677"/>
    </row>
    <row r="32" spans="1:36" s="53" customFormat="1" ht="16.25" customHeight="1">
      <c r="B32" s="316"/>
      <c r="C32" s="832"/>
      <c r="D32" s="164"/>
      <c r="E32" s="165"/>
      <c r="F32" s="166"/>
      <c r="G32" s="167"/>
      <c r="H32" s="168"/>
      <c r="I32" s="169"/>
      <c r="J32" s="169"/>
      <c r="K32" s="158"/>
      <c r="L32" s="386"/>
      <c r="M32" s="596"/>
      <c r="N32" s="578">
        <f t="shared" si="1"/>
        <v>0</v>
      </c>
      <c r="O32" s="677"/>
      <c r="P32" s="677"/>
      <c r="Q32" s="677"/>
      <c r="R32" s="677"/>
      <c r="S32" s="677"/>
      <c r="T32" s="677"/>
      <c r="U32" s="677"/>
      <c r="V32" s="677"/>
      <c r="W32" s="677"/>
      <c r="X32" s="677"/>
      <c r="Y32" s="677"/>
      <c r="Z32" s="677"/>
      <c r="AA32" s="677"/>
      <c r="AB32" s="677"/>
      <c r="AC32" s="677"/>
      <c r="AD32" s="677"/>
      <c r="AE32" s="677"/>
      <c r="AF32" s="677"/>
      <c r="AG32" s="677"/>
      <c r="AH32" s="677"/>
      <c r="AI32" s="677"/>
      <c r="AJ32" s="677"/>
    </row>
    <row r="33" spans="1:37" s="48" customFormat="1" ht="15" customHeight="1">
      <c r="A33" s="45"/>
      <c r="B33" s="312"/>
      <c r="C33" s="834"/>
      <c r="D33" s="33" t="s">
        <v>349</v>
      </c>
      <c r="E33" s="56" t="s">
        <v>13</v>
      </c>
      <c r="F33" s="57" t="s">
        <v>14</v>
      </c>
      <c r="G33" s="58" t="s">
        <v>15</v>
      </c>
      <c r="H33" s="192" t="s">
        <v>486</v>
      </c>
      <c r="I33" s="59"/>
      <c r="J33" s="292"/>
      <c r="K33" s="158"/>
      <c r="L33" s="386"/>
      <c r="M33" s="593"/>
      <c r="N33" s="578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76"/>
      <c r="AB33" s="676"/>
      <c r="AC33" s="676"/>
      <c r="AD33" s="676"/>
      <c r="AE33" s="676"/>
      <c r="AF33" s="676"/>
      <c r="AG33" s="676"/>
      <c r="AH33" s="676"/>
      <c r="AI33" s="676"/>
      <c r="AJ33" s="676"/>
    </row>
    <row r="34" spans="1:37" s="5" customFormat="1" ht="15" customHeight="1">
      <c r="B34" s="309"/>
      <c r="C34" s="837"/>
      <c r="D34" s="200" t="s">
        <v>442</v>
      </c>
      <c r="E34" s="9"/>
      <c r="F34" s="74"/>
      <c r="G34" s="75"/>
      <c r="H34" s="76"/>
      <c r="I34" s="77"/>
      <c r="J34" s="51"/>
      <c r="K34" s="156"/>
      <c r="L34" s="383"/>
      <c r="M34" s="542"/>
      <c r="N34" s="578">
        <f t="shared" si="1"/>
        <v>0</v>
      </c>
      <c r="O34" s="678"/>
      <c r="P34" s="678"/>
      <c r="Q34" s="678"/>
      <c r="R34" s="678"/>
      <c r="S34" s="678"/>
      <c r="T34" s="678"/>
      <c r="U34" s="678"/>
      <c r="V34" s="678"/>
      <c r="W34" s="678"/>
      <c r="X34" s="678"/>
      <c r="Y34" s="678"/>
      <c r="Z34" s="678"/>
      <c r="AA34" s="678"/>
      <c r="AB34" s="678"/>
      <c r="AC34" s="678"/>
      <c r="AD34" s="678"/>
      <c r="AE34" s="678"/>
      <c r="AF34" s="678"/>
      <c r="AG34" s="678"/>
      <c r="AH34" s="678"/>
      <c r="AI34" s="678"/>
      <c r="AJ34" s="678"/>
    </row>
    <row r="35" spans="1:37" s="5" customFormat="1" ht="15" customHeight="1">
      <c r="B35" s="317">
        <v>1</v>
      </c>
      <c r="C35" s="835" t="s">
        <v>862</v>
      </c>
      <c r="D35" s="80" t="s">
        <v>26</v>
      </c>
      <c r="E35" s="81">
        <v>75908.149999999994</v>
      </c>
      <c r="F35" s="74"/>
      <c r="H35" s="82"/>
      <c r="I35" s="83"/>
      <c r="J35" s="6"/>
      <c r="K35" s="156"/>
      <c r="L35" s="383"/>
      <c r="M35" s="542"/>
      <c r="N35" s="578">
        <f t="shared" si="1"/>
        <v>0</v>
      </c>
      <c r="O35" s="678"/>
      <c r="P35" s="678"/>
      <c r="Q35" s="679"/>
      <c r="R35" s="679"/>
      <c r="S35" s="679"/>
      <c r="T35" s="679"/>
      <c r="U35" s="679"/>
      <c r="V35" s="679"/>
      <c r="W35" s="679"/>
      <c r="X35" s="679"/>
      <c r="Y35" s="679"/>
      <c r="Z35" s="679"/>
      <c r="AA35" s="679"/>
      <c r="AB35" s="679"/>
      <c r="AC35" s="679"/>
      <c r="AD35" s="678"/>
      <c r="AE35" s="678"/>
      <c r="AF35" s="678"/>
      <c r="AG35" s="678"/>
      <c r="AH35" s="678"/>
      <c r="AI35" s="678"/>
      <c r="AJ35" s="678"/>
      <c r="AK35" s="658"/>
    </row>
    <row r="36" spans="1:37" s="5" customFormat="1">
      <c r="B36" s="318"/>
      <c r="C36" s="835"/>
      <c r="D36" s="17" t="s">
        <v>0</v>
      </c>
      <c r="E36" s="81" t="s">
        <v>27</v>
      </c>
      <c r="F36" s="84">
        <f>E35</f>
        <v>75908.149999999994</v>
      </c>
      <c r="G36" s="526">
        <v>8</v>
      </c>
      <c r="H36" s="64">
        <f>+G36*F36</f>
        <v>607265.19999999995</v>
      </c>
      <c r="I36" s="79"/>
      <c r="J36" s="52"/>
      <c r="K36" s="156"/>
      <c r="L36" s="383"/>
      <c r="M36" s="542"/>
      <c r="N36" s="578">
        <f t="shared" si="1"/>
        <v>0</v>
      </c>
      <c r="O36" s="693">
        <f>+Q36</f>
        <v>75908.149999999994</v>
      </c>
      <c r="P36" s="693">
        <f>+Q36</f>
        <v>75908.149999999994</v>
      </c>
      <c r="Q36" s="678">
        <f>+H36/8</f>
        <v>75908.149999999994</v>
      </c>
      <c r="R36" s="678">
        <f>+Q36</f>
        <v>75908.149999999994</v>
      </c>
      <c r="S36" s="678">
        <f>+R36</f>
        <v>75908.149999999994</v>
      </c>
      <c r="T36" s="678">
        <f>+S36</f>
        <v>75908.149999999994</v>
      </c>
      <c r="U36" s="678">
        <f>+T36</f>
        <v>75908.149999999994</v>
      </c>
      <c r="V36" s="678">
        <f>+U36</f>
        <v>75908.149999999994</v>
      </c>
      <c r="W36" s="678"/>
      <c r="X36" s="678"/>
      <c r="Y36" s="678"/>
      <c r="Z36" s="678"/>
      <c r="AA36" s="678"/>
      <c r="AB36" s="678"/>
      <c r="AC36" s="678"/>
      <c r="AD36" s="678"/>
      <c r="AE36" s="678"/>
      <c r="AF36" s="678"/>
      <c r="AG36" s="678"/>
      <c r="AH36" s="678"/>
      <c r="AI36" s="678"/>
      <c r="AJ36" s="678"/>
      <c r="AK36" s="658"/>
    </row>
    <row r="37" spans="1:37" s="5" customFormat="1">
      <c r="B37" s="318"/>
      <c r="C37" s="835"/>
      <c r="D37" s="17" t="s">
        <v>3</v>
      </c>
      <c r="E37" s="81" t="s">
        <v>27</v>
      </c>
      <c r="F37" s="84">
        <f>E35</f>
        <v>75908.149999999994</v>
      </c>
      <c r="G37" s="87">
        <v>6</v>
      </c>
      <c r="H37" s="64">
        <f>+G37*F37</f>
        <v>455448.89999999997</v>
      </c>
      <c r="I37" s="79"/>
      <c r="J37" s="52"/>
      <c r="K37" s="156"/>
      <c r="L37" s="383"/>
      <c r="M37" s="542"/>
      <c r="N37" s="578">
        <f t="shared" si="1"/>
        <v>0</v>
      </c>
      <c r="O37" s="678"/>
      <c r="P37" s="678"/>
      <c r="Q37" s="678"/>
      <c r="R37" s="678"/>
      <c r="S37" s="678"/>
      <c r="T37" s="678"/>
      <c r="U37" s="678"/>
      <c r="V37" s="678"/>
      <c r="W37" s="678">
        <v>75908.149999999994</v>
      </c>
      <c r="X37" s="678">
        <v>75908.149999999994</v>
      </c>
      <c r="Y37" s="678">
        <v>75908.149999999994</v>
      </c>
      <c r="Z37" s="678">
        <v>75908.149999999994</v>
      </c>
      <c r="AA37" s="678">
        <v>75908.149999999994</v>
      </c>
      <c r="AB37" s="678">
        <v>75908.149999999994</v>
      </c>
      <c r="AC37" s="678"/>
      <c r="AD37" s="678"/>
      <c r="AE37" s="678"/>
      <c r="AF37" s="678"/>
      <c r="AG37" s="678"/>
      <c r="AH37" s="678"/>
      <c r="AI37" s="678"/>
      <c r="AJ37" s="678"/>
      <c r="AK37" s="658"/>
    </row>
    <row r="38" spans="1:37" s="5" customFormat="1">
      <c r="B38" s="318"/>
      <c r="C38" s="835"/>
      <c r="D38" s="17" t="s">
        <v>28</v>
      </c>
      <c r="E38" s="88">
        <f>15.25+2</f>
        <v>17.25</v>
      </c>
      <c r="F38" s="84">
        <f>E35/44*1.5</f>
        <v>2587.7778409090906</v>
      </c>
      <c r="G38" s="87">
        <v>6</v>
      </c>
      <c r="H38" s="64">
        <f>+G38*F38*E38</f>
        <v>267835.00653409091</v>
      </c>
      <c r="I38" s="79"/>
      <c r="J38" s="52"/>
      <c r="K38" s="156"/>
      <c r="L38" s="383"/>
      <c r="M38" s="542"/>
      <c r="N38" s="578">
        <f t="shared" si="1"/>
        <v>0</v>
      </c>
      <c r="O38" s="678"/>
      <c r="P38" s="678"/>
      <c r="Q38" s="678"/>
      <c r="R38" s="678"/>
      <c r="S38" s="678"/>
      <c r="T38" s="678"/>
      <c r="U38" s="678"/>
      <c r="V38" s="678"/>
      <c r="W38" s="678">
        <f>+H38/6</f>
        <v>44639.167755681818</v>
      </c>
      <c r="X38" s="678">
        <v>44639.167755681818</v>
      </c>
      <c r="Y38" s="678">
        <v>44639.167755681818</v>
      </c>
      <c r="Z38" s="678">
        <v>44639.167755681818</v>
      </c>
      <c r="AA38" s="678">
        <v>44639.167755681818</v>
      </c>
      <c r="AB38" s="678">
        <v>44639.167755681818</v>
      </c>
      <c r="AC38" s="678"/>
      <c r="AD38" s="678"/>
      <c r="AE38" s="678"/>
      <c r="AF38" s="678"/>
      <c r="AG38" s="678"/>
      <c r="AH38" s="678"/>
      <c r="AI38" s="678"/>
      <c r="AJ38" s="678"/>
      <c r="AK38" s="658"/>
    </row>
    <row r="39" spans="1:37" s="5" customFormat="1">
      <c r="B39" s="318"/>
      <c r="C39" s="835"/>
      <c r="D39" s="17" t="s">
        <v>1</v>
      </c>
      <c r="E39" s="67" t="s">
        <v>29</v>
      </c>
      <c r="F39" s="84">
        <f>E35/5*1.5</f>
        <v>22772.445</v>
      </c>
      <c r="G39" s="64">
        <f>$H$3</f>
        <v>0</v>
      </c>
      <c r="H39" s="64">
        <f>+G39*F39</f>
        <v>0</v>
      </c>
      <c r="I39" s="79"/>
      <c r="J39" s="52"/>
      <c r="K39" s="156"/>
      <c r="L39" s="383"/>
      <c r="M39" s="542"/>
      <c r="N39" s="578">
        <f t="shared" si="1"/>
        <v>0</v>
      </c>
      <c r="O39" s="678"/>
      <c r="P39" s="678"/>
      <c r="Q39" s="678"/>
      <c r="R39" s="678"/>
      <c r="S39" s="678"/>
      <c r="T39" s="678"/>
      <c r="U39" s="678"/>
      <c r="V39" s="678"/>
      <c r="W39" s="678"/>
      <c r="X39" s="678"/>
      <c r="Y39" s="678"/>
      <c r="Z39" s="678"/>
      <c r="AA39" s="678"/>
      <c r="AB39" s="678"/>
      <c r="AC39" s="678"/>
      <c r="AD39" s="678"/>
      <c r="AE39" s="678"/>
      <c r="AF39" s="678"/>
      <c r="AG39" s="678"/>
      <c r="AH39" s="678"/>
      <c r="AI39" s="678"/>
      <c r="AJ39" s="678"/>
      <c r="AK39" s="658"/>
    </row>
    <row r="40" spans="1:37" s="5" customFormat="1">
      <c r="B40" s="318"/>
      <c r="C40" s="835"/>
      <c r="D40" s="17" t="s">
        <v>4</v>
      </c>
      <c r="E40" s="67" t="s">
        <v>29</v>
      </c>
      <c r="F40" s="84">
        <f>E35/5*2</f>
        <v>30363.26</v>
      </c>
      <c r="G40" s="64">
        <f>$H$4</f>
        <v>0</v>
      </c>
      <c r="H40" s="64">
        <f>+G40*F40</f>
        <v>0</v>
      </c>
      <c r="I40" s="79"/>
      <c r="J40" s="52"/>
      <c r="K40" s="156"/>
      <c r="L40" s="383"/>
      <c r="M40" s="542"/>
      <c r="N40" s="578">
        <f t="shared" si="1"/>
        <v>0</v>
      </c>
      <c r="O40" s="678"/>
      <c r="P40" s="678"/>
      <c r="Q40" s="678"/>
      <c r="R40" s="678"/>
      <c r="S40" s="678"/>
      <c r="T40" s="678"/>
      <c r="U40" s="678"/>
      <c r="V40" s="678"/>
      <c r="W40" s="678"/>
      <c r="X40" s="678"/>
      <c r="Y40" s="678"/>
      <c r="Z40" s="678"/>
      <c r="AA40" s="678"/>
      <c r="AB40" s="678"/>
      <c r="AC40" s="678"/>
      <c r="AD40" s="678"/>
      <c r="AE40" s="678"/>
      <c r="AF40" s="678"/>
      <c r="AG40" s="678"/>
      <c r="AH40" s="678"/>
      <c r="AI40" s="678"/>
      <c r="AJ40" s="678"/>
      <c r="AK40" s="658"/>
    </row>
    <row r="41" spans="1:37" s="5" customFormat="1">
      <c r="B41" s="318"/>
      <c r="C41" s="835"/>
      <c r="D41" s="17" t="s">
        <v>5</v>
      </c>
      <c r="E41" s="81" t="s">
        <v>27</v>
      </c>
      <c r="F41" s="84">
        <f>E35</f>
        <v>75908.149999999994</v>
      </c>
      <c r="G41" s="64">
        <v>1</v>
      </c>
      <c r="H41" s="64">
        <f>+G41*F41</f>
        <v>75908.149999999994</v>
      </c>
      <c r="I41" s="79"/>
      <c r="J41" s="52"/>
      <c r="K41" s="156"/>
      <c r="L41" s="383"/>
      <c r="M41" s="542"/>
      <c r="N41" s="578">
        <f t="shared" si="1"/>
        <v>0</v>
      </c>
      <c r="O41" s="678"/>
      <c r="P41" s="678"/>
      <c r="Q41" s="678"/>
      <c r="R41" s="678"/>
      <c r="S41" s="678"/>
      <c r="T41" s="678"/>
      <c r="U41" s="678"/>
      <c r="V41" s="678"/>
      <c r="W41" s="678"/>
      <c r="X41" s="678"/>
      <c r="Y41" s="678"/>
      <c r="Z41" s="678"/>
      <c r="AA41" s="678"/>
      <c r="AB41" s="678"/>
      <c r="AC41" s="678">
        <f>+H41</f>
        <v>75908.149999999994</v>
      </c>
      <c r="AD41" s="678"/>
      <c r="AE41" s="678"/>
      <c r="AF41" s="678"/>
      <c r="AG41" s="678"/>
      <c r="AH41" s="678"/>
      <c r="AI41" s="678"/>
      <c r="AJ41" s="678"/>
      <c r="AK41" s="658"/>
    </row>
    <row r="42" spans="1:37" s="5" customFormat="1">
      <c r="B42" s="318"/>
      <c r="C42" s="835"/>
      <c r="D42" s="17" t="s">
        <v>30</v>
      </c>
      <c r="E42" s="67" t="s">
        <v>16</v>
      </c>
      <c r="F42" s="89">
        <f>G36+G37+G41</f>
        <v>15</v>
      </c>
      <c r="G42" s="68" t="s">
        <v>31</v>
      </c>
      <c r="H42" s="64">
        <f>SUM(H36:H41)</f>
        <v>1406457.2565340907</v>
      </c>
      <c r="I42" s="79"/>
      <c r="J42" s="52"/>
      <c r="K42" s="156"/>
      <c r="L42" s="383"/>
      <c r="M42" s="542"/>
      <c r="N42" s="578">
        <f t="shared" si="1"/>
        <v>-1406457.2565340907</v>
      </c>
      <c r="O42" s="678"/>
      <c r="P42" s="678"/>
      <c r="Q42" s="678"/>
      <c r="R42" s="678"/>
      <c r="S42" s="678"/>
      <c r="T42" s="678"/>
      <c r="U42" s="678"/>
      <c r="V42" s="678"/>
      <c r="W42" s="678"/>
      <c r="X42" s="678"/>
      <c r="Y42" s="678"/>
      <c r="Z42" s="678"/>
      <c r="AA42" s="678"/>
      <c r="AB42" s="678"/>
      <c r="AC42" s="679"/>
      <c r="AD42" s="678"/>
      <c r="AE42" s="678"/>
      <c r="AF42" s="678"/>
      <c r="AG42" s="678"/>
      <c r="AH42" s="678"/>
      <c r="AI42" s="678"/>
      <c r="AJ42" s="678"/>
      <c r="AK42" s="658"/>
    </row>
    <row r="43" spans="1:37" s="5" customFormat="1">
      <c r="B43" s="318"/>
      <c r="C43" s="835"/>
      <c r="D43" s="19" t="s">
        <v>32</v>
      </c>
      <c r="E43" s="67" t="s">
        <v>16</v>
      </c>
      <c r="F43" s="84">
        <f>SUM(H36:H41)</f>
        <v>1406457.2565340907</v>
      </c>
      <c r="G43" s="92">
        <v>8.3299999999999999E-2</v>
      </c>
      <c r="H43" s="64">
        <f>+G43*F43</f>
        <v>117157.88946928976</v>
      </c>
      <c r="I43" s="93"/>
      <c r="J43" s="52"/>
      <c r="K43" s="156"/>
      <c r="L43" s="383"/>
      <c r="M43" s="542"/>
      <c r="N43" s="578">
        <f t="shared" si="1"/>
        <v>0</v>
      </c>
      <c r="O43" s="690">
        <f t="shared" ref="O43:P43" si="2">SUM(O36:O42)*$G$43</f>
        <v>6323.1488949999994</v>
      </c>
      <c r="P43" s="690">
        <f t="shared" si="2"/>
        <v>6323.1488949999994</v>
      </c>
      <c r="Q43" s="690">
        <f t="shared" ref="Q43" si="3">SUM(Q36:Q42)*$G$43</f>
        <v>6323.1488949999994</v>
      </c>
      <c r="R43" s="690">
        <f t="shared" ref="R43" si="4">SUM(R36:R42)*$G$43</f>
        <v>6323.1488949999994</v>
      </c>
      <c r="S43" s="690">
        <f t="shared" ref="S43" si="5">SUM(S36:S42)*$G$43</f>
        <v>6323.1488949999994</v>
      </c>
      <c r="T43" s="690">
        <f t="shared" ref="T43" si="6">SUM(T36:T42)*$G$43</f>
        <v>6323.1488949999994</v>
      </c>
      <c r="U43" s="690">
        <f t="shared" ref="U43" si="7">SUM(U36:U42)*$G$43</f>
        <v>6323.1488949999994</v>
      </c>
      <c r="V43" s="690">
        <f t="shared" ref="V43" si="8">SUM(V36:V42)*$G$43</f>
        <v>6323.1488949999994</v>
      </c>
      <c r="W43" s="690">
        <f t="shared" ref="W43" si="9">SUM(W36:W42)*$G$43</f>
        <v>10041.591569048294</v>
      </c>
      <c r="X43" s="690">
        <f t="shared" ref="X43" si="10">SUM(X36:X42)*$G$43</f>
        <v>10041.591569048294</v>
      </c>
      <c r="Y43" s="690">
        <f t="shared" ref="Y43" si="11">SUM(Y36:Y42)*$G$43</f>
        <v>10041.591569048294</v>
      </c>
      <c r="Z43" s="690">
        <f t="shared" ref="Z43" si="12">SUM(Z36:Z42)*$G$43</f>
        <v>10041.591569048294</v>
      </c>
      <c r="AA43" s="690">
        <f t="shared" ref="AA43" si="13">SUM(AA36:AA42)*$G$43</f>
        <v>10041.591569048294</v>
      </c>
      <c r="AB43" s="690">
        <f t="shared" ref="AB43" si="14">SUM(AB36:AB42)*$G$43</f>
        <v>10041.591569048294</v>
      </c>
      <c r="AC43" s="690">
        <f t="shared" ref="AC43" si="15">SUM(AC36:AC42)*$G$43</f>
        <v>6323.1488949999994</v>
      </c>
      <c r="AD43" s="678"/>
      <c r="AE43" s="678"/>
      <c r="AF43" s="678"/>
      <c r="AG43" s="678">
        <v>0</v>
      </c>
      <c r="AH43" s="678"/>
      <c r="AI43" s="678"/>
      <c r="AJ43" s="678"/>
      <c r="AK43" s="658"/>
    </row>
    <row r="44" spans="1:37" s="5" customFormat="1">
      <c r="B44" s="318"/>
      <c r="C44" s="835"/>
      <c r="D44" s="19" t="s">
        <v>33</v>
      </c>
      <c r="E44" s="84">
        <f>F43/(5*F42)</f>
        <v>18752.763420454543</v>
      </c>
      <c r="F44" s="84">
        <f>E44*(F42*7)</f>
        <v>1969040.1591477271</v>
      </c>
      <c r="G44" s="95">
        <v>20</v>
      </c>
      <c r="H44" s="64">
        <f>F44/G44</f>
        <v>98452.007957386348</v>
      </c>
      <c r="I44" s="72">
        <f>SUM(H42:H44)</f>
        <v>1622067.1539607667</v>
      </c>
      <c r="J44" s="52">
        <f>SUM(G36:G44)</f>
        <v>41.083300000000001</v>
      </c>
      <c r="K44" s="156"/>
      <c r="L44" s="383"/>
      <c r="M44" s="542"/>
      <c r="N44" s="578">
        <f t="shared" si="1"/>
        <v>0</v>
      </c>
      <c r="O44" s="678"/>
      <c r="P44" s="678"/>
      <c r="Q44" s="679"/>
      <c r="R44" s="679"/>
      <c r="S44" s="679"/>
      <c r="T44" s="679"/>
      <c r="U44" s="679"/>
      <c r="V44" s="679"/>
      <c r="W44" s="679"/>
      <c r="X44" s="679"/>
      <c r="Y44" s="679"/>
      <c r="Z44" s="679"/>
      <c r="AA44" s="679"/>
      <c r="AB44" s="679"/>
      <c r="AC44" s="679">
        <f>+H44</f>
        <v>98452.007957386348</v>
      </c>
      <c r="AD44" s="678"/>
      <c r="AE44" s="678"/>
      <c r="AF44" s="678"/>
      <c r="AG44" s="678"/>
      <c r="AH44" s="678"/>
      <c r="AI44" s="678"/>
      <c r="AJ44" s="678"/>
      <c r="AK44" s="658"/>
    </row>
    <row r="45" spans="1:37" s="5" customFormat="1">
      <c r="B45" s="318"/>
      <c r="C45" s="835"/>
      <c r="D45" s="96"/>
      <c r="E45" s="9"/>
      <c r="F45" s="74"/>
      <c r="G45" s="97"/>
      <c r="H45" s="78"/>
      <c r="I45" s="79"/>
      <c r="J45" s="52"/>
      <c r="K45" s="156"/>
      <c r="L45" s="383"/>
      <c r="M45" s="542"/>
      <c r="N45" s="578">
        <f t="shared" si="1"/>
        <v>0</v>
      </c>
      <c r="O45" s="678"/>
      <c r="P45" s="678"/>
      <c r="Q45" s="678"/>
      <c r="R45" s="678"/>
      <c r="S45" s="678"/>
      <c r="T45" s="678"/>
      <c r="U45" s="678"/>
      <c r="V45" s="678"/>
      <c r="W45" s="678"/>
      <c r="X45" s="678"/>
      <c r="Y45" s="678"/>
      <c r="Z45" s="678"/>
      <c r="AA45" s="678"/>
      <c r="AB45" s="678"/>
      <c r="AC45" s="678"/>
      <c r="AD45" s="678"/>
      <c r="AE45" s="678"/>
      <c r="AF45" s="678"/>
      <c r="AG45" s="678"/>
      <c r="AH45" s="678"/>
      <c r="AI45" s="678"/>
      <c r="AJ45" s="678"/>
      <c r="AK45" s="658"/>
    </row>
    <row r="46" spans="1:37" s="5" customFormat="1" ht="15" customHeight="1">
      <c r="B46" s="317">
        <v>2</v>
      </c>
      <c r="C46" s="835" t="s">
        <v>863</v>
      </c>
      <c r="D46" s="80" t="s">
        <v>34</v>
      </c>
      <c r="E46" s="81">
        <v>57232.2</v>
      </c>
      <c r="F46" s="74"/>
      <c r="G46" s="75"/>
      <c r="H46" s="82"/>
      <c r="I46" s="83"/>
      <c r="J46" s="6"/>
      <c r="K46" s="156"/>
      <c r="L46" s="383"/>
      <c r="M46" s="542"/>
      <c r="N46" s="578">
        <f t="shared" si="1"/>
        <v>0</v>
      </c>
      <c r="O46" s="678"/>
      <c r="P46" s="678"/>
      <c r="Q46" s="678"/>
      <c r="R46" s="678"/>
      <c r="S46" s="678"/>
      <c r="T46" s="678"/>
      <c r="U46" s="678"/>
      <c r="V46" s="678"/>
      <c r="W46" s="678"/>
      <c r="X46" s="678"/>
      <c r="Y46" s="678"/>
      <c r="Z46" s="678"/>
      <c r="AA46" s="678"/>
      <c r="AB46" s="678"/>
      <c r="AC46" s="678"/>
      <c r="AD46" s="678"/>
      <c r="AE46" s="678"/>
      <c r="AF46" s="678"/>
      <c r="AG46" s="678"/>
      <c r="AH46" s="678"/>
      <c r="AI46" s="678"/>
      <c r="AJ46" s="678"/>
      <c r="AK46" s="658"/>
    </row>
    <row r="47" spans="1:37" s="5" customFormat="1">
      <c r="B47" s="318"/>
      <c r="C47" s="835"/>
      <c r="D47" s="17" t="s">
        <v>0</v>
      </c>
      <c r="E47" s="98" t="s">
        <v>27</v>
      </c>
      <c r="F47" s="84">
        <f>+E46</f>
        <v>57232.2</v>
      </c>
      <c r="G47" s="64">
        <v>6</v>
      </c>
      <c r="H47" s="64">
        <f>+G47*F47</f>
        <v>343393.19999999995</v>
      </c>
      <c r="I47" s="79"/>
      <c r="J47" s="52"/>
      <c r="K47" s="156"/>
      <c r="L47" s="383"/>
      <c r="M47" s="542"/>
      <c r="N47" s="578">
        <f t="shared" si="1"/>
        <v>0</v>
      </c>
      <c r="O47" s="678"/>
      <c r="P47" s="678"/>
      <c r="Q47" s="678">
        <f>+H47/6</f>
        <v>57232.19999999999</v>
      </c>
      <c r="R47" s="678">
        <f>+Q47</f>
        <v>57232.19999999999</v>
      </c>
      <c r="S47" s="678">
        <f>+R47</f>
        <v>57232.19999999999</v>
      </c>
      <c r="T47" s="678">
        <f>+S47</f>
        <v>57232.19999999999</v>
      </c>
      <c r="U47" s="678">
        <f>+T47</f>
        <v>57232.19999999999</v>
      </c>
      <c r="V47" s="678">
        <f>+U47</f>
        <v>57232.19999999999</v>
      </c>
      <c r="W47" s="678"/>
      <c r="X47" s="678"/>
      <c r="Y47" s="678"/>
      <c r="Z47" s="678"/>
      <c r="AA47" s="678"/>
      <c r="AB47" s="678"/>
      <c r="AC47" s="678"/>
      <c r="AD47" s="678"/>
      <c r="AE47" s="678"/>
      <c r="AF47" s="678"/>
      <c r="AG47" s="678"/>
      <c r="AH47" s="678"/>
      <c r="AI47" s="678"/>
      <c r="AJ47" s="678"/>
      <c r="AK47" s="658"/>
    </row>
    <row r="48" spans="1:37" s="5" customFormat="1">
      <c r="B48" s="318"/>
      <c r="C48" s="835"/>
      <c r="D48" s="17" t="s">
        <v>3</v>
      </c>
      <c r="E48" s="98" t="s">
        <v>27</v>
      </c>
      <c r="F48" s="84">
        <f>E46</f>
        <v>57232.2</v>
      </c>
      <c r="G48" s="87">
        <v>6</v>
      </c>
      <c r="H48" s="64">
        <f>+G48*F48</f>
        <v>343393.19999999995</v>
      </c>
      <c r="I48" s="79"/>
      <c r="J48" s="52"/>
      <c r="K48" s="156"/>
      <c r="L48" s="383"/>
      <c r="M48" s="542"/>
      <c r="N48" s="578">
        <f t="shared" si="1"/>
        <v>0</v>
      </c>
      <c r="O48" s="678"/>
      <c r="P48" s="678"/>
      <c r="Q48" s="678"/>
      <c r="R48" s="678"/>
      <c r="S48" s="678"/>
      <c r="T48" s="678"/>
      <c r="U48" s="678"/>
      <c r="V48" s="678"/>
      <c r="W48" s="678">
        <f>+F48</f>
        <v>57232.2</v>
      </c>
      <c r="X48" s="678">
        <v>57232.2</v>
      </c>
      <c r="Y48" s="678">
        <v>57232.2</v>
      </c>
      <c r="Z48" s="678">
        <v>57232.2</v>
      </c>
      <c r="AA48" s="678">
        <v>57232.2</v>
      </c>
      <c r="AB48" s="678">
        <v>57232.2</v>
      </c>
      <c r="AC48" s="678"/>
      <c r="AD48" s="678"/>
      <c r="AE48" s="678"/>
      <c r="AF48" s="678"/>
      <c r="AG48" s="678"/>
      <c r="AH48" s="678"/>
      <c r="AI48" s="678"/>
      <c r="AJ48" s="678"/>
      <c r="AK48" s="658"/>
    </row>
    <row r="49" spans="2:37" s="5" customFormat="1">
      <c r="B49" s="318"/>
      <c r="C49" s="835"/>
      <c r="D49" s="17" t="s">
        <v>28</v>
      </c>
      <c r="E49" s="88">
        <f>$H$5+4+2</f>
        <v>19.25</v>
      </c>
      <c r="F49" s="84">
        <f>E46/44*1.5</f>
        <v>1951.0977272727273</v>
      </c>
      <c r="G49" s="87">
        <v>6</v>
      </c>
      <c r="H49" s="64">
        <f>+G49*F49*E49</f>
        <v>225351.78750000003</v>
      </c>
      <c r="I49" s="79"/>
      <c r="J49" s="52"/>
      <c r="K49" s="156"/>
      <c r="L49" s="383"/>
      <c r="M49" s="542"/>
      <c r="N49" s="578">
        <f t="shared" si="1"/>
        <v>0</v>
      </c>
      <c r="O49" s="678"/>
      <c r="P49" s="678"/>
      <c r="Q49" s="678"/>
      <c r="R49" s="678"/>
      <c r="S49" s="678"/>
      <c r="T49" s="678"/>
      <c r="U49" s="678"/>
      <c r="V49" s="678"/>
      <c r="W49" s="678">
        <f>+H49/6</f>
        <v>37558.631250000006</v>
      </c>
      <c r="X49" s="678">
        <v>37558.631250000006</v>
      </c>
      <c r="Y49" s="678">
        <v>37558.631250000006</v>
      </c>
      <c r="Z49" s="678">
        <v>37558.631250000006</v>
      </c>
      <c r="AA49" s="678">
        <v>37558.631250000006</v>
      </c>
      <c r="AB49" s="678">
        <v>37558.631250000006</v>
      </c>
      <c r="AC49" s="678"/>
      <c r="AD49" s="678"/>
      <c r="AE49" s="678"/>
      <c r="AF49" s="678"/>
      <c r="AG49" s="678"/>
      <c r="AH49" s="678"/>
      <c r="AI49" s="678"/>
      <c r="AJ49" s="678"/>
      <c r="AK49" s="658"/>
    </row>
    <row r="50" spans="2:37" s="5" customFormat="1">
      <c r="B50" s="318"/>
      <c r="C50" s="835"/>
      <c r="D50" s="17" t="s">
        <v>1</v>
      </c>
      <c r="E50" s="67" t="s">
        <v>29</v>
      </c>
      <c r="F50" s="84">
        <f>E46/5*1.5</f>
        <v>17169.659999999996</v>
      </c>
      <c r="G50" s="64">
        <f>$H$3</f>
        <v>0</v>
      </c>
      <c r="H50" s="64">
        <f>+G50*F50</f>
        <v>0</v>
      </c>
      <c r="I50" s="79"/>
      <c r="J50" s="52"/>
      <c r="K50" s="156"/>
      <c r="L50" s="383"/>
      <c r="M50" s="542"/>
      <c r="N50" s="578">
        <f t="shared" si="1"/>
        <v>0</v>
      </c>
      <c r="O50" s="678"/>
      <c r="P50" s="678"/>
      <c r="Q50" s="678"/>
      <c r="R50" s="678"/>
      <c r="S50" s="678"/>
      <c r="T50" s="678"/>
      <c r="U50" s="678"/>
      <c r="V50" s="678"/>
      <c r="W50" s="678"/>
      <c r="X50" s="678"/>
      <c r="Y50" s="678"/>
      <c r="Z50" s="678"/>
      <c r="AA50" s="678"/>
      <c r="AB50" s="678"/>
      <c r="AC50" s="678"/>
      <c r="AD50" s="678"/>
      <c r="AE50" s="678"/>
      <c r="AF50" s="678"/>
      <c r="AG50" s="678"/>
      <c r="AH50" s="678"/>
      <c r="AI50" s="678"/>
      <c r="AJ50" s="678"/>
      <c r="AK50" s="658"/>
    </row>
    <row r="51" spans="2:37" s="5" customFormat="1">
      <c r="B51" s="318"/>
      <c r="C51" s="835"/>
      <c r="D51" s="17" t="s">
        <v>4</v>
      </c>
      <c r="E51" s="67" t="s">
        <v>29</v>
      </c>
      <c r="F51" s="84">
        <f>E46/5*2</f>
        <v>22892.879999999997</v>
      </c>
      <c r="G51" s="64">
        <f>$H$4</f>
        <v>0</v>
      </c>
      <c r="H51" s="64">
        <f>+G51*F51</f>
        <v>0</v>
      </c>
      <c r="I51" s="79"/>
      <c r="J51" s="52"/>
      <c r="K51" s="156"/>
      <c r="L51" s="383"/>
      <c r="M51" s="542"/>
      <c r="N51" s="578">
        <f t="shared" si="1"/>
        <v>0</v>
      </c>
      <c r="O51" s="678"/>
      <c r="P51" s="678"/>
      <c r="Q51" s="678"/>
      <c r="R51" s="678"/>
      <c r="S51" s="678"/>
      <c r="T51" s="678"/>
      <c r="U51" s="678"/>
      <c r="V51" s="678"/>
      <c r="W51" s="678"/>
      <c r="X51" s="678"/>
      <c r="Y51" s="678"/>
      <c r="Z51" s="678"/>
      <c r="AA51" s="678"/>
      <c r="AB51" s="678"/>
      <c r="AC51" s="678"/>
      <c r="AD51" s="678"/>
      <c r="AE51" s="678"/>
      <c r="AF51" s="678"/>
      <c r="AG51" s="678"/>
      <c r="AH51" s="678"/>
      <c r="AI51" s="678"/>
      <c r="AJ51" s="678"/>
      <c r="AK51" s="658"/>
    </row>
    <row r="52" spans="2:37" s="5" customFormat="1">
      <c r="B52" s="318"/>
      <c r="C52" s="835"/>
      <c r="D52" s="17" t="s">
        <v>5</v>
      </c>
      <c r="E52" s="98" t="s">
        <v>27</v>
      </c>
      <c r="F52" s="84">
        <f>F47</f>
        <v>57232.2</v>
      </c>
      <c r="G52" s="64">
        <v>1</v>
      </c>
      <c r="H52" s="64">
        <f>+G52*F52</f>
        <v>57232.2</v>
      </c>
      <c r="I52" s="79"/>
      <c r="J52" s="52"/>
      <c r="K52" s="156"/>
      <c r="L52" s="383"/>
      <c r="M52" s="542"/>
      <c r="N52" s="578">
        <f t="shared" si="1"/>
        <v>0</v>
      </c>
      <c r="O52" s="678"/>
      <c r="P52" s="678"/>
      <c r="Q52" s="678"/>
      <c r="R52" s="678"/>
      <c r="S52" s="678"/>
      <c r="T52" s="678"/>
      <c r="U52" s="678"/>
      <c r="V52" s="678"/>
      <c r="W52" s="678"/>
      <c r="X52" s="678"/>
      <c r="Y52" s="678"/>
      <c r="Z52" s="678"/>
      <c r="AA52" s="678"/>
      <c r="AB52" s="678"/>
      <c r="AC52" s="678">
        <f>+H52</f>
        <v>57232.2</v>
      </c>
      <c r="AD52" s="678"/>
      <c r="AE52" s="678"/>
      <c r="AF52" s="678"/>
      <c r="AG52" s="678"/>
      <c r="AH52" s="678"/>
      <c r="AI52" s="678"/>
      <c r="AJ52" s="678"/>
      <c r="AK52" s="658"/>
    </row>
    <row r="53" spans="2:37" s="5" customFormat="1">
      <c r="B53" s="318"/>
      <c r="C53" s="835"/>
      <c r="D53" s="17" t="s">
        <v>30</v>
      </c>
      <c r="E53" s="67" t="s">
        <v>16</v>
      </c>
      <c r="F53" s="89">
        <f>G47+G48+G52</f>
        <v>13</v>
      </c>
      <c r="G53" s="68" t="s">
        <v>31</v>
      </c>
      <c r="H53" s="64">
        <f>SUM(H47:H52)</f>
        <v>969370.38749999995</v>
      </c>
      <c r="I53" s="79"/>
      <c r="J53" s="52"/>
      <c r="K53" s="156"/>
      <c r="L53" s="383"/>
      <c r="M53" s="542"/>
      <c r="N53" s="578">
        <f t="shared" si="1"/>
        <v>-969370.38749999995</v>
      </c>
      <c r="O53" s="678"/>
      <c r="P53" s="678"/>
      <c r="Q53" s="678"/>
      <c r="R53" s="678"/>
      <c r="S53" s="678"/>
      <c r="T53" s="678"/>
      <c r="U53" s="678"/>
      <c r="V53" s="678"/>
      <c r="W53" s="678"/>
      <c r="X53" s="678"/>
      <c r="Y53" s="678"/>
      <c r="Z53" s="678"/>
      <c r="AA53" s="678"/>
      <c r="AB53" s="678"/>
      <c r="AC53" s="679"/>
      <c r="AD53" s="678"/>
      <c r="AE53" s="678"/>
      <c r="AF53" s="678"/>
      <c r="AG53" s="678"/>
      <c r="AH53" s="678"/>
      <c r="AI53" s="678"/>
      <c r="AJ53" s="678"/>
      <c r="AK53" s="658"/>
    </row>
    <row r="54" spans="2:37" s="5" customFormat="1">
      <c r="B54" s="318"/>
      <c r="C54" s="835"/>
      <c r="D54" s="19" t="s">
        <v>32</v>
      </c>
      <c r="E54" s="67" t="s">
        <v>16</v>
      </c>
      <c r="F54" s="84">
        <f>SUM(H47:H52)</f>
        <v>969370.38749999995</v>
      </c>
      <c r="G54" s="92">
        <f>$G$43</f>
        <v>8.3299999999999999E-2</v>
      </c>
      <c r="H54" s="64">
        <f>+G54*F54</f>
        <v>80748.553278749998</v>
      </c>
      <c r="I54" s="93"/>
      <c r="J54" s="52"/>
      <c r="K54" s="156"/>
      <c r="L54" s="383"/>
      <c r="M54" s="542"/>
      <c r="N54" s="578">
        <f t="shared" si="1"/>
        <v>0</v>
      </c>
      <c r="O54" s="678"/>
      <c r="P54" s="678"/>
      <c r="Q54" s="678">
        <f t="shared" ref="Q54:V54" si="16">SUM(Q45:Q53)*$G$54</f>
        <v>4767.4422599999989</v>
      </c>
      <c r="R54" s="678">
        <f t="shared" si="16"/>
        <v>4767.4422599999989</v>
      </c>
      <c r="S54" s="678">
        <f t="shared" si="16"/>
        <v>4767.4422599999989</v>
      </c>
      <c r="T54" s="678">
        <f t="shared" si="16"/>
        <v>4767.4422599999989</v>
      </c>
      <c r="U54" s="678">
        <f t="shared" si="16"/>
        <v>4767.4422599999989</v>
      </c>
      <c r="V54" s="678">
        <f t="shared" si="16"/>
        <v>4767.4422599999989</v>
      </c>
      <c r="W54" s="678">
        <f>SUM(W45:W53)*$G$54</f>
        <v>7896.0762431250005</v>
      </c>
      <c r="X54" s="678">
        <f t="shared" ref="X54:AC54" si="17">SUM(X45:X53)*$G$54</f>
        <v>7896.0762431250005</v>
      </c>
      <c r="Y54" s="678">
        <f t="shared" si="17"/>
        <v>7896.0762431250005</v>
      </c>
      <c r="Z54" s="678">
        <f t="shared" si="17"/>
        <v>7896.0762431250005</v>
      </c>
      <c r="AA54" s="678">
        <f t="shared" si="17"/>
        <v>7896.0762431250005</v>
      </c>
      <c r="AB54" s="678">
        <f t="shared" si="17"/>
        <v>7896.0762431250005</v>
      </c>
      <c r="AC54" s="678">
        <f t="shared" si="17"/>
        <v>4767.4422599999998</v>
      </c>
      <c r="AD54" s="678"/>
      <c r="AE54" s="678"/>
      <c r="AF54" s="678"/>
      <c r="AG54" s="678"/>
      <c r="AH54" s="678"/>
      <c r="AI54" s="678"/>
      <c r="AJ54" s="678"/>
      <c r="AK54" s="658"/>
    </row>
    <row r="55" spans="2:37" s="5" customFormat="1">
      <c r="B55" s="318"/>
      <c r="C55" s="835"/>
      <c r="D55" s="19" t="s">
        <v>278</v>
      </c>
      <c r="E55" s="84">
        <f>F54/(5*F53)</f>
        <v>14913.390576923077</v>
      </c>
      <c r="F55" s="84">
        <f>E55*(F53*7)</f>
        <v>1357118.5425</v>
      </c>
      <c r="G55" s="95">
        <f>$G$44</f>
        <v>20</v>
      </c>
      <c r="H55" s="64">
        <f>F55/G55</f>
        <v>67855.927125000002</v>
      </c>
      <c r="I55" s="72">
        <f>SUM(H53:H55)</f>
        <v>1117974.8679037499</v>
      </c>
      <c r="J55" s="52">
        <f>SUM(G48:G55)</f>
        <v>33.083300000000001</v>
      </c>
      <c r="K55" s="156"/>
      <c r="L55" s="383"/>
      <c r="M55" s="542"/>
      <c r="N55" s="578">
        <f t="shared" si="1"/>
        <v>0</v>
      </c>
      <c r="O55" s="678"/>
      <c r="P55" s="678"/>
      <c r="Q55" s="679"/>
      <c r="R55" s="679"/>
      <c r="S55" s="679"/>
      <c r="T55" s="679"/>
      <c r="U55" s="679"/>
      <c r="V55" s="679"/>
      <c r="W55" s="679"/>
      <c r="X55" s="679"/>
      <c r="Y55" s="679"/>
      <c r="Z55" s="679"/>
      <c r="AA55" s="679"/>
      <c r="AB55" s="679"/>
      <c r="AC55" s="679">
        <f>+H55</f>
        <v>67855.927125000002</v>
      </c>
      <c r="AD55" s="678"/>
      <c r="AE55" s="678"/>
      <c r="AF55" s="678"/>
      <c r="AG55" s="678"/>
      <c r="AH55" s="678"/>
      <c r="AI55" s="678"/>
      <c r="AJ55" s="678"/>
      <c r="AK55" s="658"/>
    </row>
    <row r="56" spans="2:37" s="5" customFormat="1">
      <c r="B56" s="318"/>
      <c r="C56" s="835"/>
      <c r="D56" s="19"/>
      <c r="E56" s="84"/>
      <c r="F56" s="74"/>
      <c r="G56" s="401"/>
      <c r="H56" s="78"/>
      <c r="I56" s="79"/>
      <c r="J56" s="52"/>
      <c r="K56" s="156"/>
      <c r="L56" s="383"/>
      <c r="M56" s="542"/>
      <c r="N56" s="578">
        <f t="shared" si="1"/>
        <v>0</v>
      </c>
      <c r="O56" s="678"/>
      <c r="P56" s="678"/>
      <c r="Q56" s="678"/>
      <c r="R56" s="678"/>
      <c r="S56" s="678"/>
      <c r="T56" s="678"/>
      <c r="U56" s="678"/>
      <c r="V56" s="678"/>
      <c r="W56" s="678"/>
      <c r="X56" s="678"/>
      <c r="Y56" s="678"/>
      <c r="Z56" s="678"/>
      <c r="AA56" s="678"/>
      <c r="AB56" s="678"/>
      <c r="AC56" s="678"/>
      <c r="AD56" s="678"/>
      <c r="AE56" s="678"/>
      <c r="AF56" s="678"/>
      <c r="AG56" s="678"/>
      <c r="AH56" s="678"/>
      <c r="AI56" s="678"/>
      <c r="AJ56" s="678"/>
      <c r="AK56" s="658"/>
    </row>
    <row r="57" spans="2:37" s="5" customFormat="1" ht="15" customHeight="1">
      <c r="B57" s="317">
        <v>3</v>
      </c>
      <c r="C57" s="835" t="s">
        <v>864</v>
      </c>
      <c r="D57" s="80" t="s">
        <v>34</v>
      </c>
      <c r="E57" s="81">
        <f>E46</f>
        <v>57232.2</v>
      </c>
      <c r="F57" s="74"/>
      <c r="G57" s="75"/>
      <c r="H57" s="82"/>
      <c r="I57" s="83"/>
      <c r="J57" s="6"/>
      <c r="K57" s="156"/>
      <c r="L57" s="383"/>
      <c r="M57" s="542"/>
      <c r="N57" s="578">
        <f t="shared" si="1"/>
        <v>0</v>
      </c>
      <c r="O57" s="678"/>
      <c r="P57" s="678"/>
      <c r="Q57" s="678"/>
      <c r="R57" s="678"/>
      <c r="S57" s="678"/>
      <c r="T57" s="678"/>
      <c r="U57" s="678"/>
      <c r="V57" s="678"/>
      <c r="W57" s="678"/>
      <c r="X57" s="678"/>
      <c r="Y57" s="678"/>
      <c r="Z57" s="678"/>
      <c r="AA57" s="678"/>
      <c r="AB57" s="678"/>
      <c r="AC57" s="678"/>
      <c r="AD57" s="678"/>
      <c r="AE57" s="678"/>
      <c r="AF57" s="678"/>
      <c r="AG57" s="678"/>
      <c r="AH57" s="678"/>
      <c r="AI57" s="678"/>
      <c r="AJ57" s="678"/>
      <c r="AK57" s="658"/>
    </row>
    <row r="58" spans="2:37" s="5" customFormat="1">
      <c r="B58" s="318"/>
      <c r="C58" s="835"/>
      <c r="D58" s="17" t="s">
        <v>0</v>
      </c>
      <c r="E58" s="98" t="s">
        <v>27</v>
      </c>
      <c r="F58" s="84">
        <f>+E57</f>
        <v>57232.2</v>
      </c>
      <c r="G58" s="64">
        <v>4</v>
      </c>
      <c r="H58" s="64">
        <f>+G58*F58</f>
        <v>228928.8</v>
      </c>
      <c r="I58" s="79"/>
      <c r="J58" s="52"/>
      <c r="K58" s="156"/>
      <c r="L58" s="383"/>
      <c r="M58" s="542"/>
      <c r="N58" s="578">
        <f t="shared" si="1"/>
        <v>0</v>
      </c>
      <c r="O58" s="678"/>
      <c r="P58" s="678"/>
      <c r="Q58" s="678"/>
      <c r="R58" s="678"/>
      <c r="S58" s="678">
        <f>+H58/4</f>
        <v>57232.2</v>
      </c>
      <c r="T58" s="678">
        <f>+S58</f>
        <v>57232.2</v>
      </c>
      <c r="U58" s="678">
        <f>+T58</f>
        <v>57232.2</v>
      </c>
      <c r="V58" s="678">
        <f>+U58</f>
        <v>57232.2</v>
      </c>
      <c r="W58" s="678"/>
      <c r="X58" s="678"/>
      <c r="Y58" s="678"/>
      <c r="Z58" s="678"/>
      <c r="AA58" s="678"/>
      <c r="AB58" s="678"/>
      <c r="AC58" s="678"/>
      <c r="AD58" s="678"/>
      <c r="AE58" s="678"/>
      <c r="AF58" s="678"/>
      <c r="AG58" s="678"/>
      <c r="AH58" s="678"/>
      <c r="AI58" s="678"/>
      <c r="AJ58" s="678"/>
      <c r="AK58" s="658"/>
    </row>
    <row r="59" spans="2:37" s="5" customFormat="1">
      <c r="B59" s="318"/>
      <c r="C59" s="835"/>
      <c r="D59" s="17" t="s">
        <v>3</v>
      </c>
      <c r="E59" s="98" t="s">
        <v>27</v>
      </c>
      <c r="F59" s="84">
        <f>E57</f>
        <v>57232.2</v>
      </c>
      <c r="G59" s="87">
        <v>6</v>
      </c>
      <c r="H59" s="64">
        <f>+G59*F59</f>
        <v>343393.19999999995</v>
      </c>
      <c r="I59" s="79"/>
      <c r="J59" s="52"/>
      <c r="K59" s="156"/>
      <c r="L59" s="383"/>
      <c r="M59" s="542"/>
      <c r="N59" s="578">
        <f t="shared" si="1"/>
        <v>0</v>
      </c>
      <c r="O59" s="678"/>
      <c r="P59" s="678"/>
      <c r="Q59" s="678"/>
      <c r="R59" s="678"/>
      <c r="S59" s="678"/>
      <c r="T59" s="678"/>
      <c r="U59" s="678"/>
      <c r="V59" s="678"/>
      <c r="W59" s="678">
        <f>+H59/6</f>
        <v>57232.19999999999</v>
      </c>
      <c r="X59" s="678">
        <f t="shared" ref="X59:AB60" si="18">+W59</f>
        <v>57232.19999999999</v>
      </c>
      <c r="Y59" s="678">
        <f t="shared" si="18"/>
        <v>57232.19999999999</v>
      </c>
      <c r="Z59" s="678">
        <f t="shared" si="18"/>
        <v>57232.19999999999</v>
      </c>
      <c r="AA59" s="678">
        <f t="shared" si="18"/>
        <v>57232.19999999999</v>
      </c>
      <c r="AB59" s="678">
        <f t="shared" si="18"/>
        <v>57232.19999999999</v>
      </c>
      <c r="AC59" s="678"/>
      <c r="AD59" s="678"/>
      <c r="AE59" s="678"/>
      <c r="AF59" s="678"/>
      <c r="AG59" s="678"/>
      <c r="AH59" s="678"/>
      <c r="AI59" s="678"/>
      <c r="AJ59" s="678"/>
      <c r="AK59" s="658"/>
    </row>
    <row r="60" spans="2:37" s="5" customFormat="1">
      <c r="B60" s="318"/>
      <c r="C60" s="835"/>
      <c r="D60" s="17" t="s">
        <v>28</v>
      </c>
      <c r="E60" s="88">
        <f>$H$5+4+2</f>
        <v>19.25</v>
      </c>
      <c r="F60" s="84">
        <f>E57/44*1.5</f>
        <v>1951.0977272727273</v>
      </c>
      <c r="G60" s="87">
        <v>6</v>
      </c>
      <c r="H60" s="64">
        <f>+G60*F60*E60</f>
        <v>225351.78750000003</v>
      </c>
      <c r="I60" s="79"/>
      <c r="J60" s="52"/>
      <c r="K60" s="156"/>
      <c r="L60" s="383"/>
      <c r="M60" s="542"/>
      <c r="N60" s="578">
        <f t="shared" si="1"/>
        <v>0</v>
      </c>
      <c r="O60" s="678"/>
      <c r="P60" s="678"/>
      <c r="Q60" s="678"/>
      <c r="R60" s="678"/>
      <c r="S60" s="678"/>
      <c r="T60" s="678"/>
      <c r="U60" s="678"/>
      <c r="V60" s="678"/>
      <c r="W60" s="678">
        <f>+H60/6</f>
        <v>37558.631250000006</v>
      </c>
      <c r="X60" s="678">
        <f t="shared" si="18"/>
        <v>37558.631250000006</v>
      </c>
      <c r="Y60" s="678">
        <f t="shared" si="18"/>
        <v>37558.631250000006</v>
      </c>
      <c r="Z60" s="678">
        <f t="shared" si="18"/>
        <v>37558.631250000006</v>
      </c>
      <c r="AA60" s="678">
        <f t="shared" si="18"/>
        <v>37558.631250000006</v>
      </c>
      <c r="AB60" s="678">
        <f t="shared" si="18"/>
        <v>37558.631250000006</v>
      </c>
      <c r="AC60" s="678"/>
      <c r="AD60" s="678"/>
      <c r="AE60" s="678"/>
      <c r="AF60" s="678"/>
      <c r="AG60" s="678"/>
      <c r="AH60" s="678"/>
      <c r="AI60" s="678"/>
      <c r="AJ60" s="678"/>
      <c r="AK60" s="658"/>
    </row>
    <row r="61" spans="2:37" s="5" customFormat="1">
      <c r="B61" s="318"/>
      <c r="C61" s="835"/>
      <c r="D61" s="17" t="s">
        <v>1</v>
      </c>
      <c r="E61" s="67" t="s">
        <v>29</v>
      </c>
      <c r="F61" s="84">
        <f>E57/5*1.5</f>
        <v>17169.659999999996</v>
      </c>
      <c r="G61" s="64">
        <f>$H$3</f>
        <v>0</v>
      </c>
      <c r="H61" s="64">
        <f>+G61*F61</f>
        <v>0</v>
      </c>
      <c r="I61" s="79"/>
      <c r="J61" s="52"/>
      <c r="K61" s="156"/>
      <c r="L61" s="383"/>
      <c r="M61" s="542"/>
      <c r="N61" s="578">
        <f t="shared" si="1"/>
        <v>0</v>
      </c>
      <c r="O61" s="678"/>
      <c r="P61" s="678"/>
      <c r="Q61" s="678"/>
      <c r="R61" s="678"/>
      <c r="S61" s="678"/>
      <c r="T61" s="678"/>
      <c r="U61" s="678"/>
      <c r="V61" s="678"/>
      <c r="W61" s="678"/>
      <c r="X61" s="678"/>
      <c r="Y61" s="678"/>
      <c r="Z61" s="678"/>
      <c r="AA61" s="678"/>
      <c r="AB61" s="678"/>
      <c r="AC61" s="678"/>
      <c r="AD61" s="678"/>
      <c r="AE61" s="678"/>
      <c r="AF61" s="678"/>
      <c r="AG61" s="678"/>
      <c r="AH61" s="678"/>
      <c r="AI61" s="678"/>
      <c r="AJ61" s="678"/>
      <c r="AK61" s="658"/>
    </row>
    <row r="62" spans="2:37" s="5" customFormat="1">
      <c r="B62" s="318"/>
      <c r="C62" s="835"/>
      <c r="D62" s="17" t="s">
        <v>4</v>
      </c>
      <c r="E62" s="67" t="s">
        <v>29</v>
      </c>
      <c r="F62" s="84">
        <f>E57/5*2</f>
        <v>22892.879999999997</v>
      </c>
      <c r="G62" s="64">
        <f>$H$4</f>
        <v>0</v>
      </c>
      <c r="H62" s="64">
        <f>+G62*F62</f>
        <v>0</v>
      </c>
      <c r="I62" s="79"/>
      <c r="J62" s="52"/>
      <c r="K62" s="156"/>
      <c r="L62" s="383"/>
      <c r="M62" s="542"/>
      <c r="N62" s="578">
        <f t="shared" si="1"/>
        <v>0</v>
      </c>
      <c r="O62" s="678"/>
      <c r="P62" s="678"/>
      <c r="Q62" s="678"/>
      <c r="R62" s="678"/>
      <c r="S62" s="678"/>
      <c r="T62" s="678"/>
      <c r="U62" s="678"/>
      <c r="V62" s="678"/>
      <c r="W62" s="678"/>
      <c r="X62" s="678"/>
      <c r="Y62" s="678"/>
      <c r="Z62" s="678"/>
      <c r="AA62" s="678"/>
      <c r="AB62" s="678"/>
      <c r="AC62" s="678"/>
      <c r="AD62" s="678"/>
      <c r="AE62" s="678"/>
      <c r="AF62" s="678"/>
      <c r="AG62" s="678"/>
      <c r="AH62" s="678"/>
      <c r="AI62" s="678"/>
      <c r="AJ62" s="678"/>
      <c r="AK62" s="658"/>
    </row>
    <row r="63" spans="2:37" s="5" customFormat="1">
      <c r="B63" s="318"/>
      <c r="C63" s="835"/>
      <c r="D63" s="17" t="s">
        <v>5</v>
      </c>
      <c r="E63" s="98" t="s">
        <v>27</v>
      </c>
      <c r="F63" s="84">
        <f>F58</f>
        <v>57232.2</v>
      </c>
      <c r="G63" s="64">
        <v>0</v>
      </c>
      <c r="H63" s="64">
        <f>+G63*F63</f>
        <v>0</v>
      </c>
      <c r="I63" s="79"/>
      <c r="J63" s="52"/>
      <c r="K63" s="156"/>
      <c r="L63" s="383"/>
      <c r="M63" s="542"/>
      <c r="N63" s="578">
        <f t="shared" si="1"/>
        <v>0</v>
      </c>
      <c r="O63" s="678"/>
      <c r="P63" s="678"/>
      <c r="Q63" s="678"/>
      <c r="R63" s="678"/>
      <c r="S63" s="678"/>
      <c r="T63" s="678"/>
      <c r="U63" s="678"/>
      <c r="V63" s="678"/>
      <c r="W63" s="678"/>
      <c r="X63" s="678"/>
      <c r="Y63" s="678"/>
      <c r="Z63" s="678"/>
      <c r="AA63" s="678"/>
      <c r="AB63" s="678"/>
      <c r="AC63" s="678"/>
      <c r="AD63" s="678"/>
      <c r="AE63" s="678"/>
      <c r="AF63" s="678"/>
      <c r="AG63" s="678"/>
      <c r="AH63" s="678"/>
      <c r="AI63" s="678"/>
      <c r="AJ63" s="678"/>
      <c r="AK63" s="658"/>
    </row>
    <row r="64" spans="2:37" s="5" customFormat="1">
      <c r="B64" s="318"/>
      <c r="C64" s="835"/>
      <c r="D64" s="17" t="s">
        <v>30</v>
      </c>
      <c r="E64" s="67" t="s">
        <v>16</v>
      </c>
      <c r="F64" s="89">
        <f>G58+G59+G63</f>
        <v>10</v>
      </c>
      <c r="G64" s="68" t="s">
        <v>31</v>
      </c>
      <c r="H64" s="64">
        <f>SUM(H58:H63)</f>
        <v>797673.78750000009</v>
      </c>
      <c r="I64" s="79"/>
      <c r="J64" s="52"/>
      <c r="K64" s="156"/>
      <c r="L64" s="383"/>
      <c r="M64" s="542"/>
      <c r="N64" s="578">
        <f t="shared" si="1"/>
        <v>-797673.78750000009</v>
      </c>
      <c r="O64" s="678"/>
      <c r="P64" s="678"/>
      <c r="Q64" s="678"/>
      <c r="R64" s="678"/>
      <c r="S64" s="678"/>
      <c r="T64" s="678"/>
      <c r="U64" s="678"/>
      <c r="V64" s="678"/>
      <c r="W64" s="678"/>
      <c r="X64" s="678"/>
      <c r="Y64" s="678"/>
      <c r="Z64" s="678"/>
      <c r="AA64" s="678"/>
      <c r="AB64" s="678"/>
      <c r="AC64" s="679"/>
      <c r="AD64" s="678"/>
      <c r="AE64" s="678"/>
      <c r="AF64" s="678"/>
      <c r="AG64" s="678"/>
      <c r="AH64" s="678"/>
      <c r="AI64" s="678"/>
      <c r="AJ64" s="678"/>
      <c r="AK64" s="658"/>
    </row>
    <row r="65" spans="2:37" s="5" customFormat="1">
      <c r="B65" s="318"/>
      <c r="C65" s="835"/>
      <c r="D65" s="19" t="s">
        <v>32</v>
      </c>
      <c r="E65" s="67" t="s">
        <v>16</v>
      </c>
      <c r="F65" s="84">
        <f>SUM(H58:H63)</f>
        <v>797673.78750000009</v>
      </c>
      <c r="G65" s="92">
        <f>$G$43</f>
        <v>8.3299999999999999E-2</v>
      </c>
      <c r="H65" s="64">
        <f>+G65*F65</f>
        <v>66446.226498750009</v>
      </c>
      <c r="I65" s="93"/>
      <c r="J65" s="52"/>
      <c r="K65" s="156"/>
      <c r="L65" s="383"/>
      <c r="M65" s="542"/>
      <c r="N65" s="578">
        <f t="shared" si="1"/>
        <v>0</v>
      </c>
      <c r="O65" s="678"/>
      <c r="P65" s="678"/>
      <c r="Q65" s="678"/>
      <c r="R65" s="678"/>
      <c r="S65" s="678">
        <f>SUM(S58:S64)*$G$65</f>
        <v>4767.4422599999998</v>
      </c>
      <c r="T65" s="678">
        <f t="shared" ref="T65:AB65" si="19">SUM(T58:T64)*$G$65</f>
        <v>4767.4422599999998</v>
      </c>
      <c r="U65" s="678">
        <f t="shared" si="19"/>
        <v>4767.4422599999998</v>
      </c>
      <c r="V65" s="678">
        <f t="shared" si="19"/>
        <v>4767.4422599999998</v>
      </c>
      <c r="W65" s="678">
        <f t="shared" si="19"/>
        <v>7896.0762431249987</v>
      </c>
      <c r="X65" s="678">
        <f t="shared" si="19"/>
        <v>7896.0762431249987</v>
      </c>
      <c r="Y65" s="678">
        <f t="shared" si="19"/>
        <v>7896.0762431249987</v>
      </c>
      <c r="Z65" s="678">
        <f t="shared" si="19"/>
        <v>7896.0762431249987</v>
      </c>
      <c r="AA65" s="678">
        <f t="shared" si="19"/>
        <v>7896.0762431249987</v>
      </c>
      <c r="AB65" s="678">
        <f t="shared" si="19"/>
        <v>7896.0762431249987</v>
      </c>
      <c r="AC65" s="678"/>
      <c r="AD65" s="678"/>
      <c r="AE65" s="678"/>
      <c r="AF65" s="678"/>
      <c r="AG65" s="678"/>
      <c r="AH65" s="678"/>
      <c r="AI65" s="678"/>
      <c r="AJ65" s="678"/>
      <c r="AK65" s="658"/>
    </row>
    <row r="66" spans="2:37" s="5" customFormat="1">
      <c r="B66" s="318"/>
      <c r="C66" s="835"/>
      <c r="D66" s="19" t="s">
        <v>278</v>
      </c>
      <c r="E66" s="84">
        <f>F65/(5*F64)</f>
        <v>15953.475750000001</v>
      </c>
      <c r="F66" s="84">
        <f>E66*(F64*7)</f>
        <v>1116743.3025</v>
      </c>
      <c r="G66" s="95">
        <f>$G$44</f>
        <v>20</v>
      </c>
      <c r="H66" s="64">
        <f>F66/G66</f>
        <v>55837.165125</v>
      </c>
      <c r="I66" s="72">
        <f>SUM(H64:H66)</f>
        <v>919957.17912375019</v>
      </c>
      <c r="J66" s="52">
        <f>SUM(G59:G66)</f>
        <v>32.083300000000001</v>
      </c>
      <c r="K66" s="156"/>
      <c r="L66" s="383"/>
      <c r="M66" s="542"/>
      <c r="N66" s="578">
        <f t="shared" si="1"/>
        <v>0</v>
      </c>
      <c r="O66" s="678"/>
      <c r="P66" s="678"/>
      <c r="Q66" s="679"/>
      <c r="R66" s="679"/>
      <c r="S66" s="679"/>
      <c r="T66" s="679"/>
      <c r="U66" s="679"/>
      <c r="V66" s="679"/>
      <c r="W66" s="679"/>
      <c r="X66" s="679"/>
      <c r="Y66" s="679"/>
      <c r="Z66" s="679"/>
      <c r="AA66" s="679"/>
      <c r="AB66" s="679">
        <f>+H66</f>
        <v>55837.165125</v>
      </c>
      <c r="AC66" s="679"/>
      <c r="AD66" s="678"/>
      <c r="AE66" s="678"/>
      <c r="AF66" s="678"/>
      <c r="AG66" s="678"/>
      <c r="AH66" s="678"/>
      <c r="AI66" s="678"/>
      <c r="AJ66" s="678"/>
      <c r="AK66" s="658"/>
    </row>
    <row r="67" spans="2:37" s="5" customFormat="1">
      <c r="B67" s="318"/>
      <c r="C67" s="835"/>
      <c r="D67" s="96"/>
      <c r="E67" s="9"/>
      <c r="F67" s="74"/>
      <c r="G67" s="97"/>
      <c r="H67" s="78"/>
      <c r="I67" s="79"/>
      <c r="J67" s="52"/>
      <c r="K67" s="156"/>
      <c r="L67" s="383"/>
      <c r="M67" s="542"/>
      <c r="N67" s="578">
        <f t="shared" si="1"/>
        <v>0</v>
      </c>
      <c r="O67" s="678"/>
      <c r="P67" s="678"/>
      <c r="Q67" s="680"/>
      <c r="R67" s="680"/>
      <c r="S67" s="680"/>
      <c r="T67" s="680"/>
      <c r="U67" s="680"/>
      <c r="V67" s="680"/>
      <c r="W67" s="680"/>
      <c r="X67" s="680"/>
      <c r="Y67" s="680"/>
      <c r="Z67" s="680"/>
      <c r="AA67" s="680"/>
      <c r="AB67" s="680"/>
      <c r="AC67" s="680"/>
      <c r="AD67" s="678"/>
      <c r="AE67" s="678"/>
      <c r="AF67" s="678"/>
      <c r="AG67" s="678"/>
      <c r="AH67" s="678"/>
      <c r="AI67" s="678"/>
      <c r="AJ67" s="678"/>
      <c r="AK67" s="658"/>
    </row>
    <row r="68" spans="2:37" s="5" customFormat="1" ht="15" customHeight="1">
      <c r="B68" s="317">
        <v>4</v>
      </c>
      <c r="C68" s="835" t="s">
        <v>865</v>
      </c>
      <c r="D68" s="80" t="s">
        <v>35</v>
      </c>
      <c r="E68" s="81">
        <v>39782.300000000003</v>
      </c>
      <c r="F68" s="74"/>
      <c r="G68" s="75"/>
      <c r="H68" s="82"/>
      <c r="I68" s="83"/>
      <c r="J68" s="6"/>
      <c r="K68" s="156"/>
      <c r="L68" s="383"/>
      <c r="M68" s="542"/>
      <c r="N68" s="578">
        <f t="shared" si="1"/>
        <v>0</v>
      </c>
      <c r="O68" s="678"/>
      <c r="P68" s="678"/>
      <c r="Q68" s="680"/>
      <c r="R68" s="680"/>
      <c r="S68" s="680"/>
      <c r="T68" s="680"/>
      <c r="U68" s="680"/>
      <c r="V68" s="680"/>
      <c r="W68" s="680"/>
      <c r="X68" s="680"/>
      <c r="Y68" s="680"/>
      <c r="Z68" s="680"/>
      <c r="AA68" s="680"/>
      <c r="AB68" s="680"/>
      <c r="AC68" s="680"/>
      <c r="AD68" s="678"/>
      <c r="AE68" s="678"/>
      <c r="AF68" s="678"/>
      <c r="AG68" s="678"/>
      <c r="AH68" s="678"/>
      <c r="AI68" s="678"/>
      <c r="AJ68" s="678"/>
      <c r="AK68" s="658"/>
    </row>
    <row r="69" spans="2:37" s="5" customFormat="1">
      <c r="B69" s="318"/>
      <c r="C69" s="835"/>
      <c r="D69" s="17" t="s">
        <v>0</v>
      </c>
      <c r="E69" s="98" t="s">
        <v>27</v>
      </c>
      <c r="F69" s="84">
        <f>E68</f>
        <v>39782.300000000003</v>
      </c>
      <c r="G69" s="64">
        <v>6</v>
      </c>
      <c r="H69" s="64">
        <f>+G69*F69</f>
        <v>238693.80000000002</v>
      </c>
      <c r="I69" s="79"/>
      <c r="J69" s="52"/>
      <c r="K69" s="156"/>
      <c r="L69" s="383"/>
      <c r="M69" s="542"/>
      <c r="N69" s="578">
        <f t="shared" si="1"/>
        <v>0</v>
      </c>
      <c r="O69" s="678"/>
      <c r="P69" s="678"/>
      <c r="Q69" s="680">
        <f>+H69/6</f>
        <v>39782.300000000003</v>
      </c>
      <c r="R69" s="680">
        <f>+Q69</f>
        <v>39782.300000000003</v>
      </c>
      <c r="S69" s="680">
        <f>+R69</f>
        <v>39782.300000000003</v>
      </c>
      <c r="T69" s="680">
        <f>+S69</f>
        <v>39782.300000000003</v>
      </c>
      <c r="U69" s="680">
        <f>+T69</f>
        <v>39782.300000000003</v>
      </c>
      <c r="V69" s="680">
        <f>+U69</f>
        <v>39782.300000000003</v>
      </c>
      <c r="W69" s="680"/>
      <c r="X69" s="680"/>
      <c r="Y69" s="680"/>
      <c r="Z69" s="680"/>
      <c r="AA69" s="680"/>
      <c r="AB69" s="680"/>
      <c r="AC69" s="680"/>
      <c r="AD69" s="678"/>
      <c r="AE69" s="678"/>
      <c r="AF69" s="678"/>
      <c r="AG69" s="678"/>
      <c r="AH69" s="678"/>
      <c r="AI69" s="678"/>
      <c r="AJ69" s="678"/>
      <c r="AK69" s="658"/>
    </row>
    <row r="70" spans="2:37" s="5" customFormat="1">
      <c r="B70" s="318"/>
      <c r="C70" s="835"/>
      <c r="D70" s="17" t="s">
        <v>3</v>
      </c>
      <c r="E70" s="98" t="s">
        <v>27</v>
      </c>
      <c r="F70" s="84">
        <f>E68</f>
        <v>39782.300000000003</v>
      </c>
      <c r="G70" s="87">
        <v>6</v>
      </c>
      <c r="H70" s="64">
        <f>+G70*F70</f>
        <v>238693.80000000002</v>
      </c>
      <c r="I70" s="79"/>
      <c r="J70" s="52"/>
      <c r="K70" s="156"/>
      <c r="L70" s="383"/>
      <c r="M70" s="542"/>
      <c r="N70" s="578">
        <f t="shared" si="1"/>
        <v>0</v>
      </c>
      <c r="O70" s="678"/>
      <c r="P70" s="678"/>
      <c r="Q70" s="680"/>
      <c r="R70" s="680"/>
      <c r="S70" s="680"/>
      <c r="T70" s="680"/>
      <c r="U70" s="680"/>
      <c r="V70" s="680"/>
      <c r="W70" s="680">
        <f>+F70</f>
        <v>39782.300000000003</v>
      </c>
      <c r="X70" s="680">
        <f t="shared" ref="X70:AB71" si="20">+W70</f>
        <v>39782.300000000003</v>
      </c>
      <c r="Y70" s="680">
        <f t="shared" si="20"/>
        <v>39782.300000000003</v>
      </c>
      <c r="Z70" s="680">
        <f t="shared" si="20"/>
        <v>39782.300000000003</v>
      </c>
      <c r="AA70" s="680">
        <f t="shared" si="20"/>
        <v>39782.300000000003</v>
      </c>
      <c r="AB70" s="680">
        <f t="shared" si="20"/>
        <v>39782.300000000003</v>
      </c>
      <c r="AC70" s="680"/>
      <c r="AD70" s="678"/>
      <c r="AE70" s="678"/>
      <c r="AF70" s="678"/>
      <c r="AG70" s="678"/>
      <c r="AH70" s="678"/>
      <c r="AI70" s="678"/>
      <c r="AJ70" s="678"/>
      <c r="AK70" s="658"/>
    </row>
    <row r="71" spans="2:37" s="5" customFormat="1">
      <c r="B71" s="318"/>
      <c r="C71" s="835"/>
      <c r="D71" s="17" t="s">
        <v>28</v>
      </c>
      <c r="E71" s="88">
        <f>$H$5+2+2</f>
        <v>17.25</v>
      </c>
      <c r="F71" s="84">
        <f>E68/44*1.5</f>
        <v>1356.2147727272729</v>
      </c>
      <c r="G71" s="87">
        <v>6</v>
      </c>
      <c r="H71" s="64">
        <f>+G71*F71*E71</f>
        <v>140368.22897727275</v>
      </c>
      <c r="I71" s="79"/>
      <c r="J71" s="52"/>
      <c r="K71" s="156"/>
      <c r="L71" s="383"/>
      <c r="M71" s="542"/>
      <c r="N71" s="578">
        <f t="shared" si="1"/>
        <v>0</v>
      </c>
      <c r="O71" s="678"/>
      <c r="P71" s="678"/>
      <c r="Q71" s="680"/>
      <c r="R71" s="680"/>
      <c r="S71" s="680"/>
      <c r="T71" s="680"/>
      <c r="U71" s="680"/>
      <c r="V71" s="680"/>
      <c r="W71" s="680">
        <f>+H71/6</f>
        <v>23394.704829545459</v>
      </c>
      <c r="X71" s="680">
        <f t="shared" si="20"/>
        <v>23394.704829545459</v>
      </c>
      <c r="Y71" s="680">
        <f t="shared" si="20"/>
        <v>23394.704829545459</v>
      </c>
      <c r="Z71" s="680">
        <f t="shared" si="20"/>
        <v>23394.704829545459</v>
      </c>
      <c r="AA71" s="680">
        <f t="shared" si="20"/>
        <v>23394.704829545459</v>
      </c>
      <c r="AB71" s="680">
        <f t="shared" si="20"/>
        <v>23394.704829545459</v>
      </c>
      <c r="AC71" s="680"/>
      <c r="AD71" s="678"/>
      <c r="AE71" s="678"/>
      <c r="AF71" s="678"/>
      <c r="AG71" s="678"/>
      <c r="AH71" s="678"/>
      <c r="AI71" s="678"/>
      <c r="AJ71" s="678"/>
      <c r="AK71" s="658"/>
    </row>
    <row r="72" spans="2:37" s="5" customFormat="1">
      <c r="B72" s="318"/>
      <c r="C72" s="835"/>
      <c r="D72" s="17" t="s">
        <v>1</v>
      </c>
      <c r="E72" s="67" t="s">
        <v>29</v>
      </c>
      <c r="F72" s="84">
        <f>E68/5*1.5</f>
        <v>11934.690000000002</v>
      </c>
      <c r="G72" s="64">
        <f>$H$3</f>
        <v>0</v>
      </c>
      <c r="H72" s="64">
        <f>+G72*F72</f>
        <v>0</v>
      </c>
      <c r="I72" s="79"/>
      <c r="J72" s="52"/>
      <c r="K72" s="156"/>
      <c r="L72" s="383"/>
      <c r="M72" s="542"/>
      <c r="N72" s="578">
        <f t="shared" si="1"/>
        <v>0</v>
      </c>
      <c r="O72" s="678"/>
      <c r="P72" s="678"/>
      <c r="Q72" s="680"/>
      <c r="R72" s="680"/>
      <c r="S72" s="680"/>
      <c r="T72" s="680"/>
      <c r="U72" s="680"/>
      <c r="V72" s="680"/>
      <c r="W72" s="680"/>
      <c r="X72" s="680"/>
      <c r="Y72" s="680"/>
      <c r="Z72" s="680"/>
      <c r="AA72" s="680"/>
      <c r="AB72" s="680"/>
      <c r="AC72" s="680"/>
      <c r="AD72" s="678"/>
      <c r="AE72" s="678"/>
      <c r="AF72" s="678"/>
      <c r="AG72" s="678"/>
      <c r="AH72" s="678"/>
      <c r="AI72" s="678"/>
      <c r="AJ72" s="678"/>
      <c r="AK72" s="658"/>
    </row>
    <row r="73" spans="2:37" s="5" customFormat="1">
      <c r="B73" s="318"/>
      <c r="C73" s="835"/>
      <c r="D73" s="17" t="s">
        <v>4</v>
      </c>
      <c r="E73" s="67" t="s">
        <v>29</v>
      </c>
      <c r="F73" s="84">
        <f>E68/5*2</f>
        <v>15912.920000000002</v>
      </c>
      <c r="G73" s="64">
        <f>$H$4</f>
        <v>0</v>
      </c>
      <c r="H73" s="64">
        <f>+G73*F73</f>
        <v>0</v>
      </c>
      <c r="I73" s="79"/>
      <c r="J73" s="52"/>
      <c r="K73" s="156"/>
      <c r="L73" s="383"/>
      <c r="M73" s="542"/>
      <c r="N73" s="578">
        <f t="shared" si="1"/>
        <v>0</v>
      </c>
      <c r="O73" s="678"/>
      <c r="P73" s="678"/>
      <c r="Q73" s="680"/>
      <c r="R73" s="680"/>
      <c r="S73" s="680"/>
      <c r="T73" s="680"/>
      <c r="U73" s="680"/>
      <c r="V73" s="680"/>
      <c r="W73" s="680"/>
      <c r="X73" s="680"/>
      <c r="Y73" s="680"/>
      <c r="Z73" s="680"/>
      <c r="AA73" s="680"/>
      <c r="AB73" s="680"/>
      <c r="AC73" s="680"/>
      <c r="AD73" s="678"/>
      <c r="AE73" s="678"/>
      <c r="AF73" s="678"/>
      <c r="AG73" s="678"/>
      <c r="AH73" s="678"/>
      <c r="AI73" s="678"/>
      <c r="AJ73" s="678"/>
      <c r="AK73" s="658"/>
    </row>
    <row r="74" spans="2:37" s="5" customFormat="1">
      <c r="B74" s="318"/>
      <c r="C74" s="835"/>
      <c r="D74" s="17" t="s">
        <v>5</v>
      </c>
      <c r="E74" s="98" t="s">
        <v>27</v>
      </c>
      <c r="F74" s="84">
        <f>E68</f>
        <v>39782.300000000003</v>
      </c>
      <c r="G74" s="64">
        <f>$F$5-$F$5</f>
        <v>0</v>
      </c>
      <c r="H74" s="64">
        <f>+G74*F74</f>
        <v>0</v>
      </c>
      <c r="I74" s="79"/>
      <c r="J74" s="52"/>
      <c r="K74" s="156"/>
      <c r="L74" s="383"/>
      <c r="M74" s="542"/>
      <c r="N74" s="578">
        <f t="shared" si="1"/>
        <v>0</v>
      </c>
      <c r="O74" s="678"/>
      <c r="P74" s="678"/>
      <c r="Q74" s="680"/>
      <c r="R74" s="680"/>
      <c r="S74" s="680"/>
      <c r="T74" s="680"/>
      <c r="U74" s="680"/>
      <c r="V74" s="680"/>
      <c r="W74" s="680"/>
      <c r="X74" s="680"/>
      <c r="Y74" s="680"/>
      <c r="Z74" s="680"/>
      <c r="AA74" s="680"/>
      <c r="AB74" s="680"/>
      <c r="AC74" s="680">
        <f>+H74</f>
        <v>0</v>
      </c>
      <c r="AD74" s="678"/>
      <c r="AE74" s="678"/>
      <c r="AF74" s="678"/>
      <c r="AG74" s="678"/>
      <c r="AH74" s="678"/>
      <c r="AI74" s="678"/>
      <c r="AJ74" s="678"/>
      <c r="AK74" s="658"/>
    </row>
    <row r="75" spans="2:37" s="5" customFormat="1">
      <c r="B75" s="318"/>
      <c r="C75" s="835"/>
      <c r="D75" s="17" t="s">
        <v>30</v>
      </c>
      <c r="E75" s="67" t="s">
        <v>16</v>
      </c>
      <c r="F75" s="89">
        <f>G69+G70+G74</f>
        <v>12</v>
      </c>
      <c r="G75" s="68" t="s">
        <v>31</v>
      </c>
      <c r="H75" s="64">
        <f>SUM(H69:H74)</f>
        <v>617755.82897727285</v>
      </c>
      <c r="I75" s="79"/>
      <c r="J75" s="52"/>
      <c r="K75" s="156"/>
      <c r="L75" s="383"/>
      <c r="M75" s="542"/>
      <c r="N75" s="578">
        <f t="shared" si="1"/>
        <v>-617755.82897727285</v>
      </c>
      <c r="O75" s="678"/>
      <c r="P75" s="678"/>
      <c r="Q75" s="680"/>
      <c r="R75" s="680"/>
      <c r="S75" s="680"/>
      <c r="T75" s="680"/>
      <c r="U75" s="680"/>
      <c r="V75" s="680"/>
      <c r="W75" s="680"/>
      <c r="X75" s="680"/>
      <c r="Y75" s="680"/>
      <c r="Z75" s="680"/>
      <c r="AA75" s="680"/>
      <c r="AB75" s="680"/>
      <c r="AC75" s="681"/>
      <c r="AD75" s="678"/>
      <c r="AE75" s="678"/>
      <c r="AF75" s="678"/>
      <c r="AG75" s="678"/>
      <c r="AH75" s="678"/>
      <c r="AI75" s="678"/>
      <c r="AJ75" s="678"/>
      <c r="AK75" s="658"/>
    </row>
    <row r="76" spans="2:37" s="5" customFormat="1">
      <c r="B76" s="318"/>
      <c r="C76" s="835"/>
      <c r="D76" s="19" t="s">
        <v>32</v>
      </c>
      <c r="E76" s="67" t="s">
        <v>16</v>
      </c>
      <c r="F76" s="84">
        <f>SUM(H69:H74)</f>
        <v>617755.82897727285</v>
      </c>
      <c r="G76" s="92">
        <f>$G$43</f>
        <v>8.3299999999999999E-2</v>
      </c>
      <c r="H76" s="64">
        <f>+G76*F76</f>
        <v>51459.060553806827</v>
      </c>
      <c r="I76" s="93"/>
      <c r="J76" s="52"/>
      <c r="K76" s="156"/>
      <c r="L76" s="383"/>
      <c r="M76" s="542"/>
      <c r="N76" s="578">
        <f t="shared" ref="N76:N139" si="21">SUM(O76:AL76)-H76</f>
        <v>0</v>
      </c>
      <c r="O76" s="678"/>
      <c r="P76" s="678"/>
      <c r="Q76" s="680">
        <f t="shared" ref="Q76:V76" si="22">SUM(Q67:Q75)*$G$54</f>
        <v>3313.8655900000003</v>
      </c>
      <c r="R76" s="680">
        <f t="shared" si="22"/>
        <v>3313.8655900000003</v>
      </c>
      <c r="S76" s="680">
        <f t="shared" si="22"/>
        <v>3313.8655900000003</v>
      </c>
      <c r="T76" s="680">
        <f t="shared" si="22"/>
        <v>3313.8655900000003</v>
      </c>
      <c r="U76" s="680">
        <f t="shared" si="22"/>
        <v>3313.8655900000003</v>
      </c>
      <c r="V76" s="680">
        <f t="shared" si="22"/>
        <v>3313.8655900000003</v>
      </c>
      <c r="W76" s="680">
        <f>SUM(W67:W75)*$G$54</f>
        <v>5262.6445023011365</v>
      </c>
      <c r="X76" s="680">
        <f t="shared" ref="X76:AC76" si="23">SUM(X67:X75)*$G$54</f>
        <v>5262.6445023011365</v>
      </c>
      <c r="Y76" s="680">
        <f t="shared" si="23"/>
        <v>5262.6445023011365</v>
      </c>
      <c r="Z76" s="680">
        <f t="shared" si="23"/>
        <v>5262.6445023011365</v>
      </c>
      <c r="AA76" s="680">
        <f t="shared" si="23"/>
        <v>5262.6445023011365</v>
      </c>
      <c r="AB76" s="680">
        <f t="shared" si="23"/>
        <v>5262.6445023011365</v>
      </c>
      <c r="AC76" s="680">
        <f t="shared" si="23"/>
        <v>0</v>
      </c>
      <c r="AD76" s="678"/>
      <c r="AE76" s="678"/>
      <c r="AF76" s="678"/>
      <c r="AG76" s="678"/>
      <c r="AH76" s="678"/>
      <c r="AI76" s="678"/>
      <c r="AJ76" s="678"/>
      <c r="AK76" s="658"/>
    </row>
    <row r="77" spans="2:37" s="5" customFormat="1">
      <c r="B77" s="318"/>
      <c r="C77" s="835"/>
      <c r="D77" s="19" t="s">
        <v>33</v>
      </c>
      <c r="E77" s="84">
        <f>F76/(5*F75)</f>
        <v>10295.930482954547</v>
      </c>
      <c r="F77" s="84">
        <f>E77*(F75*7)</f>
        <v>864858.16056818201</v>
      </c>
      <c r="G77" s="95">
        <f>$G$44</f>
        <v>20</v>
      </c>
      <c r="H77" s="64">
        <f>F77/G77</f>
        <v>43242.908028409103</v>
      </c>
      <c r="I77" s="72">
        <f>SUM(H75:H77)</f>
        <v>712457.7975594888</v>
      </c>
      <c r="J77" s="52">
        <f>SUM(G69:G77)</f>
        <v>38.083300000000001</v>
      </c>
      <c r="K77" s="156"/>
      <c r="L77" s="383"/>
      <c r="M77" s="542"/>
      <c r="N77" s="578">
        <f t="shared" si="21"/>
        <v>0</v>
      </c>
      <c r="O77" s="678"/>
      <c r="P77" s="678"/>
      <c r="Q77" s="681"/>
      <c r="R77" s="681"/>
      <c r="S77" s="681"/>
      <c r="T77" s="681"/>
      <c r="U77" s="681"/>
      <c r="V77" s="681"/>
      <c r="W77" s="681"/>
      <c r="X77" s="681"/>
      <c r="Y77" s="681"/>
      <c r="Z77" s="681"/>
      <c r="AA77" s="681"/>
      <c r="AB77" s="681"/>
      <c r="AC77" s="681">
        <f>+H77</f>
        <v>43242.908028409103</v>
      </c>
      <c r="AD77" s="678"/>
      <c r="AE77" s="678"/>
      <c r="AF77" s="678"/>
      <c r="AG77" s="678"/>
      <c r="AH77" s="678"/>
      <c r="AI77" s="678"/>
      <c r="AJ77" s="678"/>
      <c r="AK77" s="658"/>
    </row>
    <row r="78" spans="2:37" s="5" customFormat="1">
      <c r="B78" s="318"/>
      <c r="C78" s="835"/>
      <c r="D78" s="96"/>
      <c r="E78" s="9"/>
      <c r="F78" s="74"/>
      <c r="G78" s="97"/>
      <c r="H78" s="78"/>
      <c r="I78" s="79"/>
      <c r="J78" s="52"/>
      <c r="K78" s="156"/>
      <c r="L78" s="383"/>
      <c r="M78" s="542"/>
      <c r="N78" s="578">
        <f t="shared" si="21"/>
        <v>0</v>
      </c>
      <c r="O78" s="678"/>
      <c r="P78" s="678"/>
      <c r="Q78" s="678"/>
      <c r="R78" s="678"/>
      <c r="S78" s="678"/>
      <c r="T78" s="678"/>
      <c r="U78" s="678"/>
      <c r="V78" s="678"/>
      <c r="W78" s="678"/>
      <c r="X78" s="678"/>
      <c r="Y78" s="678"/>
      <c r="Z78" s="678"/>
      <c r="AA78" s="678"/>
      <c r="AB78" s="678"/>
      <c r="AC78" s="678"/>
      <c r="AD78" s="678"/>
      <c r="AE78" s="678"/>
      <c r="AF78" s="678"/>
      <c r="AG78" s="678"/>
      <c r="AH78" s="678"/>
      <c r="AI78" s="678"/>
      <c r="AJ78" s="678"/>
      <c r="AK78" s="658"/>
    </row>
    <row r="79" spans="2:37" s="5" customFormat="1">
      <c r="B79" s="318"/>
      <c r="C79" s="835"/>
      <c r="D79" s="96"/>
      <c r="E79" s="9"/>
      <c r="F79" s="74"/>
      <c r="G79" s="97"/>
      <c r="H79" s="78"/>
      <c r="I79" s="79"/>
      <c r="J79" s="52"/>
      <c r="K79" s="156"/>
      <c r="L79" s="383"/>
      <c r="M79" s="542"/>
      <c r="N79" s="578">
        <f t="shared" si="21"/>
        <v>0</v>
      </c>
      <c r="O79" s="678"/>
      <c r="P79" s="678"/>
      <c r="Q79" s="678"/>
      <c r="R79" s="678"/>
      <c r="S79" s="678"/>
      <c r="T79" s="678"/>
      <c r="U79" s="678"/>
      <c r="V79" s="678"/>
      <c r="W79" s="678"/>
      <c r="X79" s="678"/>
      <c r="Y79" s="678"/>
      <c r="Z79" s="678"/>
      <c r="AA79" s="678"/>
      <c r="AB79" s="678"/>
      <c r="AC79" s="678"/>
      <c r="AD79" s="678"/>
      <c r="AE79" s="678"/>
      <c r="AF79" s="678"/>
      <c r="AG79" s="678"/>
      <c r="AH79" s="678"/>
      <c r="AI79" s="678"/>
      <c r="AJ79" s="678"/>
      <c r="AK79" s="658"/>
    </row>
    <row r="80" spans="2:37" s="5" customFormat="1" ht="15" customHeight="1">
      <c r="B80" s="317">
        <v>5</v>
      </c>
      <c r="C80" s="835" t="s">
        <v>866</v>
      </c>
      <c r="D80" s="80" t="s">
        <v>36</v>
      </c>
      <c r="E80" s="81">
        <v>71152.75</v>
      </c>
      <c r="F80" s="74"/>
      <c r="G80" s="75"/>
      <c r="H80" s="82"/>
      <c r="I80" s="83"/>
      <c r="J80" s="6"/>
      <c r="K80" s="156"/>
      <c r="L80" s="383"/>
      <c r="M80" s="542"/>
      <c r="N80" s="578">
        <f t="shared" si="21"/>
        <v>0</v>
      </c>
      <c r="O80" s="678"/>
      <c r="P80" s="678"/>
      <c r="Q80" s="678"/>
      <c r="R80" s="678"/>
      <c r="S80" s="678"/>
      <c r="T80" s="678"/>
      <c r="U80" s="678"/>
      <c r="V80" s="678"/>
      <c r="W80" s="678"/>
      <c r="X80" s="678"/>
      <c r="Y80" s="678"/>
      <c r="Z80" s="678"/>
      <c r="AA80" s="678"/>
      <c r="AB80" s="678"/>
      <c r="AC80" s="678"/>
      <c r="AD80" s="678"/>
      <c r="AE80" s="678"/>
      <c r="AF80" s="678"/>
      <c r="AG80" s="678"/>
      <c r="AH80" s="678"/>
      <c r="AI80" s="678"/>
      <c r="AJ80" s="678"/>
      <c r="AK80" s="658"/>
    </row>
    <row r="81" spans="2:37" s="5" customFormat="1">
      <c r="B81" s="318"/>
      <c r="C81" s="835"/>
      <c r="D81" s="17" t="s">
        <v>0</v>
      </c>
      <c r="E81" s="98" t="s">
        <v>27</v>
      </c>
      <c r="F81" s="84">
        <f>E80</f>
        <v>71152.75</v>
      </c>
      <c r="G81" s="654">
        <v>7</v>
      </c>
      <c r="H81" s="64">
        <f>+G81*F81</f>
        <v>498069.25</v>
      </c>
      <c r="I81" s="79"/>
      <c r="J81" s="52"/>
      <c r="K81" s="156"/>
      <c r="L81" s="383"/>
      <c r="M81" s="542"/>
      <c r="N81" s="578">
        <f t="shared" si="21"/>
        <v>0</v>
      </c>
      <c r="O81" s="693">
        <f>+P81</f>
        <v>62258.65625</v>
      </c>
      <c r="P81" s="693">
        <f>+Q81</f>
        <v>62258.65625</v>
      </c>
      <c r="Q81" s="678">
        <f>+H81/8</f>
        <v>62258.65625</v>
      </c>
      <c r="R81" s="678">
        <f>+Q81</f>
        <v>62258.65625</v>
      </c>
      <c r="S81" s="678">
        <f>+R81</f>
        <v>62258.65625</v>
      </c>
      <c r="T81" s="678">
        <f>+S81</f>
        <v>62258.65625</v>
      </c>
      <c r="U81" s="678">
        <f>+T81</f>
        <v>62258.65625</v>
      </c>
      <c r="V81" s="678">
        <f>+U81</f>
        <v>62258.65625</v>
      </c>
      <c r="W81" s="678"/>
      <c r="X81" s="678"/>
      <c r="Y81" s="678"/>
      <c r="Z81" s="678"/>
      <c r="AA81" s="678"/>
      <c r="AB81" s="678"/>
      <c r="AC81" s="678"/>
      <c r="AD81" s="678"/>
      <c r="AE81" s="678"/>
      <c r="AF81" s="678"/>
      <c r="AG81" s="678"/>
      <c r="AH81" s="678"/>
      <c r="AI81" s="678"/>
      <c r="AJ81" s="678"/>
      <c r="AK81" s="658"/>
    </row>
    <row r="82" spans="2:37" s="5" customFormat="1">
      <c r="B82" s="318"/>
      <c r="C82" s="835"/>
      <c r="D82" s="17" t="s">
        <v>3</v>
      </c>
      <c r="E82" s="98" t="s">
        <v>27</v>
      </c>
      <c r="F82" s="84">
        <f>E80</f>
        <v>71152.75</v>
      </c>
      <c r="G82" s="87">
        <v>6</v>
      </c>
      <c r="H82" s="64">
        <f>+G82*F82</f>
        <v>426916.5</v>
      </c>
      <c r="I82" s="79"/>
      <c r="J82" s="52"/>
      <c r="K82" s="156"/>
      <c r="L82" s="383"/>
      <c r="M82" s="542"/>
      <c r="N82" s="578">
        <f t="shared" si="21"/>
        <v>0</v>
      </c>
      <c r="O82" s="678"/>
      <c r="P82" s="678"/>
      <c r="Q82" s="678"/>
      <c r="R82" s="678"/>
      <c r="S82" s="678"/>
      <c r="T82" s="678"/>
      <c r="U82" s="678"/>
      <c r="V82" s="678"/>
      <c r="W82" s="678">
        <f>+F82</f>
        <v>71152.75</v>
      </c>
      <c r="X82" s="678">
        <f t="shared" ref="X82:AB83" si="24">+W82</f>
        <v>71152.75</v>
      </c>
      <c r="Y82" s="678">
        <f t="shared" si="24"/>
        <v>71152.75</v>
      </c>
      <c r="Z82" s="678">
        <f t="shared" si="24"/>
        <v>71152.75</v>
      </c>
      <c r="AA82" s="678">
        <f t="shared" si="24"/>
        <v>71152.75</v>
      </c>
      <c r="AB82" s="678">
        <f t="shared" si="24"/>
        <v>71152.75</v>
      </c>
      <c r="AC82" s="678"/>
      <c r="AD82" s="678"/>
      <c r="AE82" s="678"/>
      <c r="AF82" s="678"/>
      <c r="AG82" s="678"/>
      <c r="AH82" s="678"/>
      <c r="AI82" s="678"/>
      <c r="AJ82" s="678"/>
      <c r="AK82" s="658"/>
    </row>
    <row r="83" spans="2:37" s="5" customFormat="1">
      <c r="B83" s="318"/>
      <c r="C83" s="835"/>
      <c r="D83" s="17" t="s">
        <v>28</v>
      </c>
      <c r="E83" s="88">
        <f>$H$5+2+2</f>
        <v>17.25</v>
      </c>
      <c r="F83" s="84">
        <f>E80/44*1.5</f>
        <v>2425.661931818182</v>
      </c>
      <c r="G83" s="87">
        <v>6</v>
      </c>
      <c r="H83" s="64">
        <f>+G83*F83*E83</f>
        <v>251056.00994318182</v>
      </c>
      <c r="I83" s="79"/>
      <c r="J83" s="52"/>
      <c r="K83" s="156"/>
      <c r="L83" s="383"/>
      <c r="M83" s="542"/>
      <c r="N83" s="578">
        <f t="shared" si="21"/>
        <v>0</v>
      </c>
      <c r="O83" s="678"/>
      <c r="P83" s="678"/>
      <c r="Q83" s="678"/>
      <c r="R83" s="678"/>
      <c r="S83" s="678"/>
      <c r="T83" s="678"/>
      <c r="U83" s="678"/>
      <c r="V83" s="678"/>
      <c r="W83" s="678">
        <f>+H83/6</f>
        <v>41842.66832386364</v>
      </c>
      <c r="X83" s="678">
        <f t="shared" si="24"/>
        <v>41842.66832386364</v>
      </c>
      <c r="Y83" s="678">
        <f t="shared" si="24"/>
        <v>41842.66832386364</v>
      </c>
      <c r="Z83" s="678">
        <f t="shared" si="24"/>
        <v>41842.66832386364</v>
      </c>
      <c r="AA83" s="678">
        <f t="shared" si="24"/>
        <v>41842.66832386364</v>
      </c>
      <c r="AB83" s="678">
        <f t="shared" si="24"/>
        <v>41842.66832386364</v>
      </c>
      <c r="AC83" s="678"/>
      <c r="AD83" s="678"/>
      <c r="AE83" s="678"/>
      <c r="AF83" s="678"/>
      <c r="AG83" s="678"/>
      <c r="AH83" s="678"/>
      <c r="AI83" s="678"/>
      <c r="AJ83" s="678"/>
      <c r="AK83" s="658"/>
    </row>
    <row r="84" spans="2:37" s="5" customFormat="1">
      <c r="B84" s="318"/>
      <c r="C84" s="835"/>
      <c r="D84" s="17" t="s">
        <v>1</v>
      </c>
      <c r="E84" s="67" t="s">
        <v>29</v>
      </c>
      <c r="F84" s="84">
        <f>E80/5*1.5</f>
        <v>21345.824999999997</v>
      </c>
      <c r="G84" s="64">
        <f>$H$3</f>
        <v>0</v>
      </c>
      <c r="H84" s="64">
        <f>+G84*F84</f>
        <v>0</v>
      </c>
      <c r="I84" s="79"/>
      <c r="J84" s="52"/>
      <c r="K84" s="156"/>
      <c r="L84" s="383"/>
      <c r="M84" s="542"/>
      <c r="N84" s="578">
        <f t="shared" si="21"/>
        <v>0</v>
      </c>
      <c r="O84" s="678"/>
      <c r="P84" s="678"/>
      <c r="Q84" s="678"/>
      <c r="R84" s="678"/>
      <c r="S84" s="678"/>
      <c r="T84" s="678"/>
      <c r="U84" s="678"/>
      <c r="V84" s="678"/>
      <c r="W84" s="678"/>
      <c r="X84" s="678"/>
      <c r="Y84" s="678"/>
      <c r="Z84" s="678"/>
      <c r="AA84" s="678"/>
      <c r="AB84" s="678"/>
      <c r="AC84" s="678"/>
      <c r="AD84" s="678"/>
      <c r="AE84" s="678"/>
      <c r="AF84" s="678"/>
      <c r="AG84" s="678"/>
      <c r="AH84" s="678"/>
      <c r="AI84" s="678"/>
      <c r="AJ84" s="678"/>
      <c r="AK84" s="658"/>
    </row>
    <row r="85" spans="2:37" s="5" customFormat="1">
      <c r="B85" s="318"/>
      <c r="C85" s="835"/>
      <c r="D85" s="17" t="s">
        <v>4</v>
      </c>
      <c r="E85" s="67" t="s">
        <v>29</v>
      </c>
      <c r="F85" s="84">
        <f>E80/5*2</f>
        <v>28461.1</v>
      </c>
      <c r="G85" s="64">
        <f>$H$4</f>
        <v>0</v>
      </c>
      <c r="H85" s="64">
        <f>+G85*F85</f>
        <v>0</v>
      </c>
      <c r="I85" s="79"/>
      <c r="J85" s="52"/>
      <c r="K85" s="156"/>
      <c r="L85" s="383"/>
      <c r="M85" s="542"/>
      <c r="N85" s="578">
        <f t="shared" si="21"/>
        <v>0</v>
      </c>
      <c r="O85" s="678"/>
      <c r="P85" s="678"/>
      <c r="Q85" s="678"/>
      <c r="R85" s="678"/>
      <c r="S85" s="678"/>
      <c r="T85" s="678"/>
      <c r="U85" s="678"/>
      <c r="V85" s="678"/>
      <c r="W85" s="678"/>
      <c r="X85" s="678"/>
      <c r="Y85" s="678"/>
      <c r="Z85" s="678"/>
      <c r="AA85" s="678"/>
      <c r="AB85" s="678"/>
      <c r="AC85" s="678"/>
      <c r="AD85" s="678"/>
      <c r="AE85" s="678"/>
      <c r="AF85" s="678"/>
      <c r="AG85" s="678"/>
      <c r="AH85" s="678"/>
      <c r="AI85" s="678"/>
      <c r="AJ85" s="678"/>
      <c r="AK85" s="658"/>
    </row>
    <row r="86" spans="2:37" s="5" customFormat="1">
      <c r="B86" s="318"/>
      <c r="C86" s="835"/>
      <c r="D86" s="17" t="s">
        <v>5</v>
      </c>
      <c r="E86" s="98" t="s">
        <v>27</v>
      </c>
      <c r="F86" s="84">
        <f>E80</f>
        <v>71152.75</v>
      </c>
      <c r="G86" s="64">
        <v>1</v>
      </c>
      <c r="H86" s="64">
        <f>+G86*F86</f>
        <v>71152.75</v>
      </c>
      <c r="I86" s="79"/>
      <c r="J86" s="52"/>
      <c r="K86" s="156"/>
      <c r="L86" s="383"/>
      <c r="M86" s="542"/>
      <c r="N86" s="578">
        <f t="shared" si="21"/>
        <v>0</v>
      </c>
      <c r="O86" s="678"/>
      <c r="P86" s="678"/>
      <c r="Q86" s="678"/>
      <c r="R86" s="678"/>
      <c r="S86" s="678"/>
      <c r="T86" s="678"/>
      <c r="U86" s="678"/>
      <c r="V86" s="678"/>
      <c r="W86" s="678"/>
      <c r="X86" s="678"/>
      <c r="Y86" s="678"/>
      <c r="Z86" s="678"/>
      <c r="AA86" s="678"/>
      <c r="AB86" s="678"/>
      <c r="AC86" s="679">
        <f>+H86</f>
        <v>71152.75</v>
      </c>
      <c r="AD86" s="678"/>
      <c r="AE86" s="678"/>
      <c r="AF86" s="678"/>
      <c r="AG86" s="678"/>
      <c r="AH86" s="678"/>
      <c r="AI86" s="678"/>
      <c r="AJ86" s="678"/>
      <c r="AK86" s="658"/>
    </row>
    <row r="87" spans="2:37" s="5" customFormat="1">
      <c r="B87" s="318"/>
      <c r="C87" s="835"/>
      <c r="D87" s="17" t="s">
        <v>30</v>
      </c>
      <c r="E87" s="67" t="s">
        <v>16</v>
      </c>
      <c r="F87" s="89">
        <f>G81+G82+G86</f>
        <v>14</v>
      </c>
      <c r="G87" s="68" t="s">
        <v>31</v>
      </c>
      <c r="H87" s="64">
        <f>SUM(H81:H86)</f>
        <v>1247194.5099431819</v>
      </c>
      <c r="I87" s="79"/>
      <c r="J87" s="52"/>
      <c r="K87" s="156"/>
      <c r="L87" s="383"/>
      <c r="M87" s="542"/>
      <c r="N87" s="578">
        <f t="shared" si="21"/>
        <v>-1247194.5099431819</v>
      </c>
      <c r="O87" s="678"/>
      <c r="P87" s="678"/>
      <c r="Q87" s="678"/>
      <c r="R87" s="678"/>
      <c r="S87" s="678"/>
      <c r="T87" s="678"/>
      <c r="U87" s="678"/>
      <c r="V87" s="678"/>
      <c r="W87" s="678"/>
      <c r="X87" s="678"/>
      <c r="Y87" s="678"/>
      <c r="Z87" s="678"/>
      <c r="AA87" s="678"/>
      <c r="AB87" s="678"/>
      <c r="AC87" s="678"/>
      <c r="AD87" s="678"/>
      <c r="AE87" s="678"/>
      <c r="AF87" s="678"/>
      <c r="AG87" s="678"/>
      <c r="AH87" s="678"/>
      <c r="AI87" s="678"/>
      <c r="AJ87" s="678"/>
      <c r="AK87" s="658"/>
    </row>
    <row r="88" spans="2:37" s="5" customFormat="1">
      <c r="B88" s="318"/>
      <c r="C88" s="835"/>
      <c r="D88" s="19" t="s">
        <v>32</v>
      </c>
      <c r="E88" s="67" t="s">
        <v>16</v>
      </c>
      <c r="F88" s="84">
        <f>SUM(H81:H86)</f>
        <v>1247194.5099431819</v>
      </c>
      <c r="G88" s="92">
        <f>$G$43</f>
        <v>8.3299999999999999E-2</v>
      </c>
      <c r="H88" s="64">
        <f>+G88*F88</f>
        <v>103891.30267826705</v>
      </c>
      <c r="I88" s="93"/>
      <c r="J88" s="52"/>
      <c r="K88" s="156"/>
      <c r="L88" s="383"/>
      <c r="M88" s="542"/>
      <c r="N88" s="578">
        <f t="shared" si="21"/>
        <v>0</v>
      </c>
      <c r="O88" s="679">
        <f t="shared" ref="O88:V88" si="25">SUM(O79:O87)*$G$54</f>
        <v>5186.1460656250001</v>
      </c>
      <c r="P88" s="679">
        <f t="shared" si="25"/>
        <v>5186.1460656250001</v>
      </c>
      <c r="Q88" s="679">
        <f t="shared" si="25"/>
        <v>5186.1460656250001</v>
      </c>
      <c r="R88" s="679">
        <f t="shared" si="25"/>
        <v>5186.1460656250001</v>
      </c>
      <c r="S88" s="679">
        <f t="shared" si="25"/>
        <v>5186.1460656250001</v>
      </c>
      <c r="T88" s="679">
        <f t="shared" si="25"/>
        <v>5186.1460656250001</v>
      </c>
      <c r="U88" s="679">
        <f t="shared" si="25"/>
        <v>5186.1460656250001</v>
      </c>
      <c r="V88" s="679">
        <f t="shared" si="25"/>
        <v>5186.1460656250001</v>
      </c>
      <c r="W88" s="679">
        <f>SUM(W79:W87)*$G$54</f>
        <v>9412.5183463778412</v>
      </c>
      <c r="X88" s="679">
        <f t="shared" ref="X88:AC88" si="26">SUM(X79:X87)*$G$54</f>
        <v>9412.5183463778412</v>
      </c>
      <c r="Y88" s="679">
        <f t="shared" si="26"/>
        <v>9412.5183463778412</v>
      </c>
      <c r="Z88" s="679">
        <f t="shared" si="26"/>
        <v>9412.5183463778412</v>
      </c>
      <c r="AA88" s="679">
        <f t="shared" si="26"/>
        <v>9412.5183463778412</v>
      </c>
      <c r="AB88" s="679">
        <f t="shared" si="26"/>
        <v>9412.5183463778412</v>
      </c>
      <c r="AC88" s="679">
        <f t="shared" si="26"/>
        <v>5927.0240750000003</v>
      </c>
      <c r="AD88" s="678"/>
      <c r="AE88" s="678"/>
      <c r="AF88" s="678"/>
      <c r="AG88" s="678"/>
      <c r="AH88" s="678"/>
      <c r="AI88" s="678"/>
      <c r="AJ88" s="678"/>
      <c r="AK88" s="658"/>
    </row>
    <row r="89" spans="2:37" s="5" customFormat="1">
      <c r="B89" s="318"/>
      <c r="C89" s="835"/>
      <c r="D89" s="19" t="s">
        <v>33</v>
      </c>
      <c r="E89" s="84">
        <f>F88/(5*F87)</f>
        <v>17817.064427759742</v>
      </c>
      <c r="F89" s="84">
        <f>E89*(F87*7)</f>
        <v>1746072.3139204548</v>
      </c>
      <c r="G89" s="95">
        <f>$G$44</f>
        <v>20</v>
      </c>
      <c r="H89" s="64">
        <f>F89/G89</f>
        <v>87303.615696022738</v>
      </c>
      <c r="I89" s="72">
        <f>SUM(H87:H89)</f>
        <v>1438389.4283174716</v>
      </c>
      <c r="J89" s="52">
        <f>SUM(G81:G89)</f>
        <v>40.083300000000001</v>
      </c>
      <c r="K89" s="156"/>
      <c r="L89" s="383"/>
      <c r="M89" s="542"/>
      <c r="N89" s="578">
        <f t="shared" si="21"/>
        <v>0</v>
      </c>
      <c r="O89" s="678"/>
      <c r="P89" s="678"/>
      <c r="Q89" s="678"/>
      <c r="R89" s="678"/>
      <c r="S89" s="678"/>
      <c r="T89" s="678"/>
      <c r="U89" s="678"/>
      <c r="V89" s="678"/>
      <c r="W89" s="678"/>
      <c r="X89" s="678"/>
      <c r="Y89" s="678"/>
      <c r="Z89" s="678"/>
      <c r="AA89" s="678"/>
      <c r="AB89" s="678"/>
      <c r="AC89" s="678">
        <f>+H89</f>
        <v>87303.615696022738</v>
      </c>
      <c r="AD89" s="678"/>
      <c r="AE89" s="678"/>
      <c r="AF89" s="678"/>
      <c r="AG89" s="678"/>
      <c r="AH89" s="678"/>
      <c r="AI89" s="678"/>
      <c r="AJ89" s="678"/>
      <c r="AK89" s="658"/>
    </row>
    <row r="90" spans="2:37" s="5" customFormat="1">
      <c r="B90" s="318"/>
      <c r="C90" s="835"/>
      <c r="D90" s="96"/>
      <c r="E90" s="9"/>
      <c r="F90" s="74"/>
      <c r="G90" s="97"/>
      <c r="H90" s="78"/>
      <c r="I90" s="79"/>
      <c r="J90" s="52"/>
      <c r="K90" s="156"/>
      <c r="L90" s="383"/>
      <c r="M90" s="542"/>
      <c r="N90" s="578">
        <f t="shared" si="21"/>
        <v>0</v>
      </c>
      <c r="O90" s="678"/>
      <c r="P90" s="678"/>
      <c r="Q90" s="678"/>
      <c r="R90" s="678"/>
      <c r="S90" s="678"/>
      <c r="T90" s="678"/>
      <c r="U90" s="678"/>
      <c r="V90" s="678"/>
      <c r="W90" s="678"/>
      <c r="X90" s="678"/>
      <c r="Y90" s="678"/>
      <c r="Z90" s="678"/>
      <c r="AA90" s="678"/>
      <c r="AB90" s="678"/>
      <c r="AC90" s="678"/>
      <c r="AD90" s="678"/>
      <c r="AE90" s="678"/>
      <c r="AF90" s="678"/>
      <c r="AG90" s="678"/>
      <c r="AH90" s="678"/>
      <c r="AI90" s="678"/>
      <c r="AJ90" s="678"/>
      <c r="AK90" s="658"/>
    </row>
    <row r="91" spans="2:37" s="5" customFormat="1" ht="15" customHeight="1">
      <c r="B91" s="317">
        <v>6</v>
      </c>
      <c r="C91" s="835" t="s">
        <v>867</v>
      </c>
      <c r="D91" s="80" t="s">
        <v>37</v>
      </c>
      <c r="E91" s="81">
        <v>52273.75</v>
      </c>
      <c r="F91" s="74"/>
      <c r="G91" s="75"/>
      <c r="H91" s="82"/>
      <c r="I91" s="83"/>
      <c r="J91" s="6"/>
      <c r="K91" s="156"/>
      <c r="L91" s="383"/>
      <c r="M91" s="542"/>
      <c r="N91" s="578">
        <f t="shared" si="21"/>
        <v>0</v>
      </c>
      <c r="O91" s="678"/>
      <c r="P91" s="678"/>
      <c r="Q91" s="678"/>
      <c r="R91" s="678"/>
      <c r="S91" s="678"/>
      <c r="T91" s="678"/>
      <c r="U91" s="678"/>
      <c r="V91" s="678"/>
      <c r="W91" s="678"/>
      <c r="X91" s="678"/>
      <c r="Y91" s="678"/>
      <c r="Z91" s="678"/>
      <c r="AA91" s="678"/>
      <c r="AB91" s="678"/>
      <c r="AC91" s="678"/>
      <c r="AD91" s="678"/>
      <c r="AE91" s="678"/>
      <c r="AF91" s="678"/>
      <c r="AG91" s="678"/>
      <c r="AH91" s="678"/>
      <c r="AI91" s="678"/>
      <c r="AJ91" s="678"/>
      <c r="AK91" s="658"/>
    </row>
    <row r="92" spans="2:37" s="5" customFormat="1">
      <c r="B92" s="318"/>
      <c r="C92" s="835"/>
      <c r="D92" s="17" t="s">
        <v>0</v>
      </c>
      <c r="E92" s="98" t="s">
        <v>27</v>
      </c>
      <c r="F92" s="84">
        <f>E91</f>
        <v>52273.75</v>
      </c>
      <c r="G92" s="64">
        <v>6</v>
      </c>
      <c r="H92" s="64">
        <f>+G92*F92</f>
        <v>313642.5</v>
      </c>
      <c r="I92" s="79"/>
      <c r="J92" s="52"/>
      <c r="K92" s="156"/>
      <c r="L92" s="383"/>
      <c r="M92" s="542"/>
      <c r="N92" s="578">
        <f t="shared" si="21"/>
        <v>0</v>
      </c>
      <c r="O92" s="682"/>
      <c r="P92" s="682"/>
      <c r="Q92" s="682">
        <f>+H92/G92</f>
        <v>52273.75</v>
      </c>
      <c r="R92" s="682">
        <f>+H92/G92</f>
        <v>52273.75</v>
      </c>
      <c r="S92" s="682">
        <f>+H92/G92</f>
        <v>52273.75</v>
      </c>
      <c r="T92" s="682">
        <f>+H92/G92</f>
        <v>52273.75</v>
      </c>
      <c r="U92" s="682">
        <f>+H92/G92</f>
        <v>52273.75</v>
      </c>
      <c r="V92" s="682">
        <f>+H92/G92</f>
        <v>52273.75</v>
      </c>
      <c r="W92" s="682"/>
      <c r="X92" s="682"/>
      <c r="Y92" s="682"/>
      <c r="Z92" s="682"/>
      <c r="AA92" s="682"/>
      <c r="AB92" s="682"/>
      <c r="AC92" s="682"/>
      <c r="AD92" s="678"/>
      <c r="AE92" s="678"/>
      <c r="AF92" s="678"/>
      <c r="AG92" s="678"/>
      <c r="AH92" s="678"/>
      <c r="AI92" s="678"/>
      <c r="AJ92" s="678"/>
      <c r="AK92" s="658"/>
    </row>
    <row r="93" spans="2:37" s="5" customFormat="1">
      <c r="B93" s="318"/>
      <c r="C93" s="835"/>
      <c r="D93" s="17" t="s">
        <v>3</v>
      </c>
      <c r="E93" s="98" t="s">
        <v>27</v>
      </c>
      <c r="F93" s="84">
        <f>E91</f>
        <v>52273.75</v>
      </c>
      <c r="G93" s="87">
        <v>6</v>
      </c>
      <c r="H93" s="64">
        <f>+G93*F93</f>
        <v>313642.5</v>
      </c>
      <c r="I93" s="79"/>
      <c r="J93" s="52"/>
      <c r="K93" s="156"/>
      <c r="L93" s="383"/>
      <c r="M93" s="542"/>
      <c r="N93" s="578">
        <f t="shared" si="21"/>
        <v>0</v>
      </c>
      <c r="O93" s="682"/>
      <c r="P93" s="682"/>
      <c r="Q93" s="682"/>
      <c r="R93" s="682"/>
      <c r="S93" s="682"/>
      <c r="T93" s="682"/>
      <c r="U93" s="682"/>
      <c r="V93" s="682"/>
      <c r="W93" s="682">
        <f>+H93/G93</f>
        <v>52273.75</v>
      </c>
      <c r="X93" s="682">
        <f>+H93/G93</f>
        <v>52273.75</v>
      </c>
      <c r="Y93" s="682">
        <f>+H93/G93</f>
        <v>52273.75</v>
      </c>
      <c r="Z93" s="682">
        <f>+H93/G93</f>
        <v>52273.75</v>
      </c>
      <c r="AA93" s="682">
        <f>+H93/G93</f>
        <v>52273.75</v>
      </c>
      <c r="AB93" s="682">
        <f>+H93/G93</f>
        <v>52273.75</v>
      </c>
      <c r="AC93" s="682"/>
      <c r="AD93" s="678"/>
      <c r="AE93" s="678"/>
      <c r="AF93" s="678"/>
      <c r="AG93" s="678"/>
      <c r="AH93" s="678"/>
      <c r="AI93" s="678"/>
      <c r="AJ93" s="678"/>
      <c r="AK93" s="658"/>
    </row>
    <row r="94" spans="2:37" s="5" customFormat="1">
      <c r="B94" s="318"/>
      <c r="C94" s="835"/>
      <c r="D94" s="17" t="s">
        <v>28</v>
      </c>
      <c r="E94" s="88">
        <f>$H$5+2+2</f>
        <v>17.25</v>
      </c>
      <c r="F94" s="84">
        <f>E91/44*1.5</f>
        <v>1782.059659090909</v>
      </c>
      <c r="G94" s="87">
        <v>6</v>
      </c>
      <c r="H94" s="64">
        <f>+G94*F94*E94</f>
        <v>184443.17471590909</v>
      </c>
      <c r="I94" s="79"/>
      <c r="J94" s="52"/>
      <c r="K94" s="156"/>
      <c r="L94" s="383"/>
      <c r="M94" s="542"/>
      <c r="N94" s="578">
        <f t="shared" si="21"/>
        <v>0</v>
      </c>
      <c r="O94" s="682"/>
      <c r="P94" s="682"/>
      <c r="Q94" s="682"/>
      <c r="R94" s="682"/>
      <c r="S94" s="682"/>
      <c r="T94" s="682"/>
      <c r="U94" s="682"/>
      <c r="V94" s="682"/>
      <c r="W94" s="682">
        <f>+H94/G94</f>
        <v>30740.52911931818</v>
      </c>
      <c r="X94" s="682">
        <f>+W94</f>
        <v>30740.52911931818</v>
      </c>
      <c r="Y94" s="682">
        <f>+X94</f>
        <v>30740.52911931818</v>
      </c>
      <c r="Z94" s="682">
        <f>+Y94</f>
        <v>30740.52911931818</v>
      </c>
      <c r="AA94" s="682">
        <f>+Z94</f>
        <v>30740.52911931818</v>
      </c>
      <c r="AB94" s="682">
        <f>+AA94</f>
        <v>30740.52911931818</v>
      </c>
      <c r="AC94" s="682"/>
      <c r="AD94" s="678"/>
      <c r="AE94" s="678"/>
      <c r="AF94" s="678"/>
      <c r="AG94" s="678"/>
      <c r="AH94" s="678"/>
      <c r="AI94" s="678"/>
      <c r="AJ94" s="678"/>
      <c r="AK94" s="658"/>
    </row>
    <row r="95" spans="2:37" s="5" customFormat="1">
      <c r="B95" s="318"/>
      <c r="C95" s="835"/>
      <c r="D95" s="17" t="s">
        <v>1</v>
      </c>
      <c r="E95" s="67" t="s">
        <v>29</v>
      </c>
      <c r="F95" s="84">
        <f>E91/5*1.5</f>
        <v>15682.125</v>
      </c>
      <c r="G95" s="64">
        <f>$H$3</f>
        <v>0</v>
      </c>
      <c r="H95" s="64">
        <f>+G95*F95</f>
        <v>0</v>
      </c>
      <c r="I95" s="79"/>
      <c r="J95" s="52"/>
      <c r="K95" s="156"/>
      <c r="L95" s="383"/>
      <c r="M95" s="542"/>
      <c r="N95" s="578">
        <f t="shared" si="21"/>
        <v>0</v>
      </c>
      <c r="O95" s="682"/>
      <c r="P95" s="682"/>
      <c r="Q95" s="682"/>
      <c r="R95" s="682"/>
      <c r="S95" s="682"/>
      <c r="T95" s="682"/>
      <c r="U95" s="682"/>
      <c r="V95" s="682"/>
      <c r="W95" s="682"/>
      <c r="X95" s="682"/>
      <c r="Y95" s="682"/>
      <c r="Z95" s="682"/>
      <c r="AA95" s="682"/>
      <c r="AB95" s="682"/>
      <c r="AC95" s="682"/>
      <c r="AD95" s="678"/>
      <c r="AE95" s="678"/>
      <c r="AF95" s="678"/>
      <c r="AG95" s="678"/>
      <c r="AH95" s="678"/>
      <c r="AI95" s="678"/>
      <c r="AJ95" s="678"/>
      <c r="AK95" s="658"/>
    </row>
    <row r="96" spans="2:37" s="5" customFormat="1">
      <c r="B96" s="318"/>
      <c r="C96" s="835"/>
      <c r="D96" s="17" t="s">
        <v>4</v>
      </c>
      <c r="E96" s="67" t="s">
        <v>29</v>
      </c>
      <c r="F96" s="84">
        <f>E91/5*2</f>
        <v>20909.5</v>
      </c>
      <c r="G96" s="64">
        <f>$H$4</f>
        <v>0</v>
      </c>
      <c r="H96" s="64">
        <f>+G96*F96</f>
        <v>0</v>
      </c>
      <c r="I96" s="79"/>
      <c r="J96" s="52"/>
      <c r="K96" s="156"/>
      <c r="L96" s="383"/>
      <c r="M96" s="542"/>
      <c r="N96" s="578">
        <f t="shared" si="21"/>
        <v>0</v>
      </c>
      <c r="O96" s="682"/>
      <c r="P96" s="682"/>
      <c r="Q96" s="682"/>
      <c r="R96" s="682"/>
      <c r="S96" s="682"/>
      <c r="T96" s="682"/>
      <c r="U96" s="682"/>
      <c r="V96" s="682"/>
      <c r="W96" s="682"/>
      <c r="X96" s="682"/>
      <c r="Y96" s="682"/>
      <c r="Z96" s="682"/>
      <c r="AA96" s="682"/>
      <c r="AB96" s="682"/>
      <c r="AC96" s="682"/>
      <c r="AD96" s="678"/>
      <c r="AE96" s="678"/>
      <c r="AF96" s="678"/>
      <c r="AG96" s="678"/>
      <c r="AH96" s="678"/>
      <c r="AI96" s="678"/>
      <c r="AJ96" s="678"/>
      <c r="AK96" s="658"/>
    </row>
    <row r="97" spans="2:37" s="5" customFormat="1">
      <c r="B97" s="318"/>
      <c r="C97" s="835"/>
      <c r="D97" s="17" t="s">
        <v>5</v>
      </c>
      <c r="E97" s="98" t="s">
        <v>27</v>
      </c>
      <c r="F97" s="84">
        <f>E91</f>
        <v>52273.75</v>
      </c>
      <c r="G97" s="99">
        <v>0</v>
      </c>
      <c r="H97" s="64">
        <f>+G97*F97</f>
        <v>0</v>
      </c>
      <c r="I97" s="79"/>
      <c r="J97" s="52"/>
      <c r="K97" s="156"/>
      <c r="L97" s="383"/>
      <c r="M97" s="542"/>
      <c r="N97" s="578">
        <f t="shared" si="21"/>
        <v>0</v>
      </c>
      <c r="O97" s="682"/>
      <c r="P97" s="682"/>
      <c r="Q97" s="682"/>
      <c r="R97" s="682"/>
      <c r="S97" s="682"/>
      <c r="T97" s="682"/>
      <c r="U97" s="682"/>
      <c r="V97" s="682"/>
      <c r="W97" s="682"/>
      <c r="X97" s="682"/>
      <c r="Y97" s="682"/>
      <c r="Z97" s="682"/>
      <c r="AA97" s="682"/>
      <c r="AB97" s="682"/>
      <c r="AC97" s="683">
        <v>0</v>
      </c>
      <c r="AD97" s="678"/>
      <c r="AE97" s="678"/>
      <c r="AF97" s="678"/>
      <c r="AG97" s="678"/>
      <c r="AH97" s="678"/>
      <c r="AI97" s="678"/>
      <c r="AJ97" s="678"/>
      <c r="AK97" s="658"/>
    </row>
    <row r="98" spans="2:37" s="5" customFormat="1">
      <c r="B98" s="318"/>
      <c r="C98" s="835"/>
      <c r="D98" s="17" t="s">
        <v>30</v>
      </c>
      <c r="E98" s="67" t="s">
        <v>16</v>
      </c>
      <c r="F98" s="89">
        <f>G92+G93+G97</f>
        <v>12</v>
      </c>
      <c r="G98" s="68" t="s">
        <v>31</v>
      </c>
      <c r="H98" s="64">
        <f>SUM(H92:H97)</f>
        <v>811728.17471590906</v>
      </c>
      <c r="I98" s="79"/>
      <c r="J98" s="52"/>
      <c r="K98" s="156"/>
      <c r="L98" s="383"/>
      <c r="M98" s="542"/>
      <c r="N98" s="578">
        <f t="shared" si="21"/>
        <v>-811728.17471590906</v>
      </c>
      <c r="O98" s="682"/>
      <c r="P98" s="682"/>
      <c r="Q98" s="682"/>
      <c r="R98" s="682"/>
      <c r="S98" s="682"/>
      <c r="T98" s="682"/>
      <c r="U98" s="682"/>
      <c r="V98" s="682"/>
      <c r="W98" s="682"/>
      <c r="X98" s="682"/>
      <c r="Y98" s="682"/>
      <c r="Z98" s="682"/>
      <c r="AA98" s="682"/>
      <c r="AB98" s="682"/>
      <c r="AC98" s="682"/>
      <c r="AD98" s="678"/>
      <c r="AE98" s="678"/>
      <c r="AF98" s="678"/>
      <c r="AG98" s="678"/>
      <c r="AH98" s="678"/>
      <c r="AI98" s="678"/>
      <c r="AJ98" s="678"/>
      <c r="AK98" s="658"/>
    </row>
    <row r="99" spans="2:37" s="5" customFormat="1">
      <c r="B99" s="318"/>
      <c r="C99" s="835"/>
      <c r="D99" s="19" t="s">
        <v>32</v>
      </c>
      <c r="E99" s="67" t="s">
        <v>16</v>
      </c>
      <c r="F99" s="84">
        <f>SUM(H92:H97)</f>
        <v>811728.17471590906</v>
      </c>
      <c r="G99" s="92">
        <f>$G$43</f>
        <v>8.3299999999999999E-2</v>
      </c>
      <c r="H99" s="64">
        <f>+G99*F99</f>
        <v>67616.956953835223</v>
      </c>
      <c r="I99" s="93"/>
      <c r="J99" s="52"/>
      <c r="K99" s="156"/>
      <c r="L99" s="383"/>
      <c r="M99" s="542"/>
      <c r="N99" s="578">
        <f t="shared" si="21"/>
        <v>0</v>
      </c>
      <c r="O99" s="682"/>
      <c r="P99" s="682"/>
      <c r="Q99" s="683">
        <f t="shared" ref="Q99:AC99" si="27">SUM(Q90:Q98)*$G$54</f>
        <v>4354.4033749999999</v>
      </c>
      <c r="R99" s="683">
        <f t="shared" si="27"/>
        <v>4354.4033749999999</v>
      </c>
      <c r="S99" s="683">
        <f t="shared" si="27"/>
        <v>4354.4033749999999</v>
      </c>
      <c r="T99" s="683">
        <f t="shared" si="27"/>
        <v>4354.4033749999999</v>
      </c>
      <c r="U99" s="683">
        <f t="shared" si="27"/>
        <v>4354.4033749999999</v>
      </c>
      <c r="V99" s="683">
        <f t="shared" si="27"/>
        <v>4354.4033749999999</v>
      </c>
      <c r="W99" s="683">
        <f t="shared" si="27"/>
        <v>6915.0894506392042</v>
      </c>
      <c r="X99" s="683">
        <f t="shared" si="27"/>
        <v>6915.0894506392042</v>
      </c>
      <c r="Y99" s="683">
        <f t="shared" si="27"/>
        <v>6915.0894506392042</v>
      </c>
      <c r="Z99" s="683">
        <f t="shared" si="27"/>
        <v>6915.0894506392042</v>
      </c>
      <c r="AA99" s="683">
        <f t="shared" si="27"/>
        <v>6915.0894506392042</v>
      </c>
      <c r="AB99" s="683">
        <f t="shared" si="27"/>
        <v>6915.0894506392042</v>
      </c>
      <c r="AC99" s="683">
        <f t="shared" si="27"/>
        <v>0</v>
      </c>
      <c r="AD99" s="678"/>
      <c r="AE99" s="678"/>
      <c r="AF99" s="678"/>
      <c r="AG99" s="678"/>
      <c r="AH99" s="678"/>
      <c r="AI99" s="678"/>
      <c r="AJ99" s="678"/>
      <c r="AK99" s="658"/>
    </row>
    <row r="100" spans="2:37" s="5" customFormat="1">
      <c r="B100" s="318"/>
      <c r="C100" s="835"/>
      <c r="D100" s="19" t="s">
        <v>33</v>
      </c>
      <c r="E100" s="84">
        <f>F99/(5*F98)</f>
        <v>13528.802911931818</v>
      </c>
      <c r="F100" s="84">
        <f>E100*(F98*7)</f>
        <v>1136419.4446022727</v>
      </c>
      <c r="G100" s="95">
        <f>$G$44</f>
        <v>20</v>
      </c>
      <c r="H100" s="64">
        <f>F100/G100</f>
        <v>56820.972230113635</v>
      </c>
      <c r="I100" s="72">
        <f>SUM(H98:H100)</f>
        <v>936166.10389985796</v>
      </c>
      <c r="J100" s="52">
        <f>SUM(G92:G100)</f>
        <v>38.083300000000001</v>
      </c>
      <c r="K100" s="156"/>
      <c r="L100" s="383"/>
      <c r="M100" s="542"/>
      <c r="N100" s="578">
        <f t="shared" si="21"/>
        <v>0</v>
      </c>
      <c r="O100" s="682"/>
      <c r="P100" s="682"/>
      <c r="Q100" s="682"/>
      <c r="R100" s="682"/>
      <c r="S100" s="682"/>
      <c r="T100" s="682"/>
      <c r="U100" s="682"/>
      <c r="V100" s="682"/>
      <c r="W100" s="682"/>
      <c r="X100" s="682"/>
      <c r="Y100" s="682"/>
      <c r="Z100" s="682"/>
      <c r="AA100" s="682"/>
      <c r="AB100" s="682">
        <f>+H100</f>
        <v>56820.972230113635</v>
      </c>
      <c r="AC100" s="682"/>
      <c r="AD100" s="678"/>
      <c r="AE100" s="678"/>
      <c r="AF100" s="678"/>
      <c r="AG100" s="678"/>
      <c r="AH100" s="678"/>
      <c r="AI100" s="678"/>
      <c r="AJ100" s="678"/>
      <c r="AK100" s="658"/>
    </row>
    <row r="101" spans="2:37" s="5" customFormat="1">
      <c r="B101" s="318"/>
      <c r="C101" s="835"/>
      <c r="D101" s="96"/>
      <c r="E101" s="9"/>
      <c r="F101" s="74"/>
      <c r="G101" s="97"/>
      <c r="H101" s="78"/>
      <c r="I101" s="79"/>
      <c r="J101" s="52"/>
      <c r="K101" s="156"/>
      <c r="L101" s="383"/>
      <c r="M101" s="542"/>
      <c r="N101" s="578">
        <f t="shared" si="21"/>
        <v>0</v>
      </c>
      <c r="O101" s="678"/>
      <c r="P101" s="680"/>
      <c r="Q101" s="680"/>
      <c r="R101" s="680"/>
      <c r="S101" s="680"/>
      <c r="T101" s="680"/>
      <c r="U101" s="680"/>
      <c r="V101" s="680"/>
      <c r="W101" s="680"/>
      <c r="X101" s="680"/>
      <c r="Y101" s="680"/>
      <c r="Z101" s="680"/>
      <c r="AA101" s="680"/>
      <c r="AB101" s="680"/>
      <c r="AC101" s="680"/>
      <c r="AD101" s="678"/>
      <c r="AE101" s="678"/>
      <c r="AF101" s="678"/>
      <c r="AG101" s="678"/>
      <c r="AH101" s="678"/>
      <c r="AI101" s="678"/>
      <c r="AJ101" s="678"/>
      <c r="AK101" s="658"/>
    </row>
    <row r="102" spans="2:37" s="5" customFormat="1" ht="15" customHeight="1">
      <c r="B102" s="317">
        <v>7</v>
      </c>
      <c r="C102" s="835" t="s">
        <v>868</v>
      </c>
      <c r="D102" s="80" t="s">
        <v>38</v>
      </c>
      <c r="E102" s="81">
        <v>75908.149999999994</v>
      </c>
      <c r="F102" s="74"/>
      <c r="G102" s="75"/>
      <c r="H102" s="82"/>
      <c r="I102" s="83"/>
      <c r="J102" s="6"/>
      <c r="K102" s="156"/>
      <c r="L102" s="383"/>
      <c r="M102" s="542"/>
      <c r="N102" s="578">
        <f t="shared" si="21"/>
        <v>0</v>
      </c>
      <c r="O102" s="678"/>
      <c r="P102" s="678"/>
      <c r="Q102" s="678"/>
      <c r="R102" s="678"/>
      <c r="S102" s="678"/>
      <c r="T102" s="678"/>
      <c r="U102" s="678"/>
      <c r="V102" s="678"/>
      <c r="W102" s="678"/>
      <c r="X102" s="678"/>
      <c r="Y102" s="678"/>
      <c r="Z102" s="678"/>
      <c r="AA102" s="678"/>
      <c r="AB102" s="678"/>
      <c r="AC102" s="678"/>
      <c r="AD102" s="678"/>
      <c r="AE102" s="678"/>
      <c r="AF102" s="678"/>
      <c r="AG102" s="678"/>
      <c r="AH102" s="678"/>
      <c r="AI102" s="678"/>
      <c r="AJ102" s="678"/>
      <c r="AK102" s="658"/>
    </row>
    <row r="103" spans="2:37" s="5" customFormat="1">
      <c r="B103" s="318"/>
      <c r="C103" s="835"/>
      <c r="D103" s="17" t="s">
        <v>0</v>
      </c>
      <c r="E103" s="98" t="s">
        <v>27</v>
      </c>
      <c r="F103" s="84">
        <f>+E102</f>
        <v>75908.149999999994</v>
      </c>
      <c r="G103" s="64">
        <v>6</v>
      </c>
      <c r="H103" s="64">
        <f>+G103*F103</f>
        <v>455448.89999999997</v>
      </c>
      <c r="I103" s="79"/>
      <c r="J103" s="52"/>
      <c r="K103" s="156"/>
      <c r="L103" s="383"/>
      <c r="M103" s="542"/>
      <c r="N103" s="578">
        <f t="shared" si="21"/>
        <v>0</v>
      </c>
      <c r="O103" s="678"/>
      <c r="P103" s="678"/>
      <c r="Q103" s="678">
        <f>+H103/6</f>
        <v>75908.149999999994</v>
      </c>
      <c r="R103" s="678">
        <f t="shared" ref="R103:V103" si="28">+Q103</f>
        <v>75908.149999999994</v>
      </c>
      <c r="S103" s="678">
        <f t="shared" si="28"/>
        <v>75908.149999999994</v>
      </c>
      <c r="T103" s="678">
        <f t="shared" si="28"/>
        <v>75908.149999999994</v>
      </c>
      <c r="U103" s="678">
        <f t="shared" si="28"/>
        <v>75908.149999999994</v>
      </c>
      <c r="V103" s="678">
        <f t="shared" si="28"/>
        <v>75908.149999999994</v>
      </c>
      <c r="W103" s="678"/>
      <c r="X103" s="678"/>
      <c r="Y103" s="678"/>
      <c r="Z103" s="678"/>
      <c r="AA103" s="678"/>
      <c r="AB103" s="678"/>
      <c r="AC103" s="678"/>
      <c r="AD103" s="678"/>
      <c r="AE103" s="678"/>
      <c r="AF103" s="678"/>
      <c r="AG103" s="678"/>
      <c r="AH103" s="678"/>
      <c r="AI103" s="678"/>
      <c r="AJ103" s="678"/>
      <c r="AK103" s="658"/>
    </row>
    <row r="104" spans="2:37" s="5" customFormat="1">
      <c r="B104" s="313"/>
      <c r="C104" s="835"/>
      <c r="D104" s="17" t="s">
        <v>3</v>
      </c>
      <c r="E104" s="98" t="s">
        <v>27</v>
      </c>
      <c r="F104" s="84">
        <f>F103</f>
        <v>75908.149999999994</v>
      </c>
      <c r="G104" s="64">
        <v>6</v>
      </c>
      <c r="H104" s="64">
        <f>+G104*F104</f>
        <v>455448.89999999997</v>
      </c>
      <c r="I104" s="79"/>
      <c r="J104" s="52"/>
      <c r="K104" s="156"/>
      <c r="L104" s="383"/>
      <c r="M104" s="542"/>
      <c r="N104" s="578">
        <f t="shared" si="21"/>
        <v>0</v>
      </c>
      <c r="O104" s="678"/>
      <c r="P104" s="678"/>
      <c r="Q104" s="678"/>
      <c r="R104" s="678"/>
      <c r="S104" s="678"/>
      <c r="T104" s="678"/>
      <c r="U104" s="678"/>
      <c r="V104" s="678"/>
      <c r="W104" s="678">
        <f>+H104/6</f>
        <v>75908.149999999994</v>
      </c>
      <c r="X104" s="678">
        <f t="shared" ref="X104:AB104" si="29">+W104</f>
        <v>75908.149999999994</v>
      </c>
      <c r="Y104" s="678">
        <f t="shared" si="29"/>
        <v>75908.149999999994</v>
      </c>
      <c r="Z104" s="678">
        <f t="shared" si="29"/>
        <v>75908.149999999994</v>
      </c>
      <c r="AA104" s="678">
        <f t="shared" si="29"/>
        <v>75908.149999999994</v>
      </c>
      <c r="AB104" s="678">
        <f t="shared" si="29"/>
        <v>75908.149999999994</v>
      </c>
      <c r="AC104" s="678"/>
      <c r="AD104" s="678"/>
      <c r="AE104" s="678"/>
      <c r="AF104" s="678"/>
      <c r="AG104" s="678"/>
      <c r="AH104" s="678"/>
      <c r="AI104" s="678"/>
      <c r="AJ104" s="678"/>
      <c r="AK104" s="658"/>
    </row>
    <row r="105" spans="2:37" s="5" customFormat="1">
      <c r="B105" s="313"/>
      <c r="C105" s="835"/>
      <c r="D105" s="17" t="s">
        <v>28</v>
      </c>
      <c r="E105" s="88">
        <f>$H$5+2</f>
        <v>15.25</v>
      </c>
      <c r="F105" s="84">
        <f>E102/44*1.5</f>
        <v>2587.7778409090906</v>
      </c>
      <c r="G105" s="87">
        <v>6</v>
      </c>
      <c r="H105" s="64">
        <f>+G105*F105*E105</f>
        <v>236781.6724431818</v>
      </c>
      <c r="I105" s="79"/>
      <c r="J105" s="52"/>
      <c r="K105" s="156"/>
      <c r="L105" s="383"/>
      <c r="M105" s="542"/>
      <c r="N105" s="578">
        <f t="shared" si="21"/>
        <v>0</v>
      </c>
      <c r="O105" s="678"/>
      <c r="P105" s="678"/>
      <c r="Q105" s="678"/>
      <c r="R105" s="678"/>
      <c r="S105" s="678"/>
      <c r="T105" s="678"/>
      <c r="U105" s="678"/>
      <c r="V105" s="678"/>
      <c r="W105" s="678">
        <f>+H105/6</f>
        <v>39463.612073863631</v>
      </c>
      <c r="X105" s="678">
        <f t="shared" ref="X105:AB105" si="30">+W105</f>
        <v>39463.612073863631</v>
      </c>
      <c r="Y105" s="678">
        <f t="shared" si="30"/>
        <v>39463.612073863631</v>
      </c>
      <c r="Z105" s="678">
        <f t="shared" si="30"/>
        <v>39463.612073863631</v>
      </c>
      <c r="AA105" s="678">
        <f t="shared" si="30"/>
        <v>39463.612073863631</v>
      </c>
      <c r="AB105" s="678">
        <f t="shared" si="30"/>
        <v>39463.612073863631</v>
      </c>
      <c r="AC105" s="678"/>
      <c r="AD105" s="678"/>
      <c r="AE105" s="678"/>
      <c r="AF105" s="678"/>
      <c r="AG105" s="678"/>
      <c r="AH105" s="678"/>
      <c r="AI105" s="678"/>
      <c r="AJ105" s="678"/>
      <c r="AK105" s="658"/>
    </row>
    <row r="106" spans="2:37" s="5" customFormat="1">
      <c r="B106" s="313"/>
      <c r="C106" s="835"/>
      <c r="D106" s="17" t="s">
        <v>1</v>
      </c>
      <c r="E106" s="67" t="s">
        <v>29</v>
      </c>
      <c r="F106" s="84">
        <f>E102/5*1.5</f>
        <v>22772.445</v>
      </c>
      <c r="G106" s="64">
        <f>$H$3</f>
        <v>0</v>
      </c>
      <c r="H106" s="64">
        <f>+G106*F106</f>
        <v>0</v>
      </c>
      <c r="I106" s="79"/>
      <c r="J106" s="52"/>
      <c r="K106" s="156"/>
      <c r="L106" s="383"/>
      <c r="M106" s="542"/>
      <c r="N106" s="578">
        <f t="shared" si="21"/>
        <v>0</v>
      </c>
      <c r="O106" s="678"/>
      <c r="P106" s="678"/>
      <c r="Q106" s="678"/>
      <c r="R106" s="678"/>
      <c r="S106" s="678"/>
      <c r="T106" s="678"/>
      <c r="U106" s="678"/>
      <c r="V106" s="678"/>
      <c r="W106" s="678"/>
      <c r="X106" s="678"/>
      <c r="Y106" s="678"/>
      <c r="Z106" s="678"/>
      <c r="AA106" s="678"/>
      <c r="AB106" s="678"/>
      <c r="AC106" s="678"/>
      <c r="AD106" s="678"/>
      <c r="AE106" s="678"/>
      <c r="AF106" s="678"/>
      <c r="AG106" s="678"/>
      <c r="AH106" s="678"/>
      <c r="AI106" s="678"/>
      <c r="AJ106" s="678"/>
      <c r="AK106" s="658"/>
    </row>
    <row r="107" spans="2:37" s="5" customFormat="1">
      <c r="B107" s="313"/>
      <c r="C107" s="835"/>
      <c r="D107" s="17" t="s">
        <v>4</v>
      </c>
      <c r="E107" s="67" t="s">
        <v>29</v>
      </c>
      <c r="F107" s="84">
        <f>E102/5*2</f>
        <v>30363.26</v>
      </c>
      <c r="G107" s="64">
        <f>$H$4</f>
        <v>0</v>
      </c>
      <c r="H107" s="64">
        <f>+G107*F107</f>
        <v>0</v>
      </c>
      <c r="I107" s="79"/>
      <c r="J107" s="52"/>
      <c r="K107" s="156"/>
      <c r="L107" s="383"/>
      <c r="M107" s="542"/>
      <c r="N107" s="578">
        <f t="shared" si="21"/>
        <v>0</v>
      </c>
      <c r="O107" s="678"/>
      <c r="P107" s="678"/>
      <c r="Q107" s="678"/>
      <c r="R107" s="678"/>
      <c r="S107" s="678"/>
      <c r="T107" s="678"/>
      <c r="U107" s="678"/>
      <c r="V107" s="678"/>
      <c r="W107" s="678"/>
      <c r="X107" s="678"/>
      <c r="Y107" s="678"/>
      <c r="Z107" s="678"/>
      <c r="AA107" s="678"/>
      <c r="AB107" s="678"/>
      <c r="AC107" s="678"/>
      <c r="AD107" s="678"/>
      <c r="AE107" s="678"/>
      <c r="AF107" s="678"/>
      <c r="AG107" s="678"/>
      <c r="AH107" s="678"/>
      <c r="AI107" s="678"/>
      <c r="AJ107" s="678"/>
      <c r="AK107" s="658"/>
    </row>
    <row r="108" spans="2:37" s="5" customFormat="1">
      <c r="B108" s="313"/>
      <c r="C108" s="835"/>
      <c r="D108" s="17" t="s">
        <v>5</v>
      </c>
      <c r="E108" s="98" t="s">
        <v>27</v>
      </c>
      <c r="F108" s="84">
        <f>F103</f>
        <v>75908.149999999994</v>
      </c>
      <c r="G108" s="64">
        <f>$F$5-$F$5</f>
        <v>0</v>
      </c>
      <c r="H108" s="64">
        <f>+G108*F108</f>
        <v>0</v>
      </c>
      <c r="I108" s="79"/>
      <c r="J108" s="52"/>
      <c r="K108" s="156"/>
      <c r="L108" s="383"/>
      <c r="M108" s="542"/>
      <c r="N108" s="578">
        <f t="shared" si="21"/>
        <v>0</v>
      </c>
      <c r="O108" s="678"/>
      <c r="P108" s="678"/>
      <c r="Q108" s="678"/>
      <c r="R108" s="678"/>
      <c r="S108" s="678"/>
      <c r="T108" s="678"/>
      <c r="U108" s="678"/>
      <c r="V108" s="678"/>
      <c r="W108" s="678"/>
      <c r="X108" s="678"/>
      <c r="Y108" s="678"/>
      <c r="Z108" s="678"/>
      <c r="AA108" s="678"/>
      <c r="AB108" s="678"/>
      <c r="AC108" s="679">
        <v>0</v>
      </c>
      <c r="AD108" s="678"/>
      <c r="AE108" s="678"/>
      <c r="AF108" s="678"/>
      <c r="AG108" s="678"/>
      <c r="AH108" s="678"/>
      <c r="AI108" s="678"/>
      <c r="AJ108" s="678"/>
      <c r="AK108" s="658"/>
    </row>
    <row r="109" spans="2:37" s="5" customFormat="1">
      <c r="B109" s="313"/>
      <c r="C109" s="835"/>
      <c r="D109" s="17" t="s">
        <v>30</v>
      </c>
      <c r="E109" s="67" t="s">
        <v>16</v>
      </c>
      <c r="F109" s="89">
        <f>G103+G104+G108</f>
        <v>12</v>
      </c>
      <c r="G109" s="68" t="s">
        <v>31</v>
      </c>
      <c r="H109" s="64">
        <f>SUM(H103:H108)</f>
        <v>1147679.4724431818</v>
      </c>
      <c r="I109" s="79"/>
      <c r="J109" s="52"/>
      <c r="K109" s="156"/>
      <c r="L109" s="383"/>
      <c r="M109" s="542"/>
      <c r="N109" s="578">
        <f t="shared" si="21"/>
        <v>-1147679.4724431818</v>
      </c>
      <c r="O109" s="678"/>
      <c r="P109" s="678"/>
      <c r="Q109" s="678"/>
      <c r="R109" s="678"/>
      <c r="S109" s="678"/>
      <c r="T109" s="678"/>
      <c r="U109" s="678"/>
      <c r="V109" s="678"/>
      <c r="W109" s="678"/>
      <c r="X109" s="678"/>
      <c r="Y109" s="678"/>
      <c r="Z109" s="678"/>
      <c r="AA109" s="678"/>
      <c r="AB109" s="678"/>
      <c r="AC109" s="678"/>
      <c r="AD109" s="678"/>
      <c r="AE109" s="678"/>
      <c r="AF109" s="678"/>
      <c r="AG109" s="678"/>
      <c r="AH109" s="678"/>
      <c r="AI109" s="678"/>
      <c r="AJ109" s="678"/>
      <c r="AK109" s="658"/>
    </row>
    <row r="110" spans="2:37" s="5" customFormat="1">
      <c r="B110" s="313"/>
      <c r="C110" s="835"/>
      <c r="D110" s="19" t="s">
        <v>32</v>
      </c>
      <c r="E110" s="67" t="s">
        <v>16</v>
      </c>
      <c r="F110" s="84">
        <f>SUM(H103:H108)</f>
        <v>1147679.4724431818</v>
      </c>
      <c r="G110" s="92">
        <f>$G$43</f>
        <v>8.3299999999999999E-2</v>
      </c>
      <c r="H110" s="64">
        <f>+G110*F110</f>
        <v>95601.700054517045</v>
      </c>
      <c r="I110" s="93"/>
      <c r="J110" s="52"/>
      <c r="K110" s="156"/>
      <c r="L110" s="383"/>
      <c r="M110" s="542"/>
      <c r="N110" s="578">
        <f t="shared" si="21"/>
        <v>0</v>
      </c>
      <c r="O110" s="678"/>
      <c r="P110" s="678"/>
      <c r="Q110" s="679">
        <f t="shared" ref="Q110:AC110" si="31">SUM(Q101:Q109)*$G$54</f>
        <v>6323.1488949999994</v>
      </c>
      <c r="R110" s="679">
        <f t="shared" si="31"/>
        <v>6323.1488949999994</v>
      </c>
      <c r="S110" s="679">
        <f t="shared" si="31"/>
        <v>6323.1488949999994</v>
      </c>
      <c r="T110" s="679">
        <f t="shared" si="31"/>
        <v>6323.1488949999994</v>
      </c>
      <c r="U110" s="679">
        <f t="shared" si="31"/>
        <v>6323.1488949999994</v>
      </c>
      <c r="V110" s="679">
        <f t="shared" si="31"/>
        <v>6323.1488949999994</v>
      </c>
      <c r="W110" s="679">
        <f t="shared" si="31"/>
        <v>9610.4677807528387</v>
      </c>
      <c r="X110" s="679">
        <f t="shared" si="31"/>
        <v>9610.4677807528387</v>
      </c>
      <c r="Y110" s="679">
        <f t="shared" si="31"/>
        <v>9610.4677807528387</v>
      </c>
      <c r="Z110" s="679">
        <f t="shared" si="31"/>
        <v>9610.4677807528387</v>
      </c>
      <c r="AA110" s="679">
        <f t="shared" si="31"/>
        <v>9610.4677807528387</v>
      </c>
      <c r="AB110" s="679">
        <f t="shared" si="31"/>
        <v>9610.4677807528387</v>
      </c>
      <c r="AC110" s="679">
        <f t="shared" si="31"/>
        <v>0</v>
      </c>
      <c r="AD110" s="678"/>
      <c r="AE110" s="678"/>
      <c r="AF110" s="678"/>
      <c r="AG110" s="678"/>
      <c r="AH110" s="678"/>
      <c r="AI110" s="678"/>
      <c r="AJ110" s="678"/>
      <c r="AK110" s="658"/>
    </row>
    <row r="111" spans="2:37" s="5" customFormat="1">
      <c r="B111" s="313"/>
      <c r="C111" s="835"/>
      <c r="D111" s="19" t="s">
        <v>33</v>
      </c>
      <c r="E111" s="84">
        <f>F110/(5*F109)</f>
        <v>19127.991207386363</v>
      </c>
      <c r="F111" s="84">
        <f>E111*(F109*7)</f>
        <v>1606751.2614204546</v>
      </c>
      <c r="G111" s="95">
        <f>$G$44</f>
        <v>20</v>
      </c>
      <c r="H111" s="64">
        <f>F111/G111</f>
        <v>80337.563071022727</v>
      </c>
      <c r="I111" s="72">
        <f>SUM(H109:H111)</f>
        <v>1323618.7355687215</v>
      </c>
      <c r="J111" s="52">
        <f>SUM(G103:G111)</f>
        <v>38.083300000000001</v>
      </c>
      <c r="K111" s="156"/>
      <c r="L111" s="383"/>
      <c r="M111" s="542"/>
      <c r="N111" s="578">
        <f t="shared" si="21"/>
        <v>0</v>
      </c>
      <c r="O111" s="678"/>
      <c r="P111" s="678"/>
      <c r="Q111" s="678"/>
      <c r="R111" s="678"/>
      <c r="S111" s="678"/>
      <c r="T111" s="678"/>
      <c r="U111" s="678"/>
      <c r="V111" s="678"/>
      <c r="W111" s="678"/>
      <c r="X111" s="678"/>
      <c r="Y111" s="678"/>
      <c r="Z111" s="678"/>
      <c r="AA111" s="678"/>
      <c r="AB111" s="678">
        <f>+H111</f>
        <v>80337.563071022727</v>
      </c>
      <c r="AC111" s="678"/>
      <c r="AD111" s="678"/>
      <c r="AE111" s="678"/>
      <c r="AF111" s="678"/>
      <c r="AG111" s="678"/>
      <c r="AH111" s="678"/>
      <c r="AI111" s="678"/>
      <c r="AJ111" s="678"/>
      <c r="AK111" s="658"/>
    </row>
    <row r="112" spans="2:37" s="5" customFormat="1">
      <c r="B112" s="313"/>
      <c r="C112" s="835"/>
      <c r="D112" s="96"/>
      <c r="E112" s="9"/>
      <c r="F112" s="74"/>
      <c r="G112" s="97"/>
      <c r="H112" s="78"/>
      <c r="I112" s="79"/>
      <c r="J112" s="52"/>
      <c r="K112" s="156"/>
      <c r="L112" s="383"/>
      <c r="M112" s="542"/>
      <c r="N112" s="578">
        <f t="shared" si="21"/>
        <v>0</v>
      </c>
      <c r="O112" s="678"/>
      <c r="P112" s="678"/>
      <c r="Q112" s="678"/>
      <c r="R112" s="678"/>
      <c r="S112" s="678"/>
      <c r="T112" s="678"/>
      <c r="U112" s="678"/>
      <c r="V112" s="678"/>
      <c r="W112" s="678"/>
      <c r="X112" s="678"/>
      <c r="Y112" s="678"/>
      <c r="Z112" s="678"/>
      <c r="AA112" s="678"/>
      <c r="AB112" s="678"/>
      <c r="AC112" s="678"/>
      <c r="AD112" s="678"/>
      <c r="AE112" s="678"/>
      <c r="AF112" s="678"/>
      <c r="AG112" s="678"/>
      <c r="AH112" s="678"/>
      <c r="AI112" s="678"/>
      <c r="AJ112" s="678"/>
      <c r="AK112" s="658"/>
    </row>
    <row r="113" spans="2:37" s="5" customFormat="1" ht="15" customHeight="1">
      <c r="B113" s="317">
        <v>8</v>
      </c>
      <c r="C113" s="835" t="s">
        <v>869</v>
      </c>
      <c r="D113" s="80" t="s">
        <v>39</v>
      </c>
      <c r="E113" s="81">
        <v>57232.2</v>
      </c>
      <c r="F113" s="74"/>
      <c r="G113" s="75"/>
      <c r="H113" s="82"/>
      <c r="I113" s="83"/>
      <c r="J113" s="6"/>
      <c r="K113" s="156"/>
      <c r="L113" s="383"/>
      <c r="M113" s="542"/>
      <c r="N113" s="578">
        <f t="shared" si="21"/>
        <v>0</v>
      </c>
      <c r="O113" s="678"/>
      <c r="P113" s="678"/>
      <c r="Q113" s="678"/>
      <c r="R113" s="678"/>
      <c r="S113" s="678"/>
      <c r="T113" s="678"/>
      <c r="U113" s="678"/>
      <c r="V113" s="678"/>
      <c r="W113" s="678"/>
      <c r="X113" s="678"/>
      <c r="Y113" s="678"/>
      <c r="Z113" s="678"/>
      <c r="AA113" s="678"/>
      <c r="AB113" s="678"/>
      <c r="AC113" s="678"/>
      <c r="AD113" s="678"/>
      <c r="AE113" s="678"/>
      <c r="AF113" s="678"/>
      <c r="AG113" s="678"/>
      <c r="AH113" s="678"/>
      <c r="AI113" s="678"/>
      <c r="AJ113" s="678"/>
      <c r="AK113" s="658"/>
    </row>
    <row r="114" spans="2:37" s="5" customFormat="1">
      <c r="B114" s="313"/>
      <c r="C114" s="835"/>
      <c r="D114" s="17" t="s">
        <v>0</v>
      </c>
      <c r="E114" s="81" t="s">
        <v>27</v>
      </c>
      <c r="F114" s="84">
        <f>E113</f>
        <v>57232.2</v>
      </c>
      <c r="G114" s="654">
        <v>4</v>
      </c>
      <c r="H114" s="64">
        <f>+G114*F114</f>
        <v>228928.8</v>
      </c>
      <c r="I114" s="79"/>
      <c r="J114" s="52"/>
      <c r="K114" s="156"/>
      <c r="L114" s="383"/>
      <c r="M114" s="542"/>
      <c r="N114" s="578">
        <f t="shared" si="21"/>
        <v>0</v>
      </c>
      <c r="O114" s="678"/>
      <c r="P114" s="678"/>
      <c r="Q114" s="678">
        <f>+H114/6</f>
        <v>38154.799999999996</v>
      </c>
      <c r="R114" s="678">
        <f t="shared" ref="R114:V114" si="32">+Q114</f>
        <v>38154.799999999996</v>
      </c>
      <c r="S114" s="678">
        <f t="shared" si="32"/>
        <v>38154.799999999996</v>
      </c>
      <c r="T114" s="678">
        <f t="shared" si="32"/>
        <v>38154.799999999996</v>
      </c>
      <c r="U114" s="678">
        <f t="shared" si="32"/>
        <v>38154.799999999996</v>
      </c>
      <c r="V114" s="678">
        <f t="shared" si="32"/>
        <v>38154.799999999996</v>
      </c>
      <c r="W114" s="678"/>
      <c r="X114" s="678"/>
      <c r="Y114" s="678"/>
      <c r="Z114" s="678"/>
      <c r="AA114" s="678"/>
      <c r="AB114" s="678"/>
      <c r="AC114" s="678"/>
      <c r="AD114" s="678"/>
      <c r="AE114" s="678"/>
      <c r="AF114" s="678"/>
      <c r="AG114" s="678"/>
      <c r="AH114" s="678"/>
      <c r="AI114" s="678"/>
      <c r="AJ114" s="678"/>
      <c r="AK114" s="658"/>
    </row>
    <row r="115" spans="2:37" s="5" customFormat="1">
      <c r="B115" s="313"/>
      <c r="C115" s="835"/>
      <c r="D115" s="17" t="s">
        <v>3</v>
      </c>
      <c r="E115" s="81" t="s">
        <v>27</v>
      </c>
      <c r="F115" s="84">
        <f>E113</f>
        <v>57232.2</v>
      </c>
      <c r="G115" s="64">
        <v>6</v>
      </c>
      <c r="H115" s="64">
        <f>+G115*F115</f>
        <v>343393.19999999995</v>
      </c>
      <c r="I115" s="79"/>
      <c r="J115" s="52"/>
      <c r="K115" s="156"/>
      <c r="L115" s="383"/>
      <c r="M115" s="542"/>
      <c r="N115" s="578">
        <f t="shared" si="21"/>
        <v>0</v>
      </c>
      <c r="O115" s="678"/>
      <c r="P115" s="678"/>
      <c r="Q115" s="678"/>
      <c r="R115" s="678"/>
      <c r="S115" s="678"/>
      <c r="T115" s="678"/>
      <c r="U115" s="678"/>
      <c r="V115" s="678"/>
      <c r="W115" s="678">
        <f>+H115/6</f>
        <v>57232.19999999999</v>
      </c>
      <c r="X115" s="678">
        <f t="shared" ref="X115:AB115" si="33">+W115</f>
        <v>57232.19999999999</v>
      </c>
      <c r="Y115" s="678">
        <f t="shared" si="33"/>
        <v>57232.19999999999</v>
      </c>
      <c r="Z115" s="678">
        <f t="shared" si="33"/>
        <v>57232.19999999999</v>
      </c>
      <c r="AA115" s="678">
        <f t="shared" si="33"/>
        <v>57232.19999999999</v>
      </c>
      <c r="AB115" s="678">
        <f t="shared" si="33"/>
        <v>57232.19999999999</v>
      </c>
      <c r="AC115" s="678"/>
      <c r="AD115" s="678"/>
      <c r="AE115" s="678"/>
      <c r="AF115" s="678"/>
      <c r="AG115" s="678"/>
      <c r="AH115" s="678"/>
      <c r="AI115" s="678"/>
      <c r="AJ115" s="678"/>
      <c r="AK115" s="658"/>
    </row>
    <row r="116" spans="2:37" s="5" customFormat="1">
      <c r="B116" s="313"/>
      <c r="C116" s="835"/>
      <c r="D116" s="17" t="s">
        <v>28</v>
      </c>
      <c r="E116" s="88">
        <f>$H$5+2</f>
        <v>15.25</v>
      </c>
      <c r="F116" s="84">
        <f>E113/44*1.5</f>
        <v>1951.0977272727273</v>
      </c>
      <c r="G116" s="87">
        <v>6</v>
      </c>
      <c r="H116" s="64">
        <f>+G116*F116*E116</f>
        <v>178525.44204545458</v>
      </c>
      <c r="I116" s="79"/>
      <c r="J116" s="52"/>
      <c r="K116" s="156"/>
      <c r="L116" s="383"/>
      <c r="M116" s="542"/>
      <c r="N116" s="578">
        <f t="shared" si="21"/>
        <v>0</v>
      </c>
      <c r="O116" s="678"/>
      <c r="P116" s="678"/>
      <c r="Q116" s="678"/>
      <c r="R116" s="678"/>
      <c r="S116" s="678"/>
      <c r="T116" s="678"/>
      <c r="U116" s="678"/>
      <c r="V116" s="678"/>
      <c r="W116" s="678">
        <f>+H116/6</f>
        <v>29754.240340909095</v>
      </c>
      <c r="X116" s="678">
        <f t="shared" ref="X116:AB116" si="34">+W116</f>
        <v>29754.240340909095</v>
      </c>
      <c r="Y116" s="678">
        <f t="shared" si="34"/>
        <v>29754.240340909095</v>
      </c>
      <c r="Z116" s="678">
        <f t="shared" si="34"/>
        <v>29754.240340909095</v>
      </c>
      <c r="AA116" s="678">
        <f t="shared" si="34"/>
        <v>29754.240340909095</v>
      </c>
      <c r="AB116" s="678">
        <f t="shared" si="34"/>
        <v>29754.240340909095</v>
      </c>
      <c r="AC116" s="678"/>
      <c r="AD116" s="678"/>
      <c r="AE116" s="678"/>
      <c r="AF116" s="678"/>
      <c r="AG116" s="678"/>
      <c r="AH116" s="678"/>
      <c r="AI116" s="678"/>
      <c r="AJ116" s="678"/>
      <c r="AK116" s="658"/>
    </row>
    <row r="117" spans="2:37" s="5" customFormat="1">
      <c r="B117" s="313"/>
      <c r="C117" s="835"/>
      <c r="D117" s="17" t="s">
        <v>1</v>
      </c>
      <c r="E117" s="67" t="s">
        <v>29</v>
      </c>
      <c r="F117" s="84">
        <f>E113/5*1.5</f>
        <v>17169.659999999996</v>
      </c>
      <c r="G117" s="64">
        <f>$H$3</f>
        <v>0</v>
      </c>
      <c r="H117" s="64">
        <f>+G117*F117</f>
        <v>0</v>
      </c>
      <c r="I117" s="79"/>
      <c r="J117" s="52"/>
      <c r="K117" s="156"/>
      <c r="L117" s="383"/>
      <c r="M117" s="542"/>
      <c r="N117" s="578">
        <f t="shared" si="21"/>
        <v>0</v>
      </c>
      <c r="O117" s="678"/>
      <c r="P117" s="678"/>
      <c r="Q117" s="678"/>
      <c r="R117" s="678"/>
      <c r="S117" s="678"/>
      <c r="T117" s="678"/>
      <c r="U117" s="678"/>
      <c r="V117" s="678"/>
      <c r="W117" s="678"/>
      <c r="X117" s="678"/>
      <c r="Y117" s="678"/>
      <c r="Z117" s="678"/>
      <c r="AA117" s="678"/>
      <c r="AB117" s="678"/>
      <c r="AC117" s="678"/>
      <c r="AD117" s="678"/>
      <c r="AE117" s="678"/>
      <c r="AF117" s="678"/>
      <c r="AG117" s="678"/>
      <c r="AH117" s="678"/>
      <c r="AI117" s="678"/>
      <c r="AJ117" s="678"/>
      <c r="AK117" s="658"/>
    </row>
    <row r="118" spans="2:37" s="5" customFormat="1">
      <c r="B118" s="313"/>
      <c r="C118" s="835"/>
      <c r="D118" s="17" t="s">
        <v>4</v>
      </c>
      <c r="E118" s="67" t="s">
        <v>29</v>
      </c>
      <c r="F118" s="84">
        <f>E113/5*2</f>
        <v>22892.879999999997</v>
      </c>
      <c r="G118" s="64">
        <f>$H$4</f>
        <v>0</v>
      </c>
      <c r="H118" s="64">
        <f>+G118*F118</f>
        <v>0</v>
      </c>
      <c r="I118" s="79"/>
      <c r="J118" s="52"/>
      <c r="K118" s="156"/>
      <c r="L118" s="383"/>
      <c r="M118" s="542"/>
      <c r="N118" s="578">
        <f t="shared" si="21"/>
        <v>0</v>
      </c>
      <c r="O118" s="678"/>
      <c r="P118" s="678"/>
      <c r="Q118" s="678"/>
      <c r="R118" s="678"/>
      <c r="S118" s="678"/>
      <c r="T118" s="678"/>
      <c r="U118" s="678"/>
      <c r="V118" s="678"/>
      <c r="W118" s="678"/>
      <c r="X118" s="678"/>
      <c r="Y118" s="678"/>
      <c r="Z118" s="678"/>
      <c r="AA118" s="678"/>
      <c r="AB118" s="678"/>
      <c r="AC118" s="678"/>
      <c r="AD118" s="678"/>
      <c r="AE118" s="678"/>
      <c r="AF118" s="678"/>
      <c r="AG118" s="678"/>
      <c r="AH118" s="678"/>
      <c r="AI118" s="678"/>
      <c r="AJ118" s="678"/>
      <c r="AK118" s="658"/>
    </row>
    <row r="119" spans="2:37" s="5" customFormat="1">
      <c r="B119" s="313"/>
      <c r="C119" s="835"/>
      <c r="D119" s="17" t="s">
        <v>5</v>
      </c>
      <c r="E119" s="81" t="s">
        <v>27</v>
      </c>
      <c r="F119" s="84">
        <f>E113</f>
        <v>57232.2</v>
      </c>
      <c r="G119" s="64">
        <f>$F$5-$F$5</f>
        <v>0</v>
      </c>
      <c r="H119" s="64">
        <f>+G119*F119</f>
        <v>0</v>
      </c>
      <c r="I119" s="79"/>
      <c r="J119" s="52"/>
      <c r="K119" s="156"/>
      <c r="L119" s="383"/>
      <c r="M119" s="542"/>
      <c r="N119" s="578">
        <f t="shared" si="21"/>
        <v>0</v>
      </c>
      <c r="O119" s="678"/>
      <c r="P119" s="678"/>
      <c r="Q119" s="678"/>
      <c r="R119" s="678"/>
      <c r="S119" s="678"/>
      <c r="T119" s="678"/>
      <c r="U119" s="678"/>
      <c r="V119" s="678"/>
      <c r="W119" s="678"/>
      <c r="X119" s="678"/>
      <c r="Y119" s="678"/>
      <c r="Z119" s="678"/>
      <c r="AA119" s="678"/>
      <c r="AB119" s="678"/>
      <c r="AC119" s="679">
        <v>0</v>
      </c>
      <c r="AD119" s="678"/>
      <c r="AE119" s="678"/>
      <c r="AF119" s="678"/>
      <c r="AG119" s="678"/>
      <c r="AH119" s="678"/>
      <c r="AI119" s="678"/>
      <c r="AJ119" s="678"/>
      <c r="AK119" s="658"/>
    </row>
    <row r="120" spans="2:37" s="5" customFormat="1">
      <c r="B120" s="313"/>
      <c r="C120" s="835"/>
      <c r="D120" s="17" t="s">
        <v>30</v>
      </c>
      <c r="E120" s="67" t="s">
        <v>16</v>
      </c>
      <c r="F120" s="89">
        <f>G114+G115+G119</f>
        <v>10</v>
      </c>
      <c r="G120" s="68" t="s">
        <v>31</v>
      </c>
      <c r="H120" s="64">
        <f>SUM(H114:H119)</f>
        <v>750847.44204545463</v>
      </c>
      <c r="I120" s="79"/>
      <c r="J120" s="52"/>
      <c r="K120" s="156"/>
      <c r="L120" s="383"/>
      <c r="M120" s="542"/>
      <c r="N120" s="578">
        <f t="shared" si="21"/>
        <v>-750847.44204545463</v>
      </c>
      <c r="O120" s="678"/>
      <c r="P120" s="678"/>
      <c r="Q120" s="678"/>
      <c r="R120" s="678"/>
      <c r="S120" s="678"/>
      <c r="T120" s="678"/>
      <c r="U120" s="678"/>
      <c r="V120" s="678"/>
      <c r="W120" s="678"/>
      <c r="X120" s="678"/>
      <c r="Y120" s="678"/>
      <c r="Z120" s="678"/>
      <c r="AA120" s="678"/>
      <c r="AB120" s="678"/>
      <c r="AC120" s="678"/>
      <c r="AD120" s="678"/>
      <c r="AE120" s="678"/>
      <c r="AF120" s="678"/>
      <c r="AG120" s="678"/>
      <c r="AH120" s="678"/>
      <c r="AI120" s="678"/>
      <c r="AJ120" s="678"/>
      <c r="AK120" s="658"/>
    </row>
    <row r="121" spans="2:37" s="5" customFormat="1">
      <c r="B121" s="313"/>
      <c r="C121" s="835"/>
      <c r="D121" s="19" t="s">
        <v>32</v>
      </c>
      <c r="E121" s="67" t="s">
        <v>16</v>
      </c>
      <c r="F121" s="84">
        <f>SUM(H114:H119)</f>
        <v>750847.44204545463</v>
      </c>
      <c r="G121" s="92">
        <f>$G$43</f>
        <v>8.3299999999999999E-2</v>
      </c>
      <c r="H121" s="64">
        <f>+G121*F121</f>
        <v>62545.591922386368</v>
      </c>
      <c r="I121" s="93"/>
      <c r="J121" s="52"/>
      <c r="K121" s="156"/>
      <c r="L121" s="383"/>
      <c r="M121" s="542"/>
      <c r="N121" s="578">
        <f t="shared" si="21"/>
        <v>0</v>
      </c>
      <c r="O121" s="678"/>
      <c r="P121" s="678"/>
      <c r="Q121" s="679">
        <f t="shared" ref="Q121:AC121" si="35">SUM(Q112:Q120)*$G$54</f>
        <v>3178.2948399999996</v>
      </c>
      <c r="R121" s="679">
        <f t="shared" si="35"/>
        <v>3178.2948399999996</v>
      </c>
      <c r="S121" s="679">
        <f t="shared" si="35"/>
        <v>3178.2948399999996</v>
      </c>
      <c r="T121" s="679">
        <f t="shared" si="35"/>
        <v>3178.2948399999996</v>
      </c>
      <c r="U121" s="679">
        <f t="shared" si="35"/>
        <v>3178.2948399999996</v>
      </c>
      <c r="V121" s="679">
        <f t="shared" si="35"/>
        <v>3178.2948399999996</v>
      </c>
      <c r="W121" s="679">
        <f t="shared" si="35"/>
        <v>7245.9704803977265</v>
      </c>
      <c r="X121" s="679">
        <f t="shared" si="35"/>
        <v>7245.9704803977265</v>
      </c>
      <c r="Y121" s="679">
        <f t="shared" si="35"/>
        <v>7245.9704803977265</v>
      </c>
      <c r="Z121" s="679">
        <f t="shared" si="35"/>
        <v>7245.9704803977265</v>
      </c>
      <c r="AA121" s="679">
        <f t="shared" si="35"/>
        <v>7245.9704803977265</v>
      </c>
      <c r="AB121" s="679">
        <f t="shared" si="35"/>
        <v>7245.9704803977265</v>
      </c>
      <c r="AC121" s="679">
        <f t="shared" si="35"/>
        <v>0</v>
      </c>
      <c r="AD121" s="678"/>
      <c r="AE121" s="678"/>
      <c r="AF121" s="678"/>
      <c r="AG121" s="678"/>
      <c r="AH121" s="678"/>
      <c r="AI121" s="678"/>
      <c r="AJ121" s="678"/>
      <c r="AK121" s="658"/>
    </row>
    <row r="122" spans="2:37" s="5" customFormat="1">
      <c r="B122" s="313"/>
      <c r="C122" s="835"/>
      <c r="D122" s="19" t="s">
        <v>33</v>
      </c>
      <c r="E122" s="84">
        <f>F121/(5*F120)</f>
        <v>15016.948840909092</v>
      </c>
      <c r="F122" s="84">
        <f>E122*(F120*7)</f>
        <v>1051186.4188636364</v>
      </c>
      <c r="G122" s="95">
        <f>$G$44</f>
        <v>20</v>
      </c>
      <c r="H122" s="64">
        <f>F122/G122</f>
        <v>52559.320943181825</v>
      </c>
      <c r="I122" s="72">
        <f>SUM(H120:H122)</f>
        <v>865952.35491102282</v>
      </c>
      <c r="J122" s="52">
        <f>SUM(G114:G122)</f>
        <v>36.083300000000001</v>
      </c>
      <c r="K122" s="156"/>
      <c r="L122" s="383"/>
      <c r="M122" s="542"/>
      <c r="N122" s="578">
        <f t="shared" si="21"/>
        <v>0</v>
      </c>
      <c r="O122" s="678"/>
      <c r="P122" s="678"/>
      <c r="Q122" s="678"/>
      <c r="R122" s="678"/>
      <c r="S122" s="678"/>
      <c r="T122" s="678"/>
      <c r="U122" s="678"/>
      <c r="V122" s="678"/>
      <c r="W122" s="678"/>
      <c r="X122" s="678"/>
      <c r="Y122" s="678"/>
      <c r="Z122" s="678"/>
      <c r="AA122" s="678"/>
      <c r="AB122" s="678">
        <f>+H122</f>
        <v>52559.320943181825</v>
      </c>
      <c r="AC122" s="678"/>
      <c r="AD122" s="678"/>
      <c r="AE122" s="678"/>
      <c r="AF122" s="678"/>
      <c r="AG122" s="678"/>
      <c r="AH122" s="678"/>
      <c r="AI122" s="678"/>
      <c r="AJ122" s="678"/>
      <c r="AK122" s="658"/>
    </row>
    <row r="123" spans="2:37" s="5" customFormat="1">
      <c r="B123" s="313"/>
      <c r="C123" s="835"/>
      <c r="D123" s="96"/>
      <c r="E123" s="100"/>
      <c r="F123" s="74"/>
      <c r="G123" s="97"/>
      <c r="H123" s="78"/>
      <c r="I123" s="79"/>
      <c r="J123" s="52"/>
      <c r="K123" s="156"/>
      <c r="L123" s="383"/>
      <c r="M123" s="542"/>
      <c r="N123" s="578">
        <f t="shared" si="21"/>
        <v>0</v>
      </c>
      <c r="O123" s="678"/>
      <c r="P123" s="678"/>
      <c r="Q123" s="678"/>
      <c r="R123" s="678"/>
      <c r="S123" s="678"/>
      <c r="T123" s="678"/>
      <c r="U123" s="678"/>
      <c r="V123" s="678"/>
      <c r="W123" s="678"/>
      <c r="X123" s="678"/>
      <c r="Y123" s="678"/>
      <c r="Z123" s="678"/>
      <c r="AA123" s="678"/>
      <c r="AB123" s="678"/>
      <c r="AC123" s="678"/>
      <c r="AD123" s="678"/>
      <c r="AE123" s="678"/>
      <c r="AF123" s="678"/>
      <c r="AG123" s="678"/>
      <c r="AH123" s="678"/>
      <c r="AI123" s="678"/>
      <c r="AJ123" s="678"/>
      <c r="AK123" s="658"/>
    </row>
    <row r="124" spans="2:37" s="5" customFormat="1" ht="15" customHeight="1">
      <c r="B124" s="317">
        <v>9</v>
      </c>
      <c r="C124" s="835" t="s">
        <v>870</v>
      </c>
      <c r="D124" s="80" t="s">
        <v>40</v>
      </c>
      <c r="E124" s="81">
        <v>37353.449999999997</v>
      </c>
      <c r="F124" s="74"/>
      <c r="G124" s="75"/>
      <c r="H124" s="82"/>
      <c r="I124" s="83"/>
      <c r="J124" s="6"/>
      <c r="K124" s="156"/>
      <c r="L124" s="383"/>
      <c r="M124" s="542"/>
      <c r="N124" s="578">
        <f t="shared" si="21"/>
        <v>0</v>
      </c>
      <c r="O124" s="678"/>
      <c r="P124" s="678"/>
      <c r="Q124" s="678"/>
      <c r="R124" s="678"/>
      <c r="S124" s="678"/>
      <c r="T124" s="678"/>
      <c r="U124" s="678"/>
      <c r="V124" s="678"/>
      <c r="W124" s="678"/>
      <c r="X124" s="678"/>
      <c r="Y124" s="678"/>
      <c r="Z124" s="678"/>
      <c r="AA124" s="678"/>
      <c r="AB124" s="678"/>
      <c r="AC124" s="678"/>
      <c r="AD124" s="678"/>
      <c r="AE124" s="678"/>
      <c r="AF124" s="678"/>
      <c r="AG124" s="678"/>
      <c r="AH124" s="678"/>
      <c r="AI124" s="678"/>
      <c r="AJ124" s="678"/>
      <c r="AK124" s="658"/>
    </row>
    <row r="125" spans="2:37" s="5" customFormat="1">
      <c r="B125" s="313"/>
      <c r="C125" s="835"/>
      <c r="D125" s="17" t="s">
        <v>0</v>
      </c>
      <c r="E125" s="81" t="s">
        <v>27</v>
      </c>
      <c r="F125" s="84">
        <f>E124</f>
        <v>37353.449999999997</v>
      </c>
      <c r="G125" s="64">
        <v>6</v>
      </c>
      <c r="H125" s="64">
        <f t="shared" ref="H125:H130" si="36">F125*G125</f>
        <v>224120.69999999998</v>
      </c>
      <c r="I125" s="79"/>
      <c r="J125" s="52"/>
      <c r="K125" s="156"/>
      <c r="L125" s="383"/>
      <c r="M125" s="542"/>
      <c r="N125" s="578">
        <f t="shared" si="21"/>
        <v>0</v>
      </c>
      <c r="O125" s="678"/>
      <c r="P125" s="678"/>
      <c r="Q125" s="678">
        <f>+H125/6</f>
        <v>37353.449999999997</v>
      </c>
      <c r="R125" s="678">
        <f t="shared" ref="R125:V125" si="37">+Q125</f>
        <v>37353.449999999997</v>
      </c>
      <c r="S125" s="678">
        <f t="shared" si="37"/>
        <v>37353.449999999997</v>
      </c>
      <c r="T125" s="678">
        <f t="shared" si="37"/>
        <v>37353.449999999997</v>
      </c>
      <c r="U125" s="678">
        <f t="shared" si="37"/>
        <v>37353.449999999997</v>
      </c>
      <c r="V125" s="678">
        <f t="shared" si="37"/>
        <v>37353.449999999997</v>
      </c>
      <c r="W125" s="678"/>
      <c r="X125" s="678"/>
      <c r="Y125" s="678"/>
      <c r="Z125" s="678"/>
      <c r="AA125" s="678"/>
      <c r="AB125" s="678"/>
      <c r="AC125" s="678"/>
      <c r="AD125" s="678"/>
      <c r="AE125" s="678"/>
      <c r="AF125" s="678"/>
      <c r="AG125" s="678"/>
      <c r="AH125" s="678"/>
      <c r="AI125" s="678"/>
      <c r="AJ125" s="678"/>
      <c r="AK125" s="658"/>
    </row>
    <row r="126" spans="2:37" s="5" customFormat="1">
      <c r="B126" s="313"/>
      <c r="C126" s="835"/>
      <c r="D126" s="17" t="s">
        <v>3</v>
      </c>
      <c r="E126" s="81" t="s">
        <v>27</v>
      </c>
      <c r="F126" s="84">
        <f>E124</f>
        <v>37353.449999999997</v>
      </c>
      <c r="G126" s="64">
        <v>6</v>
      </c>
      <c r="H126" s="64">
        <f t="shared" si="36"/>
        <v>224120.69999999998</v>
      </c>
      <c r="I126" s="79"/>
      <c r="J126" s="52"/>
      <c r="K126" s="156"/>
      <c r="L126" s="383"/>
      <c r="M126" s="542"/>
      <c r="N126" s="578">
        <f t="shared" si="21"/>
        <v>0</v>
      </c>
      <c r="O126" s="678"/>
      <c r="P126" s="678"/>
      <c r="Q126" s="678"/>
      <c r="R126" s="678"/>
      <c r="S126" s="678"/>
      <c r="T126" s="678"/>
      <c r="U126" s="678"/>
      <c r="V126" s="678"/>
      <c r="W126" s="678">
        <f>+H126/6</f>
        <v>37353.449999999997</v>
      </c>
      <c r="X126" s="678">
        <f t="shared" ref="X126:AB126" si="38">+W126</f>
        <v>37353.449999999997</v>
      </c>
      <c r="Y126" s="678">
        <f t="shared" si="38"/>
        <v>37353.449999999997</v>
      </c>
      <c r="Z126" s="678">
        <f t="shared" si="38"/>
        <v>37353.449999999997</v>
      </c>
      <c r="AA126" s="678">
        <f t="shared" si="38"/>
        <v>37353.449999999997</v>
      </c>
      <c r="AB126" s="678">
        <f t="shared" si="38"/>
        <v>37353.449999999997</v>
      </c>
      <c r="AC126" s="678"/>
      <c r="AD126" s="678"/>
      <c r="AE126" s="678"/>
      <c r="AF126" s="678"/>
      <c r="AG126" s="678"/>
      <c r="AH126" s="678"/>
      <c r="AI126" s="678"/>
      <c r="AJ126" s="678"/>
      <c r="AK126" s="658"/>
    </row>
    <row r="127" spans="2:37" s="5" customFormat="1">
      <c r="B127" s="313"/>
      <c r="C127" s="835"/>
      <c r="D127" s="17" t="s">
        <v>28</v>
      </c>
      <c r="E127" s="88">
        <f>$H$5+2</f>
        <v>15.25</v>
      </c>
      <c r="F127" s="84">
        <f>E124/44*1.5</f>
        <v>1273.4130681818181</v>
      </c>
      <c r="G127" s="87">
        <v>6</v>
      </c>
      <c r="H127" s="64">
        <f>F127*G127*15</f>
        <v>114607.17613636363</v>
      </c>
      <c r="I127" s="79"/>
      <c r="J127" s="52"/>
      <c r="K127" s="156"/>
      <c r="L127" s="383"/>
      <c r="M127" s="542"/>
      <c r="N127" s="578">
        <f t="shared" si="21"/>
        <v>0</v>
      </c>
      <c r="O127" s="678"/>
      <c r="P127" s="678"/>
      <c r="Q127" s="678"/>
      <c r="R127" s="678"/>
      <c r="S127" s="678"/>
      <c r="T127" s="678"/>
      <c r="U127" s="678"/>
      <c r="V127" s="678"/>
      <c r="W127" s="678">
        <f>+H127/6</f>
        <v>19101.196022727272</v>
      </c>
      <c r="X127" s="678">
        <f t="shared" ref="X127:AB127" si="39">+W127</f>
        <v>19101.196022727272</v>
      </c>
      <c r="Y127" s="678">
        <f t="shared" si="39"/>
        <v>19101.196022727272</v>
      </c>
      <c r="Z127" s="678">
        <f t="shared" si="39"/>
        <v>19101.196022727272</v>
      </c>
      <c r="AA127" s="678">
        <f t="shared" si="39"/>
        <v>19101.196022727272</v>
      </c>
      <c r="AB127" s="678">
        <f t="shared" si="39"/>
        <v>19101.196022727272</v>
      </c>
      <c r="AC127" s="678"/>
      <c r="AD127" s="678"/>
      <c r="AE127" s="678"/>
      <c r="AF127" s="678"/>
      <c r="AG127" s="678"/>
      <c r="AH127" s="678"/>
      <c r="AI127" s="678"/>
      <c r="AJ127" s="678"/>
      <c r="AK127" s="658"/>
    </row>
    <row r="128" spans="2:37" s="5" customFormat="1">
      <c r="B128" s="313"/>
      <c r="C128" s="835"/>
      <c r="D128" s="17" t="s">
        <v>1</v>
      </c>
      <c r="E128" s="67" t="s">
        <v>29</v>
      </c>
      <c r="F128" s="84">
        <f>E124/5*1.5</f>
        <v>11206.035</v>
      </c>
      <c r="G128" s="64">
        <f>$H$3</f>
        <v>0</v>
      </c>
      <c r="H128" s="64">
        <f t="shared" si="36"/>
        <v>0</v>
      </c>
      <c r="I128" s="79"/>
      <c r="J128" s="52"/>
      <c r="K128" s="156"/>
      <c r="L128" s="383"/>
      <c r="M128" s="542"/>
      <c r="N128" s="578">
        <f t="shared" si="21"/>
        <v>0</v>
      </c>
      <c r="O128" s="678"/>
      <c r="P128" s="678"/>
      <c r="Q128" s="678"/>
      <c r="R128" s="678"/>
      <c r="S128" s="678"/>
      <c r="T128" s="678"/>
      <c r="U128" s="678"/>
      <c r="V128" s="678"/>
      <c r="W128" s="678"/>
      <c r="X128" s="678"/>
      <c r="Y128" s="678"/>
      <c r="Z128" s="678"/>
      <c r="AA128" s="678"/>
      <c r="AB128" s="678"/>
      <c r="AC128" s="678"/>
      <c r="AD128" s="678"/>
      <c r="AE128" s="678"/>
      <c r="AF128" s="678"/>
      <c r="AG128" s="678"/>
      <c r="AH128" s="678"/>
      <c r="AI128" s="678"/>
      <c r="AJ128" s="678"/>
      <c r="AK128" s="658"/>
    </row>
    <row r="129" spans="2:37" s="5" customFormat="1">
      <c r="B129" s="313"/>
      <c r="C129" s="835"/>
      <c r="D129" s="17" t="s">
        <v>4</v>
      </c>
      <c r="E129" s="67" t="s">
        <v>29</v>
      </c>
      <c r="F129" s="84">
        <f>E124/5*2</f>
        <v>14941.38</v>
      </c>
      <c r="G129" s="64">
        <f>$H$4</f>
        <v>0</v>
      </c>
      <c r="H129" s="64">
        <f t="shared" si="36"/>
        <v>0</v>
      </c>
      <c r="I129" s="79"/>
      <c r="J129" s="52"/>
      <c r="K129" s="156"/>
      <c r="L129" s="383"/>
      <c r="M129" s="542"/>
      <c r="N129" s="578">
        <f t="shared" si="21"/>
        <v>0</v>
      </c>
      <c r="O129" s="678"/>
      <c r="P129" s="678"/>
      <c r="Q129" s="678"/>
      <c r="R129" s="678"/>
      <c r="S129" s="678"/>
      <c r="T129" s="678"/>
      <c r="U129" s="678"/>
      <c r="V129" s="678"/>
      <c r="W129" s="678"/>
      <c r="X129" s="678"/>
      <c r="Y129" s="678"/>
      <c r="Z129" s="678"/>
      <c r="AA129" s="678"/>
      <c r="AB129" s="678"/>
      <c r="AC129" s="678"/>
      <c r="AD129" s="678"/>
      <c r="AE129" s="678"/>
      <c r="AF129" s="678"/>
      <c r="AG129" s="678"/>
      <c r="AH129" s="678"/>
      <c r="AI129" s="678"/>
      <c r="AJ129" s="678"/>
      <c r="AK129" s="658"/>
    </row>
    <row r="130" spans="2:37" s="5" customFormat="1">
      <c r="B130" s="313"/>
      <c r="C130" s="835"/>
      <c r="D130" s="17" t="s">
        <v>5</v>
      </c>
      <c r="E130" s="81" t="s">
        <v>27</v>
      </c>
      <c r="F130" s="84">
        <f>E124</f>
        <v>37353.449999999997</v>
      </c>
      <c r="G130" s="64">
        <f>$F$5-$F$5</f>
        <v>0</v>
      </c>
      <c r="H130" s="64">
        <f t="shared" si="36"/>
        <v>0</v>
      </c>
      <c r="I130" s="79"/>
      <c r="J130" s="52"/>
      <c r="K130" s="156"/>
      <c r="L130" s="383"/>
      <c r="M130" s="542"/>
      <c r="N130" s="578">
        <f t="shared" si="21"/>
        <v>0</v>
      </c>
      <c r="O130" s="678"/>
      <c r="P130" s="678"/>
      <c r="Q130" s="678"/>
      <c r="R130" s="678"/>
      <c r="S130" s="678"/>
      <c r="T130" s="678"/>
      <c r="U130" s="678"/>
      <c r="V130" s="678"/>
      <c r="W130" s="678"/>
      <c r="X130" s="678"/>
      <c r="Y130" s="678"/>
      <c r="Z130" s="678"/>
      <c r="AA130" s="678"/>
      <c r="AB130" s="678"/>
      <c r="AC130" s="679">
        <v>0</v>
      </c>
      <c r="AD130" s="678"/>
      <c r="AE130" s="678"/>
      <c r="AF130" s="678"/>
      <c r="AG130" s="678"/>
      <c r="AH130" s="678"/>
      <c r="AI130" s="678"/>
      <c r="AJ130" s="678"/>
      <c r="AK130" s="658"/>
    </row>
    <row r="131" spans="2:37" s="5" customFormat="1">
      <c r="B131" s="313"/>
      <c r="C131" s="835"/>
      <c r="D131" s="17" t="s">
        <v>30</v>
      </c>
      <c r="E131" s="67" t="s">
        <v>16</v>
      </c>
      <c r="F131" s="89">
        <f>G125+G126+G130</f>
        <v>12</v>
      </c>
      <c r="G131" s="68" t="s">
        <v>31</v>
      </c>
      <c r="H131" s="64">
        <f>SUM(H125:H130)</f>
        <v>562848.57613636355</v>
      </c>
      <c r="I131" s="79"/>
      <c r="J131" s="52"/>
      <c r="K131" s="156"/>
      <c r="L131" s="383"/>
      <c r="M131" s="542"/>
      <c r="N131" s="578">
        <f t="shared" si="21"/>
        <v>-562848.57613636355</v>
      </c>
      <c r="O131" s="678"/>
      <c r="P131" s="678"/>
      <c r="Q131" s="678"/>
      <c r="R131" s="678"/>
      <c r="S131" s="678"/>
      <c r="T131" s="678"/>
      <c r="U131" s="678"/>
      <c r="V131" s="678"/>
      <c r="W131" s="678"/>
      <c r="X131" s="678"/>
      <c r="Y131" s="678"/>
      <c r="Z131" s="678"/>
      <c r="AA131" s="678"/>
      <c r="AB131" s="678"/>
      <c r="AC131" s="678"/>
      <c r="AD131" s="678"/>
      <c r="AE131" s="678"/>
      <c r="AF131" s="678"/>
      <c r="AG131" s="678"/>
      <c r="AH131" s="678"/>
      <c r="AI131" s="678"/>
      <c r="AJ131" s="678"/>
      <c r="AK131" s="658"/>
    </row>
    <row r="132" spans="2:37" s="5" customFormat="1">
      <c r="B132" s="313"/>
      <c r="C132" s="835"/>
      <c r="D132" s="19" t="s">
        <v>32</v>
      </c>
      <c r="E132" s="67" t="s">
        <v>16</v>
      </c>
      <c r="F132" s="84">
        <f>SUM(H125:H130)</f>
        <v>562848.57613636355</v>
      </c>
      <c r="G132" s="92">
        <f>$G$43</f>
        <v>8.3299999999999999E-2</v>
      </c>
      <c r="H132" s="64">
        <f>+G132*F132</f>
        <v>46885.286392159083</v>
      </c>
      <c r="I132" s="93"/>
      <c r="J132" s="52"/>
      <c r="K132" s="156"/>
      <c r="L132" s="383"/>
      <c r="M132" s="542"/>
      <c r="N132" s="578">
        <f t="shared" si="21"/>
        <v>0</v>
      </c>
      <c r="O132" s="678"/>
      <c r="P132" s="678"/>
      <c r="Q132" s="679">
        <f t="shared" ref="Q132:AC132" si="40">SUM(Q123:Q131)*$G$54</f>
        <v>3111.5423849999997</v>
      </c>
      <c r="R132" s="679">
        <f t="shared" si="40"/>
        <v>3111.5423849999997</v>
      </c>
      <c r="S132" s="679">
        <f t="shared" si="40"/>
        <v>3111.5423849999997</v>
      </c>
      <c r="T132" s="679">
        <f t="shared" si="40"/>
        <v>3111.5423849999997</v>
      </c>
      <c r="U132" s="679">
        <f t="shared" si="40"/>
        <v>3111.5423849999997</v>
      </c>
      <c r="V132" s="679">
        <f t="shared" si="40"/>
        <v>3111.5423849999997</v>
      </c>
      <c r="W132" s="679">
        <f t="shared" si="40"/>
        <v>4702.6720136931817</v>
      </c>
      <c r="X132" s="679">
        <f t="shared" si="40"/>
        <v>4702.6720136931817</v>
      </c>
      <c r="Y132" s="679">
        <f t="shared" si="40"/>
        <v>4702.6720136931817</v>
      </c>
      <c r="Z132" s="679">
        <f t="shared" si="40"/>
        <v>4702.6720136931817</v>
      </c>
      <c r="AA132" s="679">
        <f t="shared" si="40"/>
        <v>4702.6720136931817</v>
      </c>
      <c r="AB132" s="679">
        <f t="shared" si="40"/>
        <v>4702.6720136931817</v>
      </c>
      <c r="AC132" s="679">
        <f t="shared" si="40"/>
        <v>0</v>
      </c>
      <c r="AD132" s="678"/>
      <c r="AE132" s="678"/>
      <c r="AF132" s="678"/>
      <c r="AG132" s="678"/>
      <c r="AH132" s="678"/>
      <c r="AI132" s="678"/>
      <c r="AJ132" s="678"/>
      <c r="AK132" s="658"/>
    </row>
    <row r="133" spans="2:37" s="5" customFormat="1">
      <c r="B133" s="313"/>
      <c r="C133" s="835"/>
      <c r="D133" s="19" t="s">
        <v>33</v>
      </c>
      <c r="E133" s="84">
        <f>F132/(5*F131)</f>
        <v>9380.8096022727259</v>
      </c>
      <c r="F133" s="84">
        <f>E133*(F131*7)</f>
        <v>787988.00659090898</v>
      </c>
      <c r="G133" s="95">
        <f>$G$44</f>
        <v>20</v>
      </c>
      <c r="H133" s="64">
        <f>F133/G133</f>
        <v>39399.400329545446</v>
      </c>
      <c r="I133" s="72">
        <f>SUM(H131:H133)</f>
        <v>649133.2628580681</v>
      </c>
      <c r="J133" s="52">
        <f>SUM(G125:G133)</f>
        <v>38.083300000000001</v>
      </c>
      <c r="K133" s="156"/>
      <c r="L133" s="383"/>
      <c r="M133" s="542"/>
      <c r="N133" s="578">
        <f t="shared" si="21"/>
        <v>0</v>
      </c>
      <c r="O133" s="678"/>
      <c r="P133" s="678"/>
      <c r="Q133" s="678"/>
      <c r="R133" s="678"/>
      <c r="S133" s="678"/>
      <c r="T133" s="678"/>
      <c r="U133" s="678"/>
      <c r="V133" s="678"/>
      <c r="W133" s="678"/>
      <c r="X133" s="678"/>
      <c r="Y133" s="678"/>
      <c r="Z133" s="678"/>
      <c r="AA133" s="678"/>
      <c r="AB133" s="678">
        <f>+H133</f>
        <v>39399.400329545446</v>
      </c>
      <c r="AC133" s="678"/>
      <c r="AD133" s="678"/>
      <c r="AE133" s="678"/>
      <c r="AF133" s="678"/>
      <c r="AG133" s="678"/>
      <c r="AH133" s="678"/>
      <c r="AI133" s="678"/>
      <c r="AJ133" s="678"/>
      <c r="AK133" s="658"/>
    </row>
    <row r="134" spans="2:37" s="5" customFormat="1">
      <c r="B134" s="313"/>
      <c r="C134" s="835"/>
      <c r="D134" s="96"/>
      <c r="E134" s="100"/>
      <c r="F134" s="74"/>
      <c r="G134" s="97"/>
      <c r="H134" s="78"/>
      <c r="I134" s="79"/>
      <c r="J134" s="52"/>
      <c r="K134" s="156"/>
      <c r="L134" s="383"/>
      <c r="M134" s="542"/>
      <c r="N134" s="578">
        <f t="shared" si="21"/>
        <v>0</v>
      </c>
      <c r="O134" s="678"/>
      <c r="P134" s="678"/>
      <c r="Q134" s="678"/>
      <c r="R134" s="678"/>
      <c r="S134" s="678"/>
      <c r="T134" s="678"/>
      <c r="U134" s="678"/>
      <c r="V134" s="678"/>
      <c r="W134" s="678"/>
      <c r="X134" s="678"/>
      <c r="Y134" s="678"/>
      <c r="Z134" s="678"/>
      <c r="AA134" s="678"/>
      <c r="AB134" s="678"/>
      <c r="AC134" s="678"/>
      <c r="AD134" s="678"/>
      <c r="AE134" s="678"/>
      <c r="AF134" s="678"/>
      <c r="AG134" s="678"/>
      <c r="AH134" s="678"/>
      <c r="AI134" s="678"/>
      <c r="AJ134" s="678"/>
      <c r="AK134" s="658"/>
    </row>
    <row r="135" spans="2:37" s="5" customFormat="1" ht="15" customHeight="1">
      <c r="B135" s="317">
        <v>10</v>
      </c>
      <c r="C135" s="835" t="s">
        <v>871</v>
      </c>
      <c r="D135" s="80" t="s">
        <v>41</v>
      </c>
      <c r="E135" s="81">
        <v>75908.149999999994</v>
      </c>
      <c r="F135" s="74"/>
      <c r="G135" s="75"/>
      <c r="H135" s="82"/>
      <c r="I135" s="83"/>
      <c r="J135" s="6"/>
      <c r="K135" s="156"/>
      <c r="L135" s="383"/>
      <c r="M135" s="542"/>
      <c r="N135" s="578">
        <f t="shared" si="21"/>
        <v>0</v>
      </c>
      <c r="O135" s="678"/>
      <c r="P135" s="678"/>
      <c r="Q135" s="678"/>
      <c r="R135" s="678"/>
      <c r="S135" s="678"/>
      <c r="T135" s="678"/>
      <c r="U135" s="678"/>
      <c r="V135" s="678"/>
      <c r="W135" s="678"/>
      <c r="X135" s="678"/>
      <c r="Y135" s="678"/>
      <c r="Z135" s="678"/>
      <c r="AA135" s="678"/>
      <c r="AB135" s="678"/>
      <c r="AC135" s="678"/>
      <c r="AD135" s="678"/>
      <c r="AE135" s="678"/>
      <c r="AF135" s="678"/>
      <c r="AG135" s="678"/>
      <c r="AH135" s="678"/>
      <c r="AI135" s="678"/>
      <c r="AJ135" s="678"/>
      <c r="AK135" s="658"/>
    </row>
    <row r="136" spans="2:37" s="5" customFormat="1">
      <c r="B136" s="313"/>
      <c r="C136" s="835"/>
      <c r="D136" s="17" t="s">
        <v>0</v>
      </c>
      <c r="E136" s="81" t="s">
        <v>27</v>
      </c>
      <c r="F136" s="84">
        <f>E135</f>
        <v>75908.149999999994</v>
      </c>
      <c r="G136" s="64">
        <v>8</v>
      </c>
      <c r="H136" s="64">
        <f t="shared" ref="H136:H141" si="41">F136*G136</f>
        <v>607265.19999999995</v>
      </c>
      <c r="I136" s="79"/>
      <c r="J136" s="52"/>
      <c r="K136" s="156"/>
      <c r="L136" s="383"/>
      <c r="M136" s="542"/>
      <c r="N136" s="578">
        <f t="shared" si="21"/>
        <v>0</v>
      </c>
      <c r="O136" s="690">
        <f>+F136</f>
        <v>75908.149999999994</v>
      </c>
      <c r="P136" s="690">
        <v>75908.149999999994</v>
      </c>
      <c r="Q136" s="678">
        <v>75908.149999999994</v>
      </c>
      <c r="R136" s="678">
        <v>75908.149999999994</v>
      </c>
      <c r="S136" s="678">
        <v>75908.149999999994</v>
      </c>
      <c r="T136" s="678">
        <v>75908.149999999994</v>
      </c>
      <c r="U136" s="678">
        <v>75908.149999999994</v>
      </c>
      <c r="V136" s="678">
        <v>75908.149999999994</v>
      </c>
      <c r="W136" s="678"/>
      <c r="X136" s="678"/>
      <c r="Y136" s="678"/>
      <c r="Z136" s="678"/>
      <c r="AA136" s="678"/>
      <c r="AB136" s="678"/>
      <c r="AC136" s="678"/>
      <c r="AD136" s="678"/>
      <c r="AE136" s="678"/>
      <c r="AF136" s="678"/>
      <c r="AG136" s="678"/>
      <c r="AH136" s="678"/>
      <c r="AI136" s="678"/>
      <c r="AJ136" s="678"/>
      <c r="AK136" s="658"/>
    </row>
    <row r="137" spans="2:37" s="5" customFormat="1">
      <c r="B137" s="313"/>
      <c r="C137" s="835"/>
      <c r="D137" s="17" t="s">
        <v>3</v>
      </c>
      <c r="E137" s="81" t="s">
        <v>27</v>
      </c>
      <c r="F137" s="84">
        <f>E135</f>
        <v>75908.149999999994</v>
      </c>
      <c r="G137" s="64">
        <v>6</v>
      </c>
      <c r="H137" s="64">
        <f t="shared" si="41"/>
        <v>455448.89999999997</v>
      </c>
      <c r="I137" s="79"/>
      <c r="J137" s="52"/>
      <c r="K137" s="156"/>
      <c r="L137" s="383"/>
      <c r="M137" s="542"/>
      <c r="N137" s="578">
        <f t="shared" si="21"/>
        <v>0</v>
      </c>
      <c r="O137" s="678"/>
      <c r="P137" s="678"/>
      <c r="Q137" s="678"/>
      <c r="R137" s="678"/>
      <c r="S137" s="678"/>
      <c r="T137" s="678"/>
      <c r="U137" s="678"/>
      <c r="V137" s="678"/>
      <c r="W137" s="678">
        <f>+H137/6</f>
        <v>75908.149999999994</v>
      </c>
      <c r="X137" s="678">
        <f t="shared" ref="X137:AB137" si="42">+W137</f>
        <v>75908.149999999994</v>
      </c>
      <c r="Y137" s="678">
        <f t="shared" si="42"/>
        <v>75908.149999999994</v>
      </c>
      <c r="Z137" s="678">
        <f t="shared" si="42"/>
        <v>75908.149999999994</v>
      </c>
      <c r="AA137" s="678">
        <f t="shared" si="42"/>
        <v>75908.149999999994</v>
      </c>
      <c r="AB137" s="678">
        <f t="shared" si="42"/>
        <v>75908.149999999994</v>
      </c>
      <c r="AC137" s="678"/>
      <c r="AD137" s="678"/>
      <c r="AE137" s="678"/>
      <c r="AF137" s="678"/>
      <c r="AG137" s="678"/>
      <c r="AH137" s="678"/>
      <c r="AI137" s="678"/>
      <c r="AJ137" s="678"/>
      <c r="AK137" s="658"/>
    </row>
    <row r="138" spans="2:37" s="5" customFormat="1">
      <c r="B138" s="313"/>
      <c r="C138" s="835"/>
      <c r="D138" s="17" t="s">
        <v>28</v>
      </c>
      <c r="E138" s="88">
        <f>$H$5-H5</f>
        <v>0</v>
      </c>
      <c r="F138" s="84">
        <f>E135/44*0</f>
        <v>0</v>
      </c>
      <c r="G138" s="64">
        <v>0</v>
      </c>
      <c r="H138" s="64">
        <f t="shared" si="41"/>
        <v>0</v>
      </c>
      <c r="I138" s="79"/>
      <c r="J138" s="52"/>
      <c r="K138" s="156"/>
      <c r="L138" s="383"/>
      <c r="M138" s="542"/>
      <c r="N138" s="578">
        <f t="shared" si="21"/>
        <v>0</v>
      </c>
      <c r="O138" s="678"/>
      <c r="P138" s="678"/>
      <c r="Q138" s="678"/>
      <c r="R138" s="678"/>
      <c r="S138" s="678"/>
      <c r="T138" s="678"/>
      <c r="U138" s="678"/>
      <c r="V138" s="678"/>
      <c r="W138" s="678">
        <f>+H138/6</f>
        <v>0</v>
      </c>
      <c r="X138" s="678">
        <f t="shared" ref="X138:AB138" si="43">+W138</f>
        <v>0</v>
      </c>
      <c r="Y138" s="678">
        <f t="shared" si="43"/>
        <v>0</v>
      </c>
      <c r="Z138" s="678">
        <f t="shared" si="43"/>
        <v>0</v>
      </c>
      <c r="AA138" s="678">
        <f t="shared" si="43"/>
        <v>0</v>
      </c>
      <c r="AB138" s="678">
        <f t="shared" si="43"/>
        <v>0</v>
      </c>
      <c r="AC138" s="678"/>
      <c r="AD138" s="678"/>
      <c r="AE138" s="678"/>
      <c r="AF138" s="678"/>
      <c r="AG138" s="678"/>
      <c r="AH138" s="678"/>
      <c r="AI138" s="678"/>
      <c r="AJ138" s="678"/>
      <c r="AK138" s="658"/>
    </row>
    <row r="139" spans="2:37" s="5" customFormat="1">
      <c r="B139" s="313"/>
      <c r="C139" s="835"/>
      <c r="D139" s="17" t="s">
        <v>1</v>
      </c>
      <c r="E139" s="67" t="s">
        <v>29</v>
      </c>
      <c r="F139" s="84">
        <f>E135/5*1.5</f>
        <v>22772.445</v>
      </c>
      <c r="G139" s="64">
        <v>0</v>
      </c>
      <c r="H139" s="64">
        <f t="shared" si="41"/>
        <v>0</v>
      </c>
      <c r="I139" s="79"/>
      <c r="J139" s="52"/>
      <c r="K139" s="156"/>
      <c r="L139" s="383"/>
      <c r="M139" s="542"/>
      <c r="N139" s="578">
        <f t="shared" si="21"/>
        <v>0</v>
      </c>
      <c r="O139" s="678"/>
      <c r="P139" s="678"/>
      <c r="Q139" s="678"/>
      <c r="R139" s="678"/>
      <c r="S139" s="678"/>
      <c r="T139" s="678"/>
      <c r="U139" s="678"/>
      <c r="V139" s="678"/>
      <c r="W139" s="678"/>
      <c r="X139" s="678"/>
      <c r="Y139" s="678"/>
      <c r="Z139" s="678"/>
      <c r="AA139" s="678"/>
      <c r="AB139" s="678"/>
      <c r="AC139" s="678"/>
      <c r="AD139" s="678"/>
      <c r="AE139" s="678"/>
      <c r="AF139" s="678"/>
      <c r="AG139" s="678"/>
      <c r="AH139" s="678"/>
      <c r="AI139" s="678"/>
      <c r="AJ139" s="678"/>
      <c r="AK139" s="658"/>
    </row>
    <row r="140" spans="2:37" s="5" customFormat="1">
      <c r="B140" s="313"/>
      <c r="C140" s="835"/>
      <c r="D140" s="17" t="s">
        <v>4</v>
      </c>
      <c r="E140" s="67" t="s">
        <v>29</v>
      </c>
      <c r="F140" s="84">
        <f>E135/5*2</f>
        <v>30363.26</v>
      </c>
      <c r="G140" s="64">
        <v>0</v>
      </c>
      <c r="H140" s="64">
        <f t="shared" si="41"/>
        <v>0</v>
      </c>
      <c r="I140" s="79"/>
      <c r="J140" s="52"/>
      <c r="K140" s="156"/>
      <c r="L140" s="383"/>
      <c r="M140" s="542"/>
      <c r="N140" s="578">
        <f t="shared" ref="N140:N203" si="44">SUM(O140:AL140)-H140</f>
        <v>0</v>
      </c>
      <c r="O140" s="678"/>
      <c r="P140" s="678"/>
      <c r="Q140" s="678"/>
      <c r="R140" s="678"/>
      <c r="S140" s="678"/>
      <c r="T140" s="678"/>
      <c r="U140" s="678"/>
      <c r="V140" s="678"/>
      <c r="W140" s="678"/>
      <c r="X140" s="678"/>
      <c r="Y140" s="678"/>
      <c r="Z140" s="678"/>
      <c r="AA140" s="678"/>
      <c r="AB140" s="678"/>
      <c r="AC140" s="678"/>
      <c r="AD140" s="678"/>
      <c r="AE140" s="678"/>
      <c r="AF140" s="678"/>
      <c r="AG140" s="678"/>
      <c r="AH140" s="678"/>
      <c r="AI140" s="678"/>
      <c r="AJ140" s="678"/>
      <c r="AK140" s="658"/>
    </row>
    <row r="141" spans="2:37" s="5" customFormat="1">
      <c r="B141" s="313"/>
      <c r="C141" s="835"/>
      <c r="D141" s="17" t="s">
        <v>5</v>
      </c>
      <c r="E141" s="81" t="s">
        <v>27</v>
      </c>
      <c r="F141" s="84">
        <f>E135</f>
        <v>75908.149999999994</v>
      </c>
      <c r="G141" s="64">
        <f>$F$5-$F$5</f>
        <v>0</v>
      </c>
      <c r="H141" s="64">
        <f t="shared" si="41"/>
        <v>0</v>
      </c>
      <c r="I141" s="79"/>
      <c r="J141" s="52"/>
      <c r="K141" s="156"/>
      <c r="L141" s="383"/>
      <c r="M141" s="542"/>
      <c r="N141" s="578">
        <f t="shared" si="44"/>
        <v>0</v>
      </c>
      <c r="O141" s="678"/>
      <c r="P141" s="678"/>
      <c r="Q141" s="678"/>
      <c r="R141" s="678"/>
      <c r="S141" s="678"/>
      <c r="T141" s="678"/>
      <c r="U141" s="678"/>
      <c r="V141" s="678"/>
      <c r="W141" s="678"/>
      <c r="X141" s="678"/>
      <c r="Y141" s="678"/>
      <c r="Z141" s="678"/>
      <c r="AA141" s="678"/>
      <c r="AB141" s="678"/>
      <c r="AC141" s="679">
        <v>0</v>
      </c>
      <c r="AD141" s="678"/>
      <c r="AE141" s="678"/>
      <c r="AF141" s="678"/>
      <c r="AG141" s="678"/>
      <c r="AH141" s="678"/>
      <c r="AI141" s="678"/>
      <c r="AJ141" s="678"/>
      <c r="AK141" s="658"/>
    </row>
    <row r="142" spans="2:37" s="5" customFormat="1">
      <c r="B142" s="313"/>
      <c r="C142" s="835"/>
      <c r="D142" s="17" t="s">
        <v>30</v>
      </c>
      <c r="E142" s="67" t="s">
        <v>16</v>
      </c>
      <c r="F142" s="89">
        <f>G136+G137+G141</f>
        <v>14</v>
      </c>
      <c r="G142" s="68" t="s">
        <v>31</v>
      </c>
      <c r="H142" s="64">
        <f>SUM(H136:H141)</f>
        <v>1062714.0999999999</v>
      </c>
      <c r="I142" s="79"/>
      <c r="J142" s="52"/>
      <c r="K142" s="156"/>
      <c r="L142" s="383"/>
      <c r="M142" s="542"/>
      <c r="N142" s="578">
        <f t="shared" si="44"/>
        <v>-1062714.0999999999</v>
      </c>
      <c r="O142" s="678"/>
      <c r="P142" s="678"/>
      <c r="Q142" s="678"/>
      <c r="R142" s="678"/>
      <c r="S142" s="678"/>
      <c r="T142" s="678"/>
      <c r="U142" s="678"/>
      <c r="V142" s="678"/>
      <c r="W142" s="678"/>
      <c r="X142" s="678"/>
      <c r="Y142" s="678"/>
      <c r="Z142" s="678"/>
      <c r="AA142" s="678"/>
      <c r="AB142" s="678"/>
      <c r="AC142" s="678"/>
      <c r="AD142" s="678"/>
      <c r="AE142" s="678"/>
      <c r="AF142" s="678"/>
      <c r="AG142" s="678"/>
      <c r="AH142" s="678"/>
      <c r="AI142" s="678"/>
      <c r="AJ142" s="678"/>
      <c r="AK142" s="658"/>
    </row>
    <row r="143" spans="2:37" s="5" customFormat="1">
      <c r="B143" s="313"/>
      <c r="C143" s="835"/>
      <c r="D143" s="19" t="s">
        <v>32</v>
      </c>
      <c r="E143" s="67" t="s">
        <v>16</v>
      </c>
      <c r="F143" s="84">
        <f>SUM(H136:H141)</f>
        <v>1062714.0999999999</v>
      </c>
      <c r="G143" s="92">
        <f>$G$43</f>
        <v>8.3299999999999999E-2</v>
      </c>
      <c r="H143" s="64">
        <f>+G143*F143</f>
        <v>88524.084529999993</v>
      </c>
      <c r="I143" s="93"/>
      <c r="J143" s="52"/>
      <c r="K143" s="156"/>
      <c r="L143" s="383"/>
      <c r="M143" s="542"/>
      <c r="N143" s="578">
        <f t="shared" si="44"/>
        <v>0</v>
      </c>
      <c r="O143" s="679">
        <f t="shared" ref="O143:AC143" si="45">SUM(O134:O142)*$G$54</f>
        <v>6323.1488949999994</v>
      </c>
      <c r="P143" s="679">
        <f t="shared" si="45"/>
        <v>6323.1488949999994</v>
      </c>
      <c r="Q143" s="679">
        <f t="shared" si="45"/>
        <v>6323.1488949999994</v>
      </c>
      <c r="R143" s="679">
        <f t="shared" si="45"/>
        <v>6323.1488949999994</v>
      </c>
      <c r="S143" s="679">
        <f t="shared" si="45"/>
        <v>6323.1488949999994</v>
      </c>
      <c r="T143" s="679">
        <f t="shared" si="45"/>
        <v>6323.1488949999994</v>
      </c>
      <c r="U143" s="679">
        <f t="shared" si="45"/>
        <v>6323.1488949999994</v>
      </c>
      <c r="V143" s="679">
        <f t="shared" si="45"/>
        <v>6323.1488949999994</v>
      </c>
      <c r="W143" s="679">
        <f t="shared" si="45"/>
        <v>6323.1488949999994</v>
      </c>
      <c r="X143" s="679">
        <f t="shared" si="45"/>
        <v>6323.1488949999994</v>
      </c>
      <c r="Y143" s="679">
        <f t="shared" si="45"/>
        <v>6323.1488949999994</v>
      </c>
      <c r="Z143" s="679">
        <f t="shared" si="45"/>
        <v>6323.1488949999994</v>
      </c>
      <c r="AA143" s="679">
        <f t="shared" si="45"/>
        <v>6323.1488949999994</v>
      </c>
      <c r="AB143" s="679">
        <f t="shared" si="45"/>
        <v>6323.1488949999994</v>
      </c>
      <c r="AC143" s="679">
        <f t="shared" si="45"/>
        <v>0</v>
      </c>
      <c r="AD143" s="678"/>
      <c r="AE143" s="678"/>
      <c r="AF143" s="678"/>
      <c r="AG143" s="678"/>
      <c r="AH143" s="678"/>
      <c r="AI143" s="678"/>
      <c r="AJ143" s="678"/>
      <c r="AK143" s="658"/>
    </row>
    <row r="144" spans="2:37" s="5" customFormat="1">
      <c r="B144" s="313"/>
      <c r="C144" s="835"/>
      <c r="D144" s="19" t="s">
        <v>33</v>
      </c>
      <c r="E144" s="84">
        <f>F143/(5*F142)</f>
        <v>15181.629999999997</v>
      </c>
      <c r="F144" s="84">
        <f>E144*(F142*7)</f>
        <v>1487799.7399999998</v>
      </c>
      <c r="G144" s="95">
        <v>20</v>
      </c>
      <c r="H144" s="64">
        <f>F144/G144</f>
        <v>74389.986999999994</v>
      </c>
      <c r="I144" s="72">
        <f>SUM(H142:H144)</f>
        <v>1225628.1715299997</v>
      </c>
      <c r="J144" s="52">
        <f>SUM(G136:G144)</f>
        <v>34.083300000000001</v>
      </c>
      <c r="K144" s="156"/>
      <c r="L144" s="383"/>
      <c r="M144" s="542"/>
      <c r="N144" s="578">
        <f t="shared" si="44"/>
        <v>0</v>
      </c>
      <c r="O144" s="678"/>
      <c r="P144" s="678"/>
      <c r="Q144" s="678"/>
      <c r="R144" s="678"/>
      <c r="S144" s="678"/>
      <c r="T144" s="678"/>
      <c r="U144" s="678"/>
      <c r="V144" s="678"/>
      <c r="W144" s="678"/>
      <c r="X144" s="678"/>
      <c r="Y144" s="678"/>
      <c r="Z144" s="678"/>
      <c r="AA144" s="678"/>
      <c r="AB144" s="678">
        <f>+H144</f>
        <v>74389.986999999994</v>
      </c>
      <c r="AC144" s="678"/>
      <c r="AD144" s="678"/>
      <c r="AE144" s="678"/>
      <c r="AF144" s="678"/>
      <c r="AG144" s="678"/>
      <c r="AH144" s="678"/>
      <c r="AI144" s="678"/>
      <c r="AJ144" s="678"/>
      <c r="AK144" s="658"/>
    </row>
    <row r="145" spans="2:37" s="5" customFormat="1">
      <c r="B145" s="313"/>
      <c r="C145" s="835"/>
      <c r="D145" s="96"/>
      <c r="E145" s="100"/>
      <c r="F145" s="74"/>
      <c r="G145" s="97"/>
      <c r="H145" s="78"/>
      <c r="I145" s="79"/>
      <c r="J145" s="52"/>
      <c r="K145" s="156"/>
      <c r="L145" s="383"/>
      <c r="M145" s="542"/>
      <c r="N145" s="578">
        <f t="shared" si="44"/>
        <v>0</v>
      </c>
      <c r="O145" s="678"/>
      <c r="P145" s="678"/>
      <c r="Q145" s="678"/>
      <c r="R145" s="678"/>
      <c r="S145" s="678"/>
      <c r="T145" s="678"/>
      <c r="U145" s="678"/>
      <c r="V145" s="678"/>
      <c r="W145" s="678"/>
      <c r="X145" s="678"/>
      <c r="Y145" s="678"/>
      <c r="Z145" s="678"/>
      <c r="AA145" s="678"/>
      <c r="AB145" s="678"/>
      <c r="AC145" s="678"/>
      <c r="AD145" s="678"/>
      <c r="AE145" s="678"/>
      <c r="AF145" s="678"/>
      <c r="AG145" s="678"/>
      <c r="AH145" s="678"/>
      <c r="AI145" s="678"/>
      <c r="AJ145" s="678"/>
      <c r="AK145" s="658"/>
    </row>
    <row r="146" spans="2:37" s="5" customFormat="1" ht="15" customHeight="1">
      <c r="B146" s="317">
        <v>11</v>
      </c>
      <c r="C146" s="835" t="s">
        <v>872</v>
      </c>
      <c r="D146" s="80" t="s">
        <v>42</v>
      </c>
      <c r="E146" s="81">
        <v>52273.75</v>
      </c>
      <c r="F146" s="74"/>
      <c r="G146" s="75"/>
      <c r="H146" s="82"/>
      <c r="I146" s="83"/>
      <c r="J146" s="6"/>
      <c r="K146" s="193"/>
      <c r="L146" s="388"/>
      <c r="M146" s="597"/>
      <c r="N146" s="578">
        <f t="shared" si="44"/>
        <v>0</v>
      </c>
      <c r="O146" s="678"/>
      <c r="P146" s="678"/>
      <c r="Q146" s="678"/>
      <c r="R146" s="678"/>
      <c r="S146" s="678"/>
      <c r="T146" s="678"/>
      <c r="U146" s="678"/>
      <c r="V146" s="678"/>
      <c r="W146" s="678"/>
      <c r="X146" s="678"/>
      <c r="Y146" s="678"/>
      <c r="Z146" s="678"/>
      <c r="AA146" s="678"/>
      <c r="AB146" s="678"/>
      <c r="AC146" s="678"/>
      <c r="AD146" s="678"/>
      <c r="AE146" s="678"/>
      <c r="AF146" s="678"/>
      <c r="AG146" s="678"/>
      <c r="AH146" s="678"/>
      <c r="AI146" s="678"/>
      <c r="AJ146" s="678"/>
      <c r="AK146" s="658"/>
    </row>
    <row r="147" spans="2:37" s="5" customFormat="1">
      <c r="B147" s="313"/>
      <c r="C147" s="835"/>
      <c r="D147" s="17" t="s">
        <v>0</v>
      </c>
      <c r="E147" s="81" t="s">
        <v>27</v>
      </c>
      <c r="F147" s="84">
        <f>E146</f>
        <v>52273.75</v>
      </c>
      <c r="G147" s="64">
        <v>8</v>
      </c>
      <c r="H147" s="64">
        <f t="shared" ref="H147:H152" si="46">F147*G147</f>
        <v>418190</v>
      </c>
      <c r="I147" s="79"/>
      <c r="J147" s="52"/>
      <c r="K147" s="193"/>
      <c r="L147" s="388"/>
      <c r="M147" s="597"/>
      <c r="N147" s="578">
        <f t="shared" si="44"/>
        <v>0</v>
      </c>
      <c r="O147" s="678">
        <f>+P147</f>
        <v>52273.75</v>
      </c>
      <c r="P147" s="678">
        <f>+Q147</f>
        <v>52273.75</v>
      </c>
      <c r="Q147" s="678">
        <f>+F147</f>
        <v>52273.75</v>
      </c>
      <c r="R147" s="678">
        <f t="shared" ref="R147:V147" si="47">+Q147</f>
        <v>52273.75</v>
      </c>
      <c r="S147" s="678">
        <f t="shared" si="47"/>
        <v>52273.75</v>
      </c>
      <c r="T147" s="678">
        <f t="shared" si="47"/>
        <v>52273.75</v>
      </c>
      <c r="U147" s="678">
        <f t="shared" si="47"/>
        <v>52273.75</v>
      </c>
      <c r="V147" s="678">
        <f t="shared" si="47"/>
        <v>52273.75</v>
      </c>
      <c r="W147" s="678"/>
      <c r="X147" s="678"/>
      <c r="Y147" s="678"/>
      <c r="Z147" s="678"/>
      <c r="AA147" s="678"/>
      <c r="AB147" s="678"/>
      <c r="AC147" s="678"/>
      <c r="AD147" s="678"/>
      <c r="AE147" s="678"/>
      <c r="AF147" s="678"/>
      <c r="AG147" s="678"/>
      <c r="AH147" s="678"/>
      <c r="AI147" s="678"/>
      <c r="AJ147" s="678"/>
      <c r="AK147" s="658"/>
    </row>
    <row r="148" spans="2:37" s="5" customFormat="1">
      <c r="B148" s="313"/>
      <c r="C148" s="835"/>
      <c r="D148" s="17" t="s">
        <v>3</v>
      </c>
      <c r="E148" s="81" t="s">
        <v>27</v>
      </c>
      <c r="F148" s="84">
        <f>E146</f>
        <v>52273.75</v>
      </c>
      <c r="G148" s="64">
        <f>F4-5</f>
        <v>1</v>
      </c>
      <c r="H148" s="64">
        <f t="shared" si="46"/>
        <v>52273.75</v>
      </c>
      <c r="I148" s="79"/>
      <c r="J148" s="52"/>
      <c r="K148" s="193"/>
      <c r="L148" s="388"/>
      <c r="M148" s="597"/>
      <c r="N148" s="578">
        <f t="shared" si="44"/>
        <v>0</v>
      </c>
      <c r="O148" s="678"/>
      <c r="P148" s="678"/>
      <c r="Q148" s="678"/>
      <c r="R148" s="678"/>
      <c r="S148" s="678"/>
      <c r="T148" s="678"/>
      <c r="U148" s="678"/>
      <c r="V148" s="678"/>
      <c r="W148" s="678">
        <f>+H148/6</f>
        <v>8712.2916666666661</v>
      </c>
      <c r="X148" s="678">
        <f t="shared" ref="X148:AB148" si="48">+W148</f>
        <v>8712.2916666666661</v>
      </c>
      <c r="Y148" s="678">
        <f t="shared" si="48"/>
        <v>8712.2916666666661</v>
      </c>
      <c r="Z148" s="678">
        <f t="shared" si="48"/>
        <v>8712.2916666666661</v>
      </c>
      <c r="AA148" s="678">
        <f t="shared" si="48"/>
        <v>8712.2916666666661</v>
      </c>
      <c r="AB148" s="678">
        <f t="shared" si="48"/>
        <v>8712.2916666666661</v>
      </c>
      <c r="AC148" s="678"/>
      <c r="AD148" s="678"/>
      <c r="AE148" s="678"/>
      <c r="AF148" s="678"/>
      <c r="AG148" s="678"/>
      <c r="AH148" s="678"/>
      <c r="AI148" s="678"/>
      <c r="AJ148" s="678"/>
      <c r="AK148" s="658"/>
    </row>
    <row r="149" spans="2:37" s="5" customFormat="1">
      <c r="B149" s="313"/>
      <c r="C149" s="835"/>
      <c r="D149" s="17" t="s">
        <v>28</v>
      </c>
      <c r="E149" s="88">
        <f>$H$5-H5</f>
        <v>0</v>
      </c>
      <c r="F149" s="84">
        <f>E146/44*0</f>
        <v>0</v>
      </c>
      <c r="G149" s="64">
        <v>0</v>
      </c>
      <c r="H149" s="64">
        <f t="shared" si="46"/>
        <v>0</v>
      </c>
      <c r="I149" s="79"/>
      <c r="J149" s="52"/>
      <c r="K149" s="193"/>
      <c r="L149" s="388"/>
      <c r="M149" s="597"/>
      <c r="N149" s="578">
        <f t="shared" si="44"/>
        <v>0</v>
      </c>
      <c r="O149" s="678"/>
      <c r="P149" s="678"/>
      <c r="Q149" s="678"/>
      <c r="R149" s="678"/>
      <c r="S149" s="678"/>
      <c r="T149" s="678"/>
      <c r="U149" s="678"/>
      <c r="V149" s="678"/>
      <c r="W149" s="678">
        <f>+H149/6</f>
        <v>0</v>
      </c>
      <c r="X149" s="678">
        <f t="shared" ref="X149:AB149" si="49">+W149</f>
        <v>0</v>
      </c>
      <c r="Y149" s="678">
        <f t="shared" si="49"/>
        <v>0</v>
      </c>
      <c r="Z149" s="678">
        <f t="shared" si="49"/>
        <v>0</v>
      </c>
      <c r="AA149" s="678">
        <f t="shared" si="49"/>
        <v>0</v>
      </c>
      <c r="AB149" s="678">
        <f t="shared" si="49"/>
        <v>0</v>
      </c>
      <c r="AC149" s="678"/>
      <c r="AD149" s="678"/>
      <c r="AE149" s="678"/>
      <c r="AF149" s="678"/>
      <c r="AG149" s="678"/>
      <c r="AH149" s="678"/>
      <c r="AI149" s="678"/>
      <c r="AJ149" s="678"/>
      <c r="AK149" s="658"/>
    </row>
    <row r="150" spans="2:37" s="5" customFormat="1">
      <c r="B150" s="313"/>
      <c r="C150" s="835"/>
      <c r="D150" s="17" t="s">
        <v>1</v>
      </c>
      <c r="E150" s="67" t="s">
        <v>29</v>
      </c>
      <c r="F150" s="84">
        <f>E146/5*1.5</f>
        <v>15682.125</v>
      </c>
      <c r="G150" s="64">
        <v>0</v>
      </c>
      <c r="H150" s="64">
        <f t="shared" si="46"/>
        <v>0</v>
      </c>
      <c r="I150" s="79"/>
      <c r="J150" s="52"/>
      <c r="K150" s="193"/>
      <c r="L150" s="388"/>
      <c r="M150" s="597"/>
      <c r="N150" s="578">
        <f t="shared" si="44"/>
        <v>0</v>
      </c>
      <c r="O150" s="678"/>
      <c r="P150" s="678"/>
      <c r="Q150" s="678"/>
      <c r="R150" s="678"/>
      <c r="S150" s="678"/>
      <c r="T150" s="678"/>
      <c r="U150" s="678"/>
      <c r="V150" s="678"/>
      <c r="W150" s="678"/>
      <c r="X150" s="678"/>
      <c r="Y150" s="678"/>
      <c r="Z150" s="678"/>
      <c r="AA150" s="678"/>
      <c r="AB150" s="678"/>
      <c r="AC150" s="678"/>
      <c r="AD150" s="678"/>
      <c r="AE150" s="678"/>
      <c r="AF150" s="678"/>
      <c r="AG150" s="678"/>
      <c r="AH150" s="678"/>
      <c r="AI150" s="678"/>
      <c r="AJ150" s="678"/>
      <c r="AK150" s="658"/>
    </row>
    <row r="151" spans="2:37" s="5" customFormat="1">
      <c r="B151" s="313"/>
      <c r="C151" s="835"/>
      <c r="D151" s="17" t="s">
        <v>4</v>
      </c>
      <c r="E151" s="67" t="s">
        <v>29</v>
      </c>
      <c r="F151" s="84">
        <f>E146/5*2</f>
        <v>20909.5</v>
      </c>
      <c r="G151" s="64">
        <v>0</v>
      </c>
      <c r="H151" s="64">
        <f t="shared" si="46"/>
        <v>0</v>
      </c>
      <c r="I151" s="79"/>
      <c r="J151" s="52"/>
      <c r="K151" s="193"/>
      <c r="L151" s="388"/>
      <c r="M151" s="597"/>
      <c r="N151" s="578">
        <f t="shared" si="44"/>
        <v>0</v>
      </c>
      <c r="O151" s="678"/>
      <c r="P151" s="678"/>
      <c r="Q151" s="678"/>
      <c r="R151" s="678"/>
      <c r="S151" s="678"/>
      <c r="T151" s="678"/>
      <c r="U151" s="678"/>
      <c r="V151" s="678"/>
      <c r="W151" s="678"/>
      <c r="X151" s="678"/>
      <c r="Y151" s="678"/>
      <c r="Z151" s="678"/>
      <c r="AA151" s="678"/>
      <c r="AB151" s="678"/>
      <c r="AC151" s="678"/>
      <c r="AD151" s="678"/>
      <c r="AE151" s="678"/>
      <c r="AF151" s="678"/>
      <c r="AG151" s="678"/>
      <c r="AH151" s="678"/>
      <c r="AI151" s="678"/>
      <c r="AJ151" s="678"/>
      <c r="AK151" s="658"/>
    </row>
    <row r="152" spans="2:37" s="5" customFormat="1">
      <c r="B152" s="313"/>
      <c r="C152" s="835"/>
      <c r="D152" s="17" t="s">
        <v>5</v>
      </c>
      <c r="E152" s="81" t="s">
        <v>27</v>
      </c>
      <c r="F152" s="84">
        <f>E146</f>
        <v>52273.75</v>
      </c>
      <c r="G152" s="64">
        <f>$F$5-$F$5</f>
        <v>0</v>
      </c>
      <c r="H152" s="64">
        <f t="shared" si="46"/>
        <v>0</v>
      </c>
      <c r="I152" s="79"/>
      <c r="J152" s="52"/>
      <c r="K152" s="193"/>
      <c r="L152" s="388"/>
      <c r="M152" s="597"/>
      <c r="N152" s="578">
        <f t="shared" si="44"/>
        <v>0</v>
      </c>
      <c r="O152" s="678"/>
      <c r="P152" s="678"/>
      <c r="Q152" s="678"/>
      <c r="R152" s="678"/>
      <c r="S152" s="678"/>
      <c r="T152" s="678"/>
      <c r="U152" s="678"/>
      <c r="V152" s="678"/>
      <c r="W152" s="678"/>
      <c r="X152" s="678"/>
      <c r="Y152" s="678"/>
      <c r="Z152" s="678"/>
      <c r="AA152" s="678"/>
      <c r="AB152" s="678"/>
      <c r="AC152" s="679">
        <v>0</v>
      </c>
      <c r="AD152" s="678"/>
      <c r="AE152" s="678"/>
      <c r="AF152" s="678"/>
      <c r="AG152" s="678"/>
      <c r="AH152" s="678"/>
      <c r="AI152" s="678"/>
      <c r="AJ152" s="678"/>
      <c r="AK152" s="658"/>
    </row>
    <row r="153" spans="2:37" s="5" customFormat="1">
      <c r="B153" s="313"/>
      <c r="C153" s="835"/>
      <c r="D153" s="17" t="s">
        <v>30</v>
      </c>
      <c r="E153" s="67" t="s">
        <v>16</v>
      </c>
      <c r="F153" s="89">
        <f>G147+G148+G152</f>
        <v>9</v>
      </c>
      <c r="G153" s="68" t="s">
        <v>31</v>
      </c>
      <c r="H153" s="64">
        <f>SUM(H147:H152)</f>
        <v>470463.75</v>
      </c>
      <c r="I153" s="79"/>
      <c r="J153" s="52"/>
      <c r="K153" s="193"/>
      <c r="L153" s="388"/>
      <c r="M153" s="597"/>
      <c r="N153" s="578">
        <f t="shared" si="44"/>
        <v>-470463.75</v>
      </c>
      <c r="O153" s="678"/>
      <c r="P153" s="678"/>
      <c r="Q153" s="678"/>
      <c r="R153" s="678"/>
      <c r="S153" s="678"/>
      <c r="T153" s="678"/>
      <c r="U153" s="678"/>
      <c r="V153" s="678"/>
      <c r="W153" s="678"/>
      <c r="X153" s="678"/>
      <c r="Y153" s="678"/>
      <c r="Z153" s="678"/>
      <c r="AA153" s="678"/>
      <c r="AB153" s="678"/>
      <c r="AC153" s="678"/>
      <c r="AD153" s="678"/>
      <c r="AE153" s="678"/>
      <c r="AF153" s="678"/>
      <c r="AG153" s="678"/>
      <c r="AH153" s="678"/>
      <c r="AI153" s="678"/>
      <c r="AJ153" s="678"/>
      <c r="AK153" s="658"/>
    </row>
    <row r="154" spans="2:37" s="5" customFormat="1">
      <c r="B154" s="313"/>
      <c r="C154" s="835"/>
      <c r="D154" s="19" t="s">
        <v>32</v>
      </c>
      <c r="E154" s="67" t="s">
        <v>16</v>
      </c>
      <c r="F154" s="84">
        <f>SUM(H147:H152)</f>
        <v>470463.75</v>
      </c>
      <c r="G154" s="92">
        <f>$G$43</f>
        <v>8.3299999999999999E-2</v>
      </c>
      <c r="H154" s="64">
        <f>+G154*F154</f>
        <v>39189.630375000001</v>
      </c>
      <c r="I154" s="93"/>
      <c r="J154" s="52"/>
      <c r="K154" s="193"/>
      <c r="L154" s="388"/>
      <c r="M154" s="597"/>
      <c r="N154" s="578">
        <f t="shared" si="44"/>
        <v>0</v>
      </c>
      <c r="O154" s="679">
        <f t="shared" ref="O154:AC154" si="50">SUM(O145:O153)*$G$54</f>
        <v>4354.4033749999999</v>
      </c>
      <c r="P154" s="679">
        <f t="shared" si="50"/>
        <v>4354.4033749999999</v>
      </c>
      <c r="Q154" s="679">
        <f t="shared" si="50"/>
        <v>4354.4033749999999</v>
      </c>
      <c r="R154" s="679">
        <f t="shared" si="50"/>
        <v>4354.4033749999999</v>
      </c>
      <c r="S154" s="679">
        <f t="shared" si="50"/>
        <v>4354.4033749999999</v>
      </c>
      <c r="T154" s="679">
        <f t="shared" si="50"/>
        <v>4354.4033749999999</v>
      </c>
      <c r="U154" s="679">
        <f t="shared" si="50"/>
        <v>4354.4033749999999</v>
      </c>
      <c r="V154" s="679">
        <f t="shared" si="50"/>
        <v>4354.4033749999999</v>
      </c>
      <c r="W154" s="679">
        <f t="shared" si="50"/>
        <v>725.73389583333324</v>
      </c>
      <c r="X154" s="679">
        <f t="shared" si="50"/>
        <v>725.73389583333324</v>
      </c>
      <c r="Y154" s="679">
        <f t="shared" si="50"/>
        <v>725.73389583333324</v>
      </c>
      <c r="Z154" s="679">
        <f t="shared" si="50"/>
        <v>725.73389583333324</v>
      </c>
      <c r="AA154" s="679">
        <f t="shared" si="50"/>
        <v>725.73389583333324</v>
      </c>
      <c r="AB154" s="679">
        <f t="shared" si="50"/>
        <v>725.73389583333324</v>
      </c>
      <c r="AC154" s="679">
        <f t="shared" si="50"/>
        <v>0</v>
      </c>
      <c r="AD154" s="678"/>
      <c r="AE154" s="678"/>
      <c r="AF154" s="678"/>
      <c r="AG154" s="678"/>
      <c r="AH154" s="678"/>
      <c r="AI154" s="678"/>
      <c r="AJ154" s="678"/>
      <c r="AK154" s="658"/>
    </row>
    <row r="155" spans="2:37" s="5" customFormat="1">
      <c r="B155" s="313"/>
      <c r="C155" s="835"/>
      <c r="D155" s="19" t="s">
        <v>278</v>
      </c>
      <c r="E155" s="84">
        <f>F154/(5*F153)</f>
        <v>10454.75</v>
      </c>
      <c r="F155" s="84">
        <f>E155*(F153*7)</f>
        <v>658649.25</v>
      </c>
      <c r="G155" s="95">
        <f>$G$44</f>
        <v>20</v>
      </c>
      <c r="H155" s="64">
        <f>F155/G155</f>
        <v>32932.462500000001</v>
      </c>
      <c r="I155" s="72">
        <f>SUM(H153:H155)</f>
        <v>542585.84287499997</v>
      </c>
      <c r="J155" s="52">
        <f>SUM(G147:G155)</f>
        <v>29.083300000000001</v>
      </c>
      <c r="K155" s="193"/>
      <c r="L155" s="388"/>
      <c r="M155" s="597"/>
      <c r="N155" s="578">
        <f t="shared" si="44"/>
        <v>0</v>
      </c>
      <c r="O155" s="678"/>
      <c r="P155" s="678"/>
      <c r="Q155" s="678"/>
      <c r="R155" s="678"/>
      <c r="S155" s="678"/>
      <c r="T155" s="678"/>
      <c r="U155" s="678"/>
      <c r="V155" s="678"/>
      <c r="W155" s="678"/>
      <c r="X155" s="678"/>
      <c r="Y155" s="678"/>
      <c r="Z155" s="678"/>
      <c r="AA155" s="678"/>
      <c r="AB155" s="678">
        <f>+H155</f>
        <v>32932.462500000001</v>
      </c>
      <c r="AC155" s="678"/>
      <c r="AD155" s="678"/>
      <c r="AE155" s="678"/>
      <c r="AF155" s="678"/>
      <c r="AG155" s="678"/>
      <c r="AH155" s="678"/>
      <c r="AI155" s="678"/>
      <c r="AJ155" s="678"/>
      <c r="AK155" s="658"/>
    </row>
    <row r="156" spans="2:37" s="5" customFormat="1">
      <c r="B156" s="313"/>
      <c r="C156" s="835"/>
      <c r="D156" s="96"/>
      <c r="E156" s="100"/>
      <c r="F156" s="74"/>
      <c r="G156" s="97"/>
      <c r="H156" s="78"/>
      <c r="I156" s="79"/>
      <c r="J156" s="52"/>
      <c r="K156" s="193"/>
      <c r="L156" s="388"/>
      <c r="M156" s="597"/>
      <c r="N156" s="578">
        <f t="shared" si="44"/>
        <v>0</v>
      </c>
      <c r="O156" s="678"/>
      <c r="P156" s="678"/>
      <c r="Q156" s="678"/>
      <c r="R156" s="678"/>
      <c r="S156" s="678"/>
      <c r="T156" s="678"/>
      <c r="U156" s="678"/>
      <c r="V156" s="678"/>
      <c r="W156" s="678"/>
      <c r="X156" s="678"/>
      <c r="Y156" s="678"/>
      <c r="Z156" s="678"/>
      <c r="AA156" s="678"/>
      <c r="AB156" s="678"/>
      <c r="AC156" s="678"/>
      <c r="AD156" s="678"/>
      <c r="AE156" s="678"/>
      <c r="AF156" s="678"/>
      <c r="AG156" s="678"/>
      <c r="AH156" s="678"/>
      <c r="AI156" s="678"/>
      <c r="AJ156" s="678"/>
      <c r="AK156" s="658"/>
    </row>
    <row r="157" spans="2:37" s="532" customFormat="1" ht="15" customHeight="1">
      <c r="B157" s="744">
        <v>12</v>
      </c>
      <c r="C157" s="835" t="s">
        <v>873</v>
      </c>
      <c r="D157" s="745" t="s">
        <v>43</v>
      </c>
      <c r="E157" s="626">
        <v>84572.65</v>
      </c>
      <c r="F157" s="746"/>
      <c r="G157" s="570"/>
      <c r="H157" s="747"/>
      <c r="I157" s="748"/>
      <c r="J157" s="617"/>
      <c r="K157" s="540"/>
      <c r="L157" s="541"/>
      <c r="M157" s="542"/>
      <c r="N157" s="749">
        <f t="shared" si="44"/>
        <v>0</v>
      </c>
      <c r="O157" s="690"/>
      <c r="P157" s="690"/>
      <c r="Q157" s="690"/>
      <c r="R157" s="690"/>
      <c r="S157" s="690"/>
      <c r="T157" s="690"/>
      <c r="U157" s="690"/>
      <c r="V157" s="690"/>
      <c r="W157" s="690"/>
      <c r="X157" s="690"/>
      <c r="Y157" s="690"/>
      <c r="Z157" s="690"/>
      <c r="AA157" s="690"/>
      <c r="AB157" s="690"/>
      <c r="AC157" s="690"/>
      <c r="AD157" s="690"/>
      <c r="AE157" s="690"/>
      <c r="AF157" s="690"/>
      <c r="AG157" s="690"/>
      <c r="AH157" s="690"/>
      <c r="AI157" s="690"/>
      <c r="AJ157" s="690"/>
      <c r="AK157" s="750"/>
    </row>
    <row r="158" spans="2:37" s="5" customFormat="1" ht="15" customHeight="1">
      <c r="B158" s="317"/>
      <c r="C158" s="837"/>
      <c r="D158" s="412" t="s">
        <v>468</v>
      </c>
      <c r="E158" s="413">
        <f>E157/2</f>
        <v>42286.324999999997</v>
      </c>
      <c r="F158" s="414">
        <f>E158</f>
        <v>42286.324999999997</v>
      </c>
      <c r="G158" s="415">
        <v>9</v>
      </c>
      <c r="H158" s="416">
        <f>G158*F158</f>
        <v>380576.92499999999</v>
      </c>
      <c r="I158" s="83"/>
      <c r="J158" s="6"/>
      <c r="K158" s="156"/>
      <c r="L158" s="383"/>
      <c r="M158" s="542"/>
      <c r="N158" s="578">
        <f t="shared" si="44"/>
        <v>0</v>
      </c>
      <c r="O158" s="679"/>
      <c r="P158" s="679"/>
      <c r="Q158" s="679"/>
      <c r="R158" s="679"/>
      <c r="S158" s="679"/>
      <c r="T158" s="678">
        <f>+H158/9</f>
        <v>42286.324999999997</v>
      </c>
      <c r="U158" s="678">
        <v>42286.324999999997</v>
      </c>
      <c r="V158" s="678">
        <v>42286.324999999997</v>
      </c>
      <c r="W158" s="678">
        <v>42286.324999999997</v>
      </c>
      <c r="X158" s="678">
        <v>42286.324999999997</v>
      </c>
      <c r="Y158" s="678">
        <v>42286.324999999997</v>
      </c>
      <c r="Z158" s="678">
        <v>42286.324999999997</v>
      </c>
      <c r="AA158" s="678">
        <v>42286.324999999997</v>
      </c>
      <c r="AB158" s="678">
        <v>42286.324999999997</v>
      </c>
      <c r="AC158" s="679"/>
      <c r="AD158" s="679"/>
      <c r="AE158" s="679"/>
      <c r="AF158" s="678"/>
      <c r="AG158" s="678"/>
      <c r="AH158" s="678"/>
      <c r="AI158" s="678"/>
      <c r="AJ158" s="678"/>
      <c r="AK158" s="658"/>
    </row>
    <row r="159" spans="2:37" s="5" customFormat="1">
      <c r="B159" s="313"/>
      <c r="C159" s="835"/>
      <c r="D159" s="17" t="s">
        <v>318</v>
      </c>
      <c r="E159" s="81" t="s">
        <v>27</v>
      </c>
      <c r="F159" s="84">
        <f>E157</f>
        <v>84572.65</v>
      </c>
      <c r="G159" s="255">
        <v>3</v>
      </c>
      <c r="H159" s="64">
        <f>F159*G159</f>
        <v>253717.94999999998</v>
      </c>
      <c r="I159" s="79"/>
      <c r="J159" s="52"/>
      <c r="K159" s="156"/>
      <c r="L159" s="383"/>
      <c r="M159" s="542"/>
      <c r="N159" s="578">
        <f t="shared" si="44"/>
        <v>0</v>
      </c>
      <c r="O159" s="679"/>
      <c r="P159" s="679"/>
      <c r="Q159" s="679"/>
      <c r="R159" s="678"/>
      <c r="S159" s="678"/>
      <c r="T159" s="678">
        <f>+H159/3</f>
        <v>84572.65</v>
      </c>
      <c r="U159" s="678">
        <f>+T159</f>
        <v>84572.65</v>
      </c>
      <c r="V159" s="678">
        <f>+U159</f>
        <v>84572.65</v>
      </c>
      <c r="W159" s="678"/>
      <c r="X159" s="678"/>
      <c r="Y159" s="678"/>
      <c r="Z159" s="678"/>
      <c r="AA159" s="678"/>
      <c r="AB159" s="678"/>
      <c r="AC159" s="678"/>
      <c r="AD159" s="679"/>
      <c r="AE159" s="679"/>
      <c r="AF159" s="678"/>
      <c r="AG159" s="678"/>
      <c r="AH159" s="678"/>
      <c r="AI159" s="678"/>
      <c r="AJ159" s="678"/>
      <c r="AK159" s="658"/>
    </row>
    <row r="160" spans="2:37" s="5" customFormat="1">
      <c r="B160" s="313"/>
      <c r="C160" s="835"/>
      <c r="D160" s="17" t="s">
        <v>3</v>
      </c>
      <c r="E160" s="81" t="s">
        <v>27</v>
      </c>
      <c r="F160" s="84">
        <f>E157</f>
        <v>84572.65</v>
      </c>
      <c r="G160" s="64">
        <v>6</v>
      </c>
      <c r="H160" s="64">
        <f>F160*G160</f>
        <v>507435.89999999997</v>
      </c>
      <c r="I160" s="79"/>
      <c r="J160" s="52"/>
      <c r="K160" s="156"/>
      <c r="L160" s="383"/>
      <c r="M160" s="542"/>
      <c r="N160" s="578">
        <f t="shared" si="44"/>
        <v>0</v>
      </c>
      <c r="O160" s="678"/>
      <c r="P160" s="678"/>
      <c r="Q160" s="678"/>
      <c r="R160" s="678"/>
      <c r="S160" s="678"/>
      <c r="T160" s="678"/>
      <c r="U160" s="678"/>
      <c r="V160" s="678"/>
      <c r="W160" s="678">
        <f>+H160/6</f>
        <v>84572.65</v>
      </c>
      <c r="X160" s="678">
        <f t="shared" ref="X160:AB160" si="51">+W160</f>
        <v>84572.65</v>
      </c>
      <c r="Y160" s="678">
        <f t="shared" si="51"/>
        <v>84572.65</v>
      </c>
      <c r="Z160" s="678">
        <f t="shared" si="51"/>
        <v>84572.65</v>
      </c>
      <c r="AA160" s="678">
        <f t="shared" si="51"/>
        <v>84572.65</v>
      </c>
      <c r="AB160" s="678">
        <f t="shared" si="51"/>
        <v>84572.65</v>
      </c>
      <c r="AC160" s="678"/>
      <c r="AD160" s="679"/>
      <c r="AE160" s="679"/>
      <c r="AF160" s="678"/>
      <c r="AG160" s="678"/>
      <c r="AH160" s="678"/>
      <c r="AI160" s="678"/>
      <c r="AJ160" s="678"/>
      <c r="AK160" s="658"/>
    </row>
    <row r="161" spans="2:37" s="5" customFormat="1">
      <c r="B161" s="313"/>
      <c r="C161" s="835"/>
      <c r="D161" s="17" t="s">
        <v>28</v>
      </c>
      <c r="E161" s="88">
        <f>$H$5+2</f>
        <v>15.25</v>
      </c>
      <c r="F161" s="84">
        <f>E157/44*1.5</f>
        <v>2883.1585227272726</v>
      </c>
      <c r="G161" s="87">
        <v>6</v>
      </c>
      <c r="H161" s="64">
        <f>F161*G161*E161</f>
        <v>263809.00482954539</v>
      </c>
      <c r="I161" s="79"/>
      <c r="J161" s="52"/>
      <c r="K161" s="156"/>
      <c r="L161" s="383"/>
      <c r="M161" s="542"/>
      <c r="N161" s="578">
        <f t="shared" si="44"/>
        <v>0</v>
      </c>
      <c r="O161" s="678"/>
      <c r="P161" s="678"/>
      <c r="Q161" s="678"/>
      <c r="R161" s="678"/>
      <c r="S161" s="678"/>
      <c r="T161" s="678"/>
      <c r="U161" s="678"/>
      <c r="V161" s="678"/>
      <c r="W161" s="678">
        <f>+H161/6</f>
        <v>43968.167471590896</v>
      </c>
      <c r="X161" s="678">
        <f t="shared" ref="X161:AB161" si="52">+W161</f>
        <v>43968.167471590896</v>
      </c>
      <c r="Y161" s="678">
        <f t="shared" si="52"/>
        <v>43968.167471590896</v>
      </c>
      <c r="Z161" s="678">
        <f t="shared" si="52"/>
        <v>43968.167471590896</v>
      </c>
      <c r="AA161" s="678">
        <f t="shared" si="52"/>
        <v>43968.167471590896</v>
      </c>
      <c r="AB161" s="678">
        <f t="shared" si="52"/>
        <v>43968.167471590896</v>
      </c>
      <c r="AC161" s="678"/>
      <c r="AD161" s="679"/>
      <c r="AE161" s="679"/>
      <c r="AF161" s="678"/>
      <c r="AG161" s="678"/>
      <c r="AH161" s="678"/>
      <c r="AI161" s="678"/>
      <c r="AJ161" s="678"/>
      <c r="AK161" s="658"/>
    </row>
    <row r="162" spans="2:37" s="5" customFormat="1">
      <c r="B162" s="313"/>
      <c r="C162" s="835"/>
      <c r="D162" s="17" t="s">
        <v>1</v>
      </c>
      <c r="E162" s="67" t="s">
        <v>29</v>
      </c>
      <c r="F162" s="84">
        <f>E157/5*1.5</f>
        <v>25371.794999999998</v>
      </c>
      <c r="G162" s="64">
        <f>$H$3</f>
        <v>0</v>
      </c>
      <c r="H162" s="64">
        <f>F162*G162</f>
        <v>0</v>
      </c>
      <c r="I162" s="79"/>
      <c r="J162" s="52"/>
      <c r="K162" s="156"/>
      <c r="L162" s="383"/>
      <c r="M162" s="542"/>
      <c r="N162" s="578">
        <f t="shared" si="44"/>
        <v>0</v>
      </c>
      <c r="O162" s="678"/>
      <c r="P162" s="678"/>
      <c r="Q162" s="678"/>
      <c r="R162" s="678"/>
      <c r="S162" s="678"/>
      <c r="T162" s="678"/>
      <c r="U162" s="678"/>
      <c r="V162" s="678"/>
      <c r="W162" s="678"/>
      <c r="X162" s="678"/>
      <c r="Y162" s="678"/>
      <c r="Z162" s="678"/>
      <c r="AA162" s="678"/>
      <c r="AB162" s="678"/>
      <c r="AC162" s="678"/>
      <c r="AD162" s="679"/>
      <c r="AE162" s="679"/>
      <c r="AF162" s="678"/>
      <c r="AG162" s="678"/>
      <c r="AH162" s="678"/>
      <c r="AI162" s="678"/>
      <c r="AJ162" s="678"/>
      <c r="AK162" s="658"/>
    </row>
    <row r="163" spans="2:37" s="5" customFormat="1">
      <c r="B163" s="313"/>
      <c r="C163" s="835"/>
      <c r="D163" s="17" t="s">
        <v>4</v>
      </c>
      <c r="E163" s="67" t="s">
        <v>29</v>
      </c>
      <c r="F163" s="84">
        <f>E157/5*2</f>
        <v>33829.06</v>
      </c>
      <c r="G163" s="64">
        <f>$H$4</f>
        <v>0</v>
      </c>
      <c r="H163" s="64">
        <f>F163*G163</f>
        <v>0</v>
      </c>
      <c r="I163" s="79"/>
      <c r="J163" s="52"/>
      <c r="K163" s="156"/>
      <c r="L163" s="383"/>
      <c r="M163" s="542"/>
      <c r="N163" s="578">
        <f t="shared" si="44"/>
        <v>0</v>
      </c>
      <c r="O163" s="678"/>
      <c r="P163" s="678"/>
      <c r="Q163" s="678"/>
      <c r="R163" s="678"/>
      <c r="S163" s="678"/>
      <c r="T163" s="678"/>
      <c r="U163" s="678"/>
      <c r="V163" s="678"/>
      <c r="W163" s="678"/>
      <c r="X163" s="678"/>
      <c r="Y163" s="678"/>
      <c r="Z163" s="678"/>
      <c r="AA163" s="678"/>
      <c r="AB163" s="678"/>
      <c r="AC163" s="678"/>
      <c r="AD163" s="679"/>
      <c r="AE163" s="679"/>
      <c r="AF163" s="678"/>
      <c r="AG163" s="678"/>
      <c r="AH163" s="678"/>
      <c r="AI163" s="678"/>
      <c r="AJ163" s="678"/>
      <c r="AK163" s="658"/>
    </row>
    <row r="164" spans="2:37" s="5" customFormat="1">
      <c r="B164" s="313"/>
      <c r="C164" s="835"/>
      <c r="D164" s="17" t="s">
        <v>5</v>
      </c>
      <c r="E164" s="81" t="s">
        <v>27</v>
      </c>
      <c r="F164" s="84">
        <f>E157</f>
        <v>84572.65</v>
      </c>
      <c r="G164" s="64">
        <v>3</v>
      </c>
      <c r="H164" s="64">
        <f>F164*G164</f>
        <v>253717.94999999998</v>
      </c>
      <c r="I164" s="79"/>
      <c r="J164" s="52"/>
      <c r="K164" s="156"/>
      <c r="L164" s="383"/>
      <c r="M164" s="542"/>
      <c r="N164" s="578">
        <f t="shared" si="44"/>
        <v>0</v>
      </c>
      <c r="O164" s="678"/>
      <c r="P164" s="678"/>
      <c r="Q164" s="678"/>
      <c r="R164" s="678"/>
      <c r="S164" s="678"/>
      <c r="T164" s="678"/>
      <c r="U164" s="678"/>
      <c r="V164" s="678"/>
      <c r="W164" s="678"/>
      <c r="X164" s="678"/>
      <c r="Y164" s="678"/>
      <c r="Z164" s="678"/>
      <c r="AA164" s="678"/>
      <c r="AB164" s="678"/>
      <c r="AC164" s="679">
        <f>+H164/3</f>
        <v>84572.65</v>
      </c>
      <c r="AD164" s="679">
        <f>+AC164</f>
        <v>84572.65</v>
      </c>
      <c r="AE164" s="679">
        <f>+AD164</f>
        <v>84572.65</v>
      </c>
      <c r="AF164" s="678"/>
      <c r="AG164" s="678"/>
      <c r="AH164" s="678"/>
      <c r="AI164" s="678"/>
      <c r="AJ164" s="678"/>
      <c r="AK164" s="658"/>
    </row>
    <row r="165" spans="2:37" s="5" customFormat="1">
      <c r="B165" s="313"/>
      <c r="C165" s="835"/>
      <c r="D165" s="17" t="s">
        <v>30</v>
      </c>
      <c r="E165" s="67" t="s">
        <v>16</v>
      </c>
      <c r="F165" s="89">
        <f>G159+G160+G164</f>
        <v>12</v>
      </c>
      <c r="G165" s="68" t="s">
        <v>31</v>
      </c>
      <c r="H165" s="64">
        <f>SUM(H159:H164)</f>
        <v>1278680.8048295453</v>
      </c>
      <c r="I165" s="79"/>
      <c r="J165" s="52"/>
      <c r="K165" s="156"/>
      <c r="L165" s="383"/>
      <c r="M165" s="542"/>
      <c r="N165" s="578">
        <f t="shared" si="44"/>
        <v>-1278680.8048295453</v>
      </c>
      <c r="O165" s="678"/>
      <c r="P165" s="678"/>
      <c r="Q165" s="678"/>
      <c r="R165" s="678"/>
      <c r="S165" s="678"/>
      <c r="T165" s="678"/>
      <c r="U165" s="678"/>
      <c r="V165" s="678"/>
      <c r="W165" s="678"/>
      <c r="X165" s="678"/>
      <c r="Y165" s="678"/>
      <c r="Z165" s="678"/>
      <c r="AA165" s="678"/>
      <c r="AB165" s="678"/>
      <c r="AC165" s="678"/>
      <c r="AD165" s="679"/>
      <c r="AE165" s="679"/>
      <c r="AF165" s="678"/>
      <c r="AG165" s="678"/>
      <c r="AH165" s="678"/>
      <c r="AI165" s="678"/>
      <c r="AJ165" s="678"/>
      <c r="AK165" s="658"/>
    </row>
    <row r="166" spans="2:37" s="5" customFormat="1">
      <c r="B166" s="313"/>
      <c r="C166" s="835"/>
      <c r="D166" s="19" t="s">
        <v>32</v>
      </c>
      <c r="E166" s="67" t="s">
        <v>16</v>
      </c>
      <c r="F166" s="84">
        <f>SUM(H159:H164)</f>
        <v>1278680.8048295453</v>
      </c>
      <c r="G166" s="92">
        <f>$G$43</f>
        <v>8.3299999999999999E-2</v>
      </c>
      <c r="H166" s="64">
        <f>+G166*F166</f>
        <v>106514.11104230113</v>
      </c>
      <c r="I166" s="93"/>
      <c r="J166" s="52"/>
      <c r="K166" s="156"/>
      <c r="L166" s="658">
        <f t="shared" ref="L166:S166" si="53">SUM(L159:L165)*$G$166</f>
        <v>0</v>
      </c>
      <c r="M166" s="658"/>
      <c r="N166" s="578">
        <f t="shared" si="44"/>
        <v>0</v>
      </c>
      <c r="O166" s="679">
        <f t="shared" si="53"/>
        <v>0</v>
      </c>
      <c r="P166" s="679">
        <f t="shared" si="53"/>
        <v>0</v>
      </c>
      <c r="Q166" s="679">
        <f t="shared" si="53"/>
        <v>0</v>
      </c>
      <c r="R166" s="679">
        <f t="shared" si="53"/>
        <v>0</v>
      </c>
      <c r="S166" s="679">
        <f t="shared" si="53"/>
        <v>0</v>
      </c>
      <c r="T166" s="679">
        <f>SUM(T159:T165)*$G$166</f>
        <v>7044.9017449999992</v>
      </c>
      <c r="U166" s="679">
        <f>SUM(U159:U165)*$G$166</f>
        <v>7044.9017449999992</v>
      </c>
      <c r="V166" s="679">
        <f>SUM(V159:V165)*$G$166</f>
        <v>7044.9017449999992</v>
      </c>
      <c r="W166" s="679">
        <f t="shared" ref="W166:AC166" si="54">SUM(W159:W165)*$G$166</f>
        <v>10707.45009538352</v>
      </c>
      <c r="X166" s="679">
        <f t="shared" si="54"/>
        <v>10707.45009538352</v>
      </c>
      <c r="Y166" s="679">
        <f t="shared" si="54"/>
        <v>10707.45009538352</v>
      </c>
      <c r="Z166" s="679">
        <f t="shared" si="54"/>
        <v>10707.45009538352</v>
      </c>
      <c r="AA166" s="679">
        <f t="shared" si="54"/>
        <v>10707.45009538352</v>
      </c>
      <c r="AB166" s="679">
        <f t="shared" si="54"/>
        <v>10707.45009538352</v>
      </c>
      <c r="AC166" s="679">
        <f t="shared" si="54"/>
        <v>7044.9017449999992</v>
      </c>
      <c r="AD166" s="679">
        <f t="shared" ref="AD166" si="55">SUM(AD159:AD165)*$G$166</f>
        <v>7044.9017449999992</v>
      </c>
      <c r="AE166" s="679">
        <f t="shared" ref="AE166" si="56">SUM(AE159:AE165)*$G$166</f>
        <v>7044.9017449999992</v>
      </c>
      <c r="AF166" s="679">
        <f t="shared" ref="AF166:AG166" si="57">SUM(AF157:AF165)*$G$54</f>
        <v>0</v>
      </c>
      <c r="AG166" s="679">
        <f t="shared" si="57"/>
        <v>0</v>
      </c>
      <c r="AH166" s="678"/>
      <c r="AI166" s="678"/>
      <c r="AJ166" s="678"/>
      <c r="AK166" s="658"/>
    </row>
    <row r="167" spans="2:37" s="5" customFormat="1">
      <c r="B167" s="313"/>
      <c r="C167" s="835"/>
      <c r="D167" s="19" t="s">
        <v>33</v>
      </c>
      <c r="E167" s="84">
        <f>F166/(5*F165)</f>
        <v>21311.346747159088</v>
      </c>
      <c r="F167" s="84">
        <f>E167*(F165*7)</f>
        <v>1790153.1267613634</v>
      </c>
      <c r="G167" s="95">
        <f>$G$44</f>
        <v>20</v>
      </c>
      <c r="H167" s="64">
        <f>F167/G167</f>
        <v>89507.656338068162</v>
      </c>
      <c r="I167" s="72">
        <f>SUM(H165:H167)+H158</f>
        <v>1855279.4972099147</v>
      </c>
      <c r="J167" s="52">
        <f>SUM(G159:G167)</f>
        <v>38.083300000000001</v>
      </c>
      <c r="K167" s="156"/>
      <c r="L167" s="383"/>
      <c r="M167" s="542"/>
      <c r="N167" s="578">
        <f t="shared" si="44"/>
        <v>0</v>
      </c>
      <c r="O167" s="678"/>
      <c r="P167" s="678"/>
      <c r="Q167" s="678"/>
      <c r="R167" s="678"/>
      <c r="S167" s="678"/>
      <c r="T167" s="678"/>
      <c r="U167" s="678"/>
      <c r="V167" s="678"/>
      <c r="W167" s="678"/>
      <c r="X167" s="678"/>
      <c r="Y167" s="678"/>
      <c r="Z167" s="678">
        <f>+H167</f>
        <v>89507.656338068162</v>
      </c>
      <c r="AA167" s="678"/>
      <c r="AB167" s="678"/>
      <c r="AC167" s="678"/>
      <c r="AD167" s="679"/>
      <c r="AE167" s="679"/>
      <c r="AF167" s="678"/>
      <c r="AG167" s="678"/>
      <c r="AH167" s="678"/>
      <c r="AI167" s="678"/>
      <c r="AJ167" s="678"/>
      <c r="AK167" s="658"/>
    </row>
    <row r="168" spans="2:37" s="5" customFormat="1">
      <c r="B168" s="313"/>
      <c r="C168" s="835"/>
      <c r="D168" s="96"/>
      <c r="E168" s="9"/>
      <c r="F168" s="74"/>
      <c r="G168" s="97"/>
      <c r="H168" s="78"/>
      <c r="I168" s="79"/>
      <c r="J168" s="52"/>
      <c r="K168" s="156"/>
      <c r="L168" s="383"/>
      <c r="M168" s="542"/>
      <c r="N168" s="578">
        <f t="shared" si="44"/>
        <v>0</v>
      </c>
      <c r="O168" s="678"/>
      <c r="P168" s="678"/>
      <c r="Q168" s="678"/>
      <c r="R168" s="678"/>
      <c r="S168" s="678"/>
      <c r="T168" s="678"/>
      <c r="U168" s="678"/>
      <c r="V168" s="678"/>
      <c r="W168" s="678"/>
      <c r="X168" s="678"/>
      <c r="Y168" s="678"/>
      <c r="Z168" s="678"/>
      <c r="AA168" s="678"/>
      <c r="AB168" s="678"/>
      <c r="AC168" s="678"/>
      <c r="AD168" s="678"/>
      <c r="AE168" s="678"/>
      <c r="AF168" s="678"/>
      <c r="AG168" s="678"/>
      <c r="AH168" s="678"/>
      <c r="AI168" s="678"/>
      <c r="AJ168" s="678"/>
      <c r="AK168" s="658"/>
    </row>
    <row r="169" spans="2:37" s="5" customFormat="1" ht="15" customHeight="1">
      <c r="B169" s="317">
        <v>13</v>
      </c>
      <c r="C169" s="835" t="s">
        <v>874</v>
      </c>
      <c r="D169" s="80" t="s">
        <v>44</v>
      </c>
      <c r="E169" s="81">
        <v>74632.5</v>
      </c>
      <c r="F169" s="74"/>
      <c r="G169" s="75"/>
      <c r="H169" s="82"/>
      <c r="I169" s="83"/>
      <c r="J169" s="6"/>
      <c r="K169" s="156"/>
      <c r="L169" s="383"/>
      <c r="M169" s="542"/>
      <c r="N169" s="578">
        <f t="shared" si="44"/>
        <v>0</v>
      </c>
      <c r="O169" s="678"/>
      <c r="P169" s="678"/>
      <c r="Q169" s="678"/>
      <c r="R169" s="678"/>
      <c r="S169" s="678"/>
      <c r="T169" s="678"/>
      <c r="U169" s="678"/>
      <c r="V169" s="678"/>
      <c r="W169" s="678"/>
      <c r="X169" s="678"/>
      <c r="Y169" s="678"/>
      <c r="Z169" s="678"/>
      <c r="AA169" s="678"/>
      <c r="AB169" s="678"/>
      <c r="AC169" s="678"/>
      <c r="AD169" s="678"/>
      <c r="AE169" s="678"/>
      <c r="AF169" s="678"/>
      <c r="AG169" s="678"/>
      <c r="AH169" s="678"/>
      <c r="AI169" s="678"/>
      <c r="AJ169" s="678"/>
      <c r="AK169" s="658"/>
    </row>
    <row r="170" spans="2:37" s="5" customFormat="1">
      <c r="B170" s="313"/>
      <c r="C170" s="835"/>
      <c r="D170" s="17" t="s">
        <v>45</v>
      </c>
      <c r="E170" s="81" t="s">
        <v>27</v>
      </c>
      <c r="F170" s="84">
        <f>E169</f>
        <v>74632.5</v>
      </c>
      <c r="G170" s="99">
        <f>$F$3-5.4</f>
        <v>0.59999999999999964</v>
      </c>
      <c r="H170" s="64">
        <f>+G170*F170</f>
        <v>44779.499999999971</v>
      </c>
      <c r="I170" s="79"/>
      <c r="J170" s="52"/>
      <c r="K170" s="156"/>
      <c r="L170" s="383"/>
      <c r="M170" s="542"/>
      <c r="N170" s="578">
        <f t="shared" si="44"/>
        <v>0</v>
      </c>
      <c r="O170" s="678"/>
      <c r="P170" s="678"/>
      <c r="Q170" s="680"/>
      <c r="R170" s="680"/>
      <c r="S170" s="680"/>
      <c r="T170" s="680"/>
      <c r="U170" s="680"/>
      <c r="V170" s="680">
        <f>+H170</f>
        <v>44779.499999999971</v>
      </c>
      <c r="W170" s="680"/>
      <c r="X170" s="680"/>
      <c r="Y170" s="680"/>
      <c r="Z170" s="680"/>
      <c r="AA170" s="680"/>
      <c r="AB170" s="680"/>
      <c r="AC170" s="680"/>
      <c r="AD170" s="678"/>
      <c r="AE170" s="678"/>
      <c r="AF170" s="678"/>
      <c r="AG170" s="678"/>
      <c r="AH170" s="678"/>
      <c r="AI170" s="678"/>
      <c r="AJ170" s="678"/>
      <c r="AK170" s="658"/>
    </row>
    <row r="171" spans="2:37" s="5" customFormat="1">
      <c r="B171" s="313"/>
      <c r="C171" s="835"/>
      <c r="D171" s="17" t="s">
        <v>3</v>
      </c>
      <c r="E171" s="81" t="s">
        <v>27</v>
      </c>
      <c r="F171" s="84">
        <f>E169</f>
        <v>74632.5</v>
      </c>
      <c r="G171" s="64">
        <v>6</v>
      </c>
      <c r="H171" s="64">
        <f>+G171*F171</f>
        <v>447795</v>
      </c>
      <c r="I171" s="79"/>
      <c r="J171" s="52"/>
      <c r="K171" s="156"/>
      <c r="L171" s="383"/>
      <c r="M171" s="542"/>
      <c r="N171" s="578">
        <f t="shared" si="44"/>
        <v>0</v>
      </c>
      <c r="O171" s="678"/>
      <c r="P171" s="678"/>
      <c r="Q171" s="680"/>
      <c r="R171" s="680"/>
      <c r="S171" s="680"/>
      <c r="T171" s="680"/>
      <c r="U171" s="680"/>
      <c r="V171" s="680"/>
      <c r="W171" s="680">
        <f>+F171</f>
        <v>74632.5</v>
      </c>
      <c r="X171" s="680">
        <f t="shared" ref="X171:AB172" si="58">+W171</f>
        <v>74632.5</v>
      </c>
      <c r="Y171" s="680">
        <f t="shared" si="58"/>
        <v>74632.5</v>
      </c>
      <c r="Z171" s="680">
        <f t="shared" si="58"/>
        <v>74632.5</v>
      </c>
      <c r="AA171" s="680">
        <f t="shared" si="58"/>
        <v>74632.5</v>
      </c>
      <c r="AB171" s="680">
        <f t="shared" si="58"/>
        <v>74632.5</v>
      </c>
      <c r="AC171" s="680"/>
      <c r="AD171" s="678"/>
      <c r="AE171" s="678"/>
      <c r="AF171" s="678"/>
      <c r="AG171" s="678"/>
      <c r="AH171" s="678"/>
      <c r="AI171" s="678"/>
      <c r="AJ171" s="678"/>
      <c r="AK171" s="658"/>
    </row>
    <row r="172" spans="2:37" s="5" customFormat="1">
      <c r="B172" s="313"/>
      <c r="C172" s="835"/>
      <c r="D172" s="17" t="s">
        <v>28</v>
      </c>
      <c r="E172" s="88">
        <f>$H$5+2.5+2</f>
        <v>17.75</v>
      </c>
      <c r="F172" s="84">
        <f>E169/44*1.5</f>
        <v>2544.2897727272725</v>
      </c>
      <c r="G172" s="87">
        <v>6</v>
      </c>
      <c r="H172" s="64">
        <f>+G172*F172*E172</f>
        <v>270966.86079545453</v>
      </c>
      <c r="I172" s="79"/>
      <c r="J172" s="52"/>
      <c r="K172" s="156"/>
      <c r="L172" s="383"/>
      <c r="M172" s="542"/>
      <c r="N172" s="578">
        <f t="shared" si="44"/>
        <v>0</v>
      </c>
      <c r="O172" s="678"/>
      <c r="P172" s="678"/>
      <c r="Q172" s="680"/>
      <c r="R172" s="680"/>
      <c r="S172" s="680"/>
      <c r="T172" s="680"/>
      <c r="U172" s="680"/>
      <c r="V172" s="680"/>
      <c r="W172" s="680">
        <f>+H172/6</f>
        <v>45161.143465909088</v>
      </c>
      <c r="X172" s="680">
        <f t="shared" si="58"/>
        <v>45161.143465909088</v>
      </c>
      <c r="Y172" s="680">
        <f t="shared" si="58"/>
        <v>45161.143465909088</v>
      </c>
      <c r="Z172" s="680">
        <f t="shared" si="58"/>
        <v>45161.143465909088</v>
      </c>
      <c r="AA172" s="680">
        <f t="shared" si="58"/>
        <v>45161.143465909088</v>
      </c>
      <c r="AB172" s="680">
        <f t="shared" si="58"/>
        <v>45161.143465909088</v>
      </c>
      <c r="AC172" s="680"/>
      <c r="AD172" s="678"/>
      <c r="AE172" s="678"/>
      <c r="AF172" s="678"/>
      <c r="AG172" s="678"/>
      <c r="AH172" s="678"/>
      <c r="AI172" s="678"/>
      <c r="AJ172" s="678"/>
      <c r="AK172" s="658"/>
    </row>
    <row r="173" spans="2:37" s="5" customFormat="1">
      <c r="B173" s="313"/>
      <c r="C173" s="835"/>
      <c r="D173" s="17" t="s">
        <v>1</v>
      </c>
      <c r="E173" s="67" t="s">
        <v>29</v>
      </c>
      <c r="F173" s="84">
        <f>E169/5*1.5</f>
        <v>22389.75</v>
      </c>
      <c r="G173" s="64">
        <f>$H$3</f>
        <v>0</v>
      </c>
      <c r="H173" s="64">
        <f>+G173*F173</f>
        <v>0</v>
      </c>
      <c r="I173" s="79"/>
      <c r="J173" s="52"/>
      <c r="K173" s="156"/>
      <c r="L173" s="383"/>
      <c r="M173" s="542"/>
      <c r="N173" s="578">
        <f t="shared" si="44"/>
        <v>0</v>
      </c>
      <c r="O173" s="678"/>
      <c r="P173" s="678"/>
      <c r="Q173" s="680"/>
      <c r="R173" s="680"/>
      <c r="S173" s="680"/>
      <c r="T173" s="680"/>
      <c r="U173" s="680"/>
      <c r="V173" s="680"/>
      <c r="W173" s="680"/>
      <c r="X173" s="680"/>
      <c r="Y173" s="680"/>
      <c r="Z173" s="680"/>
      <c r="AA173" s="680"/>
      <c r="AB173" s="680"/>
      <c r="AC173" s="680"/>
      <c r="AD173" s="678"/>
      <c r="AE173" s="678"/>
      <c r="AF173" s="678"/>
      <c r="AG173" s="678"/>
      <c r="AH173" s="678"/>
      <c r="AI173" s="678"/>
      <c r="AJ173" s="678"/>
      <c r="AK173" s="658"/>
    </row>
    <row r="174" spans="2:37" s="5" customFormat="1">
      <c r="B174" s="313"/>
      <c r="C174" s="835"/>
      <c r="D174" s="17" t="s">
        <v>4</v>
      </c>
      <c r="E174" s="67" t="s">
        <v>29</v>
      </c>
      <c r="F174" s="84">
        <f>E169/5*2</f>
        <v>29853</v>
      </c>
      <c r="G174" s="64">
        <f>$H$4</f>
        <v>0</v>
      </c>
      <c r="H174" s="64">
        <f>+G174*F174</f>
        <v>0</v>
      </c>
      <c r="I174" s="79"/>
      <c r="J174" s="52"/>
      <c r="K174" s="156"/>
      <c r="L174" s="383"/>
      <c r="M174" s="542"/>
      <c r="N174" s="578">
        <f t="shared" si="44"/>
        <v>0</v>
      </c>
      <c r="O174" s="678"/>
      <c r="P174" s="678"/>
      <c r="Q174" s="680"/>
      <c r="R174" s="680"/>
      <c r="S174" s="680"/>
      <c r="T174" s="680"/>
      <c r="U174" s="680"/>
      <c r="V174" s="680"/>
      <c r="W174" s="680"/>
      <c r="X174" s="680"/>
      <c r="Y174" s="680"/>
      <c r="Z174" s="680"/>
      <c r="AA174" s="680"/>
      <c r="AB174" s="680"/>
      <c r="AC174" s="680"/>
      <c r="AD174" s="678"/>
      <c r="AE174" s="678"/>
      <c r="AF174" s="678"/>
      <c r="AG174" s="678"/>
      <c r="AH174" s="678"/>
      <c r="AI174" s="678"/>
      <c r="AJ174" s="678"/>
      <c r="AK174" s="658"/>
    </row>
    <row r="175" spans="2:37" s="5" customFormat="1">
      <c r="B175" s="313"/>
      <c r="C175" s="835"/>
      <c r="D175" s="17" t="s">
        <v>46</v>
      </c>
      <c r="E175" s="81" t="s">
        <v>27</v>
      </c>
      <c r="F175" s="84">
        <f>E169</f>
        <v>74632.5</v>
      </c>
      <c r="G175" s="99">
        <v>0</v>
      </c>
      <c r="H175" s="64">
        <f>+G175*F175</f>
        <v>0</v>
      </c>
      <c r="I175" s="79"/>
      <c r="J175" s="52"/>
      <c r="K175" s="156"/>
      <c r="L175" s="383"/>
      <c r="M175" s="542"/>
      <c r="N175" s="578">
        <f t="shared" si="44"/>
        <v>0</v>
      </c>
      <c r="O175" s="678"/>
      <c r="P175" s="678"/>
      <c r="Q175" s="680"/>
      <c r="R175" s="680"/>
      <c r="S175" s="680"/>
      <c r="T175" s="680"/>
      <c r="U175" s="680"/>
      <c r="V175" s="680"/>
      <c r="W175" s="680"/>
      <c r="X175" s="680"/>
      <c r="Y175" s="680"/>
      <c r="Z175" s="680"/>
      <c r="AA175" s="680"/>
      <c r="AB175" s="680"/>
      <c r="AC175" s="680">
        <f>+H175</f>
        <v>0</v>
      </c>
      <c r="AD175" s="678"/>
      <c r="AE175" s="678"/>
      <c r="AF175" s="678"/>
      <c r="AG175" s="678"/>
      <c r="AH175" s="678"/>
      <c r="AI175" s="678"/>
      <c r="AJ175" s="678"/>
      <c r="AK175" s="658"/>
    </row>
    <row r="176" spans="2:37" s="5" customFormat="1">
      <c r="B176" s="313"/>
      <c r="C176" s="835"/>
      <c r="D176" s="17" t="s">
        <v>30</v>
      </c>
      <c r="E176" s="67" t="s">
        <v>16</v>
      </c>
      <c r="F176" s="101">
        <f>G170+G171+G175</f>
        <v>6.6</v>
      </c>
      <c r="G176" s="68" t="s">
        <v>31</v>
      </c>
      <c r="H176" s="64">
        <f>SUM(H170:H175)</f>
        <v>763541.36079545459</v>
      </c>
      <c r="I176" s="79"/>
      <c r="J176" s="52"/>
      <c r="K176" s="156"/>
      <c r="L176" s="383"/>
      <c r="M176" s="542"/>
      <c r="N176" s="578">
        <f t="shared" si="44"/>
        <v>-763541.36079545459</v>
      </c>
      <c r="O176" s="678"/>
      <c r="P176" s="678"/>
      <c r="Q176" s="680"/>
      <c r="R176" s="680"/>
      <c r="S176" s="680"/>
      <c r="T176" s="680"/>
      <c r="U176" s="680"/>
      <c r="V176" s="680"/>
      <c r="W176" s="680"/>
      <c r="X176" s="680"/>
      <c r="Y176" s="680"/>
      <c r="Z176" s="680"/>
      <c r="AA176" s="680"/>
      <c r="AB176" s="680"/>
      <c r="AC176" s="681"/>
      <c r="AD176" s="678"/>
      <c r="AE176" s="678"/>
      <c r="AF176" s="678"/>
      <c r="AG176" s="678"/>
      <c r="AH176" s="678"/>
      <c r="AI176" s="678"/>
      <c r="AJ176" s="678"/>
      <c r="AK176" s="658"/>
    </row>
    <row r="177" spans="2:37" s="5" customFormat="1">
      <c r="B177" s="313"/>
      <c r="C177" s="835"/>
      <c r="D177" s="19" t="s">
        <v>32</v>
      </c>
      <c r="E177" s="67" t="s">
        <v>16</v>
      </c>
      <c r="F177" s="84">
        <f>SUM(H170:H175)</f>
        <v>763541.36079545459</v>
      </c>
      <c r="G177" s="92">
        <f>$G$43</f>
        <v>8.3299999999999999E-2</v>
      </c>
      <c r="H177" s="64">
        <f>+G177*F177</f>
        <v>63602.995354261366</v>
      </c>
      <c r="I177" s="93"/>
      <c r="J177" s="52"/>
      <c r="K177" s="156"/>
      <c r="L177" s="383"/>
      <c r="M177" s="542"/>
      <c r="N177" s="578">
        <f t="shared" si="44"/>
        <v>0</v>
      </c>
      <c r="O177" s="678"/>
      <c r="P177" s="678"/>
      <c r="Q177" s="680">
        <f t="shared" ref="Q177:V177" si="59">SUM(Q168:Q176)*$G$54</f>
        <v>0</v>
      </c>
      <c r="R177" s="680">
        <f t="shared" si="59"/>
        <v>0</v>
      </c>
      <c r="S177" s="680">
        <f t="shared" si="59"/>
        <v>0</v>
      </c>
      <c r="T177" s="680">
        <f t="shared" si="59"/>
        <v>0</v>
      </c>
      <c r="U177" s="680">
        <f t="shared" si="59"/>
        <v>0</v>
      </c>
      <c r="V177" s="680">
        <f t="shared" si="59"/>
        <v>3730.1323499999976</v>
      </c>
      <c r="W177" s="680">
        <f>SUM(W168:W176)*$G$54</f>
        <v>9978.8105007102276</v>
      </c>
      <c r="X177" s="680">
        <f t="shared" ref="X177:AC177" si="60">SUM(X168:X176)*$G$54</f>
        <v>9978.8105007102276</v>
      </c>
      <c r="Y177" s="680">
        <f t="shared" si="60"/>
        <v>9978.8105007102276</v>
      </c>
      <c r="Z177" s="680">
        <f t="shared" si="60"/>
        <v>9978.8105007102276</v>
      </c>
      <c r="AA177" s="680">
        <f t="shared" si="60"/>
        <v>9978.8105007102276</v>
      </c>
      <c r="AB177" s="680">
        <f t="shared" si="60"/>
        <v>9978.8105007102276</v>
      </c>
      <c r="AC177" s="680">
        <f t="shared" si="60"/>
        <v>0</v>
      </c>
      <c r="AD177" s="678"/>
      <c r="AE177" s="678"/>
      <c r="AF177" s="678"/>
      <c r="AG177" s="678"/>
      <c r="AH177" s="678"/>
      <c r="AI177" s="678"/>
      <c r="AJ177" s="678"/>
      <c r="AK177" s="658"/>
    </row>
    <row r="178" spans="2:37" s="5" customFormat="1">
      <c r="B178" s="313"/>
      <c r="C178" s="835"/>
      <c r="D178" s="19" t="s">
        <v>33</v>
      </c>
      <c r="E178" s="84">
        <f>F177/(5*F176)</f>
        <v>23137.616993801654</v>
      </c>
      <c r="F178" s="84">
        <f>E178*(F176*7)</f>
        <v>1068957.9051136363</v>
      </c>
      <c r="G178" s="95">
        <f>$G$44</f>
        <v>20</v>
      </c>
      <c r="H178" s="64">
        <f>F178/G178</f>
        <v>53447.895255681811</v>
      </c>
      <c r="I178" s="72">
        <f>SUM(H176:H178)</f>
        <v>880592.25140539778</v>
      </c>
      <c r="J178" s="52">
        <f>SUM(G170:G178)</f>
        <v>32.683300000000003</v>
      </c>
      <c r="K178" s="156"/>
      <c r="L178" s="383"/>
      <c r="M178" s="542"/>
      <c r="N178" s="578">
        <f t="shared" si="44"/>
        <v>0</v>
      </c>
      <c r="O178" s="678"/>
      <c r="P178" s="678"/>
      <c r="Q178" s="681"/>
      <c r="R178" s="681"/>
      <c r="S178" s="681"/>
      <c r="T178" s="681"/>
      <c r="U178" s="681"/>
      <c r="V178" s="681"/>
      <c r="W178" s="681"/>
      <c r="X178" s="681"/>
      <c r="Y178" s="681"/>
      <c r="Z178" s="681"/>
      <c r="AA178" s="681"/>
      <c r="AB178" s="681"/>
      <c r="AC178" s="681">
        <f>+H178</f>
        <v>53447.895255681811</v>
      </c>
      <c r="AD178" s="678"/>
      <c r="AE178" s="678"/>
      <c r="AF178" s="678"/>
      <c r="AG178" s="678"/>
      <c r="AH178" s="678"/>
      <c r="AI178" s="678"/>
      <c r="AJ178" s="678"/>
      <c r="AK178" s="658"/>
    </row>
    <row r="179" spans="2:37" s="5" customFormat="1">
      <c r="B179" s="313"/>
      <c r="C179" s="835"/>
      <c r="D179" s="96"/>
      <c r="E179" s="9"/>
      <c r="F179" s="74"/>
      <c r="G179" s="97"/>
      <c r="H179" s="78"/>
      <c r="I179" s="79"/>
      <c r="J179" s="52"/>
      <c r="K179" s="156"/>
      <c r="L179" s="383"/>
      <c r="M179" s="542"/>
      <c r="N179" s="578">
        <f t="shared" si="44"/>
        <v>0</v>
      </c>
      <c r="O179" s="678"/>
      <c r="P179" s="678"/>
      <c r="Q179" s="678"/>
      <c r="R179" s="678"/>
      <c r="S179" s="678"/>
      <c r="T179" s="678"/>
      <c r="U179" s="678"/>
      <c r="V179" s="678"/>
      <c r="W179" s="678"/>
      <c r="X179" s="678"/>
      <c r="Y179" s="678"/>
      <c r="Z179" s="678"/>
      <c r="AA179" s="678"/>
      <c r="AB179" s="678"/>
      <c r="AC179" s="678"/>
      <c r="AD179" s="678"/>
      <c r="AE179" s="678"/>
      <c r="AF179" s="678"/>
      <c r="AG179" s="678"/>
      <c r="AH179" s="678"/>
      <c r="AI179" s="678"/>
      <c r="AJ179" s="678"/>
      <c r="AK179" s="658"/>
    </row>
    <row r="180" spans="2:37" s="5" customFormat="1" ht="15" customHeight="1">
      <c r="B180" s="317">
        <v>14</v>
      </c>
      <c r="C180" s="835" t="s">
        <v>875</v>
      </c>
      <c r="D180" s="80" t="s">
        <v>47</v>
      </c>
      <c r="E180" s="81">
        <v>67896.2</v>
      </c>
      <c r="F180" s="74"/>
      <c r="G180" s="75"/>
      <c r="H180" s="82"/>
      <c r="I180" s="83"/>
      <c r="J180" s="6"/>
      <c r="K180" s="156"/>
      <c r="L180" s="383"/>
      <c r="M180" s="542"/>
      <c r="N180" s="578">
        <f t="shared" si="44"/>
        <v>0</v>
      </c>
      <c r="O180" s="678"/>
      <c r="P180" s="678"/>
      <c r="Q180" s="678"/>
      <c r="R180" s="678"/>
      <c r="S180" s="678"/>
      <c r="T180" s="678"/>
      <c r="U180" s="678"/>
      <c r="V180" s="678"/>
      <c r="W180" s="678"/>
      <c r="X180" s="678"/>
      <c r="Y180" s="678"/>
      <c r="Z180" s="678"/>
      <c r="AA180" s="678"/>
      <c r="AB180" s="678"/>
      <c r="AC180" s="678"/>
      <c r="AD180" s="678"/>
      <c r="AE180" s="678"/>
      <c r="AF180" s="678"/>
      <c r="AG180" s="678"/>
      <c r="AH180" s="678"/>
      <c r="AI180" s="678"/>
      <c r="AJ180" s="678"/>
      <c r="AK180" s="658"/>
    </row>
    <row r="181" spans="2:37" s="5" customFormat="1">
      <c r="B181" s="313"/>
      <c r="C181" s="835"/>
      <c r="D181" s="17" t="s">
        <v>45</v>
      </c>
      <c r="E181" s="81" t="s">
        <v>27</v>
      </c>
      <c r="F181" s="84">
        <f>E180</f>
        <v>67896.2</v>
      </c>
      <c r="G181" s="99">
        <f>$F$3-5.4</f>
        <v>0.59999999999999964</v>
      </c>
      <c r="H181" s="64">
        <f>F181*G181</f>
        <v>40737.719999999972</v>
      </c>
      <c r="I181" s="79"/>
      <c r="J181" s="52"/>
      <c r="K181" s="156"/>
      <c r="L181" s="383"/>
      <c r="M181" s="542"/>
      <c r="N181" s="578">
        <f t="shared" si="44"/>
        <v>0</v>
      </c>
      <c r="O181" s="678"/>
      <c r="P181" s="678"/>
      <c r="Q181" s="678"/>
      <c r="R181" s="678"/>
      <c r="S181" s="678"/>
      <c r="T181" s="678"/>
      <c r="U181" s="678"/>
      <c r="V181" s="680">
        <f>+H181</f>
        <v>40737.719999999972</v>
      </c>
      <c r="W181" s="680"/>
      <c r="X181" s="680"/>
      <c r="Y181" s="680"/>
      <c r="Z181" s="680"/>
      <c r="AA181" s="680"/>
      <c r="AB181" s="680"/>
      <c r="AC181" s="680"/>
      <c r="AD181" s="678"/>
      <c r="AE181" s="678"/>
      <c r="AF181" s="678"/>
      <c r="AG181" s="678"/>
      <c r="AH181" s="678"/>
      <c r="AI181" s="678"/>
      <c r="AJ181" s="678"/>
      <c r="AK181" s="658"/>
    </row>
    <row r="182" spans="2:37" s="5" customFormat="1">
      <c r="B182" s="313"/>
      <c r="C182" s="835"/>
      <c r="D182" s="17" t="s">
        <v>3</v>
      </c>
      <c r="E182" s="81" t="s">
        <v>27</v>
      </c>
      <c r="F182" s="84">
        <f>E180</f>
        <v>67896.2</v>
      </c>
      <c r="G182" s="64">
        <v>6</v>
      </c>
      <c r="H182" s="64">
        <f>F182*G182</f>
        <v>407377.19999999995</v>
      </c>
      <c r="I182" s="79"/>
      <c r="J182" s="52"/>
      <c r="K182" s="156"/>
      <c r="L182" s="383"/>
      <c r="M182" s="542"/>
      <c r="N182" s="578">
        <f t="shared" si="44"/>
        <v>0</v>
      </c>
      <c r="O182" s="678"/>
      <c r="P182" s="678"/>
      <c r="Q182" s="678"/>
      <c r="R182" s="678"/>
      <c r="S182" s="678"/>
      <c r="T182" s="678"/>
      <c r="U182" s="678"/>
      <c r="V182" s="680"/>
      <c r="W182" s="680">
        <f>+F182</f>
        <v>67896.2</v>
      </c>
      <c r="X182" s="680">
        <f t="shared" ref="X182:AB182" si="61">+W182</f>
        <v>67896.2</v>
      </c>
      <c r="Y182" s="680">
        <f t="shared" si="61"/>
        <v>67896.2</v>
      </c>
      <c r="Z182" s="680">
        <f t="shared" si="61"/>
        <v>67896.2</v>
      </c>
      <c r="AA182" s="680">
        <f t="shared" si="61"/>
        <v>67896.2</v>
      </c>
      <c r="AB182" s="680">
        <f t="shared" si="61"/>
        <v>67896.2</v>
      </c>
      <c r="AC182" s="680"/>
      <c r="AD182" s="678"/>
      <c r="AE182" s="678"/>
      <c r="AF182" s="678"/>
      <c r="AG182" s="678"/>
      <c r="AH182" s="678"/>
      <c r="AI182" s="678"/>
      <c r="AJ182" s="678"/>
      <c r="AK182" s="658"/>
    </row>
    <row r="183" spans="2:37" s="5" customFormat="1">
      <c r="B183" s="313"/>
      <c r="C183" s="835"/>
      <c r="D183" s="17" t="s">
        <v>28</v>
      </c>
      <c r="E183" s="88">
        <f>$H$5+2</f>
        <v>15.25</v>
      </c>
      <c r="F183" s="84">
        <f>E180/44*1.5</f>
        <v>2314.6431818181818</v>
      </c>
      <c r="G183" s="87">
        <v>6</v>
      </c>
      <c r="H183" s="64">
        <f>F183*G183*E183</f>
        <v>211789.85113636364</v>
      </c>
      <c r="I183" s="79"/>
      <c r="J183" s="52"/>
      <c r="K183" s="156"/>
      <c r="L183" s="383"/>
      <c r="M183" s="542"/>
      <c r="N183" s="578">
        <f t="shared" si="44"/>
        <v>0</v>
      </c>
      <c r="O183" s="678"/>
      <c r="P183" s="678"/>
      <c r="Q183" s="678"/>
      <c r="R183" s="678"/>
      <c r="S183" s="678"/>
      <c r="T183" s="678"/>
      <c r="U183" s="678"/>
      <c r="V183" s="680"/>
      <c r="W183" s="680">
        <f>+H183/6</f>
        <v>35298.308522727275</v>
      </c>
      <c r="X183" s="680">
        <f t="shared" ref="X183:AB183" si="62">+W183</f>
        <v>35298.308522727275</v>
      </c>
      <c r="Y183" s="680">
        <f t="shared" si="62"/>
        <v>35298.308522727275</v>
      </c>
      <c r="Z183" s="680">
        <f t="shared" si="62"/>
        <v>35298.308522727275</v>
      </c>
      <c r="AA183" s="680">
        <f t="shared" si="62"/>
        <v>35298.308522727275</v>
      </c>
      <c r="AB183" s="680">
        <f t="shared" si="62"/>
        <v>35298.308522727275</v>
      </c>
      <c r="AC183" s="680"/>
      <c r="AD183" s="678"/>
      <c r="AE183" s="678"/>
      <c r="AF183" s="678"/>
      <c r="AG183" s="678"/>
      <c r="AH183" s="678"/>
      <c r="AI183" s="678"/>
      <c r="AJ183" s="678"/>
      <c r="AK183" s="658"/>
    </row>
    <row r="184" spans="2:37" s="5" customFormat="1">
      <c r="B184" s="313"/>
      <c r="C184" s="835"/>
      <c r="D184" s="17" t="s">
        <v>1</v>
      </c>
      <c r="E184" s="67" t="s">
        <v>29</v>
      </c>
      <c r="F184" s="84">
        <f>E180/5*1.5</f>
        <v>20368.86</v>
      </c>
      <c r="G184" s="64">
        <v>0</v>
      </c>
      <c r="H184" s="64">
        <f>F184*G184</f>
        <v>0</v>
      </c>
      <c r="I184" s="79"/>
      <c r="J184" s="52"/>
      <c r="K184" s="156"/>
      <c r="L184" s="383"/>
      <c r="M184" s="542"/>
      <c r="N184" s="578">
        <f t="shared" si="44"/>
        <v>0</v>
      </c>
      <c r="O184" s="678"/>
      <c r="P184" s="678"/>
      <c r="Q184" s="678"/>
      <c r="R184" s="678"/>
      <c r="S184" s="678"/>
      <c r="T184" s="678"/>
      <c r="U184" s="678"/>
      <c r="V184" s="680"/>
      <c r="W184" s="680"/>
      <c r="X184" s="680"/>
      <c r="Y184" s="680"/>
      <c r="Z184" s="680"/>
      <c r="AA184" s="680"/>
      <c r="AB184" s="680"/>
      <c r="AC184" s="680"/>
      <c r="AD184" s="678"/>
      <c r="AE184" s="678"/>
      <c r="AF184" s="678"/>
      <c r="AG184" s="678"/>
      <c r="AH184" s="678"/>
      <c r="AI184" s="678"/>
      <c r="AJ184" s="678"/>
      <c r="AK184" s="658"/>
    </row>
    <row r="185" spans="2:37" s="5" customFormat="1">
      <c r="B185" s="313"/>
      <c r="C185" s="835"/>
      <c r="D185" s="17" t="s">
        <v>4</v>
      </c>
      <c r="E185" s="67" t="s">
        <v>29</v>
      </c>
      <c r="F185" s="84">
        <f>E180/5*2</f>
        <v>27158.48</v>
      </c>
      <c r="G185" s="64">
        <f>$H$4</f>
        <v>0</v>
      </c>
      <c r="H185" s="64">
        <f>F185*G185</f>
        <v>0</v>
      </c>
      <c r="I185" s="79"/>
      <c r="J185" s="52"/>
      <c r="K185" s="156"/>
      <c r="L185" s="383"/>
      <c r="M185" s="542"/>
      <c r="N185" s="578">
        <f t="shared" si="44"/>
        <v>0</v>
      </c>
      <c r="O185" s="678"/>
      <c r="P185" s="678"/>
      <c r="Q185" s="678"/>
      <c r="R185" s="678"/>
      <c r="S185" s="678"/>
      <c r="T185" s="678"/>
      <c r="U185" s="678"/>
      <c r="V185" s="680"/>
      <c r="W185" s="680"/>
      <c r="X185" s="680"/>
      <c r="Y185" s="680"/>
      <c r="Z185" s="680"/>
      <c r="AA185" s="680"/>
      <c r="AB185" s="680"/>
      <c r="AC185" s="680"/>
      <c r="AD185" s="678"/>
      <c r="AE185" s="678"/>
      <c r="AF185" s="678"/>
      <c r="AG185" s="678"/>
      <c r="AH185" s="678"/>
      <c r="AI185" s="678"/>
      <c r="AJ185" s="678"/>
      <c r="AK185" s="658"/>
    </row>
    <row r="186" spans="2:37" s="5" customFormat="1">
      <c r="B186" s="313"/>
      <c r="C186" s="835"/>
      <c r="D186" s="17" t="s">
        <v>46</v>
      </c>
      <c r="E186" s="81" t="s">
        <v>27</v>
      </c>
      <c r="F186" s="84">
        <f>E180</f>
        <v>67896.2</v>
      </c>
      <c r="G186" s="64">
        <f>$F$5-$F$5</f>
        <v>0</v>
      </c>
      <c r="H186" s="64">
        <f>F186*G186</f>
        <v>0</v>
      </c>
      <c r="I186" s="79"/>
      <c r="J186" s="52"/>
      <c r="K186" s="156"/>
      <c r="L186" s="383"/>
      <c r="M186" s="542"/>
      <c r="N186" s="578">
        <f t="shared" si="44"/>
        <v>0</v>
      </c>
      <c r="O186" s="678"/>
      <c r="P186" s="678"/>
      <c r="Q186" s="678"/>
      <c r="R186" s="678"/>
      <c r="S186" s="678"/>
      <c r="T186" s="678"/>
      <c r="U186" s="678"/>
      <c r="V186" s="680"/>
      <c r="W186" s="680"/>
      <c r="X186" s="680"/>
      <c r="Y186" s="680"/>
      <c r="Z186" s="680"/>
      <c r="AA186" s="680"/>
      <c r="AB186" s="680"/>
      <c r="AC186" s="680">
        <f>+H186</f>
        <v>0</v>
      </c>
      <c r="AD186" s="678"/>
      <c r="AE186" s="678"/>
      <c r="AF186" s="678"/>
      <c r="AG186" s="678"/>
      <c r="AH186" s="678"/>
      <c r="AI186" s="678"/>
      <c r="AJ186" s="678"/>
      <c r="AK186" s="658"/>
    </row>
    <row r="187" spans="2:37" s="5" customFormat="1">
      <c r="B187" s="313"/>
      <c r="C187" s="835"/>
      <c r="D187" s="17" t="s">
        <v>30</v>
      </c>
      <c r="E187" s="67" t="s">
        <v>16</v>
      </c>
      <c r="F187" s="101">
        <f>G181+G182+G186</f>
        <v>6.6</v>
      </c>
      <c r="G187" s="68" t="s">
        <v>31</v>
      </c>
      <c r="H187" s="64">
        <f>SUM(H181:H186)</f>
        <v>659904.7711363635</v>
      </c>
      <c r="I187" s="79"/>
      <c r="J187" s="52"/>
      <c r="K187" s="156"/>
      <c r="L187" s="383"/>
      <c r="M187" s="542"/>
      <c r="N187" s="578">
        <f t="shared" si="44"/>
        <v>-659904.7711363635</v>
      </c>
      <c r="O187" s="678"/>
      <c r="P187" s="678"/>
      <c r="Q187" s="678"/>
      <c r="R187" s="678"/>
      <c r="S187" s="678"/>
      <c r="T187" s="678"/>
      <c r="U187" s="678"/>
      <c r="V187" s="680"/>
      <c r="W187" s="680"/>
      <c r="X187" s="680"/>
      <c r="Y187" s="680"/>
      <c r="Z187" s="680"/>
      <c r="AA187" s="680"/>
      <c r="AB187" s="680"/>
      <c r="AC187" s="681"/>
      <c r="AD187" s="678"/>
      <c r="AE187" s="678"/>
      <c r="AF187" s="678"/>
      <c r="AG187" s="678"/>
      <c r="AH187" s="678"/>
      <c r="AI187" s="678"/>
      <c r="AJ187" s="678"/>
      <c r="AK187" s="658"/>
    </row>
    <row r="188" spans="2:37" s="5" customFormat="1">
      <c r="B188" s="313"/>
      <c r="C188" s="835"/>
      <c r="D188" s="19" t="s">
        <v>32</v>
      </c>
      <c r="E188" s="67" t="s">
        <v>16</v>
      </c>
      <c r="F188" s="84">
        <f>SUM(H181:H186)</f>
        <v>659904.7711363635</v>
      </c>
      <c r="G188" s="92">
        <f>$G$43</f>
        <v>8.3299999999999999E-2</v>
      </c>
      <c r="H188" s="64">
        <f>+G188*F188</f>
        <v>54970.067435659083</v>
      </c>
      <c r="I188" s="93"/>
      <c r="J188" s="52"/>
      <c r="K188" s="156"/>
      <c r="L188" s="383"/>
      <c r="M188" s="542"/>
      <c r="N188" s="578">
        <f t="shared" si="44"/>
        <v>0</v>
      </c>
      <c r="O188" s="678"/>
      <c r="P188" s="678"/>
      <c r="Q188" s="678"/>
      <c r="R188" s="678"/>
      <c r="S188" s="678"/>
      <c r="T188" s="678"/>
      <c r="U188" s="678"/>
      <c r="V188" s="680">
        <f t="shared" ref="V188:W188" si="63">SUM(V179:V187)*$G$54</f>
        <v>3393.4520759999978</v>
      </c>
      <c r="W188" s="680">
        <f t="shared" si="63"/>
        <v>8596.1025599431814</v>
      </c>
      <c r="X188" s="680">
        <f t="shared" ref="X188:AC188" si="64">SUM(X179:X187)*$G$54</f>
        <v>8596.1025599431814</v>
      </c>
      <c r="Y188" s="680">
        <f t="shared" si="64"/>
        <v>8596.1025599431814</v>
      </c>
      <c r="Z188" s="680">
        <f t="shared" si="64"/>
        <v>8596.1025599431814</v>
      </c>
      <c r="AA188" s="680">
        <f t="shared" si="64"/>
        <v>8596.1025599431814</v>
      </c>
      <c r="AB188" s="680">
        <f t="shared" si="64"/>
        <v>8596.1025599431814</v>
      </c>
      <c r="AC188" s="680">
        <f t="shared" si="64"/>
        <v>0</v>
      </c>
      <c r="AD188" s="678"/>
      <c r="AE188" s="678"/>
      <c r="AF188" s="678"/>
      <c r="AG188" s="678"/>
      <c r="AH188" s="678"/>
      <c r="AI188" s="678"/>
      <c r="AJ188" s="678"/>
      <c r="AK188" s="658"/>
    </row>
    <row r="189" spans="2:37" s="5" customFormat="1">
      <c r="B189" s="313"/>
      <c r="C189" s="835"/>
      <c r="D189" s="19" t="s">
        <v>33</v>
      </c>
      <c r="E189" s="84">
        <f>F188/(5*F187)</f>
        <v>19997.114276859502</v>
      </c>
      <c r="F189" s="84">
        <f>E189*(F187*7)</f>
        <v>923866.67959090893</v>
      </c>
      <c r="G189" s="95">
        <f>$G$44</f>
        <v>20</v>
      </c>
      <c r="H189" s="64">
        <f>F189/G189</f>
        <v>46193.333979545445</v>
      </c>
      <c r="I189" s="72">
        <f>SUM(H187:H189)</f>
        <v>761068.17255156802</v>
      </c>
      <c r="J189" s="52">
        <f>SUM(G181:G189)</f>
        <v>32.683300000000003</v>
      </c>
      <c r="K189" s="156"/>
      <c r="L189" s="383"/>
      <c r="M189" s="542"/>
      <c r="N189" s="578">
        <f t="shared" si="44"/>
        <v>0</v>
      </c>
      <c r="O189" s="678"/>
      <c r="P189" s="678"/>
      <c r="Q189" s="678"/>
      <c r="R189" s="678"/>
      <c r="S189" s="678"/>
      <c r="T189" s="678"/>
      <c r="U189" s="678"/>
      <c r="V189" s="681"/>
      <c r="W189" s="681"/>
      <c r="X189" s="681"/>
      <c r="Y189" s="681"/>
      <c r="Z189" s="681"/>
      <c r="AA189" s="681"/>
      <c r="AB189" s="681"/>
      <c r="AC189" s="681">
        <f>+H189</f>
        <v>46193.333979545445</v>
      </c>
      <c r="AD189" s="678"/>
      <c r="AE189" s="678"/>
      <c r="AF189" s="678"/>
      <c r="AG189" s="678"/>
      <c r="AH189" s="678"/>
      <c r="AI189" s="678"/>
      <c r="AJ189" s="678"/>
      <c r="AK189" s="658"/>
    </row>
    <row r="190" spans="2:37" s="5" customFormat="1">
      <c r="B190" s="313"/>
      <c r="C190" s="835"/>
      <c r="D190" s="96"/>
      <c r="E190" s="9"/>
      <c r="F190" s="74"/>
      <c r="G190" s="97"/>
      <c r="H190" s="78"/>
      <c r="I190" s="79"/>
      <c r="J190" s="52"/>
      <c r="K190" s="156"/>
      <c r="L190" s="383"/>
      <c r="M190" s="542"/>
      <c r="N190" s="578">
        <f t="shared" si="44"/>
        <v>0</v>
      </c>
      <c r="O190" s="678"/>
      <c r="P190" s="678"/>
      <c r="Q190" s="678"/>
      <c r="R190" s="678"/>
      <c r="S190" s="678"/>
      <c r="T190" s="678"/>
      <c r="U190" s="678"/>
      <c r="V190" s="678"/>
      <c r="W190" s="678"/>
      <c r="X190" s="678"/>
      <c r="Y190" s="678"/>
      <c r="Z190" s="678"/>
      <c r="AA190" s="678"/>
      <c r="AB190" s="678"/>
      <c r="AC190" s="678"/>
      <c r="AD190" s="678"/>
      <c r="AE190" s="678"/>
      <c r="AF190" s="678"/>
      <c r="AG190" s="678"/>
      <c r="AH190" s="678"/>
      <c r="AI190" s="678"/>
      <c r="AJ190" s="678"/>
      <c r="AK190" s="658"/>
    </row>
    <row r="191" spans="2:37" s="5" customFormat="1" ht="15" customHeight="1">
      <c r="B191" s="317">
        <v>15</v>
      </c>
      <c r="C191" s="835" t="s">
        <v>876</v>
      </c>
      <c r="D191" s="80" t="s">
        <v>48</v>
      </c>
      <c r="E191" s="81">
        <v>57232.2</v>
      </c>
      <c r="F191" s="74"/>
      <c r="G191" s="75"/>
      <c r="H191" s="82"/>
      <c r="I191" s="83"/>
      <c r="J191" s="6"/>
      <c r="K191" s="156"/>
      <c r="L191" s="383"/>
      <c r="M191" s="542"/>
      <c r="N191" s="578">
        <f t="shared" si="44"/>
        <v>0</v>
      </c>
      <c r="O191" s="678"/>
      <c r="P191" s="678"/>
      <c r="Q191" s="678"/>
      <c r="R191" s="678"/>
      <c r="S191" s="678"/>
      <c r="T191" s="678"/>
      <c r="U191" s="678"/>
      <c r="V191" s="678"/>
      <c r="W191" s="678"/>
      <c r="X191" s="678"/>
      <c r="Y191" s="678"/>
      <c r="Z191" s="678"/>
      <c r="AA191" s="678"/>
      <c r="AB191" s="678"/>
      <c r="AC191" s="678"/>
      <c r="AD191" s="678"/>
      <c r="AE191" s="678"/>
      <c r="AF191" s="678"/>
      <c r="AG191" s="678"/>
      <c r="AH191" s="678"/>
      <c r="AI191" s="678"/>
      <c r="AJ191" s="678"/>
      <c r="AK191" s="658"/>
    </row>
    <row r="192" spans="2:37" s="5" customFormat="1">
      <c r="B192" s="313"/>
      <c r="C192" s="835"/>
      <c r="D192" s="17" t="s">
        <v>45</v>
      </c>
      <c r="E192" s="81" t="s">
        <v>27</v>
      </c>
      <c r="F192" s="84">
        <f>E191</f>
        <v>57232.2</v>
      </c>
      <c r="G192" s="99">
        <f>$F$3-5.4</f>
        <v>0.59999999999999964</v>
      </c>
      <c r="H192" s="64">
        <f>+G192*F192</f>
        <v>34339.319999999978</v>
      </c>
      <c r="I192" s="79"/>
      <c r="J192" s="52"/>
      <c r="K192" s="156"/>
      <c r="L192" s="383"/>
      <c r="M192" s="542"/>
      <c r="N192" s="578">
        <f t="shared" si="44"/>
        <v>0</v>
      </c>
      <c r="O192" s="678"/>
      <c r="P192" s="678"/>
      <c r="Q192" s="678"/>
      <c r="R192" s="678"/>
      <c r="S192" s="678"/>
      <c r="T192" s="678"/>
      <c r="U192" s="678"/>
      <c r="V192" s="680">
        <f>+H192</f>
        <v>34339.319999999978</v>
      </c>
      <c r="W192" s="680"/>
      <c r="X192" s="680"/>
      <c r="Y192" s="680"/>
      <c r="Z192" s="680"/>
      <c r="AA192" s="680"/>
      <c r="AB192" s="680"/>
      <c r="AC192" s="680"/>
      <c r="AD192" s="678"/>
      <c r="AE192" s="678"/>
      <c r="AF192" s="678"/>
      <c r="AG192" s="678"/>
      <c r="AH192" s="678"/>
      <c r="AI192" s="678"/>
      <c r="AJ192" s="678"/>
      <c r="AK192" s="658"/>
    </row>
    <row r="193" spans="2:37" s="5" customFormat="1">
      <c r="B193" s="313"/>
      <c r="C193" s="835"/>
      <c r="D193" s="17" t="s">
        <v>3</v>
      </c>
      <c r="E193" s="81" t="s">
        <v>27</v>
      </c>
      <c r="F193" s="84">
        <f>E191</f>
        <v>57232.2</v>
      </c>
      <c r="G193" s="64">
        <v>6</v>
      </c>
      <c r="H193" s="64">
        <f>+G193*F193</f>
        <v>343393.19999999995</v>
      </c>
      <c r="I193" s="79"/>
      <c r="J193" s="52"/>
      <c r="K193" s="156"/>
      <c r="L193" s="383"/>
      <c r="M193" s="542"/>
      <c r="N193" s="578">
        <f t="shared" si="44"/>
        <v>0</v>
      </c>
      <c r="O193" s="678"/>
      <c r="P193" s="678"/>
      <c r="Q193" s="678"/>
      <c r="R193" s="678"/>
      <c r="S193" s="678"/>
      <c r="T193" s="678"/>
      <c r="U193" s="678"/>
      <c r="V193" s="680"/>
      <c r="W193" s="680">
        <f>+F193</f>
        <v>57232.2</v>
      </c>
      <c r="X193" s="680">
        <f t="shared" ref="X193:AB193" si="65">+W193</f>
        <v>57232.2</v>
      </c>
      <c r="Y193" s="680">
        <f t="shared" si="65"/>
        <v>57232.2</v>
      </c>
      <c r="Z193" s="680">
        <f t="shared" si="65"/>
        <v>57232.2</v>
      </c>
      <c r="AA193" s="680">
        <f t="shared" si="65"/>
        <v>57232.2</v>
      </c>
      <c r="AB193" s="680">
        <f t="shared" si="65"/>
        <v>57232.2</v>
      </c>
      <c r="AC193" s="680"/>
      <c r="AD193" s="678"/>
      <c r="AE193" s="678"/>
      <c r="AF193" s="678"/>
      <c r="AG193" s="678"/>
      <c r="AH193" s="678"/>
      <c r="AI193" s="678"/>
      <c r="AJ193" s="678"/>
      <c r="AK193" s="658"/>
    </row>
    <row r="194" spans="2:37" s="5" customFormat="1">
      <c r="B194" s="313"/>
      <c r="C194" s="835"/>
      <c r="D194" s="17" t="s">
        <v>28</v>
      </c>
      <c r="E194" s="88">
        <f>$H$5+2.5+2</f>
        <v>17.75</v>
      </c>
      <c r="F194" s="84">
        <f>E191/44*1.5</f>
        <v>1951.0977272727273</v>
      </c>
      <c r="G194" s="87">
        <v>6</v>
      </c>
      <c r="H194" s="64">
        <f>+G194*F194*E194</f>
        <v>207791.90795454546</v>
      </c>
      <c r="I194" s="79"/>
      <c r="J194" s="52"/>
      <c r="K194" s="156"/>
      <c r="L194" s="383"/>
      <c r="M194" s="542"/>
      <c r="N194" s="578">
        <f t="shared" si="44"/>
        <v>0</v>
      </c>
      <c r="O194" s="678"/>
      <c r="P194" s="678"/>
      <c r="Q194" s="678"/>
      <c r="R194" s="678"/>
      <c r="S194" s="678"/>
      <c r="T194" s="678"/>
      <c r="U194" s="678"/>
      <c r="V194" s="680"/>
      <c r="W194" s="680">
        <f>+H194/6</f>
        <v>34631.984659090907</v>
      </c>
      <c r="X194" s="680">
        <f t="shared" ref="X194:AB194" si="66">+W194</f>
        <v>34631.984659090907</v>
      </c>
      <c r="Y194" s="680">
        <f t="shared" si="66"/>
        <v>34631.984659090907</v>
      </c>
      <c r="Z194" s="680">
        <f t="shared" si="66"/>
        <v>34631.984659090907</v>
      </c>
      <c r="AA194" s="680">
        <f t="shared" si="66"/>
        <v>34631.984659090907</v>
      </c>
      <c r="AB194" s="680">
        <f t="shared" si="66"/>
        <v>34631.984659090907</v>
      </c>
      <c r="AC194" s="680"/>
      <c r="AD194" s="678"/>
      <c r="AE194" s="678"/>
      <c r="AF194" s="678"/>
      <c r="AG194" s="678"/>
      <c r="AH194" s="678"/>
      <c r="AI194" s="678"/>
      <c r="AJ194" s="678"/>
      <c r="AK194" s="658"/>
    </row>
    <row r="195" spans="2:37" s="5" customFormat="1">
      <c r="B195" s="313"/>
      <c r="C195" s="835"/>
      <c r="D195" s="17" t="s">
        <v>1</v>
      </c>
      <c r="E195" s="67" t="s">
        <v>29</v>
      </c>
      <c r="F195" s="84">
        <f>E191/5*1.5</f>
        <v>17169.659999999996</v>
      </c>
      <c r="G195" s="64">
        <f>$H$3</f>
        <v>0</v>
      </c>
      <c r="H195" s="64">
        <f>+G195*F195</f>
        <v>0</v>
      </c>
      <c r="I195" s="79"/>
      <c r="J195" s="52"/>
      <c r="K195" s="156"/>
      <c r="L195" s="383"/>
      <c r="M195" s="542"/>
      <c r="N195" s="578">
        <f t="shared" si="44"/>
        <v>0</v>
      </c>
      <c r="O195" s="678"/>
      <c r="P195" s="678"/>
      <c r="Q195" s="678"/>
      <c r="R195" s="678"/>
      <c r="S195" s="678"/>
      <c r="T195" s="678"/>
      <c r="U195" s="678"/>
      <c r="V195" s="680"/>
      <c r="W195" s="680"/>
      <c r="X195" s="680"/>
      <c r="Y195" s="680"/>
      <c r="Z195" s="680"/>
      <c r="AA195" s="680"/>
      <c r="AB195" s="680"/>
      <c r="AC195" s="680"/>
      <c r="AD195" s="678"/>
      <c r="AE195" s="678"/>
      <c r="AF195" s="678"/>
      <c r="AG195" s="678"/>
      <c r="AH195" s="678"/>
      <c r="AI195" s="678"/>
      <c r="AJ195" s="678"/>
      <c r="AK195" s="658"/>
    </row>
    <row r="196" spans="2:37" s="5" customFormat="1">
      <c r="B196" s="313"/>
      <c r="C196" s="835"/>
      <c r="D196" s="17" t="s">
        <v>4</v>
      </c>
      <c r="E196" s="67" t="s">
        <v>29</v>
      </c>
      <c r="F196" s="84">
        <f>E191/5*2</f>
        <v>22892.879999999997</v>
      </c>
      <c r="G196" s="64">
        <f>$H$4</f>
        <v>0</v>
      </c>
      <c r="H196" s="64">
        <f>+G196*F196</f>
        <v>0</v>
      </c>
      <c r="I196" s="79"/>
      <c r="J196" s="52"/>
      <c r="K196" s="156"/>
      <c r="L196" s="383"/>
      <c r="M196" s="542"/>
      <c r="N196" s="578">
        <f t="shared" si="44"/>
        <v>0</v>
      </c>
      <c r="O196" s="678"/>
      <c r="P196" s="678"/>
      <c r="Q196" s="678"/>
      <c r="R196" s="678"/>
      <c r="S196" s="678"/>
      <c r="T196" s="678"/>
      <c r="U196" s="678"/>
      <c r="V196" s="680"/>
      <c r="W196" s="680"/>
      <c r="X196" s="680"/>
      <c r="Y196" s="680"/>
      <c r="Z196" s="680"/>
      <c r="AA196" s="680"/>
      <c r="AB196" s="680"/>
      <c r="AC196" s="680"/>
      <c r="AD196" s="678"/>
      <c r="AE196" s="678"/>
      <c r="AF196" s="678"/>
      <c r="AG196" s="678"/>
      <c r="AH196" s="678"/>
      <c r="AI196" s="678"/>
      <c r="AJ196" s="678"/>
      <c r="AK196" s="658"/>
    </row>
    <row r="197" spans="2:37" s="5" customFormat="1">
      <c r="B197" s="313"/>
      <c r="C197" s="835"/>
      <c r="D197" s="17" t="s">
        <v>46</v>
      </c>
      <c r="E197" s="81" t="s">
        <v>27</v>
      </c>
      <c r="F197" s="84">
        <f>E191</f>
        <v>57232.2</v>
      </c>
      <c r="G197" s="99">
        <v>0</v>
      </c>
      <c r="H197" s="64">
        <f>+G197*F197</f>
        <v>0</v>
      </c>
      <c r="I197" s="79"/>
      <c r="J197" s="52"/>
      <c r="K197" s="156"/>
      <c r="L197" s="383"/>
      <c r="M197" s="542"/>
      <c r="N197" s="578">
        <f t="shared" si="44"/>
        <v>0</v>
      </c>
      <c r="O197" s="678"/>
      <c r="P197" s="678"/>
      <c r="Q197" s="678"/>
      <c r="R197" s="678"/>
      <c r="S197" s="678"/>
      <c r="T197" s="678"/>
      <c r="U197" s="678"/>
      <c r="V197" s="680"/>
      <c r="W197" s="680"/>
      <c r="X197" s="680"/>
      <c r="Y197" s="680"/>
      <c r="Z197" s="680"/>
      <c r="AA197" s="680"/>
      <c r="AB197" s="680"/>
      <c r="AC197" s="680">
        <f>+H197</f>
        <v>0</v>
      </c>
      <c r="AD197" s="678"/>
      <c r="AE197" s="678"/>
      <c r="AF197" s="678"/>
      <c r="AG197" s="678"/>
      <c r="AH197" s="678"/>
      <c r="AI197" s="678"/>
      <c r="AJ197" s="678"/>
      <c r="AK197" s="658"/>
    </row>
    <row r="198" spans="2:37" s="5" customFormat="1">
      <c r="B198" s="313"/>
      <c r="C198" s="835"/>
      <c r="D198" s="17" t="s">
        <v>30</v>
      </c>
      <c r="E198" s="67" t="s">
        <v>16</v>
      </c>
      <c r="F198" s="101">
        <f>G192+G193+G197</f>
        <v>6.6</v>
      </c>
      <c r="G198" s="68" t="s">
        <v>31</v>
      </c>
      <c r="H198" s="64">
        <f>SUM(H192:H197)</f>
        <v>585524.42795454536</v>
      </c>
      <c r="I198" s="79"/>
      <c r="J198" s="52"/>
      <c r="K198" s="156"/>
      <c r="L198" s="383"/>
      <c r="M198" s="542"/>
      <c r="N198" s="578">
        <f t="shared" si="44"/>
        <v>-585524.42795454536</v>
      </c>
      <c r="O198" s="678"/>
      <c r="P198" s="678"/>
      <c r="Q198" s="678"/>
      <c r="R198" s="678"/>
      <c r="S198" s="678"/>
      <c r="T198" s="678"/>
      <c r="U198" s="678"/>
      <c r="V198" s="680"/>
      <c r="W198" s="680"/>
      <c r="X198" s="680"/>
      <c r="Y198" s="680"/>
      <c r="Z198" s="680"/>
      <c r="AA198" s="680"/>
      <c r="AB198" s="680"/>
      <c r="AC198" s="681"/>
      <c r="AD198" s="678"/>
      <c r="AE198" s="678"/>
      <c r="AF198" s="678"/>
      <c r="AG198" s="678"/>
      <c r="AH198" s="678"/>
      <c r="AI198" s="678"/>
      <c r="AJ198" s="678"/>
      <c r="AK198" s="658"/>
    </row>
    <row r="199" spans="2:37" s="5" customFormat="1">
      <c r="B199" s="313"/>
      <c r="C199" s="835"/>
      <c r="D199" s="19" t="s">
        <v>32</v>
      </c>
      <c r="E199" s="67" t="s">
        <v>16</v>
      </c>
      <c r="F199" s="84">
        <f>SUM(H192:H197)</f>
        <v>585524.42795454536</v>
      </c>
      <c r="G199" s="92">
        <f>$G$43</f>
        <v>8.3299999999999999E-2</v>
      </c>
      <c r="H199" s="64">
        <f>+G199*F199</f>
        <v>48774.18484861363</v>
      </c>
      <c r="I199" s="93"/>
      <c r="J199" s="52"/>
      <c r="K199" s="156"/>
      <c r="L199" s="383"/>
      <c r="M199" s="542"/>
      <c r="N199" s="578">
        <f t="shared" si="44"/>
        <v>0</v>
      </c>
      <c r="O199" s="678"/>
      <c r="P199" s="678"/>
      <c r="Q199" s="678"/>
      <c r="R199" s="678"/>
      <c r="S199" s="678"/>
      <c r="T199" s="678"/>
      <c r="U199" s="678"/>
      <c r="V199" s="680">
        <f t="shared" ref="V199:W199" si="67">SUM(V190:V198)*$G$54</f>
        <v>2860.4653559999983</v>
      </c>
      <c r="W199" s="680">
        <f t="shared" si="67"/>
        <v>7652.2865821022733</v>
      </c>
      <c r="X199" s="680">
        <f t="shared" ref="X199:AC199" si="68">SUM(X190:X198)*$G$54</f>
        <v>7652.2865821022733</v>
      </c>
      <c r="Y199" s="680">
        <f t="shared" si="68"/>
        <v>7652.2865821022733</v>
      </c>
      <c r="Z199" s="680">
        <f t="shared" si="68"/>
        <v>7652.2865821022733</v>
      </c>
      <c r="AA199" s="680">
        <f t="shared" si="68"/>
        <v>7652.2865821022733</v>
      </c>
      <c r="AB199" s="680">
        <f t="shared" si="68"/>
        <v>7652.2865821022733</v>
      </c>
      <c r="AC199" s="680">
        <f t="shared" si="68"/>
        <v>0</v>
      </c>
      <c r="AD199" s="678"/>
      <c r="AE199" s="678"/>
      <c r="AF199" s="678"/>
      <c r="AG199" s="678"/>
      <c r="AH199" s="678"/>
      <c r="AI199" s="678"/>
      <c r="AJ199" s="678"/>
      <c r="AK199" s="658"/>
    </row>
    <row r="200" spans="2:37" s="5" customFormat="1">
      <c r="B200" s="313"/>
      <c r="C200" s="835"/>
      <c r="D200" s="19" t="s">
        <v>33</v>
      </c>
      <c r="E200" s="84">
        <f>F199/(5*F198)</f>
        <v>17743.164483471071</v>
      </c>
      <c r="F200" s="84">
        <f>E200*(F198*7)</f>
        <v>819734.19913636346</v>
      </c>
      <c r="G200" s="95">
        <f>$G$44</f>
        <v>20</v>
      </c>
      <c r="H200" s="64">
        <f>F200/G200</f>
        <v>40986.709956818173</v>
      </c>
      <c r="I200" s="72">
        <f>SUM(H198:H200)</f>
        <v>675285.32275997719</v>
      </c>
      <c r="J200" s="52">
        <f>SUM(G192:G200)</f>
        <v>32.683300000000003</v>
      </c>
      <c r="K200" s="156"/>
      <c r="L200" s="383"/>
      <c r="M200" s="542"/>
      <c r="N200" s="578">
        <f t="shared" si="44"/>
        <v>0</v>
      </c>
      <c r="O200" s="678"/>
      <c r="P200" s="678"/>
      <c r="Q200" s="678"/>
      <c r="R200" s="678"/>
      <c r="S200" s="678"/>
      <c r="T200" s="678"/>
      <c r="U200" s="678"/>
      <c r="V200" s="681"/>
      <c r="W200" s="681"/>
      <c r="X200" s="681"/>
      <c r="Y200" s="681"/>
      <c r="Z200" s="681"/>
      <c r="AA200" s="681"/>
      <c r="AB200" s="681"/>
      <c r="AC200" s="681">
        <f>+H200</f>
        <v>40986.709956818173</v>
      </c>
      <c r="AD200" s="678"/>
      <c r="AE200" s="678"/>
      <c r="AF200" s="678"/>
      <c r="AG200" s="678"/>
      <c r="AH200" s="678"/>
      <c r="AI200" s="678"/>
      <c r="AJ200" s="678"/>
      <c r="AK200" s="658"/>
    </row>
    <row r="201" spans="2:37" s="5" customFormat="1">
      <c r="B201" s="313"/>
      <c r="C201" s="835"/>
      <c r="D201" s="96"/>
      <c r="E201" s="9"/>
      <c r="F201" s="74"/>
      <c r="G201" s="97"/>
      <c r="H201" s="78"/>
      <c r="I201" s="79"/>
      <c r="J201" s="52"/>
      <c r="K201" s="156"/>
      <c r="L201" s="383"/>
      <c r="M201" s="542"/>
      <c r="N201" s="578">
        <f t="shared" si="44"/>
        <v>0</v>
      </c>
      <c r="O201" s="678"/>
      <c r="P201" s="678"/>
      <c r="Q201" s="678"/>
      <c r="R201" s="678"/>
      <c r="S201" s="678"/>
      <c r="T201" s="678"/>
      <c r="U201" s="678"/>
      <c r="V201" s="678"/>
      <c r="W201" s="678"/>
      <c r="X201" s="678"/>
      <c r="Y201" s="678"/>
      <c r="Z201" s="678"/>
      <c r="AA201" s="678"/>
      <c r="AB201" s="678"/>
      <c r="AC201" s="678"/>
      <c r="AD201" s="678"/>
      <c r="AE201" s="678"/>
      <c r="AF201" s="678"/>
      <c r="AG201" s="678"/>
      <c r="AH201" s="678"/>
      <c r="AI201" s="678"/>
      <c r="AJ201" s="678"/>
      <c r="AK201" s="658"/>
    </row>
    <row r="202" spans="2:37" s="5" customFormat="1" ht="15" customHeight="1">
      <c r="B202" s="317">
        <v>16</v>
      </c>
      <c r="C202" s="835" t="s">
        <v>877</v>
      </c>
      <c r="D202" s="80" t="s">
        <v>49</v>
      </c>
      <c r="E202" s="81">
        <v>44764</v>
      </c>
      <c r="F202" s="74"/>
      <c r="G202" s="75"/>
      <c r="H202" s="82"/>
      <c r="I202" s="83"/>
      <c r="J202" s="6"/>
      <c r="K202" s="156"/>
      <c r="L202" s="383"/>
      <c r="M202" s="542"/>
      <c r="N202" s="578">
        <f t="shared" si="44"/>
        <v>0</v>
      </c>
      <c r="O202" s="678"/>
      <c r="P202" s="678"/>
      <c r="Q202" s="678"/>
      <c r="R202" s="678"/>
      <c r="S202" s="678"/>
      <c r="T202" s="678"/>
      <c r="U202" s="678"/>
      <c r="V202" s="678"/>
      <c r="W202" s="678"/>
      <c r="X202" s="678"/>
      <c r="Y202" s="678"/>
      <c r="Z202" s="678"/>
      <c r="AA202" s="678"/>
      <c r="AB202" s="678"/>
      <c r="AC202" s="678"/>
      <c r="AD202" s="678"/>
      <c r="AE202" s="678"/>
      <c r="AF202" s="678"/>
      <c r="AG202" s="678"/>
      <c r="AH202" s="678"/>
      <c r="AI202" s="678"/>
      <c r="AJ202" s="678"/>
      <c r="AK202" s="658"/>
    </row>
    <row r="203" spans="2:37" s="5" customFormat="1">
      <c r="B203" s="313"/>
      <c r="C203" s="835"/>
      <c r="D203" s="17" t="s">
        <v>45</v>
      </c>
      <c r="E203" s="81" t="s">
        <v>27</v>
      </c>
      <c r="F203" s="84">
        <f>E202</f>
        <v>44764</v>
      </c>
      <c r="G203" s="99">
        <f>$F$3-5.4</f>
        <v>0.59999999999999964</v>
      </c>
      <c r="H203" s="64">
        <f>+G203*F203</f>
        <v>26858.399999999983</v>
      </c>
      <c r="I203" s="79"/>
      <c r="J203" s="52"/>
      <c r="K203" s="156"/>
      <c r="L203" s="383"/>
      <c r="M203" s="542"/>
      <c r="N203" s="578">
        <f t="shared" si="44"/>
        <v>0</v>
      </c>
      <c r="O203" s="678"/>
      <c r="P203" s="678"/>
      <c r="Q203" s="678"/>
      <c r="R203" s="678"/>
      <c r="S203" s="678"/>
      <c r="T203" s="678"/>
      <c r="U203" s="678"/>
      <c r="V203" s="680">
        <f>+H203</f>
        <v>26858.399999999983</v>
      </c>
      <c r="W203" s="680"/>
      <c r="X203" s="680"/>
      <c r="Y203" s="680"/>
      <c r="Z203" s="680"/>
      <c r="AA203" s="680"/>
      <c r="AB203" s="680"/>
      <c r="AC203" s="680"/>
      <c r="AD203" s="678"/>
      <c r="AE203" s="678"/>
      <c r="AF203" s="678"/>
      <c r="AG203" s="678"/>
      <c r="AH203" s="678"/>
      <c r="AI203" s="678"/>
      <c r="AJ203" s="678"/>
      <c r="AK203" s="658"/>
    </row>
    <row r="204" spans="2:37" s="5" customFormat="1">
      <c r="B204" s="313"/>
      <c r="C204" s="835"/>
      <c r="D204" s="17" t="s">
        <v>3</v>
      </c>
      <c r="E204" s="81" t="s">
        <v>27</v>
      </c>
      <c r="F204" s="84">
        <f>E202</f>
        <v>44764</v>
      </c>
      <c r="G204" s="64">
        <v>6</v>
      </c>
      <c r="H204" s="64">
        <f>+G204*F204</f>
        <v>268584</v>
      </c>
      <c r="I204" s="79"/>
      <c r="J204" s="52"/>
      <c r="K204" s="156"/>
      <c r="L204" s="383"/>
      <c r="M204" s="542"/>
      <c r="N204" s="578">
        <f t="shared" ref="N204:N278" si="69">SUM(O204:AL204)-H204</f>
        <v>0</v>
      </c>
      <c r="O204" s="678"/>
      <c r="P204" s="678"/>
      <c r="Q204" s="678"/>
      <c r="R204" s="678"/>
      <c r="S204" s="678"/>
      <c r="T204" s="678"/>
      <c r="U204" s="678"/>
      <c r="V204" s="680"/>
      <c r="W204" s="680">
        <f>+F204</f>
        <v>44764</v>
      </c>
      <c r="X204" s="680">
        <f t="shared" ref="X204:AB204" si="70">+W204</f>
        <v>44764</v>
      </c>
      <c r="Y204" s="680">
        <f t="shared" si="70"/>
        <v>44764</v>
      </c>
      <c r="Z204" s="680">
        <f t="shared" si="70"/>
        <v>44764</v>
      </c>
      <c r="AA204" s="680">
        <f t="shared" si="70"/>
        <v>44764</v>
      </c>
      <c r="AB204" s="680">
        <f t="shared" si="70"/>
        <v>44764</v>
      </c>
      <c r="AC204" s="680"/>
      <c r="AD204" s="678"/>
      <c r="AE204" s="678"/>
      <c r="AF204" s="678"/>
      <c r="AG204" s="678"/>
      <c r="AH204" s="678"/>
      <c r="AI204" s="678"/>
      <c r="AJ204" s="678"/>
      <c r="AK204" s="658"/>
    </row>
    <row r="205" spans="2:37" s="5" customFormat="1">
      <c r="B205" s="313"/>
      <c r="C205" s="835"/>
      <c r="D205" s="17" t="s">
        <v>28</v>
      </c>
      <c r="E205" s="88">
        <f>$H$5+2.5+2</f>
        <v>17.75</v>
      </c>
      <c r="F205" s="84">
        <f>E202/44*1.5</f>
        <v>1526.0454545454545</v>
      </c>
      <c r="G205" s="87">
        <v>6</v>
      </c>
      <c r="H205" s="64">
        <f>+G205*F205*E205</f>
        <v>162523.84090909091</v>
      </c>
      <c r="I205" s="79"/>
      <c r="J205" s="52"/>
      <c r="K205" s="156"/>
      <c r="L205" s="383"/>
      <c r="M205" s="542"/>
      <c r="N205" s="578">
        <f t="shared" si="69"/>
        <v>0</v>
      </c>
      <c r="O205" s="678"/>
      <c r="P205" s="678"/>
      <c r="Q205" s="678"/>
      <c r="R205" s="678"/>
      <c r="S205" s="678"/>
      <c r="T205" s="678"/>
      <c r="U205" s="678"/>
      <c r="V205" s="680"/>
      <c r="W205" s="680">
        <f>+H205/6</f>
        <v>27087.30681818182</v>
      </c>
      <c r="X205" s="680">
        <f t="shared" ref="X205:AB205" si="71">+W205</f>
        <v>27087.30681818182</v>
      </c>
      <c r="Y205" s="680">
        <f t="shared" si="71"/>
        <v>27087.30681818182</v>
      </c>
      <c r="Z205" s="680">
        <f t="shared" si="71"/>
        <v>27087.30681818182</v>
      </c>
      <c r="AA205" s="680">
        <f t="shared" si="71"/>
        <v>27087.30681818182</v>
      </c>
      <c r="AB205" s="680">
        <f t="shared" si="71"/>
        <v>27087.30681818182</v>
      </c>
      <c r="AC205" s="680"/>
      <c r="AD205" s="678"/>
      <c r="AE205" s="678"/>
      <c r="AF205" s="678"/>
      <c r="AG205" s="678"/>
      <c r="AH205" s="678"/>
      <c r="AI205" s="678"/>
      <c r="AJ205" s="678"/>
      <c r="AK205" s="658"/>
    </row>
    <row r="206" spans="2:37" s="5" customFormat="1">
      <c r="B206" s="313"/>
      <c r="C206" s="835"/>
      <c r="D206" s="17" t="s">
        <v>1</v>
      </c>
      <c r="E206" s="67" t="s">
        <v>29</v>
      </c>
      <c r="F206" s="84">
        <f>E202/5*1.5</f>
        <v>13429.199999999999</v>
      </c>
      <c r="G206" s="64">
        <f>$H$3</f>
        <v>0</v>
      </c>
      <c r="H206" s="64">
        <f>+G206*F206</f>
        <v>0</v>
      </c>
      <c r="I206" s="79"/>
      <c r="J206" s="52"/>
      <c r="K206" s="156"/>
      <c r="L206" s="383"/>
      <c r="M206" s="542"/>
      <c r="N206" s="578">
        <f t="shared" si="69"/>
        <v>0</v>
      </c>
      <c r="O206" s="678"/>
      <c r="P206" s="678"/>
      <c r="Q206" s="678"/>
      <c r="R206" s="678"/>
      <c r="S206" s="678"/>
      <c r="T206" s="678"/>
      <c r="U206" s="678"/>
      <c r="V206" s="680"/>
      <c r="W206" s="680"/>
      <c r="X206" s="680"/>
      <c r="Y206" s="680"/>
      <c r="Z206" s="680"/>
      <c r="AA206" s="680"/>
      <c r="AB206" s="680"/>
      <c r="AC206" s="680"/>
      <c r="AD206" s="678"/>
      <c r="AE206" s="678"/>
      <c r="AF206" s="678"/>
      <c r="AG206" s="678"/>
      <c r="AH206" s="678"/>
      <c r="AI206" s="678"/>
      <c r="AJ206" s="678"/>
      <c r="AK206" s="658"/>
    </row>
    <row r="207" spans="2:37" s="5" customFormat="1">
      <c r="B207" s="313"/>
      <c r="C207" s="835"/>
      <c r="D207" s="17" t="s">
        <v>4</v>
      </c>
      <c r="E207" s="67" t="s">
        <v>29</v>
      </c>
      <c r="F207" s="84">
        <f>E202/5*2</f>
        <v>17905.599999999999</v>
      </c>
      <c r="G207" s="64">
        <f>$H$4</f>
        <v>0</v>
      </c>
      <c r="H207" s="64">
        <f>+G207*F207</f>
        <v>0</v>
      </c>
      <c r="I207" s="79"/>
      <c r="J207" s="52"/>
      <c r="K207" s="156"/>
      <c r="L207" s="383"/>
      <c r="M207" s="542"/>
      <c r="N207" s="578">
        <f t="shared" si="69"/>
        <v>0</v>
      </c>
      <c r="O207" s="678"/>
      <c r="P207" s="678"/>
      <c r="Q207" s="678"/>
      <c r="R207" s="678"/>
      <c r="S207" s="678"/>
      <c r="T207" s="678"/>
      <c r="U207" s="678"/>
      <c r="V207" s="680"/>
      <c r="W207" s="680"/>
      <c r="X207" s="680"/>
      <c r="Y207" s="680"/>
      <c r="Z207" s="680"/>
      <c r="AA207" s="680"/>
      <c r="AB207" s="680"/>
      <c r="AC207" s="680"/>
      <c r="AD207" s="678"/>
      <c r="AE207" s="678"/>
      <c r="AF207" s="678"/>
      <c r="AG207" s="678"/>
      <c r="AH207" s="678"/>
      <c r="AI207" s="678"/>
      <c r="AJ207" s="678"/>
      <c r="AK207" s="658"/>
    </row>
    <row r="208" spans="2:37" s="5" customFormat="1">
      <c r="B208" s="313"/>
      <c r="C208" s="835"/>
      <c r="D208" s="17" t="s">
        <v>46</v>
      </c>
      <c r="E208" s="81" t="s">
        <v>27</v>
      </c>
      <c r="F208" s="84">
        <f>E202</f>
        <v>44764</v>
      </c>
      <c r="G208" s="99">
        <v>0.2</v>
      </c>
      <c r="H208" s="64">
        <f>+G208*F208</f>
        <v>8952.8000000000011</v>
      </c>
      <c r="I208" s="79"/>
      <c r="J208" s="52"/>
      <c r="K208" s="156"/>
      <c r="L208" s="383"/>
      <c r="M208" s="542"/>
      <c r="N208" s="578">
        <f t="shared" si="69"/>
        <v>0</v>
      </c>
      <c r="O208" s="678"/>
      <c r="P208" s="678"/>
      <c r="Q208" s="678"/>
      <c r="R208" s="678"/>
      <c r="S208" s="678"/>
      <c r="T208" s="678"/>
      <c r="U208" s="678"/>
      <c r="V208" s="680"/>
      <c r="W208" s="680"/>
      <c r="X208" s="680"/>
      <c r="Y208" s="680"/>
      <c r="Z208" s="680"/>
      <c r="AA208" s="680"/>
      <c r="AB208" s="680"/>
      <c r="AC208" s="680">
        <f>+H208</f>
        <v>8952.8000000000011</v>
      </c>
      <c r="AD208" s="678"/>
      <c r="AE208" s="678"/>
      <c r="AF208" s="678"/>
      <c r="AG208" s="678"/>
      <c r="AH208" s="678"/>
      <c r="AI208" s="678"/>
      <c r="AJ208" s="678"/>
      <c r="AK208" s="658"/>
    </row>
    <row r="209" spans="2:37" s="5" customFormat="1">
      <c r="B209" s="313"/>
      <c r="C209" s="835"/>
      <c r="D209" s="17" t="s">
        <v>30</v>
      </c>
      <c r="E209" s="67" t="s">
        <v>16</v>
      </c>
      <c r="F209" s="101">
        <f>G203+G204+G208</f>
        <v>6.8</v>
      </c>
      <c r="G209" s="68" t="s">
        <v>31</v>
      </c>
      <c r="H209" s="64">
        <f>SUM(H203:H208)</f>
        <v>466919.04090909084</v>
      </c>
      <c r="I209" s="79"/>
      <c r="J209" s="52"/>
      <c r="K209" s="156"/>
      <c r="L209" s="383"/>
      <c r="M209" s="542"/>
      <c r="N209" s="578">
        <f t="shared" si="69"/>
        <v>-466919.04090909084</v>
      </c>
      <c r="O209" s="678"/>
      <c r="P209" s="678"/>
      <c r="Q209" s="678"/>
      <c r="R209" s="678"/>
      <c r="S209" s="678"/>
      <c r="T209" s="678"/>
      <c r="U209" s="678"/>
      <c r="V209" s="680"/>
      <c r="W209" s="680"/>
      <c r="X209" s="680"/>
      <c r="Y209" s="680"/>
      <c r="Z209" s="680"/>
      <c r="AA209" s="680"/>
      <c r="AB209" s="680"/>
      <c r="AC209" s="681"/>
      <c r="AD209" s="678"/>
      <c r="AE209" s="678"/>
      <c r="AF209" s="678"/>
      <c r="AG209" s="678"/>
      <c r="AH209" s="678"/>
      <c r="AI209" s="678"/>
      <c r="AJ209" s="678"/>
      <c r="AK209" s="658"/>
    </row>
    <row r="210" spans="2:37" s="5" customFormat="1">
      <c r="B210" s="313"/>
      <c r="C210" s="835"/>
      <c r="D210" s="19" t="s">
        <v>32</v>
      </c>
      <c r="E210" s="67" t="s">
        <v>16</v>
      </c>
      <c r="F210" s="84">
        <f>SUM(H203:H208)</f>
        <v>466919.04090909084</v>
      </c>
      <c r="G210" s="92">
        <f>$G$43</f>
        <v>8.3299999999999999E-2</v>
      </c>
      <c r="H210" s="64">
        <f>+G210*F210</f>
        <v>38894.356107727268</v>
      </c>
      <c r="I210" s="93"/>
      <c r="J210" s="52"/>
      <c r="K210" s="156"/>
      <c r="L210" s="383"/>
      <c r="M210" s="542"/>
      <c r="N210" s="578">
        <f t="shared" si="69"/>
        <v>0</v>
      </c>
      <c r="O210" s="678"/>
      <c r="P210" s="678"/>
      <c r="Q210" s="678"/>
      <c r="R210" s="678"/>
      <c r="S210" s="678"/>
      <c r="T210" s="678"/>
      <c r="U210" s="678"/>
      <c r="V210" s="680">
        <f t="shared" ref="V210:W210" si="72">SUM(V201:V209)*$G$54</f>
        <v>2237.3047199999987</v>
      </c>
      <c r="W210" s="680">
        <f t="shared" si="72"/>
        <v>5985.2138579545463</v>
      </c>
      <c r="X210" s="680">
        <f t="shared" ref="X210:AC210" si="73">SUM(X201:X209)*$G$54</f>
        <v>5985.2138579545463</v>
      </c>
      <c r="Y210" s="680">
        <f t="shared" si="73"/>
        <v>5985.2138579545463</v>
      </c>
      <c r="Z210" s="680">
        <f t="shared" si="73"/>
        <v>5985.2138579545463</v>
      </c>
      <c r="AA210" s="680">
        <f t="shared" si="73"/>
        <v>5985.2138579545463</v>
      </c>
      <c r="AB210" s="680">
        <f t="shared" si="73"/>
        <v>5985.2138579545463</v>
      </c>
      <c r="AC210" s="680">
        <f t="shared" si="73"/>
        <v>745.76824000000011</v>
      </c>
      <c r="AD210" s="678"/>
      <c r="AE210" s="678"/>
      <c r="AF210" s="678"/>
      <c r="AG210" s="678"/>
      <c r="AH210" s="678"/>
      <c r="AI210" s="678"/>
      <c r="AJ210" s="678"/>
      <c r="AK210" s="658"/>
    </row>
    <row r="211" spans="2:37" s="5" customFormat="1">
      <c r="B211" s="313"/>
      <c r="C211" s="835"/>
      <c r="D211" s="19" t="s">
        <v>33</v>
      </c>
      <c r="E211" s="84">
        <f>F210/(5*F209)</f>
        <v>13732.912967914437</v>
      </c>
      <c r="F211" s="84">
        <f>E211*(F209*7)</f>
        <v>653686.65727272723</v>
      </c>
      <c r="G211" s="95">
        <f>$G$44</f>
        <v>20</v>
      </c>
      <c r="H211" s="64">
        <f>F211/G211</f>
        <v>32684.332863636362</v>
      </c>
      <c r="I211" s="72">
        <f>SUM(H209:H211)</f>
        <v>538497.72988045448</v>
      </c>
      <c r="J211" s="52">
        <f>SUM(G203:G211)</f>
        <v>32.883299999999998</v>
      </c>
      <c r="K211" s="156"/>
      <c r="L211" s="383"/>
      <c r="M211" s="542"/>
      <c r="N211" s="578">
        <f t="shared" si="69"/>
        <v>0</v>
      </c>
      <c r="O211" s="678"/>
      <c r="P211" s="678"/>
      <c r="Q211" s="678"/>
      <c r="R211" s="678"/>
      <c r="S211" s="678"/>
      <c r="T211" s="678"/>
      <c r="U211" s="678"/>
      <c r="V211" s="681"/>
      <c r="W211" s="681"/>
      <c r="X211" s="681"/>
      <c r="Y211" s="681"/>
      <c r="Z211" s="681"/>
      <c r="AA211" s="681"/>
      <c r="AB211" s="681"/>
      <c r="AC211" s="681">
        <f>+H211</f>
        <v>32684.332863636362</v>
      </c>
      <c r="AD211" s="678"/>
      <c r="AE211" s="678"/>
      <c r="AF211" s="678"/>
      <c r="AG211" s="678"/>
      <c r="AH211" s="678"/>
      <c r="AI211" s="678"/>
      <c r="AJ211" s="678"/>
      <c r="AK211" s="658"/>
    </row>
    <row r="212" spans="2:37" s="5" customFormat="1">
      <c r="B212" s="313"/>
      <c r="C212" s="835"/>
      <c r="D212" s="96"/>
      <c r="E212" s="100"/>
      <c r="F212" s="74"/>
      <c r="G212" s="97"/>
      <c r="H212" s="78"/>
      <c r="I212" s="79"/>
      <c r="J212" s="52"/>
      <c r="K212" s="156"/>
      <c r="L212" s="383"/>
      <c r="M212" s="542"/>
      <c r="N212" s="578">
        <f t="shared" si="69"/>
        <v>0</v>
      </c>
      <c r="O212" s="678"/>
      <c r="P212" s="678"/>
      <c r="Q212" s="678"/>
      <c r="R212" s="678"/>
      <c r="S212" s="678"/>
      <c r="T212" s="678"/>
      <c r="U212" s="678"/>
      <c r="V212" s="678"/>
      <c r="W212" s="678"/>
      <c r="X212" s="678"/>
      <c r="Y212" s="678"/>
      <c r="Z212" s="678"/>
      <c r="AA212" s="678"/>
      <c r="AB212" s="678"/>
      <c r="AC212" s="678"/>
      <c r="AD212" s="678"/>
      <c r="AE212" s="678"/>
      <c r="AF212" s="678"/>
      <c r="AG212" s="678"/>
      <c r="AH212" s="678"/>
      <c r="AI212" s="678"/>
      <c r="AJ212" s="678"/>
      <c r="AK212" s="658"/>
    </row>
    <row r="213" spans="2:37" s="5" customFormat="1" ht="15" customHeight="1">
      <c r="B213" s="317">
        <v>17</v>
      </c>
      <c r="C213" s="835" t="s">
        <v>878</v>
      </c>
      <c r="D213" s="80" t="s">
        <v>50</v>
      </c>
      <c r="E213" s="81">
        <v>57232.2</v>
      </c>
      <c r="F213" s="74"/>
      <c r="G213" s="75"/>
      <c r="H213" s="82"/>
      <c r="I213" s="83"/>
      <c r="J213" s="6"/>
      <c r="K213" s="156"/>
      <c r="L213" s="383"/>
      <c r="M213" s="542"/>
      <c r="N213" s="578">
        <f t="shared" si="69"/>
        <v>0</v>
      </c>
      <c r="O213" s="678"/>
      <c r="P213" s="678"/>
      <c r="Q213" s="678"/>
      <c r="R213" s="678"/>
      <c r="S213" s="678"/>
      <c r="T213" s="678"/>
      <c r="U213" s="678"/>
      <c r="V213" s="678"/>
      <c r="W213" s="678"/>
      <c r="X213" s="678"/>
      <c r="Y213" s="678"/>
      <c r="Z213" s="678"/>
      <c r="AA213" s="678"/>
      <c r="AB213" s="678"/>
      <c r="AC213" s="678"/>
      <c r="AD213" s="678"/>
      <c r="AE213" s="678"/>
      <c r="AF213" s="678"/>
      <c r="AG213" s="678"/>
      <c r="AH213" s="678"/>
      <c r="AI213" s="678"/>
      <c r="AJ213" s="678"/>
      <c r="AK213" s="658"/>
    </row>
    <row r="214" spans="2:37" s="5" customFormat="1">
      <c r="B214" s="313"/>
      <c r="C214" s="835"/>
      <c r="D214" s="17" t="s">
        <v>319</v>
      </c>
      <c r="E214" s="81" t="s">
        <v>27</v>
      </c>
      <c r="F214" s="84">
        <f>E213</f>
        <v>57232.2</v>
      </c>
      <c r="G214" s="99">
        <v>1</v>
      </c>
      <c r="H214" s="64">
        <f>+G214*F214</f>
        <v>57232.2</v>
      </c>
      <c r="I214" s="79"/>
      <c r="J214" s="52"/>
      <c r="K214" s="156"/>
      <c r="L214" s="383"/>
      <c r="M214" s="542"/>
      <c r="N214" s="578">
        <f t="shared" si="69"/>
        <v>0</v>
      </c>
      <c r="O214" s="678"/>
      <c r="P214" s="678"/>
      <c r="Q214" s="678"/>
      <c r="R214" s="678"/>
      <c r="S214" s="678"/>
      <c r="T214" s="678"/>
      <c r="U214" s="678"/>
      <c r="V214" s="680">
        <f>+H214</f>
        <v>57232.2</v>
      </c>
      <c r="W214" s="680"/>
      <c r="X214" s="680"/>
      <c r="Y214" s="680"/>
      <c r="Z214" s="680"/>
      <c r="AA214" s="680"/>
      <c r="AB214" s="680"/>
      <c r="AC214" s="680"/>
      <c r="AD214" s="678"/>
      <c r="AE214" s="678"/>
      <c r="AF214" s="678"/>
      <c r="AG214" s="678"/>
      <c r="AH214" s="678"/>
      <c r="AI214" s="678"/>
      <c r="AJ214" s="678"/>
      <c r="AK214" s="658"/>
    </row>
    <row r="215" spans="2:37" s="5" customFormat="1">
      <c r="B215" s="313"/>
      <c r="C215" s="835"/>
      <c r="D215" s="17" t="s">
        <v>3</v>
      </c>
      <c r="E215" s="81" t="s">
        <v>27</v>
      </c>
      <c r="F215" s="84">
        <f>E213</f>
        <v>57232.2</v>
      </c>
      <c r="G215" s="64">
        <v>6</v>
      </c>
      <c r="H215" s="64">
        <f>+G215*F215</f>
        <v>343393.19999999995</v>
      </c>
      <c r="I215" s="79"/>
      <c r="J215" s="52"/>
      <c r="K215" s="156"/>
      <c r="L215" s="383"/>
      <c r="M215" s="542"/>
      <c r="N215" s="578">
        <f t="shared" si="69"/>
        <v>0</v>
      </c>
      <c r="O215" s="678"/>
      <c r="P215" s="678"/>
      <c r="Q215" s="678"/>
      <c r="R215" s="678"/>
      <c r="S215" s="678"/>
      <c r="T215" s="678"/>
      <c r="U215" s="678"/>
      <c r="V215" s="680"/>
      <c r="W215" s="680">
        <f>+F215</f>
        <v>57232.2</v>
      </c>
      <c r="X215" s="680">
        <f t="shared" ref="X215:AB215" si="74">+W215</f>
        <v>57232.2</v>
      </c>
      <c r="Y215" s="680">
        <f t="shared" si="74"/>
        <v>57232.2</v>
      </c>
      <c r="Z215" s="680">
        <f t="shared" si="74"/>
        <v>57232.2</v>
      </c>
      <c r="AA215" s="680">
        <f t="shared" si="74"/>
        <v>57232.2</v>
      </c>
      <c r="AB215" s="680">
        <f t="shared" si="74"/>
        <v>57232.2</v>
      </c>
      <c r="AC215" s="680"/>
      <c r="AD215" s="678"/>
      <c r="AE215" s="678"/>
      <c r="AF215" s="678"/>
      <c r="AG215" s="678"/>
      <c r="AH215" s="678"/>
      <c r="AI215" s="678"/>
      <c r="AJ215" s="678"/>
      <c r="AK215" s="658"/>
    </row>
    <row r="216" spans="2:37" s="5" customFormat="1">
      <c r="B216" s="313"/>
      <c r="C216" s="835"/>
      <c r="D216" s="17" t="s">
        <v>28</v>
      </c>
      <c r="E216" s="88">
        <f>$H$5+2.5+2</f>
        <v>17.75</v>
      </c>
      <c r="F216" s="84">
        <f>E213/44*1.5</f>
        <v>1951.0977272727273</v>
      </c>
      <c r="G216" s="87">
        <v>6</v>
      </c>
      <c r="H216" s="64">
        <f>+G216*F216*E216</f>
        <v>207791.90795454546</v>
      </c>
      <c r="I216" s="79"/>
      <c r="J216" s="52"/>
      <c r="K216" s="156"/>
      <c r="L216" s="383"/>
      <c r="M216" s="542"/>
      <c r="N216" s="578">
        <f t="shared" si="69"/>
        <v>0</v>
      </c>
      <c r="O216" s="678"/>
      <c r="P216" s="678"/>
      <c r="Q216" s="678"/>
      <c r="R216" s="678"/>
      <c r="S216" s="678"/>
      <c r="T216" s="678"/>
      <c r="U216" s="678"/>
      <c r="V216" s="680"/>
      <c r="W216" s="680">
        <f>+H216/6</f>
        <v>34631.984659090907</v>
      </c>
      <c r="X216" s="680">
        <f t="shared" ref="X216:AB216" si="75">+W216</f>
        <v>34631.984659090907</v>
      </c>
      <c r="Y216" s="680">
        <f t="shared" si="75"/>
        <v>34631.984659090907</v>
      </c>
      <c r="Z216" s="680">
        <f t="shared" si="75"/>
        <v>34631.984659090907</v>
      </c>
      <c r="AA216" s="680">
        <f t="shared" si="75"/>
        <v>34631.984659090907</v>
      </c>
      <c r="AB216" s="680">
        <f t="shared" si="75"/>
        <v>34631.984659090907</v>
      </c>
      <c r="AC216" s="680"/>
      <c r="AD216" s="678"/>
      <c r="AE216" s="678"/>
      <c r="AF216" s="678"/>
      <c r="AG216" s="678"/>
      <c r="AH216" s="678"/>
      <c r="AI216" s="678"/>
      <c r="AJ216" s="678"/>
      <c r="AK216" s="658"/>
    </row>
    <row r="217" spans="2:37" s="5" customFormat="1">
      <c r="B217" s="313"/>
      <c r="C217" s="835"/>
      <c r="D217" s="17" t="s">
        <v>1</v>
      </c>
      <c r="E217" s="67" t="s">
        <v>29</v>
      </c>
      <c r="F217" s="84">
        <f>E213/5*1.5</f>
        <v>17169.659999999996</v>
      </c>
      <c r="G217" s="64">
        <f>$H$3</f>
        <v>0</v>
      </c>
      <c r="H217" s="64">
        <f>+G217*F217</f>
        <v>0</v>
      </c>
      <c r="I217" s="79"/>
      <c r="J217" s="52"/>
      <c r="K217" s="156"/>
      <c r="L217" s="383"/>
      <c r="M217" s="542"/>
      <c r="N217" s="578">
        <f t="shared" si="69"/>
        <v>0</v>
      </c>
      <c r="O217" s="678"/>
      <c r="P217" s="678"/>
      <c r="Q217" s="678"/>
      <c r="R217" s="678"/>
      <c r="S217" s="678"/>
      <c r="T217" s="678"/>
      <c r="U217" s="678"/>
      <c r="V217" s="680"/>
      <c r="W217" s="680"/>
      <c r="X217" s="680"/>
      <c r="Y217" s="680"/>
      <c r="Z217" s="680"/>
      <c r="AA217" s="680"/>
      <c r="AB217" s="680"/>
      <c r="AC217" s="680"/>
      <c r="AD217" s="678"/>
      <c r="AE217" s="678"/>
      <c r="AF217" s="678"/>
      <c r="AG217" s="678"/>
      <c r="AH217" s="678"/>
      <c r="AI217" s="678"/>
      <c r="AJ217" s="678"/>
      <c r="AK217" s="658"/>
    </row>
    <row r="218" spans="2:37" s="5" customFormat="1">
      <c r="B218" s="313"/>
      <c r="C218" s="835"/>
      <c r="D218" s="17" t="s">
        <v>4</v>
      </c>
      <c r="E218" s="67" t="s">
        <v>29</v>
      </c>
      <c r="F218" s="84">
        <f>E213/5*2</f>
        <v>22892.879999999997</v>
      </c>
      <c r="G218" s="64">
        <f>$H$4</f>
        <v>0</v>
      </c>
      <c r="H218" s="64">
        <f>+G218*F218</f>
        <v>0</v>
      </c>
      <c r="I218" s="79"/>
      <c r="J218" s="52"/>
      <c r="K218" s="156"/>
      <c r="L218" s="383"/>
      <c r="M218" s="542"/>
      <c r="N218" s="578">
        <f t="shared" si="69"/>
        <v>0</v>
      </c>
      <c r="O218" s="678"/>
      <c r="P218" s="678"/>
      <c r="Q218" s="678"/>
      <c r="R218" s="678"/>
      <c r="S218" s="678"/>
      <c r="T218" s="678"/>
      <c r="U218" s="678"/>
      <c r="V218" s="680"/>
      <c r="W218" s="680"/>
      <c r="X218" s="680"/>
      <c r="Y218" s="680"/>
      <c r="Z218" s="680"/>
      <c r="AA218" s="680"/>
      <c r="AB218" s="680"/>
      <c r="AC218" s="680"/>
      <c r="AD218" s="678"/>
      <c r="AE218" s="678"/>
      <c r="AF218" s="678"/>
      <c r="AG218" s="678"/>
      <c r="AH218" s="678"/>
      <c r="AI218" s="678"/>
      <c r="AJ218" s="678"/>
      <c r="AK218" s="658"/>
    </row>
    <row r="219" spans="2:37" s="5" customFormat="1">
      <c r="B219" s="313"/>
      <c r="C219" s="835"/>
      <c r="D219" s="17" t="s">
        <v>46</v>
      </c>
      <c r="E219" s="81" t="s">
        <v>27</v>
      </c>
      <c r="F219" s="84">
        <f>E213</f>
        <v>57232.2</v>
      </c>
      <c r="G219" s="99">
        <v>0.2</v>
      </c>
      <c r="H219" s="64">
        <f>+G219*F219</f>
        <v>11446.44</v>
      </c>
      <c r="I219" s="79"/>
      <c r="J219" s="52"/>
      <c r="K219" s="156"/>
      <c r="L219" s="383"/>
      <c r="M219" s="542"/>
      <c r="N219" s="578">
        <f t="shared" si="69"/>
        <v>0</v>
      </c>
      <c r="O219" s="678"/>
      <c r="P219" s="678"/>
      <c r="Q219" s="678"/>
      <c r="R219" s="678"/>
      <c r="S219" s="678"/>
      <c r="T219" s="678"/>
      <c r="U219" s="678"/>
      <c r="V219" s="680"/>
      <c r="W219" s="680"/>
      <c r="X219" s="680"/>
      <c r="Y219" s="680"/>
      <c r="Z219" s="680"/>
      <c r="AA219" s="680"/>
      <c r="AB219" s="680"/>
      <c r="AC219" s="680">
        <f>+H219</f>
        <v>11446.44</v>
      </c>
      <c r="AD219" s="678"/>
      <c r="AE219" s="678"/>
      <c r="AF219" s="678"/>
      <c r="AG219" s="678"/>
      <c r="AH219" s="678"/>
      <c r="AI219" s="678"/>
      <c r="AJ219" s="678"/>
      <c r="AK219" s="658"/>
    </row>
    <row r="220" spans="2:37" s="5" customFormat="1">
      <c r="B220" s="313"/>
      <c r="C220" s="835"/>
      <c r="D220" s="17" t="s">
        <v>30</v>
      </c>
      <c r="E220" s="67" t="s">
        <v>16</v>
      </c>
      <c r="F220" s="101">
        <f>G214+G215+G219</f>
        <v>7.2</v>
      </c>
      <c r="G220" s="68" t="s">
        <v>31</v>
      </c>
      <c r="H220" s="64">
        <f>SUM(H214:H219)</f>
        <v>619863.74795454531</v>
      </c>
      <c r="I220" s="79"/>
      <c r="J220" s="52"/>
      <c r="K220" s="156"/>
      <c r="L220" s="383"/>
      <c r="M220" s="542"/>
      <c r="N220" s="578">
        <f t="shared" si="69"/>
        <v>-619863.74795454531</v>
      </c>
      <c r="O220" s="678"/>
      <c r="P220" s="678"/>
      <c r="Q220" s="678"/>
      <c r="R220" s="678"/>
      <c r="S220" s="678"/>
      <c r="T220" s="678"/>
      <c r="U220" s="678"/>
      <c r="V220" s="680"/>
      <c r="W220" s="680"/>
      <c r="X220" s="680"/>
      <c r="Y220" s="680"/>
      <c r="Z220" s="680"/>
      <c r="AA220" s="680"/>
      <c r="AB220" s="680"/>
      <c r="AC220" s="681"/>
      <c r="AD220" s="678"/>
      <c r="AE220" s="678"/>
      <c r="AF220" s="678"/>
      <c r="AG220" s="678"/>
      <c r="AH220" s="678"/>
      <c r="AI220" s="678"/>
      <c r="AJ220" s="678"/>
      <c r="AK220" s="658"/>
    </row>
    <row r="221" spans="2:37" s="5" customFormat="1">
      <c r="B221" s="313"/>
      <c r="C221" s="835"/>
      <c r="D221" s="19" t="s">
        <v>32</v>
      </c>
      <c r="E221" s="67" t="s">
        <v>16</v>
      </c>
      <c r="F221" s="84">
        <f>SUM(H214:H219)</f>
        <v>619863.74795454531</v>
      </c>
      <c r="G221" s="92">
        <f>$G$43</f>
        <v>8.3299999999999999E-2</v>
      </c>
      <c r="H221" s="64">
        <f>+G221*F221</f>
        <v>51634.650204613623</v>
      </c>
      <c r="I221" s="93"/>
      <c r="J221" s="52"/>
      <c r="K221" s="156"/>
      <c r="L221" s="383"/>
      <c r="M221" s="542"/>
      <c r="N221" s="578">
        <f t="shared" si="69"/>
        <v>0</v>
      </c>
      <c r="O221" s="678"/>
      <c r="P221" s="678"/>
      <c r="Q221" s="678"/>
      <c r="R221" s="678"/>
      <c r="S221" s="678"/>
      <c r="T221" s="678"/>
      <c r="U221" s="678"/>
      <c r="V221" s="680">
        <f t="shared" ref="V221:W221" si="76">SUM(V212:V220)*$G$54</f>
        <v>4767.4422599999998</v>
      </c>
      <c r="W221" s="680">
        <f t="shared" si="76"/>
        <v>7652.2865821022733</v>
      </c>
      <c r="X221" s="680">
        <f t="shared" ref="X221:AC221" si="77">SUM(X212:X220)*$G$54</f>
        <v>7652.2865821022733</v>
      </c>
      <c r="Y221" s="680">
        <f t="shared" si="77"/>
        <v>7652.2865821022733</v>
      </c>
      <c r="Z221" s="680">
        <f t="shared" si="77"/>
        <v>7652.2865821022733</v>
      </c>
      <c r="AA221" s="680">
        <f t="shared" si="77"/>
        <v>7652.2865821022733</v>
      </c>
      <c r="AB221" s="680">
        <f t="shared" si="77"/>
        <v>7652.2865821022733</v>
      </c>
      <c r="AC221" s="680">
        <f t="shared" si="77"/>
        <v>953.48845200000005</v>
      </c>
      <c r="AD221" s="678"/>
      <c r="AE221" s="678"/>
      <c r="AF221" s="678"/>
      <c r="AG221" s="678"/>
      <c r="AH221" s="678"/>
      <c r="AI221" s="678"/>
      <c r="AJ221" s="678"/>
      <c r="AK221" s="658"/>
    </row>
    <row r="222" spans="2:37" s="5" customFormat="1">
      <c r="B222" s="313"/>
      <c r="C222" s="835"/>
      <c r="D222" s="19" t="s">
        <v>33</v>
      </c>
      <c r="E222" s="84">
        <f>F221/(5*F220)</f>
        <v>17218.437443181814</v>
      </c>
      <c r="F222" s="84">
        <f>E222*(F220*7)</f>
        <v>867809.24713636341</v>
      </c>
      <c r="G222" s="95">
        <f>$G$44</f>
        <v>20</v>
      </c>
      <c r="H222" s="64">
        <f>F222/G222</f>
        <v>43390.462356818171</v>
      </c>
      <c r="I222" s="72">
        <f>SUM(H220:H222)</f>
        <v>714888.86051597702</v>
      </c>
      <c r="J222" s="52">
        <f>SUM(G214:G222)</f>
        <v>33.283299999999997</v>
      </c>
      <c r="K222" s="156"/>
      <c r="L222" s="383"/>
      <c r="M222" s="542"/>
      <c r="N222" s="578">
        <f t="shared" si="69"/>
        <v>0</v>
      </c>
      <c r="O222" s="678"/>
      <c r="P222" s="678"/>
      <c r="Q222" s="678"/>
      <c r="R222" s="678"/>
      <c r="S222" s="678"/>
      <c r="T222" s="678"/>
      <c r="U222" s="678"/>
      <c r="V222" s="681"/>
      <c r="W222" s="681"/>
      <c r="X222" s="681"/>
      <c r="Y222" s="681"/>
      <c r="Z222" s="681"/>
      <c r="AA222" s="681"/>
      <c r="AB222" s="681"/>
      <c r="AC222" s="681">
        <f>+H222</f>
        <v>43390.462356818171</v>
      </c>
      <c r="AD222" s="678"/>
      <c r="AE222" s="678"/>
      <c r="AF222" s="678"/>
      <c r="AG222" s="678"/>
      <c r="AH222" s="678"/>
      <c r="AI222" s="678"/>
      <c r="AJ222" s="678"/>
      <c r="AK222" s="658"/>
    </row>
    <row r="223" spans="2:37" s="5" customFormat="1">
      <c r="B223" s="313"/>
      <c r="C223" s="835"/>
      <c r="D223" s="96"/>
      <c r="E223" s="100"/>
      <c r="F223" s="74"/>
      <c r="G223" s="97"/>
      <c r="H223" s="78"/>
      <c r="I223" s="79"/>
      <c r="J223" s="52"/>
      <c r="K223" s="156"/>
      <c r="L223" s="383"/>
      <c r="M223" s="542"/>
      <c r="N223" s="578">
        <f t="shared" si="69"/>
        <v>0</v>
      </c>
      <c r="O223" s="678"/>
      <c r="P223" s="678"/>
      <c r="Q223" s="678"/>
      <c r="R223" s="678"/>
      <c r="S223" s="678"/>
      <c r="T223" s="678"/>
      <c r="U223" s="678"/>
      <c r="V223" s="678"/>
      <c r="W223" s="678"/>
      <c r="X223" s="678"/>
      <c r="Y223" s="678"/>
      <c r="Z223" s="678"/>
      <c r="AA223" s="678"/>
      <c r="AB223" s="678"/>
      <c r="AC223" s="678"/>
      <c r="AD223" s="678"/>
      <c r="AE223" s="678"/>
      <c r="AF223" s="678"/>
      <c r="AG223" s="678"/>
      <c r="AH223" s="678"/>
      <c r="AI223" s="678"/>
      <c r="AJ223" s="678"/>
      <c r="AK223" s="658"/>
    </row>
    <row r="224" spans="2:37" s="5" customFormat="1" ht="15" customHeight="1">
      <c r="B224" s="317">
        <v>18</v>
      </c>
      <c r="C224" s="835" t="s">
        <v>879</v>
      </c>
      <c r="D224" s="80" t="s">
        <v>51</v>
      </c>
      <c r="E224" s="81">
        <v>52273.75</v>
      </c>
      <c r="F224" s="81">
        <f>+E224</f>
        <v>52273.75</v>
      </c>
      <c r="G224" s="75"/>
      <c r="H224" s="82"/>
      <c r="I224" s="83"/>
      <c r="J224" s="6"/>
      <c r="K224" s="193"/>
      <c r="L224" s="388"/>
      <c r="M224" s="597"/>
      <c r="N224" s="578">
        <f t="shared" si="69"/>
        <v>0</v>
      </c>
      <c r="O224" s="678"/>
      <c r="P224" s="678"/>
      <c r="Q224" s="678"/>
      <c r="R224" s="678"/>
      <c r="S224" s="678"/>
      <c r="T224" s="678"/>
      <c r="U224" s="678"/>
      <c r="V224" s="678"/>
      <c r="W224" s="678"/>
      <c r="X224" s="678"/>
      <c r="Y224" s="678"/>
      <c r="Z224" s="678"/>
      <c r="AA224" s="678"/>
      <c r="AB224" s="678"/>
      <c r="AC224" s="678"/>
      <c r="AD224" s="678"/>
      <c r="AE224" s="678"/>
      <c r="AF224" s="678"/>
      <c r="AG224" s="678"/>
      <c r="AH224" s="678"/>
      <c r="AI224" s="678"/>
      <c r="AJ224" s="678"/>
      <c r="AK224" s="658"/>
    </row>
    <row r="225" spans="2:37" s="5" customFormat="1">
      <c r="B225" s="313"/>
      <c r="C225" s="835"/>
      <c r="D225" s="17" t="s">
        <v>316</v>
      </c>
      <c r="E225" s="81" t="s">
        <v>27</v>
      </c>
      <c r="F225" s="84">
        <f>E224</f>
        <v>52273.75</v>
      </c>
      <c r="G225" s="99">
        <v>0.6</v>
      </c>
      <c r="H225" s="64">
        <f>+G225*F225</f>
        <v>31364.25</v>
      </c>
      <c r="I225" s="79"/>
      <c r="J225" s="52"/>
      <c r="K225" s="193"/>
      <c r="L225" s="388"/>
      <c r="M225" s="597"/>
      <c r="N225" s="578">
        <f t="shared" si="69"/>
        <v>0</v>
      </c>
      <c r="O225" s="678"/>
      <c r="P225" s="678"/>
      <c r="Q225" s="678"/>
      <c r="R225" s="678"/>
      <c r="S225" s="678"/>
      <c r="T225" s="678"/>
      <c r="U225" s="678"/>
      <c r="V225" s="680">
        <f>+H225</f>
        <v>31364.25</v>
      </c>
      <c r="W225" s="680"/>
      <c r="X225" s="680"/>
      <c r="Y225" s="680"/>
      <c r="Z225" s="680"/>
      <c r="AA225" s="680"/>
      <c r="AB225" s="680"/>
      <c r="AC225" s="680"/>
      <c r="AD225" s="678"/>
      <c r="AE225" s="678"/>
      <c r="AF225" s="678"/>
      <c r="AG225" s="678"/>
      <c r="AH225" s="678"/>
      <c r="AI225" s="678"/>
      <c r="AJ225" s="678"/>
      <c r="AK225" s="658"/>
    </row>
    <row r="226" spans="2:37" s="5" customFormat="1">
      <c r="B226" s="313"/>
      <c r="C226" s="835"/>
      <c r="D226" s="17" t="s">
        <v>3</v>
      </c>
      <c r="E226" s="81" t="s">
        <v>27</v>
      </c>
      <c r="F226" s="84">
        <f>E224</f>
        <v>52273.75</v>
      </c>
      <c r="G226" s="64">
        <v>6</v>
      </c>
      <c r="H226" s="64">
        <f>+G226*F226</f>
        <v>313642.5</v>
      </c>
      <c r="I226" s="79"/>
      <c r="J226" s="52"/>
      <c r="K226" s="193"/>
      <c r="L226" s="388"/>
      <c r="M226" s="597"/>
      <c r="N226" s="578">
        <f t="shared" si="69"/>
        <v>0</v>
      </c>
      <c r="O226" s="678"/>
      <c r="P226" s="678"/>
      <c r="Q226" s="678"/>
      <c r="R226" s="678"/>
      <c r="S226" s="678"/>
      <c r="T226" s="678"/>
      <c r="U226" s="678"/>
      <c r="V226" s="680"/>
      <c r="W226" s="680">
        <f>+F226</f>
        <v>52273.75</v>
      </c>
      <c r="X226" s="680">
        <f t="shared" ref="X226:AB226" si="78">+W226</f>
        <v>52273.75</v>
      </c>
      <c r="Y226" s="680">
        <f t="shared" si="78"/>
        <v>52273.75</v>
      </c>
      <c r="Z226" s="680">
        <f t="shared" si="78"/>
        <v>52273.75</v>
      </c>
      <c r="AA226" s="680">
        <f t="shared" si="78"/>
        <v>52273.75</v>
      </c>
      <c r="AB226" s="680">
        <f t="shared" si="78"/>
        <v>52273.75</v>
      </c>
      <c r="AC226" s="680"/>
      <c r="AD226" s="678"/>
      <c r="AE226" s="678"/>
      <c r="AF226" s="678"/>
      <c r="AG226" s="678"/>
      <c r="AH226" s="678"/>
      <c r="AI226" s="678"/>
      <c r="AJ226" s="678"/>
      <c r="AK226" s="658"/>
    </row>
    <row r="227" spans="2:37" s="5" customFormat="1">
      <c r="B227" s="313"/>
      <c r="C227" s="835"/>
      <c r="D227" s="17" t="s">
        <v>28</v>
      </c>
      <c r="E227" s="88">
        <f>$H$5+2.5+2</f>
        <v>17.75</v>
      </c>
      <c r="F227" s="84">
        <f>E224/44*1.5</f>
        <v>1782.059659090909</v>
      </c>
      <c r="G227" s="87">
        <v>6</v>
      </c>
      <c r="H227" s="64">
        <f>+G227*F227*E227</f>
        <v>189789.35369318182</v>
      </c>
      <c r="I227" s="79"/>
      <c r="J227" s="52"/>
      <c r="K227" s="193"/>
      <c r="L227" s="388"/>
      <c r="M227" s="597"/>
      <c r="N227" s="578">
        <f t="shared" si="69"/>
        <v>0</v>
      </c>
      <c r="O227" s="678"/>
      <c r="P227" s="678"/>
      <c r="Q227" s="678"/>
      <c r="R227" s="678"/>
      <c r="S227" s="678"/>
      <c r="T227" s="678"/>
      <c r="U227" s="678"/>
      <c r="V227" s="680"/>
      <c r="W227" s="680">
        <f>+H227/6</f>
        <v>31631.558948863636</v>
      </c>
      <c r="X227" s="680">
        <f t="shared" ref="X227:AB227" si="79">+W227</f>
        <v>31631.558948863636</v>
      </c>
      <c r="Y227" s="680">
        <f t="shared" si="79"/>
        <v>31631.558948863636</v>
      </c>
      <c r="Z227" s="680">
        <f t="shared" si="79"/>
        <v>31631.558948863636</v>
      </c>
      <c r="AA227" s="680">
        <f t="shared" si="79"/>
        <v>31631.558948863636</v>
      </c>
      <c r="AB227" s="680">
        <f t="shared" si="79"/>
        <v>31631.558948863636</v>
      </c>
      <c r="AC227" s="680"/>
      <c r="AD227" s="678"/>
      <c r="AE227" s="678"/>
      <c r="AF227" s="678"/>
      <c r="AG227" s="678"/>
      <c r="AH227" s="678"/>
      <c r="AI227" s="678"/>
      <c r="AJ227" s="678"/>
      <c r="AK227" s="658"/>
    </row>
    <row r="228" spans="2:37" s="5" customFormat="1">
      <c r="B228" s="313"/>
      <c r="C228" s="835"/>
      <c r="D228" s="17" t="s">
        <v>1</v>
      </c>
      <c r="E228" s="67" t="s">
        <v>29</v>
      </c>
      <c r="F228" s="84">
        <f>E224/5*1.5</f>
        <v>15682.125</v>
      </c>
      <c r="G228" s="64">
        <f>$H$3</f>
        <v>0</v>
      </c>
      <c r="H228" s="64">
        <f>+G228*F228</f>
        <v>0</v>
      </c>
      <c r="I228" s="79"/>
      <c r="J228" s="52"/>
      <c r="K228" s="193"/>
      <c r="L228" s="388"/>
      <c r="M228" s="597"/>
      <c r="N228" s="578">
        <f t="shared" si="69"/>
        <v>0</v>
      </c>
      <c r="O228" s="678"/>
      <c r="P228" s="678"/>
      <c r="Q228" s="678"/>
      <c r="R228" s="678"/>
      <c r="S228" s="678"/>
      <c r="T228" s="678"/>
      <c r="U228" s="678"/>
      <c r="V228" s="680"/>
      <c r="W228" s="680"/>
      <c r="X228" s="680"/>
      <c r="Y228" s="680"/>
      <c r="Z228" s="680"/>
      <c r="AA228" s="680"/>
      <c r="AB228" s="680"/>
      <c r="AC228" s="680"/>
      <c r="AD228" s="678"/>
      <c r="AE228" s="678"/>
      <c r="AF228" s="678"/>
      <c r="AG228" s="678"/>
      <c r="AH228" s="678"/>
      <c r="AI228" s="678"/>
      <c r="AJ228" s="678"/>
      <c r="AK228" s="658"/>
    </row>
    <row r="229" spans="2:37" s="5" customFormat="1">
      <c r="B229" s="313"/>
      <c r="C229" s="835"/>
      <c r="D229" s="17" t="s">
        <v>4</v>
      </c>
      <c r="E229" s="67" t="s">
        <v>29</v>
      </c>
      <c r="F229" s="84">
        <f>E224/5*2</f>
        <v>20909.5</v>
      </c>
      <c r="G229" s="64">
        <f>$H$4</f>
        <v>0</v>
      </c>
      <c r="H229" s="64">
        <f>+G229*F229</f>
        <v>0</v>
      </c>
      <c r="I229" s="79"/>
      <c r="J229" s="52"/>
      <c r="K229" s="193"/>
      <c r="L229" s="388"/>
      <c r="M229" s="597"/>
      <c r="N229" s="578">
        <f t="shared" si="69"/>
        <v>0</v>
      </c>
      <c r="O229" s="678"/>
      <c r="P229" s="678"/>
      <c r="Q229" s="678"/>
      <c r="R229" s="678"/>
      <c r="S229" s="678"/>
      <c r="T229" s="678"/>
      <c r="U229" s="678"/>
      <c r="V229" s="680"/>
      <c r="W229" s="680"/>
      <c r="X229" s="680"/>
      <c r="Y229" s="680"/>
      <c r="Z229" s="680"/>
      <c r="AA229" s="680"/>
      <c r="AB229" s="680"/>
      <c r="AC229" s="680"/>
      <c r="AD229" s="678"/>
      <c r="AE229" s="678"/>
      <c r="AF229" s="678"/>
      <c r="AG229" s="678"/>
      <c r="AH229" s="678"/>
      <c r="AI229" s="678"/>
      <c r="AJ229" s="678"/>
      <c r="AK229" s="658"/>
    </row>
    <row r="230" spans="2:37" s="5" customFormat="1">
      <c r="B230" s="313"/>
      <c r="C230" s="835"/>
      <c r="D230" s="17" t="s">
        <v>46</v>
      </c>
      <c r="E230" s="81" t="s">
        <v>27</v>
      </c>
      <c r="F230" s="84">
        <f>E224</f>
        <v>52273.75</v>
      </c>
      <c r="G230" s="99">
        <v>0</v>
      </c>
      <c r="H230" s="64">
        <f>+G230*F230</f>
        <v>0</v>
      </c>
      <c r="I230" s="79"/>
      <c r="J230" s="52"/>
      <c r="K230" s="193"/>
      <c r="L230" s="388"/>
      <c r="M230" s="597"/>
      <c r="N230" s="578">
        <f t="shared" si="69"/>
        <v>0</v>
      </c>
      <c r="O230" s="678"/>
      <c r="P230" s="678"/>
      <c r="Q230" s="678"/>
      <c r="R230" s="678"/>
      <c r="S230" s="678"/>
      <c r="T230" s="678"/>
      <c r="U230" s="678"/>
      <c r="V230" s="680"/>
      <c r="W230" s="680"/>
      <c r="X230" s="680"/>
      <c r="Y230" s="680"/>
      <c r="Z230" s="680"/>
      <c r="AA230" s="680"/>
      <c r="AB230" s="680"/>
      <c r="AC230" s="680">
        <f>+H230</f>
        <v>0</v>
      </c>
      <c r="AD230" s="678"/>
      <c r="AE230" s="678"/>
      <c r="AF230" s="678"/>
      <c r="AG230" s="678"/>
      <c r="AH230" s="678"/>
      <c r="AI230" s="678"/>
      <c r="AJ230" s="678"/>
      <c r="AK230" s="658"/>
    </row>
    <row r="231" spans="2:37" s="5" customFormat="1">
      <c r="B231" s="313"/>
      <c r="C231" s="835"/>
      <c r="D231" s="17" t="s">
        <v>30</v>
      </c>
      <c r="E231" s="67" t="s">
        <v>16</v>
      </c>
      <c r="F231" s="101">
        <f>G225+G226+G230</f>
        <v>6.6</v>
      </c>
      <c r="G231" s="68" t="s">
        <v>31</v>
      </c>
      <c r="H231" s="64">
        <f>SUM(H225:H230)</f>
        <v>534796.10369318188</v>
      </c>
      <c r="I231" s="79"/>
      <c r="J231" s="52"/>
      <c r="K231" s="193"/>
      <c r="L231" s="388"/>
      <c r="M231" s="597"/>
      <c r="N231" s="578">
        <f t="shared" si="69"/>
        <v>-534796.10369318188</v>
      </c>
      <c r="O231" s="678"/>
      <c r="P231" s="678"/>
      <c r="Q231" s="678"/>
      <c r="R231" s="678"/>
      <c r="S231" s="678"/>
      <c r="T231" s="678"/>
      <c r="U231" s="678"/>
      <c r="V231" s="680"/>
      <c r="W231" s="680"/>
      <c r="X231" s="680"/>
      <c r="Y231" s="680"/>
      <c r="Z231" s="680"/>
      <c r="AA231" s="680"/>
      <c r="AB231" s="680"/>
      <c r="AC231" s="681"/>
      <c r="AD231" s="678"/>
      <c r="AE231" s="678"/>
      <c r="AF231" s="678"/>
      <c r="AG231" s="678"/>
      <c r="AH231" s="678"/>
      <c r="AI231" s="678"/>
      <c r="AJ231" s="678"/>
      <c r="AK231" s="658"/>
    </row>
    <row r="232" spans="2:37" s="5" customFormat="1">
      <c r="B232" s="313"/>
      <c r="C232" s="835"/>
      <c r="D232" s="19" t="s">
        <v>32</v>
      </c>
      <c r="E232" s="67" t="s">
        <v>16</v>
      </c>
      <c r="F232" s="84">
        <f>SUM(H225:H230)</f>
        <v>534796.10369318188</v>
      </c>
      <c r="G232" s="92">
        <f>$G$43</f>
        <v>8.3299999999999999E-2</v>
      </c>
      <c r="H232" s="64">
        <f>+G232*F232</f>
        <v>44548.515437642047</v>
      </c>
      <c r="I232" s="93"/>
      <c r="J232" s="52"/>
      <c r="K232" s="193"/>
      <c r="L232" s="388"/>
      <c r="M232" s="597"/>
      <c r="N232" s="578">
        <f t="shared" si="69"/>
        <v>0</v>
      </c>
      <c r="O232" s="678"/>
      <c r="P232" s="678"/>
      <c r="Q232" s="678"/>
      <c r="R232" s="678"/>
      <c r="S232" s="678"/>
      <c r="T232" s="678"/>
      <c r="U232" s="678"/>
      <c r="V232" s="680">
        <f t="shared" ref="V232:W232" si="80">SUM(V223:V231)*$G$54</f>
        <v>2612.6420250000001</v>
      </c>
      <c r="W232" s="680">
        <f t="shared" si="80"/>
        <v>6989.3122354403404</v>
      </c>
      <c r="X232" s="680">
        <f t="shared" ref="X232:AC232" si="81">SUM(X223:X231)*$G$54</f>
        <v>6989.3122354403404</v>
      </c>
      <c r="Y232" s="680">
        <f t="shared" si="81"/>
        <v>6989.3122354403404</v>
      </c>
      <c r="Z232" s="680">
        <f t="shared" si="81"/>
        <v>6989.3122354403404</v>
      </c>
      <c r="AA232" s="680">
        <f t="shared" si="81"/>
        <v>6989.3122354403404</v>
      </c>
      <c r="AB232" s="680">
        <f t="shared" si="81"/>
        <v>6989.3122354403404</v>
      </c>
      <c r="AC232" s="680">
        <f t="shared" si="81"/>
        <v>0</v>
      </c>
      <c r="AD232" s="678"/>
      <c r="AE232" s="678"/>
      <c r="AF232" s="678"/>
      <c r="AG232" s="678"/>
      <c r="AH232" s="678"/>
      <c r="AI232" s="678"/>
      <c r="AJ232" s="678"/>
      <c r="AK232" s="658"/>
    </row>
    <row r="233" spans="2:37" s="5" customFormat="1">
      <c r="B233" s="313"/>
      <c r="C233" s="835"/>
      <c r="D233" s="19" t="s">
        <v>278</v>
      </c>
      <c r="E233" s="84">
        <f>F232/(5*F231)</f>
        <v>16205.942536157027</v>
      </c>
      <c r="F233" s="84">
        <f>E233*(F231*7)</f>
        <v>748714.54517045454</v>
      </c>
      <c r="G233" s="95">
        <f>$G$44</f>
        <v>20</v>
      </c>
      <c r="H233" s="64">
        <f>F233/G233</f>
        <v>37435.727258522726</v>
      </c>
      <c r="I233" s="72">
        <f>SUM(H231:H233)</f>
        <v>616780.34638934664</v>
      </c>
      <c r="J233" s="52">
        <f>SUM(G225:G233)</f>
        <v>32.683300000000003</v>
      </c>
      <c r="K233" s="193"/>
      <c r="L233" s="388"/>
      <c r="M233" s="597"/>
      <c r="N233" s="578">
        <f t="shared" si="69"/>
        <v>0</v>
      </c>
      <c r="O233" s="678"/>
      <c r="P233" s="678"/>
      <c r="Q233" s="678"/>
      <c r="R233" s="678"/>
      <c r="S233" s="678"/>
      <c r="T233" s="678"/>
      <c r="U233" s="678"/>
      <c r="V233" s="681"/>
      <c r="W233" s="681"/>
      <c r="X233" s="681"/>
      <c r="Y233" s="681"/>
      <c r="Z233" s="681"/>
      <c r="AA233" s="681"/>
      <c r="AB233" s="681"/>
      <c r="AC233" s="681">
        <f>+H233</f>
        <v>37435.727258522726</v>
      </c>
      <c r="AD233" s="678"/>
      <c r="AE233" s="678"/>
      <c r="AF233" s="678"/>
      <c r="AG233" s="678"/>
      <c r="AH233" s="678"/>
      <c r="AI233" s="678"/>
      <c r="AJ233" s="678"/>
      <c r="AK233" s="658"/>
    </row>
    <row r="234" spans="2:37" s="188" customFormat="1">
      <c r="B234" s="319"/>
      <c r="C234" s="840"/>
      <c r="D234" s="198"/>
      <c r="E234" s="187"/>
      <c r="F234" s="185"/>
      <c r="G234" s="199"/>
      <c r="H234" s="197"/>
      <c r="I234" s="186"/>
      <c r="J234" s="295"/>
      <c r="K234" s="196"/>
      <c r="L234" s="389"/>
      <c r="M234" s="598"/>
      <c r="N234" s="578">
        <f t="shared" si="69"/>
        <v>0</v>
      </c>
      <c r="O234" s="684"/>
      <c r="P234" s="684"/>
      <c r="Q234" s="684"/>
      <c r="R234" s="684"/>
      <c r="S234" s="684"/>
      <c r="T234" s="684"/>
      <c r="U234" s="684"/>
      <c r="V234" s="678"/>
      <c r="W234" s="678"/>
      <c r="X234" s="678"/>
      <c r="Y234" s="678"/>
      <c r="Z234" s="678"/>
      <c r="AA234" s="678"/>
      <c r="AB234" s="678"/>
      <c r="AC234" s="678"/>
      <c r="AD234" s="684"/>
      <c r="AE234" s="684"/>
      <c r="AF234" s="684"/>
      <c r="AG234" s="684"/>
      <c r="AH234" s="684"/>
      <c r="AI234" s="684"/>
      <c r="AJ234" s="684"/>
      <c r="AK234" s="658"/>
    </row>
    <row r="235" spans="2:37" s="5" customFormat="1" ht="15" customHeight="1">
      <c r="B235" s="317">
        <v>19</v>
      </c>
      <c r="C235" s="835" t="s">
        <v>880</v>
      </c>
      <c r="D235" s="80" t="s">
        <v>425</v>
      </c>
      <c r="E235" s="81">
        <v>39782.300000000003</v>
      </c>
      <c r="F235" s="81">
        <f>+E235</f>
        <v>39782.300000000003</v>
      </c>
      <c r="G235" s="75"/>
      <c r="H235" s="82"/>
      <c r="I235" s="83"/>
      <c r="J235" s="6"/>
      <c r="K235" s="193"/>
      <c r="L235" s="388"/>
      <c r="M235" s="597"/>
      <c r="N235" s="578">
        <f t="shared" si="69"/>
        <v>0</v>
      </c>
      <c r="O235" s="678"/>
      <c r="P235" s="678"/>
      <c r="Q235" s="678"/>
      <c r="R235" s="678"/>
      <c r="S235" s="678"/>
      <c r="T235" s="678"/>
      <c r="U235" s="678"/>
      <c r="V235" s="678"/>
      <c r="W235" s="678"/>
      <c r="X235" s="678"/>
      <c r="Y235" s="678"/>
      <c r="Z235" s="678"/>
      <c r="AA235" s="678"/>
      <c r="AB235" s="678"/>
      <c r="AC235" s="678"/>
      <c r="AD235" s="678"/>
      <c r="AE235" s="678"/>
      <c r="AF235" s="678"/>
      <c r="AG235" s="678"/>
      <c r="AH235" s="678"/>
      <c r="AI235" s="678"/>
      <c r="AJ235" s="678"/>
      <c r="AK235" s="658"/>
    </row>
    <row r="236" spans="2:37" s="5" customFormat="1">
      <c r="B236" s="313"/>
      <c r="C236" s="835"/>
      <c r="D236" s="17" t="s">
        <v>316</v>
      </c>
      <c r="E236" s="81" t="s">
        <v>27</v>
      </c>
      <c r="F236" s="81">
        <f>F235</f>
        <v>39782.300000000003</v>
      </c>
      <c r="G236" s="99">
        <v>0</v>
      </c>
      <c r="H236" s="64">
        <f>+G236*F236</f>
        <v>0</v>
      </c>
      <c r="I236" s="79"/>
      <c r="J236" s="52"/>
      <c r="K236" s="193"/>
      <c r="L236" s="388"/>
      <c r="M236" s="597"/>
      <c r="N236" s="578">
        <f t="shared" si="69"/>
        <v>0</v>
      </c>
      <c r="O236" s="678"/>
      <c r="P236" s="678"/>
      <c r="Q236" s="678"/>
      <c r="R236" s="678"/>
      <c r="S236" s="678"/>
      <c r="T236" s="678"/>
      <c r="U236" s="678"/>
      <c r="V236" s="680">
        <f>+H236</f>
        <v>0</v>
      </c>
      <c r="W236" s="680"/>
      <c r="X236" s="680"/>
      <c r="Y236" s="680"/>
      <c r="Z236" s="680"/>
      <c r="AA236" s="680"/>
      <c r="AB236" s="680"/>
      <c r="AC236" s="680"/>
      <c r="AD236" s="678"/>
      <c r="AE236" s="678"/>
      <c r="AF236" s="678"/>
      <c r="AG236" s="678"/>
      <c r="AH236" s="678"/>
      <c r="AI236" s="678"/>
      <c r="AJ236" s="678"/>
      <c r="AK236" s="658"/>
    </row>
    <row r="237" spans="2:37" s="5" customFormat="1">
      <c r="B237" s="313"/>
      <c r="C237" s="835"/>
      <c r="D237" s="17" t="s">
        <v>3</v>
      </c>
      <c r="E237" s="81" t="s">
        <v>27</v>
      </c>
      <c r="F237" s="81">
        <f>F236</f>
        <v>39782.300000000003</v>
      </c>
      <c r="G237" s="99">
        <v>4</v>
      </c>
      <c r="H237" s="64">
        <f>+G237*F237</f>
        <v>159129.20000000001</v>
      </c>
      <c r="I237" s="79"/>
      <c r="J237" s="52"/>
      <c r="K237" s="193"/>
      <c r="L237" s="388"/>
      <c r="M237" s="597"/>
      <c r="N237" s="578">
        <f t="shared" si="69"/>
        <v>0</v>
      </c>
      <c r="O237" s="678"/>
      <c r="P237" s="678"/>
      <c r="Q237" s="678"/>
      <c r="R237" s="678"/>
      <c r="S237" s="678"/>
      <c r="T237" s="678"/>
      <c r="U237" s="678"/>
      <c r="V237" s="680"/>
      <c r="W237" s="680">
        <f>+F237</f>
        <v>39782.300000000003</v>
      </c>
      <c r="X237" s="680">
        <f t="shared" ref="X237:Z237" si="82">+W237</f>
        <v>39782.300000000003</v>
      </c>
      <c r="Y237" s="680">
        <f t="shared" si="82"/>
        <v>39782.300000000003</v>
      </c>
      <c r="Z237" s="680">
        <f t="shared" si="82"/>
        <v>39782.300000000003</v>
      </c>
      <c r="AA237" s="680"/>
      <c r="AB237" s="680"/>
      <c r="AC237" s="680"/>
      <c r="AD237" s="678"/>
      <c r="AE237" s="678"/>
      <c r="AF237" s="678"/>
      <c r="AG237" s="678"/>
      <c r="AH237" s="678"/>
      <c r="AI237" s="678"/>
      <c r="AJ237" s="678"/>
      <c r="AK237" s="658"/>
    </row>
    <row r="238" spans="2:37" s="5" customFormat="1">
      <c r="B238" s="313"/>
      <c r="C238" s="835"/>
      <c r="D238" s="17" t="s">
        <v>28</v>
      </c>
      <c r="E238" s="88">
        <f>$H$5</f>
        <v>13.25</v>
      </c>
      <c r="F238" s="84">
        <f>E235/44*1.5</f>
        <v>1356.2147727272729</v>
      </c>
      <c r="G238" s="87">
        <v>4</v>
      </c>
      <c r="H238" s="64">
        <f>+G238*F238*E238</f>
        <v>71879.382954545465</v>
      </c>
      <c r="I238" s="79"/>
      <c r="J238" s="52"/>
      <c r="K238" s="193"/>
      <c r="L238" s="388"/>
      <c r="M238" s="597"/>
      <c r="N238" s="578">
        <f t="shared" si="69"/>
        <v>0</v>
      </c>
      <c r="O238" s="678"/>
      <c r="P238" s="678"/>
      <c r="Q238" s="678"/>
      <c r="R238" s="678"/>
      <c r="S238" s="678"/>
      <c r="T238" s="678"/>
      <c r="U238" s="678"/>
      <c r="V238" s="680"/>
      <c r="W238" s="680">
        <f>+H238/4</f>
        <v>17969.845738636366</v>
      </c>
      <c r="X238" s="680">
        <f t="shared" ref="X238:Z238" si="83">+W238</f>
        <v>17969.845738636366</v>
      </c>
      <c r="Y238" s="680">
        <f t="shared" si="83"/>
        <v>17969.845738636366</v>
      </c>
      <c r="Z238" s="680">
        <f t="shared" si="83"/>
        <v>17969.845738636366</v>
      </c>
      <c r="AA238" s="680"/>
      <c r="AB238" s="680"/>
      <c r="AC238" s="680"/>
      <c r="AD238" s="678"/>
      <c r="AE238" s="678"/>
      <c r="AF238" s="678"/>
      <c r="AG238" s="678"/>
      <c r="AH238" s="678"/>
      <c r="AI238" s="678"/>
      <c r="AJ238" s="678"/>
      <c r="AK238" s="658"/>
    </row>
    <row r="239" spans="2:37" s="5" customFormat="1">
      <c r="B239" s="313"/>
      <c r="C239" s="835"/>
      <c r="D239" s="17" t="s">
        <v>1</v>
      </c>
      <c r="E239" s="67" t="s">
        <v>29</v>
      </c>
      <c r="F239" s="84">
        <f>E235/5*1.5</f>
        <v>11934.690000000002</v>
      </c>
      <c r="G239" s="64">
        <f>$H$3</f>
        <v>0</v>
      </c>
      <c r="H239" s="64">
        <f>+G239*F239</f>
        <v>0</v>
      </c>
      <c r="I239" s="79"/>
      <c r="J239" s="52"/>
      <c r="K239" s="193"/>
      <c r="L239" s="388"/>
      <c r="M239" s="597"/>
      <c r="N239" s="578">
        <f t="shared" si="69"/>
        <v>0</v>
      </c>
      <c r="O239" s="678"/>
      <c r="P239" s="678"/>
      <c r="Q239" s="678"/>
      <c r="R239" s="678"/>
      <c r="S239" s="678"/>
      <c r="T239" s="678"/>
      <c r="U239" s="678"/>
      <c r="V239" s="680"/>
      <c r="W239" s="680"/>
      <c r="X239" s="680"/>
      <c r="Y239" s="680"/>
      <c r="Z239" s="680"/>
      <c r="AA239" s="680"/>
      <c r="AB239" s="680"/>
      <c r="AC239" s="680"/>
      <c r="AD239" s="678"/>
      <c r="AE239" s="678"/>
      <c r="AF239" s="678"/>
      <c r="AG239" s="678"/>
      <c r="AH239" s="678"/>
      <c r="AI239" s="678"/>
      <c r="AJ239" s="678"/>
      <c r="AK239" s="658"/>
    </row>
    <row r="240" spans="2:37" s="5" customFormat="1">
      <c r="B240" s="313"/>
      <c r="C240" s="835"/>
      <c r="D240" s="17" t="s">
        <v>4</v>
      </c>
      <c r="E240" s="67" t="s">
        <v>29</v>
      </c>
      <c r="F240" s="84">
        <f>E235/5*2</f>
        <v>15912.920000000002</v>
      </c>
      <c r="G240" s="64">
        <f>$H$4</f>
        <v>0</v>
      </c>
      <c r="H240" s="64">
        <f>+G240*F240</f>
        <v>0</v>
      </c>
      <c r="I240" s="79"/>
      <c r="J240" s="52"/>
      <c r="K240" s="193"/>
      <c r="L240" s="388"/>
      <c r="M240" s="597"/>
      <c r="N240" s="578">
        <f t="shared" si="69"/>
        <v>0</v>
      </c>
      <c r="O240" s="678"/>
      <c r="P240" s="678"/>
      <c r="Q240" s="678"/>
      <c r="R240" s="678"/>
      <c r="S240" s="678"/>
      <c r="T240" s="678"/>
      <c r="U240" s="678"/>
      <c r="V240" s="680"/>
      <c r="W240" s="680"/>
      <c r="X240" s="680"/>
      <c r="Y240" s="680"/>
      <c r="Z240" s="680"/>
      <c r="AA240" s="680"/>
      <c r="AB240" s="680"/>
      <c r="AC240" s="680"/>
      <c r="AD240" s="678"/>
      <c r="AE240" s="678"/>
      <c r="AF240" s="678"/>
      <c r="AG240" s="678"/>
      <c r="AH240" s="678"/>
      <c r="AI240" s="678"/>
      <c r="AJ240" s="678"/>
      <c r="AK240" s="658"/>
    </row>
    <row r="241" spans="2:37" s="5" customFormat="1">
      <c r="B241" s="313"/>
      <c r="C241" s="835"/>
      <c r="D241" s="17" t="s">
        <v>46</v>
      </c>
      <c r="E241" s="81" t="s">
        <v>27</v>
      </c>
      <c r="F241" s="84">
        <f>E235</f>
        <v>39782.300000000003</v>
      </c>
      <c r="G241" s="99">
        <v>0</v>
      </c>
      <c r="H241" s="64">
        <f>+G241*F241</f>
        <v>0</v>
      </c>
      <c r="I241" s="79"/>
      <c r="J241" s="52"/>
      <c r="K241" s="193"/>
      <c r="L241" s="388"/>
      <c r="M241" s="597"/>
      <c r="N241" s="578">
        <f t="shared" si="69"/>
        <v>0</v>
      </c>
      <c r="O241" s="678"/>
      <c r="P241" s="678"/>
      <c r="Q241" s="678"/>
      <c r="R241" s="678"/>
      <c r="S241" s="678"/>
      <c r="T241" s="678"/>
      <c r="U241" s="678"/>
      <c r="V241" s="680"/>
      <c r="W241" s="680"/>
      <c r="X241" s="680"/>
      <c r="Y241" s="680"/>
      <c r="Z241" s="680"/>
      <c r="AA241" s="680"/>
      <c r="AB241" s="680"/>
      <c r="AC241" s="680">
        <f>+H241</f>
        <v>0</v>
      </c>
      <c r="AD241" s="678"/>
      <c r="AE241" s="678"/>
      <c r="AF241" s="678"/>
      <c r="AG241" s="678"/>
      <c r="AH241" s="678"/>
      <c r="AI241" s="678"/>
      <c r="AJ241" s="678"/>
      <c r="AK241" s="658"/>
    </row>
    <row r="242" spans="2:37" s="5" customFormat="1">
      <c r="B242" s="313"/>
      <c r="C242" s="835"/>
      <c r="D242" s="17" t="s">
        <v>30</v>
      </c>
      <c r="E242" s="67" t="s">
        <v>16</v>
      </c>
      <c r="F242" s="101">
        <f>G236+G237+G241</f>
        <v>4</v>
      </c>
      <c r="G242" s="68" t="s">
        <v>31</v>
      </c>
      <c r="H242" s="64">
        <f>SUM(H236:H241)</f>
        <v>231008.58295454548</v>
      </c>
      <c r="I242" s="79"/>
      <c r="J242" s="52"/>
      <c r="K242" s="193"/>
      <c r="L242" s="388"/>
      <c r="M242" s="597"/>
      <c r="N242" s="578">
        <f t="shared" si="69"/>
        <v>-231008.58295454548</v>
      </c>
      <c r="O242" s="678"/>
      <c r="P242" s="678"/>
      <c r="Q242" s="678"/>
      <c r="R242" s="678"/>
      <c r="S242" s="678"/>
      <c r="T242" s="678"/>
      <c r="U242" s="678"/>
      <c r="V242" s="680"/>
      <c r="W242" s="680"/>
      <c r="X242" s="680"/>
      <c r="Y242" s="680"/>
      <c r="Z242" s="680"/>
      <c r="AA242" s="680"/>
      <c r="AB242" s="680"/>
      <c r="AC242" s="681"/>
      <c r="AD242" s="678"/>
      <c r="AE242" s="678"/>
      <c r="AF242" s="678"/>
      <c r="AG242" s="678"/>
      <c r="AH242" s="678"/>
      <c r="AI242" s="678"/>
      <c r="AJ242" s="678"/>
      <c r="AK242" s="658"/>
    </row>
    <row r="243" spans="2:37" s="5" customFormat="1">
      <c r="B243" s="313"/>
      <c r="C243" s="835"/>
      <c r="D243" s="19" t="s">
        <v>32</v>
      </c>
      <c r="E243" s="67" t="s">
        <v>16</v>
      </c>
      <c r="F243" s="84">
        <f>SUM(H236:H241)</f>
        <v>231008.58295454548</v>
      </c>
      <c r="G243" s="92">
        <f>$G$43</f>
        <v>8.3299999999999999E-2</v>
      </c>
      <c r="H243" s="64">
        <f>+G243*F243</f>
        <v>19243.014960113636</v>
      </c>
      <c r="I243" s="93"/>
      <c r="J243" s="52"/>
      <c r="K243" s="193"/>
      <c r="L243" s="388"/>
      <c r="M243" s="597"/>
      <c r="N243" s="578">
        <f t="shared" si="69"/>
        <v>0</v>
      </c>
      <c r="O243" s="678"/>
      <c r="P243" s="678"/>
      <c r="Q243" s="678"/>
      <c r="R243" s="678"/>
      <c r="S243" s="678"/>
      <c r="T243" s="678"/>
      <c r="U243" s="678"/>
      <c r="V243" s="680">
        <f t="shared" ref="V243:W243" si="84">SUM(V234:V242)*$G$54</f>
        <v>0</v>
      </c>
      <c r="W243" s="680">
        <f t="shared" si="84"/>
        <v>4810.7537400284091</v>
      </c>
      <c r="X243" s="680">
        <f t="shared" ref="X243:AC243" si="85">SUM(X234:X242)*$G$54</f>
        <v>4810.7537400284091</v>
      </c>
      <c r="Y243" s="680">
        <f t="shared" si="85"/>
        <v>4810.7537400284091</v>
      </c>
      <c r="Z243" s="680">
        <f t="shared" si="85"/>
        <v>4810.7537400284091</v>
      </c>
      <c r="AA243" s="680">
        <f t="shared" si="85"/>
        <v>0</v>
      </c>
      <c r="AB243" s="680">
        <f t="shared" si="85"/>
        <v>0</v>
      </c>
      <c r="AC243" s="680">
        <f t="shared" si="85"/>
        <v>0</v>
      </c>
      <c r="AD243" s="678"/>
      <c r="AE243" s="678"/>
      <c r="AF243" s="678"/>
      <c r="AG243" s="678"/>
      <c r="AH243" s="678"/>
      <c r="AI243" s="678"/>
      <c r="AJ243" s="678"/>
      <c r="AK243" s="658"/>
    </row>
    <row r="244" spans="2:37" s="5" customFormat="1">
      <c r="B244" s="313"/>
      <c r="C244" s="835"/>
      <c r="D244" s="19" t="s">
        <v>278</v>
      </c>
      <c r="E244" s="84">
        <f>F243/(5*F242)</f>
        <v>11550.429147727275</v>
      </c>
      <c r="F244" s="84">
        <f>E244*(F242*7)</f>
        <v>323412.01613636367</v>
      </c>
      <c r="G244" s="95">
        <f>$G$44</f>
        <v>20</v>
      </c>
      <c r="H244" s="64">
        <f>F244/G244</f>
        <v>16170.600806818184</v>
      </c>
      <c r="I244" s="72">
        <f>SUM(H242:H244)</f>
        <v>266422.1987214773</v>
      </c>
      <c r="J244" s="52">
        <f>SUM(G236:G244)</f>
        <v>28.083300000000001</v>
      </c>
      <c r="K244" s="193"/>
      <c r="L244" s="388"/>
      <c r="M244" s="597"/>
      <c r="N244" s="578">
        <f t="shared" si="69"/>
        <v>0</v>
      </c>
      <c r="O244" s="678"/>
      <c r="P244" s="678"/>
      <c r="Q244" s="678"/>
      <c r="R244" s="678"/>
      <c r="S244" s="678"/>
      <c r="T244" s="678"/>
      <c r="U244" s="678"/>
      <c r="V244" s="681"/>
      <c r="W244" s="681"/>
      <c r="X244" s="681"/>
      <c r="Y244" s="681"/>
      <c r="Z244" s="681"/>
      <c r="AA244" s="681"/>
      <c r="AB244" s="681"/>
      <c r="AC244" s="681">
        <f>+H244</f>
        <v>16170.600806818184</v>
      </c>
      <c r="AD244" s="678"/>
      <c r="AE244" s="678"/>
      <c r="AF244" s="678"/>
      <c r="AG244" s="678"/>
      <c r="AH244" s="678"/>
      <c r="AI244" s="678"/>
      <c r="AJ244" s="678"/>
      <c r="AK244" s="658"/>
    </row>
    <row r="245" spans="2:37" s="188" customFormat="1">
      <c r="B245" s="319"/>
      <c r="C245" s="840"/>
      <c r="D245" s="198"/>
      <c r="E245" s="187"/>
      <c r="F245" s="185"/>
      <c r="G245" s="199"/>
      <c r="H245" s="197"/>
      <c r="I245" s="186"/>
      <c r="J245" s="295"/>
      <c r="K245" s="196"/>
      <c r="L245" s="389"/>
      <c r="M245" s="598"/>
      <c r="N245" s="578">
        <f t="shared" si="69"/>
        <v>0</v>
      </c>
      <c r="O245" s="684"/>
      <c r="P245" s="684"/>
      <c r="Q245" s="684"/>
      <c r="R245" s="684"/>
      <c r="S245" s="684"/>
      <c r="T245" s="684"/>
      <c r="U245" s="684"/>
      <c r="V245" s="678"/>
      <c r="W245" s="678"/>
      <c r="X245" s="678"/>
      <c r="Y245" s="678"/>
      <c r="Z245" s="678"/>
      <c r="AA245" s="678"/>
      <c r="AB245" s="678"/>
      <c r="AC245" s="678"/>
      <c r="AD245" s="684"/>
      <c r="AE245" s="684"/>
      <c r="AF245" s="684"/>
      <c r="AG245" s="684"/>
      <c r="AH245" s="684"/>
      <c r="AI245" s="684"/>
      <c r="AJ245" s="684"/>
      <c r="AK245" s="658"/>
    </row>
    <row r="246" spans="2:37" s="5" customFormat="1" ht="15" customHeight="1">
      <c r="B246" s="317">
        <v>20</v>
      </c>
      <c r="C246" s="835" t="s">
        <v>881</v>
      </c>
      <c r="D246" s="80" t="s">
        <v>53</v>
      </c>
      <c r="E246" s="81">
        <v>34123.25</v>
      </c>
      <c r="F246" s="74"/>
      <c r="G246" s="75"/>
      <c r="H246" s="82"/>
      <c r="I246" s="83"/>
      <c r="J246" s="6"/>
      <c r="K246" s="156"/>
      <c r="L246" s="383"/>
      <c r="M246" s="542"/>
      <c r="N246" s="578">
        <f t="shared" si="69"/>
        <v>0</v>
      </c>
      <c r="O246" s="678"/>
      <c r="P246" s="678"/>
      <c r="Q246" s="678"/>
      <c r="R246" s="678"/>
      <c r="S246" s="678"/>
      <c r="T246" s="678"/>
      <c r="U246" s="678"/>
      <c r="V246" s="678"/>
      <c r="W246" s="678"/>
      <c r="X246" s="678"/>
      <c r="Y246" s="678"/>
      <c r="Z246" s="678"/>
      <c r="AA246" s="678"/>
      <c r="AB246" s="678"/>
      <c r="AC246" s="678"/>
      <c r="AD246" s="678"/>
      <c r="AE246" s="678"/>
      <c r="AF246" s="678"/>
      <c r="AG246" s="678"/>
      <c r="AH246" s="678"/>
      <c r="AI246" s="678"/>
      <c r="AJ246" s="678"/>
      <c r="AK246" s="658"/>
    </row>
    <row r="247" spans="2:37" s="5" customFormat="1">
      <c r="B247" s="313"/>
      <c r="C247" s="835"/>
      <c r="D247" s="17" t="s">
        <v>316</v>
      </c>
      <c r="E247" s="81" t="s">
        <v>27</v>
      </c>
      <c r="F247" s="84">
        <f>E246</f>
        <v>34123.25</v>
      </c>
      <c r="G247" s="99">
        <v>0.6</v>
      </c>
      <c r="H247" s="64">
        <f>+G247*F247</f>
        <v>20473.95</v>
      </c>
      <c r="I247" s="79"/>
      <c r="J247" s="52"/>
      <c r="K247" s="156"/>
      <c r="L247" s="383"/>
      <c r="M247" s="542"/>
      <c r="N247" s="578">
        <f t="shared" si="69"/>
        <v>0</v>
      </c>
      <c r="O247" s="678"/>
      <c r="P247" s="678"/>
      <c r="Q247" s="678"/>
      <c r="R247" s="678"/>
      <c r="S247" s="678"/>
      <c r="T247" s="678"/>
      <c r="U247" s="678"/>
      <c r="V247" s="680">
        <f>+H247</f>
        <v>20473.95</v>
      </c>
      <c r="W247" s="680"/>
      <c r="X247" s="680"/>
      <c r="Y247" s="680"/>
      <c r="Z247" s="680"/>
      <c r="AA247" s="680"/>
      <c r="AB247" s="680"/>
      <c r="AC247" s="680"/>
      <c r="AD247" s="678"/>
      <c r="AE247" s="678"/>
      <c r="AF247" s="678"/>
      <c r="AG247" s="678"/>
      <c r="AH247" s="678"/>
      <c r="AI247" s="678"/>
      <c r="AJ247" s="678"/>
      <c r="AK247" s="658"/>
    </row>
    <row r="248" spans="2:37" s="5" customFormat="1">
      <c r="B248" s="313"/>
      <c r="C248" s="835"/>
      <c r="D248" s="17" t="s">
        <v>3</v>
      </c>
      <c r="E248" s="81" t="s">
        <v>27</v>
      </c>
      <c r="F248" s="84">
        <f>E246</f>
        <v>34123.25</v>
      </c>
      <c r="G248" s="64">
        <v>6</v>
      </c>
      <c r="H248" s="64">
        <f>+G248*F248</f>
        <v>204739.5</v>
      </c>
      <c r="I248" s="79"/>
      <c r="J248" s="52"/>
      <c r="K248" s="156"/>
      <c r="L248" s="383"/>
      <c r="M248" s="542"/>
      <c r="N248" s="578">
        <f t="shared" si="69"/>
        <v>0</v>
      </c>
      <c r="O248" s="678"/>
      <c r="P248" s="678"/>
      <c r="Q248" s="678"/>
      <c r="R248" s="678"/>
      <c r="S248" s="678"/>
      <c r="T248" s="678"/>
      <c r="U248" s="678"/>
      <c r="V248" s="680"/>
      <c r="W248" s="680">
        <f>+F248</f>
        <v>34123.25</v>
      </c>
      <c r="X248" s="680">
        <f t="shared" ref="X248:AB248" si="86">+W248</f>
        <v>34123.25</v>
      </c>
      <c r="Y248" s="680">
        <f t="shared" si="86"/>
        <v>34123.25</v>
      </c>
      <c r="Z248" s="680">
        <f t="shared" si="86"/>
        <v>34123.25</v>
      </c>
      <c r="AA248" s="680">
        <f t="shared" si="86"/>
        <v>34123.25</v>
      </c>
      <c r="AB248" s="680">
        <f t="shared" si="86"/>
        <v>34123.25</v>
      </c>
      <c r="AC248" s="680"/>
      <c r="AD248" s="678"/>
      <c r="AE248" s="678"/>
      <c r="AF248" s="678"/>
      <c r="AG248" s="678"/>
      <c r="AH248" s="678"/>
      <c r="AI248" s="678"/>
      <c r="AJ248" s="678"/>
      <c r="AK248" s="658"/>
    </row>
    <row r="249" spans="2:37" s="5" customFormat="1">
      <c r="B249" s="313"/>
      <c r="C249" s="835"/>
      <c r="D249" s="17" t="s">
        <v>28</v>
      </c>
      <c r="E249" s="88">
        <f>$H$5+2.5+2</f>
        <v>17.75</v>
      </c>
      <c r="F249" s="84">
        <f>E246/44*1.5</f>
        <v>1163.2926136363637</v>
      </c>
      <c r="G249" s="87">
        <v>6</v>
      </c>
      <c r="H249" s="64">
        <f>+G249*F249*E249</f>
        <v>123890.66335227274</v>
      </c>
      <c r="I249" s="79"/>
      <c r="J249" s="52"/>
      <c r="K249" s="156"/>
      <c r="L249" s="383"/>
      <c r="M249" s="542"/>
      <c r="N249" s="578">
        <f t="shared" si="69"/>
        <v>0</v>
      </c>
      <c r="O249" s="678"/>
      <c r="P249" s="678"/>
      <c r="Q249" s="678"/>
      <c r="R249" s="678"/>
      <c r="S249" s="678"/>
      <c r="T249" s="678"/>
      <c r="U249" s="678"/>
      <c r="V249" s="680"/>
      <c r="W249" s="680">
        <f>+H249/6</f>
        <v>20648.443892045456</v>
      </c>
      <c r="X249" s="680">
        <f t="shared" ref="X249:AB249" si="87">+W249</f>
        <v>20648.443892045456</v>
      </c>
      <c r="Y249" s="680">
        <f t="shared" si="87"/>
        <v>20648.443892045456</v>
      </c>
      <c r="Z249" s="680">
        <f t="shared" si="87"/>
        <v>20648.443892045456</v>
      </c>
      <c r="AA249" s="680">
        <f t="shared" si="87"/>
        <v>20648.443892045456</v>
      </c>
      <c r="AB249" s="680">
        <f t="shared" si="87"/>
        <v>20648.443892045456</v>
      </c>
      <c r="AC249" s="680"/>
      <c r="AD249" s="678"/>
      <c r="AE249" s="678"/>
      <c r="AF249" s="678"/>
      <c r="AG249" s="678"/>
      <c r="AH249" s="678"/>
      <c r="AI249" s="678"/>
      <c r="AJ249" s="678"/>
      <c r="AK249" s="658"/>
    </row>
    <row r="250" spans="2:37" s="5" customFormat="1">
      <c r="B250" s="313"/>
      <c r="C250" s="835"/>
      <c r="D250" s="17" t="s">
        <v>1</v>
      </c>
      <c r="E250" s="67" t="s">
        <v>29</v>
      </c>
      <c r="F250" s="84">
        <f>E246/5*1.5</f>
        <v>10236.974999999999</v>
      </c>
      <c r="G250" s="64">
        <f>$H$3</f>
        <v>0</v>
      </c>
      <c r="H250" s="64">
        <f>+G250*F250</f>
        <v>0</v>
      </c>
      <c r="I250" s="79"/>
      <c r="J250" s="52"/>
      <c r="K250" s="156"/>
      <c r="L250" s="383"/>
      <c r="M250" s="542"/>
      <c r="N250" s="578">
        <f t="shared" si="69"/>
        <v>0</v>
      </c>
      <c r="O250" s="678"/>
      <c r="P250" s="678"/>
      <c r="Q250" s="678"/>
      <c r="R250" s="678"/>
      <c r="S250" s="678"/>
      <c r="T250" s="678"/>
      <c r="U250" s="678"/>
      <c r="V250" s="680"/>
      <c r="W250" s="680"/>
      <c r="X250" s="680"/>
      <c r="Y250" s="680"/>
      <c r="Z250" s="680"/>
      <c r="AA250" s="680"/>
      <c r="AB250" s="680"/>
      <c r="AC250" s="680"/>
      <c r="AD250" s="678"/>
      <c r="AE250" s="678"/>
      <c r="AF250" s="678"/>
      <c r="AG250" s="678"/>
      <c r="AH250" s="678"/>
      <c r="AI250" s="678"/>
      <c r="AJ250" s="678"/>
      <c r="AK250" s="658"/>
    </row>
    <row r="251" spans="2:37" s="5" customFormat="1">
      <c r="B251" s="313"/>
      <c r="C251" s="835"/>
      <c r="D251" s="17" t="s">
        <v>4</v>
      </c>
      <c r="E251" s="67" t="s">
        <v>29</v>
      </c>
      <c r="F251" s="84">
        <f>E246/5*2</f>
        <v>13649.3</v>
      </c>
      <c r="G251" s="64">
        <f>$H$4</f>
        <v>0</v>
      </c>
      <c r="H251" s="64">
        <f>+G251*F251</f>
        <v>0</v>
      </c>
      <c r="I251" s="79"/>
      <c r="J251" s="52"/>
      <c r="K251" s="156"/>
      <c r="L251" s="383"/>
      <c r="M251" s="542"/>
      <c r="N251" s="578">
        <f t="shared" si="69"/>
        <v>0</v>
      </c>
      <c r="O251" s="678"/>
      <c r="P251" s="678"/>
      <c r="Q251" s="678"/>
      <c r="R251" s="678"/>
      <c r="S251" s="678"/>
      <c r="T251" s="678"/>
      <c r="U251" s="678"/>
      <c r="V251" s="680"/>
      <c r="W251" s="680"/>
      <c r="X251" s="680"/>
      <c r="Y251" s="680"/>
      <c r="Z251" s="680"/>
      <c r="AA251" s="680"/>
      <c r="AB251" s="680"/>
      <c r="AC251" s="680"/>
      <c r="AD251" s="678"/>
      <c r="AE251" s="678"/>
      <c r="AF251" s="678"/>
      <c r="AG251" s="678"/>
      <c r="AH251" s="678"/>
      <c r="AI251" s="678"/>
      <c r="AJ251" s="678"/>
      <c r="AK251" s="658"/>
    </row>
    <row r="252" spans="2:37" s="5" customFormat="1">
      <c r="B252" s="313"/>
      <c r="C252" s="835"/>
      <c r="D252" s="17" t="s">
        <v>46</v>
      </c>
      <c r="E252" s="81" t="s">
        <v>27</v>
      </c>
      <c r="F252" s="84">
        <f>E246</f>
        <v>34123.25</v>
      </c>
      <c r="G252" s="99">
        <v>0.2</v>
      </c>
      <c r="H252" s="64">
        <f>+G252*F252</f>
        <v>6824.6500000000005</v>
      </c>
      <c r="I252" s="79"/>
      <c r="J252" s="52"/>
      <c r="K252" s="156"/>
      <c r="L252" s="383"/>
      <c r="M252" s="542"/>
      <c r="N252" s="578">
        <f t="shared" si="69"/>
        <v>0</v>
      </c>
      <c r="O252" s="678"/>
      <c r="P252" s="678"/>
      <c r="Q252" s="678"/>
      <c r="R252" s="678"/>
      <c r="S252" s="678"/>
      <c r="T252" s="678"/>
      <c r="U252" s="678"/>
      <c r="V252" s="680"/>
      <c r="W252" s="680"/>
      <c r="X252" s="680"/>
      <c r="Y252" s="680"/>
      <c r="Z252" s="680"/>
      <c r="AA252" s="680"/>
      <c r="AB252" s="680"/>
      <c r="AC252" s="680">
        <f>+H252</f>
        <v>6824.6500000000005</v>
      </c>
      <c r="AD252" s="678"/>
      <c r="AE252" s="678"/>
      <c r="AF252" s="678"/>
      <c r="AG252" s="678"/>
      <c r="AH252" s="678"/>
      <c r="AI252" s="678"/>
      <c r="AJ252" s="678"/>
      <c r="AK252" s="658"/>
    </row>
    <row r="253" spans="2:37" s="5" customFormat="1">
      <c r="B253" s="313"/>
      <c r="C253" s="835"/>
      <c r="D253" s="17" t="s">
        <v>30</v>
      </c>
      <c r="E253" s="67" t="s">
        <v>16</v>
      </c>
      <c r="F253" s="101">
        <f>G247+G248+G252</f>
        <v>6.8</v>
      </c>
      <c r="G253" s="68" t="s">
        <v>31</v>
      </c>
      <c r="H253" s="64">
        <f>SUM(H247:H252)</f>
        <v>355928.7633522728</v>
      </c>
      <c r="I253" s="79"/>
      <c r="J253" s="52"/>
      <c r="K253" s="156"/>
      <c r="L253" s="383"/>
      <c r="M253" s="542"/>
      <c r="N253" s="578">
        <f t="shared" si="69"/>
        <v>-355928.7633522728</v>
      </c>
      <c r="O253" s="678"/>
      <c r="P253" s="678"/>
      <c r="Q253" s="678"/>
      <c r="R253" s="678"/>
      <c r="S253" s="678"/>
      <c r="T253" s="678"/>
      <c r="U253" s="678"/>
      <c r="V253" s="680"/>
      <c r="W253" s="680"/>
      <c r="X253" s="680"/>
      <c r="Y253" s="680"/>
      <c r="Z253" s="680"/>
      <c r="AA253" s="680"/>
      <c r="AB253" s="680"/>
      <c r="AC253" s="681"/>
      <c r="AD253" s="678"/>
      <c r="AE253" s="678"/>
      <c r="AF253" s="678"/>
      <c r="AG253" s="678"/>
      <c r="AH253" s="678"/>
      <c r="AI253" s="678"/>
      <c r="AJ253" s="678"/>
      <c r="AK253" s="658"/>
    </row>
    <row r="254" spans="2:37" s="5" customFormat="1">
      <c r="B254" s="313"/>
      <c r="C254" s="835"/>
      <c r="D254" s="19" t="s">
        <v>32</v>
      </c>
      <c r="E254" s="67" t="s">
        <v>16</v>
      </c>
      <c r="F254" s="84">
        <f>SUM(H247:H252)</f>
        <v>355928.7633522728</v>
      </c>
      <c r="G254" s="92">
        <f>$G$43</f>
        <v>8.3299999999999999E-2</v>
      </c>
      <c r="H254" s="64">
        <f>+G254*F254</f>
        <v>29648.865987244324</v>
      </c>
      <c r="I254" s="93"/>
      <c r="J254" s="52"/>
      <c r="K254" s="156"/>
      <c r="L254" s="383"/>
      <c r="M254" s="542"/>
      <c r="N254" s="578">
        <f t="shared" si="69"/>
        <v>0</v>
      </c>
      <c r="O254" s="678"/>
      <c r="P254" s="678"/>
      <c r="Q254" s="678"/>
      <c r="R254" s="678"/>
      <c r="S254" s="678"/>
      <c r="T254" s="678"/>
      <c r="U254" s="678"/>
      <c r="V254" s="680">
        <f t="shared" ref="V254:W254" si="88">SUM(V245:V253)*$G$54</f>
        <v>1705.480035</v>
      </c>
      <c r="W254" s="680">
        <f t="shared" si="88"/>
        <v>4562.4821012073862</v>
      </c>
      <c r="X254" s="680">
        <f t="shared" ref="X254:AC254" si="89">SUM(X245:X253)*$G$54</f>
        <v>4562.4821012073862</v>
      </c>
      <c r="Y254" s="680">
        <f t="shared" si="89"/>
        <v>4562.4821012073862</v>
      </c>
      <c r="Z254" s="680">
        <f t="shared" si="89"/>
        <v>4562.4821012073862</v>
      </c>
      <c r="AA254" s="680">
        <f t="shared" si="89"/>
        <v>4562.4821012073862</v>
      </c>
      <c r="AB254" s="680">
        <f t="shared" si="89"/>
        <v>4562.4821012073862</v>
      </c>
      <c r="AC254" s="680">
        <f t="shared" si="89"/>
        <v>568.49334500000009</v>
      </c>
      <c r="AD254" s="678"/>
      <c r="AE254" s="678"/>
      <c r="AF254" s="678"/>
      <c r="AG254" s="678"/>
      <c r="AH254" s="678"/>
      <c r="AI254" s="678"/>
      <c r="AJ254" s="678"/>
      <c r="AK254" s="658"/>
    </row>
    <row r="255" spans="2:37" s="5" customFormat="1">
      <c r="B255" s="313"/>
      <c r="C255" s="835"/>
      <c r="D255" s="19" t="s">
        <v>33</v>
      </c>
      <c r="E255" s="84">
        <f>F254/(5*F253)</f>
        <v>10468.493039772729</v>
      </c>
      <c r="F255" s="84">
        <f>E255*(F253*7)</f>
        <v>498300.26869318192</v>
      </c>
      <c r="G255" s="95">
        <f>$G$44</f>
        <v>20</v>
      </c>
      <c r="H255" s="64">
        <f>F255/G255</f>
        <v>24915.013434659097</v>
      </c>
      <c r="I255" s="72">
        <f>SUM(H253:H255)</f>
        <v>410492.6427741762</v>
      </c>
      <c r="J255" s="52">
        <f>SUM(G247:G255)</f>
        <v>32.883299999999998</v>
      </c>
      <c r="K255" s="156"/>
      <c r="L255" s="383"/>
      <c r="M255" s="542"/>
      <c r="N255" s="578">
        <f t="shared" si="69"/>
        <v>0</v>
      </c>
      <c r="O255" s="678"/>
      <c r="P255" s="678"/>
      <c r="Q255" s="678"/>
      <c r="R255" s="678"/>
      <c r="S255" s="678"/>
      <c r="T255" s="678"/>
      <c r="U255" s="678"/>
      <c r="V255" s="681"/>
      <c r="W255" s="681"/>
      <c r="X255" s="681"/>
      <c r="Y255" s="681"/>
      <c r="Z255" s="681"/>
      <c r="AA255" s="681"/>
      <c r="AB255" s="681"/>
      <c r="AC255" s="681">
        <f>+H255</f>
        <v>24915.013434659097</v>
      </c>
      <c r="AD255" s="678"/>
      <c r="AE255" s="678"/>
      <c r="AF255" s="678"/>
      <c r="AG255" s="678"/>
      <c r="AH255" s="678"/>
      <c r="AI255" s="678"/>
      <c r="AJ255" s="678"/>
      <c r="AK255" s="658"/>
    </row>
    <row r="256" spans="2:37" s="5" customFormat="1" ht="15" customHeight="1">
      <c r="B256" s="317">
        <v>20</v>
      </c>
      <c r="C256" s="835" t="s">
        <v>882</v>
      </c>
      <c r="D256" s="80" t="s">
        <v>851</v>
      </c>
      <c r="E256" s="81">
        <v>34123.25</v>
      </c>
      <c r="F256" s="74"/>
      <c r="G256" s="75"/>
      <c r="H256" s="82"/>
      <c r="I256" s="83"/>
      <c r="J256" s="6"/>
      <c r="K256" s="156"/>
      <c r="L256" s="383"/>
      <c r="M256" s="542"/>
      <c r="N256" s="578">
        <f t="shared" ref="N256:N265" si="90">SUM(O256:AL256)-H256</f>
        <v>0</v>
      </c>
      <c r="O256" s="678"/>
      <c r="P256" s="678"/>
      <c r="Q256" s="678"/>
      <c r="R256" s="678"/>
      <c r="S256" s="678"/>
      <c r="T256" s="678"/>
      <c r="U256" s="678"/>
      <c r="V256" s="678"/>
      <c r="W256" s="678"/>
      <c r="X256" s="678"/>
      <c r="Y256" s="678"/>
      <c r="Z256" s="678"/>
      <c r="AA256" s="678"/>
      <c r="AB256" s="678"/>
      <c r="AC256" s="678"/>
      <c r="AD256" s="678"/>
      <c r="AE256" s="678"/>
      <c r="AF256" s="678"/>
      <c r="AG256" s="678"/>
      <c r="AH256" s="678"/>
      <c r="AI256" s="678"/>
      <c r="AJ256" s="678"/>
      <c r="AK256" s="658"/>
    </row>
    <row r="257" spans="2:37" s="5" customFormat="1">
      <c r="B257" s="313"/>
      <c r="C257" s="835"/>
      <c r="D257" s="17" t="s">
        <v>316</v>
      </c>
      <c r="E257" s="81" t="s">
        <v>27</v>
      </c>
      <c r="F257" s="84">
        <f>E256</f>
        <v>34123.25</v>
      </c>
      <c r="G257" s="99">
        <v>0.6</v>
      </c>
      <c r="H257" s="64">
        <f>+G257*F257</f>
        <v>20473.95</v>
      </c>
      <c r="I257" s="79"/>
      <c r="J257" s="52"/>
      <c r="K257" s="156"/>
      <c r="L257" s="383"/>
      <c r="M257" s="542"/>
      <c r="N257" s="578">
        <f t="shared" si="90"/>
        <v>0</v>
      </c>
      <c r="O257" s="678"/>
      <c r="P257" s="678"/>
      <c r="Q257" s="678"/>
      <c r="R257" s="678"/>
      <c r="S257" s="678"/>
      <c r="T257" s="678"/>
      <c r="U257" s="678"/>
      <c r="V257" s="680">
        <f>+H257</f>
        <v>20473.95</v>
      </c>
      <c r="W257" s="680"/>
      <c r="X257" s="680"/>
      <c r="Y257" s="680"/>
      <c r="Z257" s="680"/>
      <c r="AA257" s="680"/>
      <c r="AB257" s="680"/>
      <c r="AC257" s="680"/>
      <c r="AD257" s="678"/>
      <c r="AE257" s="678"/>
      <c r="AF257" s="678"/>
      <c r="AG257" s="678"/>
      <c r="AH257" s="678"/>
      <c r="AI257" s="678"/>
      <c r="AJ257" s="678"/>
      <c r="AK257" s="658"/>
    </row>
    <row r="258" spans="2:37" s="5" customFormat="1">
      <c r="B258" s="313"/>
      <c r="C258" s="835"/>
      <c r="D258" s="17" t="s">
        <v>3</v>
      </c>
      <c r="E258" s="81" t="s">
        <v>27</v>
      </c>
      <c r="F258" s="84">
        <f>E256</f>
        <v>34123.25</v>
      </c>
      <c r="G258" s="64">
        <v>6</v>
      </c>
      <c r="H258" s="64">
        <f>+G258*F258</f>
        <v>204739.5</v>
      </c>
      <c r="I258" s="79"/>
      <c r="J258" s="52"/>
      <c r="K258" s="156"/>
      <c r="L258" s="383"/>
      <c r="M258" s="542"/>
      <c r="N258" s="578">
        <f t="shared" si="90"/>
        <v>0</v>
      </c>
      <c r="O258" s="678"/>
      <c r="P258" s="678"/>
      <c r="Q258" s="678"/>
      <c r="R258" s="678"/>
      <c r="S258" s="678"/>
      <c r="T258" s="678"/>
      <c r="U258" s="678"/>
      <c r="V258" s="680"/>
      <c r="W258" s="680">
        <f>+F258</f>
        <v>34123.25</v>
      </c>
      <c r="X258" s="680">
        <f t="shared" ref="X258:X259" si="91">+W258</f>
        <v>34123.25</v>
      </c>
      <c r="Y258" s="680">
        <f t="shared" ref="Y258:Y259" si="92">+X258</f>
        <v>34123.25</v>
      </c>
      <c r="Z258" s="680">
        <f t="shared" ref="Z258:Z259" si="93">+Y258</f>
        <v>34123.25</v>
      </c>
      <c r="AA258" s="680">
        <f t="shared" ref="AA258:AA259" si="94">+Z258</f>
        <v>34123.25</v>
      </c>
      <c r="AB258" s="680">
        <f t="shared" ref="AB258:AB259" si="95">+AA258</f>
        <v>34123.25</v>
      </c>
      <c r="AC258" s="680"/>
      <c r="AD258" s="678"/>
      <c r="AE258" s="678"/>
      <c r="AF258" s="678"/>
      <c r="AG258" s="678"/>
      <c r="AH258" s="678"/>
      <c r="AI258" s="678"/>
      <c r="AJ258" s="678"/>
      <c r="AK258" s="658"/>
    </row>
    <row r="259" spans="2:37" s="5" customFormat="1">
      <c r="B259" s="313"/>
      <c r="C259" s="835"/>
      <c r="D259" s="17" t="s">
        <v>28</v>
      </c>
      <c r="E259" s="88">
        <f>$H$5+2.5+2</f>
        <v>17.75</v>
      </c>
      <c r="F259" s="84">
        <f>E256/44*1.5</f>
        <v>1163.2926136363637</v>
      </c>
      <c r="G259" s="87">
        <v>6</v>
      </c>
      <c r="H259" s="64">
        <f>+G259*F259*E259</f>
        <v>123890.66335227274</v>
      </c>
      <c r="I259" s="79"/>
      <c r="J259" s="52"/>
      <c r="K259" s="156"/>
      <c r="L259" s="383"/>
      <c r="M259" s="542"/>
      <c r="N259" s="578">
        <f t="shared" si="90"/>
        <v>0</v>
      </c>
      <c r="O259" s="678"/>
      <c r="P259" s="678"/>
      <c r="Q259" s="678"/>
      <c r="R259" s="678"/>
      <c r="S259" s="678"/>
      <c r="T259" s="678"/>
      <c r="U259" s="678"/>
      <c r="V259" s="680"/>
      <c r="W259" s="680">
        <f>+H259/6</f>
        <v>20648.443892045456</v>
      </c>
      <c r="X259" s="680">
        <f t="shared" si="91"/>
        <v>20648.443892045456</v>
      </c>
      <c r="Y259" s="680">
        <f t="shared" si="92"/>
        <v>20648.443892045456</v>
      </c>
      <c r="Z259" s="680">
        <f t="shared" si="93"/>
        <v>20648.443892045456</v>
      </c>
      <c r="AA259" s="680">
        <f t="shared" si="94"/>
        <v>20648.443892045456</v>
      </c>
      <c r="AB259" s="680">
        <f t="shared" si="95"/>
        <v>20648.443892045456</v>
      </c>
      <c r="AC259" s="680"/>
      <c r="AD259" s="678"/>
      <c r="AE259" s="678"/>
      <c r="AF259" s="678"/>
      <c r="AG259" s="678"/>
      <c r="AH259" s="678"/>
      <c r="AI259" s="678"/>
      <c r="AJ259" s="678"/>
      <c r="AK259" s="658"/>
    </row>
    <row r="260" spans="2:37" s="5" customFormat="1">
      <c r="B260" s="313"/>
      <c r="C260" s="835"/>
      <c r="D260" s="17" t="s">
        <v>1</v>
      </c>
      <c r="E260" s="67" t="s">
        <v>29</v>
      </c>
      <c r="F260" s="84">
        <f>E256/5*1.5</f>
        <v>10236.974999999999</v>
      </c>
      <c r="G260" s="64">
        <f>$H$3</f>
        <v>0</v>
      </c>
      <c r="H260" s="64">
        <f>+G260*F260</f>
        <v>0</v>
      </c>
      <c r="I260" s="79"/>
      <c r="J260" s="52"/>
      <c r="K260" s="156"/>
      <c r="L260" s="383"/>
      <c r="M260" s="542"/>
      <c r="N260" s="578">
        <f t="shared" si="90"/>
        <v>0</v>
      </c>
      <c r="O260" s="678"/>
      <c r="P260" s="678"/>
      <c r="Q260" s="678"/>
      <c r="R260" s="678"/>
      <c r="S260" s="678"/>
      <c r="T260" s="678"/>
      <c r="U260" s="678"/>
      <c r="V260" s="680"/>
      <c r="W260" s="680"/>
      <c r="X260" s="680"/>
      <c r="Y260" s="680"/>
      <c r="Z260" s="680"/>
      <c r="AA260" s="680"/>
      <c r="AB260" s="680"/>
      <c r="AC260" s="680"/>
      <c r="AD260" s="678"/>
      <c r="AE260" s="678"/>
      <c r="AF260" s="678"/>
      <c r="AG260" s="678"/>
      <c r="AH260" s="678"/>
      <c r="AI260" s="678"/>
      <c r="AJ260" s="678"/>
      <c r="AK260" s="658"/>
    </row>
    <row r="261" spans="2:37" s="5" customFormat="1">
      <c r="B261" s="313"/>
      <c r="C261" s="835"/>
      <c r="D261" s="17" t="s">
        <v>4</v>
      </c>
      <c r="E261" s="67" t="s">
        <v>29</v>
      </c>
      <c r="F261" s="84">
        <f>E256/5*2</f>
        <v>13649.3</v>
      </c>
      <c r="G261" s="64">
        <f>$H$4</f>
        <v>0</v>
      </c>
      <c r="H261" s="64">
        <f>+G261*F261</f>
        <v>0</v>
      </c>
      <c r="I261" s="79"/>
      <c r="J261" s="52"/>
      <c r="K261" s="156"/>
      <c r="L261" s="383"/>
      <c r="M261" s="542"/>
      <c r="N261" s="578">
        <f t="shared" si="90"/>
        <v>0</v>
      </c>
      <c r="O261" s="678"/>
      <c r="P261" s="678"/>
      <c r="Q261" s="678"/>
      <c r="R261" s="678"/>
      <c r="S261" s="678"/>
      <c r="T261" s="678"/>
      <c r="U261" s="678"/>
      <c r="V261" s="680"/>
      <c r="W261" s="680"/>
      <c r="X261" s="680"/>
      <c r="Y261" s="680"/>
      <c r="Z261" s="680"/>
      <c r="AA261" s="680"/>
      <c r="AB261" s="680"/>
      <c r="AC261" s="680"/>
      <c r="AD261" s="678"/>
      <c r="AE261" s="678"/>
      <c r="AF261" s="678"/>
      <c r="AG261" s="678"/>
      <c r="AH261" s="678"/>
      <c r="AI261" s="678"/>
      <c r="AJ261" s="678"/>
      <c r="AK261" s="658"/>
    </row>
    <row r="262" spans="2:37" s="5" customFormat="1">
      <c r="B262" s="313"/>
      <c r="C262" s="835"/>
      <c r="D262" s="17" t="s">
        <v>46</v>
      </c>
      <c r="E262" s="81" t="s">
        <v>27</v>
      </c>
      <c r="F262" s="84">
        <f>E256</f>
        <v>34123.25</v>
      </c>
      <c r="G262" s="99">
        <v>0.2</v>
      </c>
      <c r="H262" s="64">
        <f>+G262*F262</f>
        <v>6824.6500000000005</v>
      </c>
      <c r="I262" s="79"/>
      <c r="J262" s="52"/>
      <c r="K262" s="156"/>
      <c r="L262" s="383"/>
      <c r="M262" s="542"/>
      <c r="N262" s="578">
        <f t="shared" si="90"/>
        <v>0</v>
      </c>
      <c r="O262" s="678"/>
      <c r="P262" s="678"/>
      <c r="Q262" s="678"/>
      <c r="R262" s="678"/>
      <c r="S262" s="678"/>
      <c r="T262" s="678"/>
      <c r="U262" s="678"/>
      <c r="V262" s="680"/>
      <c r="W262" s="680"/>
      <c r="X262" s="680"/>
      <c r="Y262" s="680"/>
      <c r="Z262" s="680"/>
      <c r="AA262" s="680"/>
      <c r="AB262" s="680"/>
      <c r="AC262" s="680">
        <f>+H262</f>
        <v>6824.6500000000005</v>
      </c>
      <c r="AD262" s="678"/>
      <c r="AE262" s="678"/>
      <c r="AF262" s="678"/>
      <c r="AG262" s="678"/>
      <c r="AH262" s="678"/>
      <c r="AI262" s="678"/>
      <c r="AJ262" s="678"/>
      <c r="AK262" s="658"/>
    </row>
    <row r="263" spans="2:37" s="5" customFormat="1">
      <c r="B263" s="313"/>
      <c r="C263" s="835"/>
      <c r="D263" s="17" t="s">
        <v>30</v>
      </c>
      <c r="E263" s="67" t="s">
        <v>16</v>
      </c>
      <c r="F263" s="101">
        <f>G257+G258+G262</f>
        <v>6.8</v>
      </c>
      <c r="G263" s="68" t="s">
        <v>31</v>
      </c>
      <c r="H263" s="64">
        <f>SUM(H257:H262)</f>
        <v>355928.7633522728</v>
      </c>
      <c r="I263" s="79"/>
      <c r="J263" s="52"/>
      <c r="K263" s="156"/>
      <c r="L263" s="383"/>
      <c r="M263" s="542"/>
      <c r="N263" s="578">
        <f t="shared" si="90"/>
        <v>-355928.7633522728</v>
      </c>
      <c r="O263" s="678"/>
      <c r="P263" s="678"/>
      <c r="Q263" s="678"/>
      <c r="R263" s="678"/>
      <c r="S263" s="678"/>
      <c r="T263" s="678"/>
      <c r="U263" s="678"/>
      <c r="V263" s="680"/>
      <c r="W263" s="680"/>
      <c r="X263" s="680"/>
      <c r="Y263" s="680"/>
      <c r="Z263" s="680"/>
      <c r="AA263" s="680"/>
      <c r="AB263" s="680"/>
      <c r="AC263" s="681"/>
      <c r="AD263" s="678"/>
      <c r="AE263" s="678"/>
      <c r="AF263" s="678"/>
      <c r="AG263" s="678"/>
      <c r="AH263" s="678"/>
      <c r="AI263" s="678"/>
      <c r="AJ263" s="678"/>
      <c r="AK263" s="658"/>
    </row>
    <row r="264" spans="2:37" s="5" customFormat="1">
      <c r="B264" s="313"/>
      <c r="C264" s="835"/>
      <c r="D264" s="19" t="s">
        <v>32</v>
      </c>
      <c r="E264" s="67" t="s">
        <v>16</v>
      </c>
      <c r="F264" s="84">
        <f>SUM(H257:H262)</f>
        <v>355928.7633522728</v>
      </c>
      <c r="G264" s="92">
        <f>$G$43</f>
        <v>8.3299999999999999E-2</v>
      </c>
      <c r="H264" s="64">
        <f>+G264*F264</f>
        <v>29648.865987244324</v>
      </c>
      <c r="I264" s="93"/>
      <c r="J264" s="52"/>
      <c r="K264" s="156"/>
      <c r="L264" s="383"/>
      <c r="M264" s="542"/>
      <c r="N264" s="578">
        <f t="shared" si="90"/>
        <v>0</v>
      </c>
      <c r="O264" s="678"/>
      <c r="P264" s="678"/>
      <c r="Q264" s="678"/>
      <c r="R264" s="678"/>
      <c r="S264" s="678"/>
      <c r="T264" s="678"/>
      <c r="U264" s="678"/>
      <c r="V264" s="680">
        <f>SUM(V256:V263)*$G$54</f>
        <v>1705.480035</v>
      </c>
      <c r="W264" s="680">
        <f t="shared" ref="W264:AC264" si="96">SUM(W256:W263)*$G$54</f>
        <v>4562.4821012073862</v>
      </c>
      <c r="X264" s="680">
        <f t="shared" si="96"/>
        <v>4562.4821012073862</v>
      </c>
      <c r="Y264" s="680">
        <f t="shared" si="96"/>
        <v>4562.4821012073862</v>
      </c>
      <c r="Z264" s="680">
        <f t="shared" si="96"/>
        <v>4562.4821012073862</v>
      </c>
      <c r="AA264" s="680">
        <f t="shared" si="96"/>
        <v>4562.4821012073862</v>
      </c>
      <c r="AB264" s="680">
        <f t="shared" si="96"/>
        <v>4562.4821012073862</v>
      </c>
      <c r="AC264" s="680">
        <f t="shared" si="96"/>
        <v>568.49334500000009</v>
      </c>
      <c r="AD264" s="678"/>
      <c r="AE264" s="678"/>
      <c r="AF264" s="678"/>
      <c r="AG264" s="678"/>
      <c r="AH264" s="678"/>
      <c r="AI264" s="678"/>
      <c r="AJ264" s="678"/>
      <c r="AK264" s="658"/>
    </row>
    <row r="265" spans="2:37" s="5" customFormat="1">
      <c r="B265" s="313"/>
      <c r="C265" s="835"/>
      <c r="D265" s="19" t="s">
        <v>33</v>
      </c>
      <c r="E265" s="84">
        <f>F264/(5*F263)</f>
        <v>10468.493039772729</v>
      </c>
      <c r="F265" s="84">
        <f>E265*(F263*7)</f>
        <v>498300.26869318192</v>
      </c>
      <c r="G265" s="95">
        <f>$G$44</f>
        <v>20</v>
      </c>
      <c r="H265" s="64">
        <f>F265/G265</f>
        <v>24915.013434659097</v>
      </c>
      <c r="I265" s="72">
        <f>SUM(H263:H265)</f>
        <v>410492.6427741762</v>
      </c>
      <c r="J265" s="52">
        <f>SUM(G257:G265)</f>
        <v>32.883299999999998</v>
      </c>
      <c r="K265" s="156"/>
      <c r="L265" s="383"/>
      <c r="M265" s="542"/>
      <c r="N265" s="578">
        <f t="shared" si="90"/>
        <v>0</v>
      </c>
      <c r="O265" s="678"/>
      <c r="P265" s="678"/>
      <c r="Q265" s="678"/>
      <c r="R265" s="678"/>
      <c r="S265" s="678"/>
      <c r="T265" s="678"/>
      <c r="U265" s="678"/>
      <c r="V265" s="681"/>
      <c r="W265" s="681"/>
      <c r="X265" s="681"/>
      <c r="Y265" s="681"/>
      <c r="Z265" s="681"/>
      <c r="AA265" s="681"/>
      <c r="AB265" s="681"/>
      <c r="AC265" s="681">
        <f>+H265</f>
        <v>24915.013434659097</v>
      </c>
      <c r="AD265" s="678"/>
      <c r="AE265" s="678"/>
      <c r="AF265" s="678"/>
      <c r="AG265" s="678"/>
      <c r="AH265" s="678"/>
      <c r="AI265" s="678"/>
      <c r="AJ265" s="678"/>
      <c r="AK265" s="658"/>
    </row>
    <row r="266" spans="2:37" s="5" customFormat="1">
      <c r="B266" s="313"/>
      <c r="C266" s="835"/>
      <c r="D266" s="96"/>
      <c r="E266" s="799"/>
      <c r="F266" s="74"/>
      <c r="G266" s="97"/>
      <c r="H266" s="78"/>
      <c r="I266" s="79"/>
      <c r="J266" s="52"/>
      <c r="K266" s="156"/>
      <c r="L266" s="383"/>
      <c r="M266" s="542"/>
      <c r="N266" s="578"/>
      <c r="O266" s="678"/>
      <c r="P266" s="678"/>
      <c r="Q266" s="678"/>
      <c r="R266" s="678"/>
      <c r="S266" s="678"/>
      <c r="T266" s="678"/>
      <c r="U266" s="678"/>
      <c r="V266" s="678"/>
      <c r="W266" s="678"/>
      <c r="X266" s="678"/>
      <c r="Y266" s="678"/>
      <c r="Z266" s="678"/>
      <c r="AA266" s="678"/>
      <c r="AB266" s="678"/>
      <c r="AC266" s="678"/>
      <c r="AD266" s="678"/>
      <c r="AE266" s="678"/>
      <c r="AF266" s="678"/>
      <c r="AG266" s="678"/>
      <c r="AH266" s="678"/>
      <c r="AI266" s="678"/>
      <c r="AJ266" s="678"/>
      <c r="AK266" s="658"/>
    </row>
    <row r="267" spans="2:37" s="5" customFormat="1">
      <c r="B267" s="313"/>
      <c r="C267" s="835"/>
      <c r="D267" s="96"/>
      <c r="E267" s="799"/>
      <c r="F267" s="74"/>
      <c r="G267" s="97"/>
      <c r="H267" s="78"/>
      <c r="I267" s="79"/>
      <c r="J267" s="52"/>
      <c r="K267" s="156"/>
      <c r="L267" s="383"/>
      <c r="M267" s="542"/>
      <c r="N267" s="578"/>
      <c r="O267" s="678"/>
      <c r="P267" s="678"/>
      <c r="Q267" s="678"/>
      <c r="R267" s="678"/>
      <c r="S267" s="678"/>
      <c r="T267" s="678"/>
      <c r="U267" s="678"/>
      <c r="V267" s="678"/>
      <c r="W267" s="678"/>
      <c r="X267" s="678"/>
      <c r="Y267" s="678"/>
      <c r="Z267" s="678"/>
      <c r="AA267" s="678"/>
      <c r="AB267" s="678"/>
      <c r="AC267" s="678"/>
      <c r="AD267" s="678"/>
      <c r="AE267" s="678"/>
      <c r="AF267" s="678"/>
      <c r="AG267" s="678"/>
      <c r="AH267" s="678"/>
      <c r="AI267" s="678"/>
      <c r="AJ267" s="678"/>
      <c r="AK267" s="658"/>
    </row>
    <row r="268" spans="2:37" s="5" customFormat="1" ht="15" customHeight="1">
      <c r="B268" s="317">
        <v>21</v>
      </c>
      <c r="C268" s="835" t="s">
        <v>883</v>
      </c>
      <c r="D268" s="80" t="s">
        <v>54</v>
      </c>
      <c r="E268" s="81">
        <v>57232.2</v>
      </c>
      <c r="F268" s="74"/>
      <c r="G268" s="75"/>
      <c r="H268" s="82"/>
      <c r="I268" s="83"/>
      <c r="J268" s="6"/>
      <c r="K268" s="156"/>
      <c r="L268" s="383"/>
      <c r="M268" s="542"/>
      <c r="N268" s="578">
        <f t="shared" si="69"/>
        <v>0</v>
      </c>
      <c r="O268" s="678"/>
      <c r="P268" s="678"/>
      <c r="Q268" s="678"/>
      <c r="R268" s="678"/>
      <c r="S268" s="678"/>
      <c r="T268" s="678"/>
      <c r="U268" s="678"/>
      <c r="V268" s="678"/>
      <c r="W268" s="678"/>
      <c r="X268" s="678"/>
      <c r="Y268" s="678"/>
      <c r="Z268" s="678"/>
      <c r="AA268" s="678"/>
      <c r="AB268" s="678"/>
      <c r="AC268" s="678"/>
      <c r="AD268" s="678"/>
      <c r="AE268" s="678"/>
      <c r="AF268" s="678"/>
      <c r="AG268" s="678"/>
      <c r="AH268" s="678"/>
      <c r="AI268" s="678"/>
      <c r="AJ268" s="678"/>
      <c r="AK268" s="658"/>
    </row>
    <row r="269" spans="2:37" s="5" customFormat="1">
      <c r="B269" s="313"/>
      <c r="C269" s="835"/>
      <c r="D269" s="17" t="s">
        <v>320</v>
      </c>
      <c r="E269" s="81" t="s">
        <v>27</v>
      </c>
      <c r="F269" s="84">
        <f>E268</f>
        <v>57232.2</v>
      </c>
      <c r="G269" s="256">
        <v>1</v>
      </c>
      <c r="H269" s="64">
        <f>+G269*F269</f>
        <v>57232.2</v>
      </c>
      <c r="I269" s="79"/>
      <c r="J269" s="52"/>
      <c r="K269" s="156"/>
      <c r="L269" s="383"/>
      <c r="M269" s="542"/>
      <c r="N269" s="578">
        <f t="shared" si="69"/>
        <v>0</v>
      </c>
      <c r="O269" s="678"/>
      <c r="P269" s="678"/>
      <c r="Q269" s="678"/>
      <c r="R269" s="678"/>
      <c r="S269" s="678"/>
      <c r="T269" s="678"/>
      <c r="U269" s="678"/>
      <c r="V269" s="680">
        <f>+H269</f>
        <v>57232.2</v>
      </c>
      <c r="W269" s="680"/>
      <c r="X269" s="680"/>
      <c r="Y269" s="680"/>
      <c r="Z269" s="680"/>
      <c r="AA269" s="680"/>
      <c r="AB269" s="680"/>
      <c r="AC269" s="680"/>
      <c r="AD269" s="678"/>
      <c r="AE269" s="678"/>
      <c r="AF269" s="678"/>
      <c r="AG269" s="678"/>
      <c r="AH269" s="678"/>
      <c r="AI269" s="678"/>
      <c r="AJ269" s="678"/>
      <c r="AK269" s="658"/>
    </row>
    <row r="270" spans="2:37" s="5" customFormat="1">
      <c r="B270" s="313"/>
      <c r="C270" s="835"/>
      <c r="D270" s="17" t="s">
        <v>3</v>
      </c>
      <c r="E270" s="81" t="s">
        <v>27</v>
      </c>
      <c r="F270" s="84">
        <f>E268</f>
        <v>57232.2</v>
      </c>
      <c r="G270" s="64">
        <v>6</v>
      </c>
      <c r="H270" s="64">
        <f>+G270*F270</f>
        <v>343393.19999999995</v>
      </c>
      <c r="I270" s="79"/>
      <c r="J270" s="52"/>
      <c r="K270" s="156"/>
      <c r="L270" s="383"/>
      <c r="M270" s="542"/>
      <c r="N270" s="578">
        <f t="shared" si="69"/>
        <v>0</v>
      </c>
      <c r="O270" s="678"/>
      <c r="P270" s="678"/>
      <c r="Q270" s="678"/>
      <c r="R270" s="678"/>
      <c r="S270" s="678"/>
      <c r="T270" s="678"/>
      <c r="U270" s="678"/>
      <c r="V270" s="680"/>
      <c r="W270" s="680">
        <f>+F270</f>
        <v>57232.2</v>
      </c>
      <c r="X270" s="680">
        <f t="shared" ref="X270:AB270" si="97">+W270</f>
        <v>57232.2</v>
      </c>
      <c r="Y270" s="680">
        <f t="shared" si="97"/>
        <v>57232.2</v>
      </c>
      <c r="Z270" s="680">
        <f t="shared" si="97"/>
        <v>57232.2</v>
      </c>
      <c r="AA270" s="680">
        <f t="shared" si="97"/>
        <v>57232.2</v>
      </c>
      <c r="AB270" s="680">
        <f t="shared" si="97"/>
        <v>57232.2</v>
      </c>
      <c r="AC270" s="680"/>
      <c r="AD270" s="678"/>
      <c r="AE270" s="678"/>
      <c r="AF270" s="678"/>
      <c r="AG270" s="678"/>
      <c r="AH270" s="678"/>
      <c r="AI270" s="678"/>
      <c r="AJ270" s="678"/>
      <c r="AK270" s="658"/>
    </row>
    <row r="271" spans="2:37" s="5" customFormat="1">
      <c r="B271" s="313"/>
      <c r="C271" s="835"/>
      <c r="D271" s="17" t="s">
        <v>28</v>
      </c>
      <c r="E271" s="244">
        <f>$H$5+2</f>
        <v>15.25</v>
      </c>
      <c r="F271" s="84">
        <f>E268/44*1.5</f>
        <v>1951.0977272727273</v>
      </c>
      <c r="G271" s="87">
        <v>6</v>
      </c>
      <c r="H271" s="64">
        <f>+G271*F271*E271</f>
        <v>178525.44204545458</v>
      </c>
      <c r="I271" s="79"/>
      <c r="J271" s="52"/>
      <c r="K271" s="156"/>
      <c r="L271" s="383"/>
      <c r="M271" s="542"/>
      <c r="N271" s="578">
        <f t="shared" si="69"/>
        <v>0</v>
      </c>
      <c r="O271" s="678"/>
      <c r="P271" s="678"/>
      <c r="Q271" s="678"/>
      <c r="R271" s="678"/>
      <c r="S271" s="678"/>
      <c r="T271" s="678"/>
      <c r="U271" s="678"/>
      <c r="V271" s="680"/>
      <c r="W271" s="680">
        <f>+H271/6</f>
        <v>29754.240340909095</v>
      </c>
      <c r="X271" s="680">
        <f t="shared" ref="X271:AB271" si="98">+W271</f>
        <v>29754.240340909095</v>
      </c>
      <c r="Y271" s="680">
        <f t="shared" si="98"/>
        <v>29754.240340909095</v>
      </c>
      <c r="Z271" s="680">
        <f t="shared" si="98"/>
        <v>29754.240340909095</v>
      </c>
      <c r="AA271" s="680">
        <f t="shared" si="98"/>
        <v>29754.240340909095</v>
      </c>
      <c r="AB271" s="680">
        <f t="shared" si="98"/>
        <v>29754.240340909095</v>
      </c>
      <c r="AC271" s="680"/>
      <c r="AD271" s="678"/>
      <c r="AE271" s="678"/>
      <c r="AF271" s="678"/>
      <c r="AG271" s="678"/>
      <c r="AH271" s="678"/>
      <c r="AI271" s="678"/>
      <c r="AJ271" s="678"/>
      <c r="AK271" s="658"/>
    </row>
    <row r="272" spans="2:37" s="5" customFormat="1">
      <c r="B272" s="313"/>
      <c r="C272" s="835"/>
      <c r="D272" s="17" t="s">
        <v>1</v>
      </c>
      <c r="E272" s="67" t="s">
        <v>29</v>
      </c>
      <c r="F272" s="84">
        <f>E268/5*1.5</f>
        <v>17169.659999999996</v>
      </c>
      <c r="G272" s="64">
        <f>$H$3</f>
        <v>0</v>
      </c>
      <c r="H272" s="64">
        <f>+G272*F272</f>
        <v>0</v>
      </c>
      <c r="I272" s="79"/>
      <c r="J272" s="52"/>
      <c r="K272" s="156"/>
      <c r="L272" s="383"/>
      <c r="M272" s="542"/>
      <c r="N272" s="578">
        <f t="shared" si="69"/>
        <v>0</v>
      </c>
      <c r="O272" s="678"/>
      <c r="P272" s="678"/>
      <c r="Q272" s="678"/>
      <c r="R272" s="678"/>
      <c r="S272" s="678"/>
      <c r="T272" s="678"/>
      <c r="U272" s="678"/>
      <c r="V272" s="680"/>
      <c r="W272" s="680"/>
      <c r="X272" s="680"/>
      <c r="Y272" s="680"/>
      <c r="Z272" s="680"/>
      <c r="AA272" s="680"/>
      <c r="AB272" s="680"/>
      <c r="AC272" s="680"/>
      <c r="AD272" s="678"/>
      <c r="AE272" s="678"/>
      <c r="AF272" s="678"/>
      <c r="AG272" s="678"/>
      <c r="AH272" s="678"/>
      <c r="AI272" s="678"/>
      <c r="AJ272" s="678"/>
      <c r="AK272" s="658"/>
    </row>
    <row r="273" spans="2:37" s="5" customFormat="1">
      <c r="B273" s="313"/>
      <c r="C273" s="835"/>
      <c r="D273" s="17" t="s">
        <v>4</v>
      </c>
      <c r="E273" s="67" t="s">
        <v>29</v>
      </c>
      <c r="F273" s="84">
        <f>E268/5*2</f>
        <v>22892.879999999997</v>
      </c>
      <c r="G273" s="64">
        <f>$H$4</f>
        <v>0</v>
      </c>
      <c r="H273" s="64">
        <f>+G273*F273</f>
        <v>0</v>
      </c>
      <c r="I273" s="79"/>
      <c r="J273" s="52"/>
      <c r="K273" s="156"/>
      <c r="L273" s="383"/>
      <c r="M273" s="542"/>
      <c r="N273" s="578">
        <f t="shared" si="69"/>
        <v>0</v>
      </c>
      <c r="O273" s="678"/>
      <c r="P273" s="678"/>
      <c r="Q273" s="678"/>
      <c r="R273" s="678"/>
      <c r="S273" s="678"/>
      <c r="T273" s="678"/>
      <c r="U273" s="678"/>
      <c r="V273" s="680"/>
      <c r="W273" s="680"/>
      <c r="X273" s="680"/>
      <c r="Y273" s="680"/>
      <c r="Z273" s="680"/>
      <c r="AA273" s="680"/>
      <c r="AB273" s="680"/>
      <c r="AC273" s="680"/>
      <c r="AD273" s="678"/>
      <c r="AE273" s="678"/>
      <c r="AF273" s="678"/>
      <c r="AG273" s="678"/>
      <c r="AH273" s="678"/>
      <c r="AI273" s="678"/>
      <c r="AJ273" s="678"/>
      <c r="AK273" s="658"/>
    </row>
    <row r="274" spans="2:37" s="5" customFormat="1">
      <c r="B274" s="313"/>
      <c r="C274" s="835"/>
      <c r="D274" s="17" t="s">
        <v>46</v>
      </c>
      <c r="E274" s="81" t="s">
        <v>27</v>
      </c>
      <c r="F274" s="84">
        <f>E268</f>
        <v>57232.2</v>
      </c>
      <c r="G274" s="99">
        <v>0</v>
      </c>
      <c r="H274" s="64">
        <f>+G274*F274</f>
        <v>0</v>
      </c>
      <c r="I274" s="79"/>
      <c r="J274" s="52"/>
      <c r="K274" s="156"/>
      <c r="L274" s="383"/>
      <c r="M274" s="542"/>
      <c r="N274" s="578">
        <f t="shared" si="69"/>
        <v>0</v>
      </c>
      <c r="O274" s="678"/>
      <c r="P274" s="678"/>
      <c r="Q274" s="678"/>
      <c r="R274" s="678"/>
      <c r="S274" s="678"/>
      <c r="T274" s="678"/>
      <c r="U274" s="678"/>
      <c r="V274" s="680"/>
      <c r="W274" s="680"/>
      <c r="X274" s="680"/>
      <c r="Y274" s="680"/>
      <c r="Z274" s="680"/>
      <c r="AA274" s="680"/>
      <c r="AB274" s="680"/>
      <c r="AC274" s="680">
        <f>+H274</f>
        <v>0</v>
      </c>
      <c r="AD274" s="678"/>
      <c r="AE274" s="678"/>
      <c r="AF274" s="678"/>
      <c r="AG274" s="678"/>
      <c r="AH274" s="678"/>
      <c r="AI274" s="678"/>
      <c r="AJ274" s="678"/>
      <c r="AK274" s="658"/>
    </row>
    <row r="275" spans="2:37" s="5" customFormat="1">
      <c r="B275" s="313"/>
      <c r="C275" s="835"/>
      <c r="D275" s="17" t="s">
        <v>30</v>
      </c>
      <c r="E275" s="67" t="s">
        <v>16</v>
      </c>
      <c r="F275" s="101">
        <f>G269+G270+G274</f>
        <v>7</v>
      </c>
      <c r="G275" s="68" t="s">
        <v>31</v>
      </c>
      <c r="H275" s="64">
        <f>SUM(H269:H274)</f>
        <v>579150.84204545454</v>
      </c>
      <c r="I275" s="79"/>
      <c r="J275" s="52"/>
      <c r="K275" s="156"/>
      <c r="L275" s="383"/>
      <c r="M275" s="542"/>
      <c r="N275" s="578">
        <f t="shared" si="69"/>
        <v>-579150.84204545454</v>
      </c>
      <c r="O275" s="678"/>
      <c r="P275" s="678"/>
      <c r="Q275" s="678"/>
      <c r="R275" s="678"/>
      <c r="S275" s="678"/>
      <c r="T275" s="678"/>
      <c r="U275" s="678"/>
      <c r="V275" s="680"/>
      <c r="W275" s="680"/>
      <c r="X275" s="680"/>
      <c r="Y275" s="680"/>
      <c r="Z275" s="680"/>
      <c r="AA275" s="680"/>
      <c r="AB275" s="680"/>
      <c r="AC275" s="681"/>
      <c r="AD275" s="678"/>
      <c r="AE275" s="678"/>
      <c r="AF275" s="678"/>
      <c r="AG275" s="678"/>
      <c r="AH275" s="678"/>
      <c r="AI275" s="678"/>
      <c r="AJ275" s="678"/>
      <c r="AK275" s="658"/>
    </row>
    <row r="276" spans="2:37" s="5" customFormat="1">
      <c r="B276" s="313"/>
      <c r="C276" s="835"/>
      <c r="D276" s="19" t="s">
        <v>32</v>
      </c>
      <c r="E276" s="67" t="s">
        <v>16</v>
      </c>
      <c r="F276" s="84">
        <f>SUM(H269:H274)</f>
        <v>579150.84204545454</v>
      </c>
      <c r="G276" s="92">
        <f>$G$43</f>
        <v>8.3299999999999999E-2</v>
      </c>
      <c r="H276" s="64">
        <f>+G276*F276</f>
        <v>48243.265142386364</v>
      </c>
      <c r="I276" s="93"/>
      <c r="J276" s="52"/>
      <c r="K276" s="156"/>
      <c r="L276" s="383"/>
      <c r="M276" s="542"/>
      <c r="N276" s="578">
        <f t="shared" si="69"/>
        <v>34194.037143088884</v>
      </c>
      <c r="O276" s="678"/>
      <c r="P276" s="678"/>
      <c r="Q276" s="678"/>
      <c r="R276" s="678"/>
      <c r="S276" s="678"/>
      <c r="T276" s="678"/>
      <c r="U276" s="678"/>
      <c r="V276" s="680">
        <f t="shared" ref="V276:W276" si="99">SUM(V256:V275)*$G$54</f>
        <v>6614.9887819154992</v>
      </c>
      <c r="W276" s="680">
        <f t="shared" si="99"/>
        <v>12188.507340635691</v>
      </c>
      <c r="X276" s="680">
        <f t="shared" ref="X276:AC276" si="100">SUM(X256:X275)*$G$54</f>
        <v>12188.507340635691</v>
      </c>
      <c r="Y276" s="680">
        <f t="shared" si="100"/>
        <v>12188.507340635691</v>
      </c>
      <c r="Z276" s="680">
        <f t="shared" si="100"/>
        <v>12188.507340635691</v>
      </c>
      <c r="AA276" s="680">
        <f t="shared" si="100"/>
        <v>12188.507340635691</v>
      </c>
      <c r="AB276" s="680">
        <f t="shared" si="100"/>
        <v>12188.507340635691</v>
      </c>
      <c r="AC276" s="680">
        <f t="shared" si="100"/>
        <v>2691.2694597456029</v>
      </c>
      <c r="AD276" s="678"/>
      <c r="AE276" s="678"/>
      <c r="AF276" s="678"/>
      <c r="AG276" s="678"/>
      <c r="AH276" s="678"/>
      <c r="AI276" s="678"/>
      <c r="AJ276" s="678"/>
      <c r="AK276" s="658"/>
    </row>
    <row r="277" spans="2:37" s="5" customFormat="1">
      <c r="B277" s="313"/>
      <c r="C277" s="835"/>
      <c r="D277" s="19" t="s">
        <v>33</v>
      </c>
      <c r="E277" s="84">
        <f>F276/(5*F275)</f>
        <v>16547.166915584414</v>
      </c>
      <c r="F277" s="84">
        <f>E277*(F275*7)</f>
        <v>810811.17886363622</v>
      </c>
      <c r="G277" s="95">
        <f>$G$44</f>
        <v>20</v>
      </c>
      <c r="H277" s="64">
        <f>F277/G277</f>
        <v>40540.558943181808</v>
      </c>
      <c r="I277" s="72">
        <f>SUM(H275:H277)</f>
        <v>667934.66613102262</v>
      </c>
      <c r="J277" s="52">
        <f>SUM(G269:G277)</f>
        <v>33.083300000000001</v>
      </c>
      <c r="K277" s="156"/>
      <c r="L277" s="383"/>
      <c r="M277" s="542"/>
      <c r="N277" s="578">
        <f t="shared" si="69"/>
        <v>0</v>
      </c>
      <c r="O277" s="678"/>
      <c r="P277" s="678"/>
      <c r="Q277" s="678"/>
      <c r="R277" s="678"/>
      <c r="S277" s="678"/>
      <c r="T277" s="678"/>
      <c r="U277" s="678"/>
      <c r="V277" s="681"/>
      <c r="W277" s="681"/>
      <c r="X277" s="681"/>
      <c r="Y277" s="681"/>
      <c r="Z277" s="681"/>
      <c r="AA277" s="681"/>
      <c r="AB277" s="681"/>
      <c r="AC277" s="681">
        <f>+H277</f>
        <v>40540.558943181808</v>
      </c>
      <c r="AD277" s="678"/>
      <c r="AE277" s="678"/>
      <c r="AF277" s="678"/>
      <c r="AG277" s="678"/>
      <c r="AH277" s="678"/>
      <c r="AI277" s="678"/>
      <c r="AJ277" s="678"/>
      <c r="AK277" s="658"/>
    </row>
    <row r="278" spans="2:37" s="5" customFormat="1">
      <c r="B278" s="313"/>
      <c r="C278" s="835"/>
      <c r="D278" s="96"/>
      <c r="E278" s="9"/>
      <c r="F278" s="74"/>
      <c r="G278" s="97"/>
      <c r="H278" s="78"/>
      <c r="I278" s="79"/>
      <c r="J278" s="52"/>
      <c r="K278" s="156"/>
      <c r="L278" s="383"/>
      <c r="M278" s="542"/>
      <c r="N278" s="578">
        <f t="shared" si="69"/>
        <v>0</v>
      </c>
      <c r="O278" s="678"/>
      <c r="P278" s="678"/>
      <c r="Q278" s="678"/>
      <c r="R278" s="678"/>
      <c r="S278" s="678"/>
      <c r="T278" s="678"/>
      <c r="U278" s="678"/>
      <c r="V278" s="678"/>
      <c r="W278" s="678"/>
      <c r="X278" s="678"/>
      <c r="Y278" s="678"/>
      <c r="Z278" s="678"/>
      <c r="AA278" s="678"/>
      <c r="AB278" s="678"/>
      <c r="AC278" s="678"/>
      <c r="AD278" s="678"/>
      <c r="AE278" s="678"/>
      <c r="AF278" s="678"/>
      <c r="AG278" s="678"/>
      <c r="AH278" s="678"/>
      <c r="AI278" s="678"/>
      <c r="AJ278" s="678"/>
      <c r="AK278" s="658"/>
    </row>
    <row r="279" spans="2:37" s="5" customFormat="1" ht="15" customHeight="1">
      <c r="B279" s="317">
        <v>22</v>
      </c>
      <c r="C279" s="835" t="s">
        <v>884</v>
      </c>
      <c r="D279" s="80" t="s">
        <v>55</v>
      </c>
      <c r="E279" s="81">
        <v>52273.75</v>
      </c>
      <c r="F279" s="74"/>
      <c r="G279" s="75"/>
      <c r="H279" s="82"/>
      <c r="I279" s="83"/>
      <c r="J279" s="6"/>
      <c r="K279" s="156"/>
      <c r="L279" s="383"/>
      <c r="M279" s="542"/>
      <c r="N279" s="578">
        <f t="shared" ref="N279:N342" si="101">SUM(O279:AL279)-H279</f>
        <v>0</v>
      </c>
      <c r="O279" s="678"/>
      <c r="P279" s="678"/>
      <c r="Q279" s="678"/>
      <c r="R279" s="678"/>
      <c r="S279" s="678"/>
      <c r="T279" s="678"/>
      <c r="U279" s="678"/>
      <c r="V279" s="678"/>
      <c r="W279" s="678"/>
      <c r="X279" s="678"/>
      <c r="Y279" s="678"/>
      <c r="Z279" s="678"/>
      <c r="AA279" s="678"/>
      <c r="AB279" s="678"/>
      <c r="AC279" s="678"/>
      <c r="AD279" s="678"/>
      <c r="AE279" s="678"/>
      <c r="AF279" s="678"/>
      <c r="AG279" s="678"/>
      <c r="AH279" s="678"/>
      <c r="AI279" s="678"/>
      <c r="AJ279" s="678"/>
      <c r="AK279" s="658"/>
    </row>
    <row r="280" spans="2:37" s="5" customFormat="1">
      <c r="B280" s="313"/>
      <c r="C280" s="835"/>
      <c r="D280" s="17" t="s">
        <v>320</v>
      </c>
      <c r="E280" s="81" t="s">
        <v>27</v>
      </c>
      <c r="F280" s="84">
        <f>E279</f>
        <v>52273.75</v>
      </c>
      <c r="G280" s="99">
        <v>1</v>
      </c>
      <c r="H280" s="64">
        <f>+G280*F280</f>
        <v>52273.75</v>
      </c>
      <c r="I280" s="79"/>
      <c r="J280" s="52"/>
      <c r="K280" s="156"/>
      <c r="L280" s="383"/>
      <c r="M280" s="542"/>
      <c r="N280" s="578">
        <f t="shared" si="101"/>
        <v>0</v>
      </c>
      <c r="O280" s="678"/>
      <c r="P280" s="678"/>
      <c r="Q280" s="678"/>
      <c r="R280" s="678"/>
      <c r="S280" s="678"/>
      <c r="T280" s="678"/>
      <c r="U280" s="678"/>
      <c r="V280" s="680">
        <f>+H280</f>
        <v>52273.75</v>
      </c>
      <c r="W280" s="680"/>
      <c r="X280" s="680"/>
      <c r="Y280" s="680"/>
      <c r="Z280" s="680"/>
      <c r="AA280" s="680"/>
      <c r="AB280" s="680"/>
      <c r="AC280" s="680"/>
      <c r="AD280" s="678"/>
      <c r="AE280" s="678"/>
      <c r="AF280" s="678"/>
      <c r="AG280" s="678"/>
      <c r="AH280" s="678"/>
      <c r="AI280" s="678"/>
      <c r="AJ280" s="678"/>
      <c r="AK280" s="658"/>
    </row>
    <row r="281" spans="2:37" s="5" customFormat="1">
      <c r="B281" s="313"/>
      <c r="C281" s="835"/>
      <c r="D281" s="17" t="s">
        <v>3</v>
      </c>
      <c r="E281" s="81" t="s">
        <v>27</v>
      </c>
      <c r="F281" s="84">
        <f>E279</f>
        <v>52273.75</v>
      </c>
      <c r="G281" s="64">
        <v>6</v>
      </c>
      <c r="H281" s="64">
        <f>+G281*F281</f>
        <v>313642.5</v>
      </c>
      <c r="I281" s="79"/>
      <c r="J281" s="52"/>
      <c r="K281" s="156"/>
      <c r="L281" s="383"/>
      <c r="M281" s="542"/>
      <c r="N281" s="578">
        <f t="shared" si="101"/>
        <v>0</v>
      </c>
      <c r="O281" s="678"/>
      <c r="P281" s="678"/>
      <c r="Q281" s="678"/>
      <c r="R281" s="678"/>
      <c r="S281" s="678"/>
      <c r="T281" s="678"/>
      <c r="U281" s="678"/>
      <c r="V281" s="680"/>
      <c r="W281" s="680">
        <f>+F281</f>
        <v>52273.75</v>
      </c>
      <c r="X281" s="680">
        <f t="shared" ref="X281:AB281" si="102">+W281</f>
        <v>52273.75</v>
      </c>
      <c r="Y281" s="680">
        <f t="shared" si="102"/>
        <v>52273.75</v>
      </c>
      <c r="Z281" s="680">
        <f t="shared" si="102"/>
        <v>52273.75</v>
      </c>
      <c r="AA281" s="680">
        <f t="shared" si="102"/>
        <v>52273.75</v>
      </c>
      <c r="AB281" s="680">
        <f t="shared" si="102"/>
        <v>52273.75</v>
      </c>
      <c r="AC281" s="680"/>
      <c r="AD281" s="678"/>
      <c r="AE281" s="678"/>
      <c r="AF281" s="678"/>
      <c r="AG281" s="678"/>
      <c r="AH281" s="678"/>
      <c r="AI281" s="678"/>
      <c r="AJ281" s="678"/>
      <c r="AK281" s="658"/>
    </row>
    <row r="282" spans="2:37" s="5" customFormat="1">
      <c r="B282" s="313"/>
      <c r="C282" s="835"/>
      <c r="D282" s="17" t="s">
        <v>28</v>
      </c>
      <c r="E282" s="244">
        <f>$H$5+2+2</f>
        <v>17.25</v>
      </c>
      <c r="F282" s="84">
        <f>E279/44*1.5</f>
        <v>1782.059659090909</v>
      </c>
      <c r="G282" s="87">
        <v>6</v>
      </c>
      <c r="H282" s="64">
        <f>+G282*F282*E282</f>
        <v>184443.17471590909</v>
      </c>
      <c r="I282" s="79"/>
      <c r="J282" s="52"/>
      <c r="K282" s="156"/>
      <c r="L282" s="383"/>
      <c r="M282" s="542"/>
      <c r="N282" s="578">
        <f t="shared" si="101"/>
        <v>0</v>
      </c>
      <c r="O282" s="678"/>
      <c r="P282" s="678"/>
      <c r="Q282" s="678"/>
      <c r="R282" s="678"/>
      <c r="S282" s="678"/>
      <c r="T282" s="678"/>
      <c r="U282" s="678"/>
      <c r="V282" s="680"/>
      <c r="W282" s="680">
        <f>+H282/6</f>
        <v>30740.52911931818</v>
      </c>
      <c r="X282" s="680">
        <f t="shared" ref="X282:AB282" si="103">+W282</f>
        <v>30740.52911931818</v>
      </c>
      <c r="Y282" s="680">
        <f t="shared" si="103"/>
        <v>30740.52911931818</v>
      </c>
      <c r="Z282" s="680">
        <f t="shared" si="103"/>
        <v>30740.52911931818</v>
      </c>
      <c r="AA282" s="680">
        <f t="shared" si="103"/>
        <v>30740.52911931818</v>
      </c>
      <c r="AB282" s="680">
        <f t="shared" si="103"/>
        <v>30740.52911931818</v>
      </c>
      <c r="AC282" s="680"/>
      <c r="AD282" s="678"/>
      <c r="AE282" s="678"/>
      <c r="AF282" s="678"/>
      <c r="AG282" s="678"/>
      <c r="AH282" s="678"/>
      <c r="AI282" s="678"/>
      <c r="AJ282" s="678"/>
      <c r="AK282" s="658"/>
    </row>
    <row r="283" spans="2:37" s="5" customFormat="1">
      <c r="B283" s="313"/>
      <c r="C283" s="835"/>
      <c r="D283" s="17" t="s">
        <v>1</v>
      </c>
      <c r="E283" s="67" t="s">
        <v>29</v>
      </c>
      <c r="F283" s="84">
        <f>E279/5*1.5</f>
        <v>15682.125</v>
      </c>
      <c r="G283" s="64">
        <f>$H$3</f>
        <v>0</v>
      </c>
      <c r="H283" s="64">
        <f>+G283*F283</f>
        <v>0</v>
      </c>
      <c r="I283" s="79"/>
      <c r="J283" s="52"/>
      <c r="K283" s="156"/>
      <c r="L283" s="383"/>
      <c r="M283" s="542"/>
      <c r="N283" s="578">
        <f t="shared" si="101"/>
        <v>0</v>
      </c>
      <c r="O283" s="678"/>
      <c r="P283" s="678"/>
      <c r="Q283" s="678"/>
      <c r="R283" s="678"/>
      <c r="S283" s="678"/>
      <c r="T283" s="678"/>
      <c r="U283" s="678"/>
      <c r="V283" s="680"/>
      <c r="W283" s="680"/>
      <c r="X283" s="680"/>
      <c r="Y283" s="680"/>
      <c r="Z283" s="680"/>
      <c r="AA283" s="680"/>
      <c r="AB283" s="680"/>
      <c r="AC283" s="680"/>
      <c r="AD283" s="678"/>
      <c r="AE283" s="678"/>
      <c r="AF283" s="678"/>
      <c r="AG283" s="678"/>
      <c r="AH283" s="678"/>
      <c r="AI283" s="678"/>
      <c r="AJ283" s="678"/>
      <c r="AK283" s="658"/>
    </row>
    <row r="284" spans="2:37" s="5" customFormat="1">
      <c r="B284" s="313"/>
      <c r="C284" s="835"/>
      <c r="D284" s="17" t="s">
        <v>4</v>
      </c>
      <c r="E284" s="67" t="s">
        <v>29</v>
      </c>
      <c r="F284" s="84">
        <f>E279/5*2</f>
        <v>20909.5</v>
      </c>
      <c r="G284" s="64">
        <f>$H$4</f>
        <v>0</v>
      </c>
      <c r="H284" s="64">
        <f>+G284*F284</f>
        <v>0</v>
      </c>
      <c r="I284" s="79"/>
      <c r="J284" s="52"/>
      <c r="K284" s="156"/>
      <c r="L284" s="383"/>
      <c r="M284" s="542"/>
      <c r="N284" s="578">
        <f t="shared" si="101"/>
        <v>0</v>
      </c>
      <c r="O284" s="678"/>
      <c r="P284" s="678"/>
      <c r="Q284" s="678"/>
      <c r="R284" s="678"/>
      <c r="S284" s="678"/>
      <c r="T284" s="678"/>
      <c r="U284" s="678"/>
      <c r="V284" s="680"/>
      <c r="W284" s="680"/>
      <c r="X284" s="680"/>
      <c r="Y284" s="680"/>
      <c r="Z284" s="680"/>
      <c r="AA284" s="680"/>
      <c r="AB284" s="680"/>
      <c r="AC284" s="680"/>
      <c r="AD284" s="678"/>
      <c r="AE284" s="678"/>
      <c r="AF284" s="678"/>
      <c r="AG284" s="678"/>
      <c r="AH284" s="678"/>
      <c r="AI284" s="678"/>
      <c r="AJ284" s="678"/>
      <c r="AK284" s="658"/>
    </row>
    <row r="285" spans="2:37" s="5" customFormat="1">
      <c r="B285" s="313"/>
      <c r="C285" s="835"/>
      <c r="D285" s="17" t="s">
        <v>46</v>
      </c>
      <c r="E285" s="81" t="s">
        <v>27</v>
      </c>
      <c r="F285" s="84">
        <f>E279</f>
        <v>52273.75</v>
      </c>
      <c r="G285" s="99">
        <v>0</v>
      </c>
      <c r="H285" s="64">
        <f>+G285*F285</f>
        <v>0</v>
      </c>
      <c r="I285" s="79"/>
      <c r="J285" s="52"/>
      <c r="K285" s="156"/>
      <c r="L285" s="383"/>
      <c r="M285" s="542"/>
      <c r="N285" s="578">
        <f t="shared" si="101"/>
        <v>0</v>
      </c>
      <c r="O285" s="678"/>
      <c r="P285" s="678"/>
      <c r="Q285" s="678"/>
      <c r="R285" s="678"/>
      <c r="S285" s="678"/>
      <c r="T285" s="678"/>
      <c r="U285" s="678"/>
      <c r="V285" s="680"/>
      <c r="W285" s="680"/>
      <c r="X285" s="680"/>
      <c r="Y285" s="680"/>
      <c r="Z285" s="680"/>
      <c r="AA285" s="680"/>
      <c r="AB285" s="680"/>
      <c r="AC285" s="680">
        <f>+H285</f>
        <v>0</v>
      </c>
      <c r="AD285" s="678"/>
      <c r="AE285" s="678"/>
      <c r="AF285" s="678"/>
      <c r="AG285" s="678"/>
      <c r="AH285" s="678"/>
      <c r="AI285" s="678"/>
      <c r="AJ285" s="678"/>
      <c r="AK285" s="658"/>
    </row>
    <row r="286" spans="2:37" s="5" customFormat="1">
      <c r="B286" s="313"/>
      <c r="C286" s="835"/>
      <c r="D286" s="17" t="s">
        <v>30</v>
      </c>
      <c r="E286" s="67" t="s">
        <v>16</v>
      </c>
      <c r="F286" s="101">
        <f>G280+G281+G285</f>
        <v>7</v>
      </c>
      <c r="G286" s="68" t="s">
        <v>31</v>
      </c>
      <c r="H286" s="64">
        <f>SUM(H280:H285)</f>
        <v>550359.42471590906</v>
      </c>
      <c r="I286" s="79"/>
      <c r="J286" s="52"/>
      <c r="K286" s="156"/>
      <c r="L286" s="383"/>
      <c r="M286" s="542"/>
      <c r="N286" s="578">
        <f t="shared" si="101"/>
        <v>-550359.42471590906</v>
      </c>
      <c r="O286" s="678"/>
      <c r="P286" s="678"/>
      <c r="Q286" s="678"/>
      <c r="R286" s="678"/>
      <c r="S286" s="678"/>
      <c r="T286" s="678"/>
      <c r="U286" s="678"/>
      <c r="V286" s="680"/>
      <c r="W286" s="680"/>
      <c r="X286" s="680"/>
      <c r="Y286" s="680"/>
      <c r="Z286" s="680"/>
      <c r="AA286" s="680"/>
      <c r="AB286" s="680"/>
      <c r="AC286" s="681"/>
      <c r="AD286" s="678"/>
      <c r="AE286" s="678"/>
      <c r="AF286" s="678"/>
      <c r="AG286" s="678"/>
      <c r="AH286" s="678"/>
      <c r="AI286" s="678"/>
      <c r="AJ286" s="678"/>
      <c r="AK286" s="658"/>
    </row>
    <row r="287" spans="2:37" s="5" customFormat="1">
      <c r="B287" s="313"/>
      <c r="C287" s="835"/>
      <c r="D287" s="19" t="s">
        <v>32</v>
      </c>
      <c r="E287" s="67" t="s">
        <v>16</v>
      </c>
      <c r="F287" s="84">
        <f>SUM(H280:H285)</f>
        <v>550359.42471590906</v>
      </c>
      <c r="G287" s="92">
        <f>$G$43</f>
        <v>8.3299999999999999E-2</v>
      </c>
      <c r="H287" s="64">
        <f>+G287*F287</f>
        <v>45844.940078835221</v>
      </c>
      <c r="I287" s="93"/>
      <c r="J287" s="52"/>
      <c r="K287" s="156"/>
      <c r="L287" s="383"/>
      <c r="M287" s="542"/>
      <c r="N287" s="578">
        <f t="shared" si="101"/>
        <v>0</v>
      </c>
      <c r="O287" s="678"/>
      <c r="P287" s="678"/>
      <c r="Q287" s="678"/>
      <c r="R287" s="678"/>
      <c r="S287" s="678"/>
      <c r="T287" s="678"/>
      <c r="U287" s="678"/>
      <c r="V287" s="680">
        <f t="shared" ref="V287:W287" si="104">SUM(V278:V286)*$G$54</f>
        <v>4354.4033749999999</v>
      </c>
      <c r="W287" s="680">
        <f t="shared" si="104"/>
        <v>6915.0894506392042</v>
      </c>
      <c r="X287" s="680">
        <f t="shared" ref="X287:AC287" si="105">SUM(X278:X286)*$G$54</f>
        <v>6915.0894506392042</v>
      </c>
      <c r="Y287" s="680">
        <f t="shared" si="105"/>
        <v>6915.0894506392042</v>
      </c>
      <c r="Z287" s="680">
        <f t="shared" si="105"/>
        <v>6915.0894506392042</v>
      </c>
      <c r="AA287" s="680">
        <f t="shared" si="105"/>
        <v>6915.0894506392042</v>
      </c>
      <c r="AB287" s="680">
        <f t="shared" si="105"/>
        <v>6915.0894506392042</v>
      </c>
      <c r="AC287" s="680">
        <f t="shared" si="105"/>
        <v>0</v>
      </c>
      <c r="AD287" s="678"/>
      <c r="AE287" s="678"/>
      <c r="AF287" s="678"/>
      <c r="AG287" s="678"/>
      <c r="AH287" s="678"/>
      <c r="AI287" s="678"/>
      <c r="AJ287" s="678"/>
      <c r="AK287" s="658"/>
    </row>
    <row r="288" spans="2:37" s="5" customFormat="1">
      <c r="B288" s="313"/>
      <c r="C288" s="835"/>
      <c r="D288" s="19" t="s">
        <v>33</v>
      </c>
      <c r="E288" s="84">
        <f>F287/(5*F286)</f>
        <v>15724.554991883117</v>
      </c>
      <c r="F288" s="84">
        <f>E288*(F286*7)</f>
        <v>770503.19460227271</v>
      </c>
      <c r="G288" s="95">
        <f>$G$44</f>
        <v>20</v>
      </c>
      <c r="H288" s="64">
        <f>F288/G288</f>
        <v>38525.159730113635</v>
      </c>
      <c r="I288" s="72">
        <f>SUM(H286:H288)</f>
        <v>634729.52452485799</v>
      </c>
      <c r="J288" s="52">
        <f>SUM(G280:G288)</f>
        <v>33.083300000000001</v>
      </c>
      <c r="K288" s="156"/>
      <c r="L288" s="383"/>
      <c r="M288" s="542"/>
      <c r="N288" s="578">
        <f t="shared" si="101"/>
        <v>0</v>
      </c>
      <c r="O288" s="678"/>
      <c r="P288" s="678"/>
      <c r="Q288" s="678"/>
      <c r="R288" s="678"/>
      <c r="S288" s="678"/>
      <c r="T288" s="678"/>
      <c r="U288" s="678"/>
      <c r="V288" s="681"/>
      <c r="W288" s="681"/>
      <c r="X288" s="681"/>
      <c r="Y288" s="681"/>
      <c r="Z288" s="681"/>
      <c r="AA288" s="681"/>
      <c r="AB288" s="681"/>
      <c r="AC288" s="681">
        <f>+H288</f>
        <v>38525.159730113635</v>
      </c>
      <c r="AD288" s="678"/>
      <c r="AE288" s="678"/>
      <c r="AF288" s="678"/>
      <c r="AG288" s="678"/>
      <c r="AH288" s="678"/>
      <c r="AI288" s="678"/>
      <c r="AJ288" s="678"/>
      <c r="AK288" s="658"/>
    </row>
    <row r="289" spans="2:37" s="5" customFormat="1">
      <c r="B289" s="313"/>
      <c r="C289" s="835"/>
      <c r="D289" s="96"/>
      <c r="E289" s="9"/>
      <c r="F289" s="74"/>
      <c r="G289" s="97"/>
      <c r="H289" s="78"/>
      <c r="I289" s="79"/>
      <c r="J289" s="52"/>
      <c r="K289" s="156"/>
      <c r="L289" s="383"/>
      <c r="M289" s="542"/>
      <c r="N289" s="578">
        <f t="shared" si="101"/>
        <v>0</v>
      </c>
      <c r="O289" s="678"/>
      <c r="P289" s="678"/>
      <c r="Q289" s="678"/>
      <c r="R289" s="678"/>
      <c r="S289" s="678"/>
      <c r="T289" s="678"/>
      <c r="U289" s="678"/>
      <c r="V289" s="678"/>
      <c r="W289" s="678"/>
      <c r="X289" s="678"/>
      <c r="Y289" s="678"/>
      <c r="Z289" s="678"/>
      <c r="AA289" s="678"/>
      <c r="AB289" s="678"/>
      <c r="AC289" s="678"/>
      <c r="AD289" s="678"/>
      <c r="AE289" s="678"/>
      <c r="AF289" s="678"/>
      <c r="AG289" s="678"/>
      <c r="AH289" s="678"/>
      <c r="AI289" s="678"/>
      <c r="AJ289" s="678"/>
      <c r="AK289" s="658"/>
    </row>
    <row r="290" spans="2:37" s="5" customFormat="1" ht="15" customHeight="1">
      <c r="B290" s="317">
        <v>23</v>
      </c>
      <c r="C290" s="835" t="s">
        <v>885</v>
      </c>
      <c r="D290" s="80" t="s">
        <v>56</v>
      </c>
      <c r="E290" s="81">
        <v>47292.05</v>
      </c>
      <c r="F290" s="74"/>
      <c r="G290" s="75"/>
      <c r="H290" s="82"/>
      <c r="I290" s="83"/>
      <c r="J290" s="6"/>
      <c r="K290" s="156"/>
      <c r="L290" s="383"/>
      <c r="M290" s="542"/>
      <c r="N290" s="578">
        <f t="shared" si="101"/>
        <v>0</v>
      </c>
      <c r="O290" s="678"/>
      <c r="P290" s="678"/>
      <c r="Q290" s="678"/>
      <c r="R290" s="678"/>
      <c r="S290" s="678"/>
      <c r="T290" s="678"/>
      <c r="U290" s="678"/>
      <c r="V290" s="678"/>
      <c r="W290" s="678"/>
      <c r="X290" s="678"/>
      <c r="Y290" s="678"/>
      <c r="Z290" s="678"/>
      <c r="AA290" s="678"/>
      <c r="AB290" s="678"/>
      <c r="AC290" s="678"/>
      <c r="AD290" s="678"/>
      <c r="AE290" s="678"/>
      <c r="AF290" s="678"/>
      <c r="AG290" s="678"/>
      <c r="AH290" s="678"/>
      <c r="AI290" s="678"/>
      <c r="AJ290" s="678"/>
      <c r="AK290" s="658"/>
    </row>
    <row r="291" spans="2:37" s="5" customFormat="1">
      <c r="B291" s="313"/>
      <c r="C291" s="835"/>
      <c r="D291" s="17" t="s">
        <v>316</v>
      </c>
      <c r="E291" s="243" t="s">
        <v>27</v>
      </c>
      <c r="F291" s="402">
        <f>E290</f>
        <v>47292.05</v>
      </c>
      <c r="G291" s="280">
        <v>0.6</v>
      </c>
      <c r="H291" s="64">
        <f>+G291*F291</f>
        <v>28375.23</v>
      </c>
      <c r="I291" s="79"/>
      <c r="J291" s="52"/>
      <c r="K291" s="156"/>
      <c r="L291" s="383"/>
      <c r="M291" s="542"/>
      <c r="N291" s="578">
        <f t="shared" si="101"/>
        <v>0</v>
      </c>
      <c r="O291" s="678"/>
      <c r="P291" s="678"/>
      <c r="Q291" s="678"/>
      <c r="R291" s="678"/>
      <c r="S291" s="678"/>
      <c r="T291" s="678"/>
      <c r="U291" s="678"/>
      <c r="V291" s="680">
        <f>+H291</f>
        <v>28375.23</v>
      </c>
      <c r="W291" s="680"/>
      <c r="X291" s="680"/>
      <c r="Y291" s="680"/>
      <c r="Z291" s="680"/>
      <c r="AA291" s="680"/>
      <c r="AB291" s="680"/>
      <c r="AC291" s="680"/>
      <c r="AD291" s="678"/>
      <c r="AE291" s="678"/>
      <c r="AF291" s="678"/>
      <c r="AG291" s="678"/>
      <c r="AH291" s="678"/>
      <c r="AI291" s="678"/>
      <c r="AJ291" s="678"/>
      <c r="AK291" s="658"/>
    </row>
    <row r="292" spans="2:37" s="5" customFormat="1">
      <c r="B292" s="313"/>
      <c r="C292" s="835"/>
      <c r="D292" s="17" t="s">
        <v>3</v>
      </c>
      <c r="E292" s="243" t="s">
        <v>27</v>
      </c>
      <c r="F292" s="402">
        <f>E290</f>
        <v>47292.05</v>
      </c>
      <c r="G292" s="279">
        <v>6</v>
      </c>
      <c r="H292" s="64">
        <f>+G292*F292</f>
        <v>283752.30000000005</v>
      </c>
      <c r="I292" s="79"/>
      <c r="J292" s="52"/>
      <c r="K292" s="156"/>
      <c r="L292" s="383"/>
      <c r="M292" s="542"/>
      <c r="N292" s="578">
        <f t="shared" si="101"/>
        <v>0</v>
      </c>
      <c r="O292" s="678"/>
      <c r="P292" s="678"/>
      <c r="Q292" s="678"/>
      <c r="R292" s="678"/>
      <c r="S292" s="678"/>
      <c r="T292" s="678"/>
      <c r="U292" s="678"/>
      <c r="V292" s="680"/>
      <c r="W292" s="680">
        <f>+F292</f>
        <v>47292.05</v>
      </c>
      <c r="X292" s="680">
        <f t="shared" ref="X292:AB292" si="106">+W292</f>
        <v>47292.05</v>
      </c>
      <c r="Y292" s="680">
        <f t="shared" si="106"/>
        <v>47292.05</v>
      </c>
      <c r="Z292" s="680">
        <f t="shared" si="106"/>
        <v>47292.05</v>
      </c>
      <c r="AA292" s="680">
        <f t="shared" si="106"/>
        <v>47292.05</v>
      </c>
      <c r="AB292" s="680">
        <f t="shared" si="106"/>
        <v>47292.05</v>
      </c>
      <c r="AC292" s="680"/>
      <c r="AD292" s="678"/>
      <c r="AE292" s="678"/>
      <c r="AF292" s="678"/>
      <c r="AG292" s="678"/>
      <c r="AH292" s="678"/>
      <c r="AI292" s="678"/>
      <c r="AJ292" s="678"/>
      <c r="AK292" s="658"/>
    </row>
    <row r="293" spans="2:37" s="5" customFormat="1">
      <c r="B293" s="313"/>
      <c r="C293" s="835"/>
      <c r="D293" s="17" t="s">
        <v>28</v>
      </c>
      <c r="E293" s="244">
        <f>$H$5+2+2</f>
        <v>17.25</v>
      </c>
      <c r="F293" s="402">
        <f>E290/44*1.5</f>
        <v>1612.2289772727274</v>
      </c>
      <c r="G293" s="403">
        <v>6</v>
      </c>
      <c r="H293" s="64">
        <f>+G293*F293*E293</f>
        <v>166865.69914772731</v>
      </c>
      <c r="I293" s="79"/>
      <c r="J293" s="52"/>
      <c r="K293" s="156"/>
      <c r="L293" s="383"/>
      <c r="M293" s="542"/>
      <c r="N293" s="578">
        <f t="shared" si="101"/>
        <v>0</v>
      </c>
      <c r="O293" s="678"/>
      <c r="P293" s="678"/>
      <c r="Q293" s="678"/>
      <c r="R293" s="678"/>
      <c r="S293" s="678"/>
      <c r="T293" s="678"/>
      <c r="U293" s="678"/>
      <c r="V293" s="680"/>
      <c r="W293" s="680">
        <f>+H293/6</f>
        <v>27810.949857954551</v>
      </c>
      <c r="X293" s="680">
        <f t="shared" ref="X293:AB293" si="107">+W293</f>
        <v>27810.949857954551</v>
      </c>
      <c r="Y293" s="680">
        <f t="shared" si="107"/>
        <v>27810.949857954551</v>
      </c>
      <c r="Z293" s="680">
        <f t="shared" si="107"/>
        <v>27810.949857954551</v>
      </c>
      <c r="AA293" s="680">
        <f t="shared" si="107"/>
        <v>27810.949857954551</v>
      </c>
      <c r="AB293" s="680">
        <f t="shared" si="107"/>
        <v>27810.949857954551</v>
      </c>
      <c r="AC293" s="680"/>
      <c r="AD293" s="678"/>
      <c r="AE293" s="678"/>
      <c r="AF293" s="678"/>
      <c r="AG293" s="678"/>
      <c r="AH293" s="678"/>
      <c r="AI293" s="678"/>
      <c r="AJ293" s="678"/>
      <c r="AK293" s="658"/>
    </row>
    <row r="294" spans="2:37" s="5" customFormat="1">
      <c r="B294" s="313"/>
      <c r="C294" s="835"/>
      <c r="D294" s="17" t="s">
        <v>1</v>
      </c>
      <c r="E294" s="245" t="s">
        <v>29</v>
      </c>
      <c r="F294" s="402">
        <f>E290/5*1.5</f>
        <v>14187.615</v>
      </c>
      <c r="G294" s="279">
        <f>$H$3</f>
        <v>0</v>
      </c>
      <c r="H294" s="64">
        <f>+G294*F294</f>
        <v>0</v>
      </c>
      <c r="I294" s="79"/>
      <c r="J294" s="52"/>
      <c r="K294" s="156"/>
      <c r="L294" s="383"/>
      <c r="M294" s="542"/>
      <c r="N294" s="578">
        <f t="shared" si="101"/>
        <v>0</v>
      </c>
      <c r="O294" s="678"/>
      <c r="P294" s="678"/>
      <c r="Q294" s="678"/>
      <c r="R294" s="678"/>
      <c r="S294" s="678"/>
      <c r="T294" s="678"/>
      <c r="U294" s="678"/>
      <c r="V294" s="680"/>
      <c r="W294" s="680"/>
      <c r="X294" s="680"/>
      <c r="Y294" s="680"/>
      <c r="Z294" s="680"/>
      <c r="AA294" s="680"/>
      <c r="AB294" s="680"/>
      <c r="AC294" s="680"/>
      <c r="AD294" s="678"/>
      <c r="AE294" s="678"/>
      <c r="AF294" s="678"/>
      <c r="AG294" s="678"/>
      <c r="AH294" s="678"/>
      <c r="AI294" s="678"/>
      <c r="AJ294" s="678"/>
      <c r="AK294" s="658"/>
    </row>
    <row r="295" spans="2:37" s="5" customFormat="1">
      <c r="B295" s="313"/>
      <c r="C295" s="835"/>
      <c r="D295" s="17" t="s">
        <v>4</v>
      </c>
      <c r="E295" s="245" t="s">
        <v>29</v>
      </c>
      <c r="F295" s="402">
        <f>E290/5*2</f>
        <v>18916.82</v>
      </c>
      <c r="G295" s="279">
        <f>$H$4</f>
        <v>0</v>
      </c>
      <c r="H295" s="64">
        <f>+G295*F295</f>
        <v>0</v>
      </c>
      <c r="I295" s="79"/>
      <c r="J295" s="52"/>
      <c r="K295" s="156"/>
      <c r="L295" s="383"/>
      <c r="M295" s="542"/>
      <c r="N295" s="578">
        <f t="shared" si="101"/>
        <v>0</v>
      </c>
      <c r="O295" s="678"/>
      <c r="P295" s="678"/>
      <c r="Q295" s="678"/>
      <c r="R295" s="678"/>
      <c r="S295" s="678"/>
      <c r="T295" s="678"/>
      <c r="U295" s="678"/>
      <c r="V295" s="680"/>
      <c r="W295" s="680"/>
      <c r="X295" s="680"/>
      <c r="Y295" s="680"/>
      <c r="Z295" s="680"/>
      <c r="AA295" s="680"/>
      <c r="AB295" s="680"/>
      <c r="AC295" s="680"/>
      <c r="AD295" s="678"/>
      <c r="AE295" s="678"/>
      <c r="AF295" s="678"/>
      <c r="AG295" s="678"/>
      <c r="AH295" s="678"/>
      <c r="AI295" s="678"/>
      <c r="AJ295" s="678"/>
      <c r="AK295" s="658"/>
    </row>
    <row r="296" spans="2:37" s="5" customFormat="1">
      <c r="B296" s="313"/>
      <c r="C296" s="835"/>
      <c r="D296" s="17" t="s">
        <v>46</v>
      </c>
      <c r="E296" s="243" t="s">
        <v>27</v>
      </c>
      <c r="F296" s="402">
        <f>E290</f>
        <v>47292.05</v>
      </c>
      <c r="G296" s="280">
        <v>0</v>
      </c>
      <c r="H296" s="64">
        <f>+G296*F296</f>
        <v>0</v>
      </c>
      <c r="I296" s="79"/>
      <c r="J296" s="52"/>
      <c r="K296" s="156"/>
      <c r="L296" s="383"/>
      <c r="M296" s="542"/>
      <c r="N296" s="578">
        <f t="shared" si="101"/>
        <v>0</v>
      </c>
      <c r="O296" s="678"/>
      <c r="P296" s="678"/>
      <c r="Q296" s="678"/>
      <c r="R296" s="678"/>
      <c r="S296" s="678"/>
      <c r="T296" s="678"/>
      <c r="U296" s="678"/>
      <c r="V296" s="680"/>
      <c r="W296" s="680"/>
      <c r="X296" s="680"/>
      <c r="Y296" s="680"/>
      <c r="Z296" s="680"/>
      <c r="AA296" s="680"/>
      <c r="AB296" s="680"/>
      <c r="AC296" s="680">
        <f>+H296</f>
        <v>0</v>
      </c>
      <c r="AD296" s="678"/>
      <c r="AE296" s="678"/>
      <c r="AF296" s="678"/>
      <c r="AG296" s="678"/>
      <c r="AH296" s="678"/>
      <c r="AI296" s="678"/>
      <c r="AJ296" s="678"/>
      <c r="AK296" s="658"/>
    </row>
    <row r="297" spans="2:37" s="5" customFormat="1">
      <c r="B297" s="313"/>
      <c r="C297" s="835"/>
      <c r="D297" s="17" t="s">
        <v>30</v>
      </c>
      <c r="E297" s="245" t="s">
        <v>16</v>
      </c>
      <c r="F297" s="404">
        <f>G291+G292+G296</f>
        <v>6.6</v>
      </c>
      <c r="G297" s="405" t="s">
        <v>31</v>
      </c>
      <c r="H297" s="64">
        <f>SUM(H291:H296)</f>
        <v>478993.22914772737</v>
      </c>
      <c r="I297" s="79"/>
      <c r="J297" s="52"/>
      <c r="K297" s="156"/>
      <c r="L297" s="383"/>
      <c r="M297" s="542"/>
      <c r="N297" s="578">
        <f t="shared" si="101"/>
        <v>-478993.22914772737</v>
      </c>
      <c r="O297" s="678"/>
      <c r="P297" s="678"/>
      <c r="Q297" s="678"/>
      <c r="R297" s="678"/>
      <c r="S297" s="678"/>
      <c r="T297" s="678"/>
      <c r="U297" s="678"/>
      <c r="V297" s="680"/>
      <c r="W297" s="680"/>
      <c r="X297" s="680"/>
      <c r="Y297" s="680"/>
      <c r="Z297" s="680"/>
      <c r="AA297" s="680"/>
      <c r="AB297" s="680"/>
      <c r="AC297" s="681"/>
      <c r="AD297" s="678"/>
      <c r="AE297" s="678"/>
      <c r="AF297" s="678"/>
      <c r="AG297" s="678"/>
      <c r="AH297" s="678"/>
      <c r="AI297" s="678"/>
      <c r="AJ297" s="678"/>
      <c r="AK297" s="658"/>
    </row>
    <row r="298" spans="2:37" s="5" customFormat="1">
      <c r="B298" s="313"/>
      <c r="C298" s="835"/>
      <c r="D298" s="19" t="s">
        <v>32</v>
      </c>
      <c r="E298" s="245" t="s">
        <v>16</v>
      </c>
      <c r="F298" s="402">
        <f>SUM(H291:H296)</f>
        <v>478993.22914772737</v>
      </c>
      <c r="G298" s="406">
        <f>$G$43</f>
        <v>8.3299999999999999E-2</v>
      </c>
      <c r="H298" s="64">
        <f>+G298*F298</f>
        <v>39900.135988005692</v>
      </c>
      <c r="I298" s="93"/>
      <c r="J298" s="52"/>
      <c r="K298" s="156"/>
      <c r="L298" s="383"/>
      <c r="M298" s="542"/>
      <c r="N298" s="578">
        <f t="shared" si="101"/>
        <v>0</v>
      </c>
      <c r="O298" s="678"/>
      <c r="P298" s="678"/>
      <c r="Q298" s="678"/>
      <c r="R298" s="678"/>
      <c r="S298" s="678"/>
      <c r="T298" s="678"/>
      <c r="U298" s="678"/>
      <c r="V298" s="680">
        <f t="shared" ref="V298:W298" si="108">SUM(V289:V297)*$G$54</f>
        <v>2363.6566589999998</v>
      </c>
      <c r="W298" s="680">
        <f t="shared" si="108"/>
        <v>6256.0798881676137</v>
      </c>
      <c r="X298" s="680">
        <f t="shared" ref="X298:AC298" si="109">SUM(X289:X297)*$G$54</f>
        <v>6256.0798881676137</v>
      </c>
      <c r="Y298" s="680">
        <f t="shared" si="109"/>
        <v>6256.0798881676137</v>
      </c>
      <c r="Z298" s="680">
        <f t="shared" si="109"/>
        <v>6256.0798881676137</v>
      </c>
      <c r="AA298" s="680">
        <f t="shared" si="109"/>
        <v>6256.0798881676137</v>
      </c>
      <c r="AB298" s="680">
        <f t="shared" si="109"/>
        <v>6256.0798881676137</v>
      </c>
      <c r="AC298" s="680">
        <f t="shared" si="109"/>
        <v>0</v>
      </c>
      <c r="AD298" s="678"/>
      <c r="AE298" s="678"/>
      <c r="AF298" s="678"/>
      <c r="AG298" s="678"/>
      <c r="AH298" s="678"/>
      <c r="AI298" s="678"/>
      <c r="AJ298" s="678"/>
      <c r="AK298" s="658"/>
    </row>
    <row r="299" spans="2:37" s="5" customFormat="1">
      <c r="B299" s="313"/>
      <c r="C299" s="835"/>
      <c r="D299" s="19" t="s">
        <v>33</v>
      </c>
      <c r="E299" s="402">
        <f>F298/(5*F297)</f>
        <v>14514.946337809921</v>
      </c>
      <c r="F299" s="402">
        <f>E299*(F297*7)</f>
        <v>670590.52080681827</v>
      </c>
      <c r="G299" s="407">
        <f>$G$44</f>
        <v>20</v>
      </c>
      <c r="H299" s="64">
        <f>F299/G299</f>
        <v>33529.526040340912</v>
      </c>
      <c r="I299" s="72">
        <f>SUM(H297:H299)</f>
        <v>552422.89117607393</v>
      </c>
      <c r="J299" s="52">
        <f>SUM(G291:G299)</f>
        <v>32.683300000000003</v>
      </c>
      <c r="K299" s="156"/>
      <c r="L299" s="383"/>
      <c r="M299" s="542"/>
      <c r="N299" s="578">
        <f t="shared" si="101"/>
        <v>0</v>
      </c>
      <c r="O299" s="678"/>
      <c r="P299" s="678"/>
      <c r="Q299" s="678"/>
      <c r="R299" s="678"/>
      <c r="S299" s="678"/>
      <c r="T299" s="678"/>
      <c r="U299" s="678"/>
      <c r="V299" s="681"/>
      <c r="W299" s="681"/>
      <c r="X299" s="681"/>
      <c r="Y299" s="681"/>
      <c r="Z299" s="681"/>
      <c r="AA299" s="681"/>
      <c r="AB299" s="681"/>
      <c r="AC299" s="681">
        <f>+H299</f>
        <v>33529.526040340912</v>
      </c>
      <c r="AD299" s="678"/>
      <c r="AE299" s="678"/>
      <c r="AF299" s="678"/>
      <c r="AG299" s="678"/>
      <c r="AH299" s="678"/>
      <c r="AI299" s="678"/>
      <c r="AJ299" s="678"/>
      <c r="AK299" s="658"/>
    </row>
    <row r="300" spans="2:37" s="5" customFormat="1">
      <c r="B300" s="313"/>
      <c r="C300" s="835"/>
      <c r="D300" s="96"/>
      <c r="E300" s="408"/>
      <c r="F300" s="409"/>
      <c r="G300" s="410"/>
      <c r="H300" s="78"/>
      <c r="I300" s="79"/>
      <c r="J300" s="52"/>
      <c r="K300" s="156"/>
      <c r="L300" s="383"/>
      <c r="M300" s="542"/>
      <c r="N300" s="578">
        <f t="shared" si="101"/>
        <v>0</v>
      </c>
      <c r="O300" s="678"/>
      <c r="P300" s="678"/>
      <c r="Q300" s="678"/>
      <c r="R300" s="678"/>
      <c r="S300" s="678"/>
      <c r="T300" s="678"/>
      <c r="U300" s="678"/>
      <c r="V300" s="678"/>
      <c r="W300" s="678"/>
      <c r="X300" s="678"/>
      <c r="Y300" s="678"/>
      <c r="Z300" s="678"/>
      <c r="AA300" s="678"/>
      <c r="AB300" s="678"/>
      <c r="AC300" s="678"/>
      <c r="AD300" s="678"/>
      <c r="AE300" s="678"/>
      <c r="AF300" s="678"/>
      <c r="AG300" s="678"/>
      <c r="AH300" s="678"/>
      <c r="AI300" s="678"/>
      <c r="AJ300" s="678"/>
      <c r="AK300" s="658"/>
    </row>
    <row r="301" spans="2:37" s="5" customFormat="1" ht="15" customHeight="1">
      <c r="B301" s="317">
        <v>24</v>
      </c>
      <c r="C301" s="835" t="s">
        <v>886</v>
      </c>
      <c r="D301" s="80" t="s">
        <v>57</v>
      </c>
      <c r="E301" s="243">
        <v>42310.35</v>
      </c>
      <c r="F301" s="402">
        <f>E301</f>
        <v>42310.35</v>
      </c>
      <c r="G301" s="411"/>
      <c r="H301" s="82"/>
      <c r="I301" s="83"/>
      <c r="J301" s="52"/>
      <c r="K301" s="156"/>
      <c r="L301" s="383"/>
      <c r="M301" s="542"/>
      <c r="N301" s="578">
        <f t="shared" si="101"/>
        <v>0</v>
      </c>
      <c r="O301" s="678"/>
      <c r="P301" s="678"/>
      <c r="Q301" s="678"/>
      <c r="R301" s="678"/>
      <c r="S301" s="678"/>
      <c r="T301" s="678"/>
      <c r="U301" s="678"/>
      <c r="V301" s="678"/>
      <c r="W301" s="678"/>
      <c r="X301" s="678"/>
      <c r="Y301" s="678"/>
      <c r="Z301" s="678"/>
      <c r="AA301" s="678"/>
      <c r="AB301" s="678"/>
      <c r="AC301" s="678"/>
      <c r="AD301" s="678"/>
      <c r="AE301" s="678"/>
      <c r="AF301" s="678"/>
      <c r="AG301" s="678"/>
      <c r="AH301" s="678"/>
      <c r="AI301" s="678"/>
      <c r="AJ301" s="678"/>
      <c r="AK301" s="658"/>
    </row>
    <row r="302" spans="2:37" s="5" customFormat="1">
      <c r="B302" s="313"/>
      <c r="C302" s="835"/>
      <c r="D302" s="17" t="s">
        <v>316</v>
      </c>
      <c r="E302" s="243" t="s">
        <v>27</v>
      </c>
      <c r="F302" s="402">
        <f>F301</f>
        <v>42310.35</v>
      </c>
      <c r="G302" s="280">
        <v>0.6</v>
      </c>
      <c r="H302" s="64">
        <f>+G302*F302</f>
        <v>25386.21</v>
      </c>
      <c r="I302" s="79"/>
      <c r="J302" s="52"/>
      <c r="K302" s="156"/>
      <c r="L302" s="383"/>
      <c r="M302" s="542"/>
      <c r="N302" s="578">
        <f t="shared" si="101"/>
        <v>0</v>
      </c>
      <c r="O302" s="678"/>
      <c r="P302" s="678"/>
      <c r="Q302" s="678"/>
      <c r="R302" s="678"/>
      <c r="S302" s="678"/>
      <c r="T302" s="678"/>
      <c r="U302" s="678"/>
      <c r="V302" s="680">
        <f>+H302</f>
        <v>25386.21</v>
      </c>
      <c r="W302" s="680"/>
      <c r="X302" s="680"/>
      <c r="Y302" s="680"/>
      <c r="Z302" s="680"/>
      <c r="AA302" s="680"/>
      <c r="AB302" s="680"/>
      <c r="AC302" s="680"/>
      <c r="AD302" s="678"/>
      <c r="AE302" s="678"/>
      <c r="AF302" s="678"/>
      <c r="AG302" s="678"/>
      <c r="AH302" s="678"/>
      <c r="AI302" s="678"/>
      <c r="AJ302" s="678"/>
      <c r="AK302" s="658"/>
    </row>
    <row r="303" spans="2:37" s="5" customFormat="1">
      <c r="B303" s="313"/>
      <c r="C303" s="835"/>
      <c r="D303" s="17" t="s">
        <v>3</v>
      </c>
      <c r="E303" s="243" t="s">
        <v>27</v>
      </c>
      <c r="F303" s="402">
        <f>F301</f>
        <v>42310.35</v>
      </c>
      <c r="G303" s="279">
        <v>6</v>
      </c>
      <c r="H303" s="64">
        <f>+G303*F303</f>
        <v>253862.09999999998</v>
      </c>
      <c r="I303" s="79"/>
      <c r="J303" s="52"/>
      <c r="K303" s="156"/>
      <c r="L303" s="383"/>
      <c r="M303" s="542"/>
      <c r="N303" s="578">
        <f t="shared" si="101"/>
        <v>0</v>
      </c>
      <c r="O303" s="678"/>
      <c r="P303" s="678"/>
      <c r="Q303" s="678"/>
      <c r="R303" s="678"/>
      <c r="S303" s="678"/>
      <c r="T303" s="678"/>
      <c r="U303" s="678"/>
      <c r="V303" s="680"/>
      <c r="W303" s="680">
        <f>+F303</f>
        <v>42310.35</v>
      </c>
      <c r="X303" s="680">
        <f t="shared" ref="X303:AB303" si="110">+W303</f>
        <v>42310.35</v>
      </c>
      <c r="Y303" s="680">
        <f t="shared" si="110"/>
        <v>42310.35</v>
      </c>
      <c r="Z303" s="680">
        <f t="shared" si="110"/>
        <v>42310.35</v>
      </c>
      <c r="AA303" s="680">
        <f t="shared" si="110"/>
        <v>42310.35</v>
      </c>
      <c r="AB303" s="680">
        <f t="shared" si="110"/>
        <v>42310.35</v>
      </c>
      <c r="AC303" s="680"/>
      <c r="AD303" s="678"/>
      <c r="AE303" s="678"/>
      <c r="AF303" s="678"/>
      <c r="AG303" s="678"/>
      <c r="AH303" s="678"/>
      <c r="AI303" s="678"/>
      <c r="AJ303" s="678"/>
      <c r="AK303" s="658"/>
    </row>
    <row r="304" spans="2:37" s="5" customFormat="1">
      <c r="B304" s="313"/>
      <c r="C304" s="835"/>
      <c r="D304" s="17" t="s">
        <v>28</v>
      </c>
      <c r="E304" s="88">
        <f>$H$5+2+2</f>
        <v>17.25</v>
      </c>
      <c r="F304" s="84">
        <f>F301/44*1.5</f>
        <v>1442.3982954545454</v>
      </c>
      <c r="G304" s="87">
        <v>6</v>
      </c>
      <c r="H304" s="64">
        <f>+G304*F304*E304</f>
        <v>149288.22357954545</v>
      </c>
      <c r="I304" s="79"/>
      <c r="J304" s="52"/>
      <c r="K304" s="156"/>
      <c r="L304" s="383"/>
      <c r="M304" s="542"/>
      <c r="N304" s="578">
        <f t="shared" si="101"/>
        <v>0</v>
      </c>
      <c r="O304" s="678"/>
      <c r="P304" s="678"/>
      <c r="Q304" s="678"/>
      <c r="R304" s="678"/>
      <c r="S304" s="678"/>
      <c r="T304" s="678"/>
      <c r="U304" s="678"/>
      <c r="V304" s="680"/>
      <c r="W304" s="680">
        <f>+H304/6</f>
        <v>24881.370596590907</v>
      </c>
      <c r="X304" s="680">
        <f t="shared" ref="X304:AB304" si="111">+W304</f>
        <v>24881.370596590907</v>
      </c>
      <c r="Y304" s="680">
        <f t="shared" si="111"/>
        <v>24881.370596590907</v>
      </c>
      <c r="Z304" s="680">
        <f t="shared" si="111"/>
        <v>24881.370596590907</v>
      </c>
      <c r="AA304" s="680">
        <f t="shared" si="111"/>
        <v>24881.370596590907</v>
      </c>
      <c r="AB304" s="680">
        <f t="shared" si="111"/>
        <v>24881.370596590907</v>
      </c>
      <c r="AC304" s="680"/>
      <c r="AD304" s="678"/>
      <c r="AE304" s="678"/>
      <c r="AF304" s="678"/>
      <c r="AG304" s="678"/>
      <c r="AH304" s="678"/>
      <c r="AI304" s="678"/>
      <c r="AJ304" s="678"/>
      <c r="AK304" s="658"/>
    </row>
    <row r="305" spans="2:37" s="5" customFormat="1">
      <c r="B305" s="313"/>
      <c r="C305" s="835"/>
      <c r="D305" s="17" t="s">
        <v>1</v>
      </c>
      <c r="E305" s="67" t="s">
        <v>29</v>
      </c>
      <c r="F305" s="84">
        <f>F301/5*1.5</f>
        <v>12693.105</v>
      </c>
      <c r="G305" s="64">
        <f>$H$3</f>
        <v>0</v>
      </c>
      <c r="H305" s="64">
        <f>+G305*F305</f>
        <v>0</v>
      </c>
      <c r="I305" s="79"/>
      <c r="J305" s="52"/>
      <c r="K305" s="156"/>
      <c r="L305" s="383"/>
      <c r="M305" s="542"/>
      <c r="N305" s="578">
        <f t="shared" si="101"/>
        <v>0</v>
      </c>
      <c r="O305" s="678"/>
      <c r="P305" s="678"/>
      <c r="Q305" s="678"/>
      <c r="R305" s="678"/>
      <c r="S305" s="678"/>
      <c r="T305" s="678"/>
      <c r="U305" s="678"/>
      <c r="V305" s="680"/>
      <c r="W305" s="680"/>
      <c r="X305" s="680"/>
      <c r="Y305" s="680"/>
      <c r="Z305" s="680"/>
      <c r="AA305" s="680"/>
      <c r="AB305" s="680"/>
      <c r="AC305" s="680"/>
      <c r="AD305" s="678"/>
      <c r="AE305" s="678"/>
      <c r="AF305" s="678"/>
      <c r="AG305" s="678"/>
      <c r="AH305" s="678"/>
      <c r="AI305" s="678"/>
      <c r="AJ305" s="678"/>
      <c r="AK305" s="658"/>
    </row>
    <row r="306" spans="2:37" s="5" customFormat="1">
      <c r="B306" s="313"/>
      <c r="C306" s="835"/>
      <c r="D306" s="17" t="s">
        <v>4</v>
      </c>
      <c r="E306" s="67" t="s">
        <v>29</v>
      </c>
      <c r="F306" s="84">
        <f>F301/5*2</f>
        <v>16924.14</v>
      </c>
      <c r="G306" s="64">
        <f>$H$4</f>
        <v>0</v>
      </c>
      <c r="H306" s="64">
        <f>+G306*F306</f>
        <v>0</v>
      </c>
      <c r="I306" s="79"/>
      <c r="J306" s="52"/>
      <c r="K306" s="156"/>
      <c r="L306" s="383"/>
      <c r="M306" s="542"/>
      <c r="N306" s="578">
        <f t="shared" si="101"/>
        <v>0</v>
      </c>
      <c r="O306" s="678"/>
      <c r="P306" s="678"/>
      <c r="Q306" s="678"/>
      <c r="R306" s="678"/>
      <c r="S306" s="678"/>
      <c r="T306" s="678"/>
      <c r="U306" s="678"/>
      <c r="V306" s="680"/>
      <c r="W306" s="680"/>
      <c r="X306" s="680"/>
      <c r="Y306" s="680"/>
      <c r="Z306" s="680"/>
      <c r="AA306" s="680"/>
      <c r="AB306" s="680"/>
      <c r="AC306" s="680"/>
      <c r="AD306" s="678"/>
      <c r="AE306" s="678"/>
      <c r="AF306" s="678"/>
      <c r="AG306" s="678"/>
      <c r="AH306" s="678"/>
      <c r="AI306" s="678"/>
      <c r="AJ306" s="678"/>
      <c r="AK306" s="658"/>
    </row>
    <row r="307" spans="2:37" s="5" customFormat="1">
      <c r="B307" s="313"/>
      <c r="C307" s="835"/>
      <c r="D307" s="17" t="s">
        <v>46</v>
      </c>
      <c r="E307" s="81" t="s">
        <v>27</v>
      </c>
      <c r="F307" s="84">
        <f>F301</f>
        <v>42310.35</v>
      </c>
      <c r="G307" s="99">
        <v>0</v>
      </c>
      <c r="H307" s="64">
        <f>+G307*F307</f>
        <v>0</v>
      </c>
      <c r="I307" s="79"/>
      <c r="J307" s="52"/>
      <c r="K307" s="156"/>
      <c r="L307" s="383"/>
      <c r="M307" s="542"/>
      <c r="N307" s="578">
        <f t="shared" si="101"/>
        <v>0</v>
      </c>
      <c r="O307" s="678"/>
      <c r="P307" s="678"/>
      <c r="Q307" s="678"/>
      <c r="R307" s="678"/>
      <c r="S307" s="678"/>
      <c r="T307" s="678"/>
      <c r="U307" s="678"/>
      <c r="V307" s="680"/>
      <c r="W307" s="680"/>
      <c r="X307" s="680"/>
      <c r="Y307" s="680"/>
      <c r="Z307" s="680"/>
      <c r="AA307" s="680"/>
      <c r="AB307" s="680"/>
      <c r="AC307" s="680">
        <f>+H307</f>
        <v>0</v>
      </c>
      <c r="AD307" s="678"/>
      <c r="AE307" s="678"/>
      <c r="AF307" s="678"/>
      <c r="AG307" s="678"/>
      <c r="AH307" s="678"/>
      <c r="AI307" s="678"/>
      <c r="AJ307" s="678"/>
      <c r="AK307" s="658"/>
    </row>
    <row r="308" spans="2:37" s="5" customFormat="1">
      <c r="B308" s="313"/>
      <c r="C308" s="835"/>
      <c r="D308" s="17" t="s">
        <v>30</v>
      </c>
      <c r="E308" s="67" t="s">
        <v>16</v>
      </c>
      <c r="F308" s="101">
        <f>G302+G303+G307</f>
        <v>6.6</v>
      </c>
      <c r="G308" s="68" t="s">
        <v>31</v>
      </c>
      <c r="H308" s="64">
        <f>SUM(H302:H307)</f>
        <v>428536.53357954544</v>
      </c>
      <c r="I308" s="79"/>
      <c r="J308" s="52"/>
      <c r="K308" s="156"/>
      <c r="L308" s="383"/>
      <c r="M308" s="542"/>
      <c r="N308" s="578">
        <f t="shared" si="101"/>
        <v>-428536.53357954544</v>
      </c>
      <c r="O308" s="678"/>
      <c r="P308" s="678"/>
      <c r="Q308" s="678"/>
      <c r="R308" s="678"/>
      <c r="S308" s="678"/>
      <c r="T308" s="678"/>
      <c r="U308" s="678"/>
      <c r="V308" s="680"/>
      <c r="W308" s="680"/>
      <c r="X308" s="680"/>
      <c r="Y308" s="680"/>
      <c r="Z308" s="680"/>
      <c r="AA308" s="680"/>
      <c r="AB308" s="680"/>
      <c r="AC308" s="681"/>
      <c r="AD308" s="678"/>
      <c r="AE308" s="678"/>
      <c r="AF308" s="678"/>
      <c r="AG308" s="678"/>
      <c r="AH308" s="678"/>
      <c r="AI308" s="678"/>
      <c r="AJ308" s="678"/>
      <c r="AK308" s="658"/>
    </row>
    <row r="309" spans="2:37" s="5" customFormat="1">
      <c r="B309" s="313"/>
      <c r="C309" s="835"/>
      <c r="D309" s="19" t="s">
        <v>32</v>
      </c>
      <c r="E309" s="67" t="s">
        <v>16</v>
      </c>
      <c r="F309" s="84">
        <f>SUM(H302:H307)</f>
        <v>428536.53357954544</v>
      </c>
      <c r="G309" s="92">
        <f>$G$43</f>
        <v>8.3299999999999999E-2</v>
      </c>
      <c r="H309" s="64">
        <f>+G309*F309</f>
        <v>35697.093247176133</v>
      </c>
      <c r="I309" s="93"/>
      <c r="J309" s="52"/>
      <c r="K309" s="156"/>
      <c r="L309" s="383"/>
      <c r="M309" s="542"/>
      <c r="N309" s="578">
        <f t="shared" si="101"/>
        <v>0</v>
      </c>
      <c r="O309" s="678"/>
      <c r="P309" s="678"/>
      <c r="Q309" s="678"/>
      <c r="R309" s="678"/>
      <c r="S309" s="678"/>
      <c r="T309" s="678"/>
      <c r="U309" s="678"/>
      <c r="V309" s="680">
        <f t="shared" ref="V309:W309" si="112">SUM(V300:V308)*$G$54</f>
        <v>2114.6712929999999</v>
      </c>
      <c r="W309" s="680">
        <f t="shared" si="112"/>
        <v>5597.0703256960223</v>
      </c>
      <c r="X309" s="680">
        <f t="shared" ref="X309:AC309" si="113">SUM(X300:X308)*$G$54</f>
        <v>5597.0703256960223</v>
      </c>
      <c r="Y309" s="680">
        <f t="shared" si="113"/>
        <v>5597.0703256960223</v>
      </c>
      <c r="Z309" s="680">
        <f t="shared" si="113"/>
        <v>5597.0703256960223</v>
      </c>
      <c r="AA309" s="680">
        <f t="shared" si="113"/>
        <v>5597.0703256960223</v>
      </c>
      <c r="AB309" s="680">
        <f t="shared" si="113"/>
        <v>5597.0703256960223</v>
      </c>
      <c r="AC309" s="680">
        <f t="shared" si="113"/>
        <v>0</v>
      </c>
      <c r="AD309" s="678"/>
      <c r="AE309" s="678"/>
      <c r="AF309" s="678"/>
      <c r="AG309" s="678"/>
      <c r="AH309" s="678"/>
      <c r="AI309" s="678"/>
      <c r="AJ309" s="678"/>
      <c r="AK309" s="658"/>
    </row>
    <row r="310" spans="2:37" s="5" customFormat="1">
      <c r="B310" s="313"/>
      <c r="C310" s="835"/>
      <c r="D310" s="19" t="s">
        <v>33</v>
      </c>
      <c r="E310" s="84">
        <f>F309/(5*F308)</f>
        <v>12985.955563016529</v>
      </c>
      <c r="F310" s="84">
        <f>E310*(F308*7)</f>
        <v>599951.14701136353</v>
      </c>
      <c r="G310" s="95">
        <f>$G$44</f>
        <v>20</v>
      </c>
      <c r="H310" s="64">
        <f>F310/G310</f>
        <v>29997.557350568175</v>
      </c>
      <c r="I310" s="72">
        <f>SUM(H308:H310)</f>
        <v>494231.18417728978</v>
      </c>
      <c r="J310" s="52">
        <f>SUM(G302:G310)</f>
        <v>32.683300000000003</v>
      </c>
      <c r="K310" s="156"/>
      <c r="L310" s="383"/>
      <c r="M310" s="542"/>
      <c r="N310" s="578">
        <f t="shared" si="101"/>
        <v>0</v>
      </c>
      <c r="O310" s="678"/>
      <c r="P310" s="678"/>
      <c r="Q310" s="678"/>
      <c r="R310" s="678"/>
      <c r="S310" s="678"/>
      <c r="T310" s="678"/>
      <c r="U310" s="678"/>
      <c r="V310" s="681"/>
      <c r="W310" s="681"/>
      <c r="X310" s="681"/>
      <c r="Y310" s="681"/>
      <c r="Z310" s="681"/>
      <c r="AA310" s="681"/>
      <c r="AB310" s="681"/>
      <c r="AC310" s="681">
        <f>+H310</f>
        <v>29997.557350568175</v>
      </c>
      <c r="AD310" s="678"/>
      <c r="AE310" s="678"/>
      <c r="AF310" s="678"/>
      <c r="AG310" s="678"/>
      <c r="AH310" s="678"/>
      <c r="AI310" s="678"/>
      <c r="AJ310" s="678"/>
      <c r="AK310" s="658"/>
    </row>
    <row r="311" spans="2:37" s="5" customFormat="1">
      <c r="B311" s="313"/>
      <c r="C311" s="835"/>
      <c r="D311" s="96"/>
      <c r="E311" s="9"/>
      <c r="F311" s="74"/>
      <c r="G311" s="97"/>
      <c r="H311" s="78"/>
      <c r="I311" s="79"/>
      <c r="J311" s="52"/>
      <c r="K311" s="156"/>
      <c r="L311" s="383"/>
      <c r="M311" s="542"/>
      <c r="N311" s="578">
        <f t="shared" si="101"/>
        <v>0</v>
      </c>
      <c r="O311" s="678"/>
      <c r="P311" s="678"/>
      <c r="Q311" s="678"/>
      <c r="R311" s="678"/>
      <c r="S311" s="678"/>
      <c r="T311" s="678"/>
      <c r="U311" s="678"/>
      <c r="V311" s="678"/>
      <c r="W311" s="678"/>
      <c r="X311" s="678"/>
      <c r="Y311" s="678"/>
      <c r="Z311" s="678"/>
      <c r="AA311" s="678"/>
      <c r="AB311" s="678"/>
      <c r="AC311" s="678"/>
      <c r="AD311" s="678"/>
      <c r="AE311" s="678"/>
      <c r="AF311" s="678"/>
      <c r="AG311" s="678"/>
      <c r="AH311" s="678"/>
      <c r="AI311" s="678"/>
      <c r="AJ311" s="678"/>
      <c r="AK311" s="658"/>
    </row>
    <row r="312" spans="2:37" s="5" customFormat="1" ht="15" customHeight="1">
      <c r="B312" s="317">
        <v>25</v>
      </c>
      <c r="C312" s="835" t="s">
        <v>887</v>
      </c>
      <c r="D312" s="80" t="s">
        <v>426</v>
      </c>
      <c r="E312" s="243">
        <v>42310.35</v>
      </c>
      <c r="F312" s="402">
        <f>E312</f>
        <v>42310.35</v>
      </c>
      <c r="G312" s="411"/>
      <c r="H312" s="82"/>
      <c r="I312" s="83"/>
      <c r="J312" s="52"/>
      <c r="K312" s="156"/>
      <c r="L312" s="383"/>
      <c r="M312" s="542"/>
      <c r="N312" s="578">
        <f t="shared" si="101"/>
        <v>0</v>
      </c>
      <c r="O312" s="678"/>
      <c r="P312" s="678"/>
      <c r="Q312" s="678"/>
      <c r="R312" s="678"/>
      <c r="S312" s="678"/>
      <c r="T312" s="678"/>
      <c r="U312" s="678"/>
      <c r="V312" s="678"/>
      <c r="W312" s="678"/>
      <c r="X312" s="678"/>
      <c r="Y312" s="678"/>
      <c r="Z312" s="678"/>
      <c r="AA312" s="678"/>
      <c r="AB312" s="678"/>
      <c r="AC312" s="678"/>
      <c r="AD312" s="678"/>
      <c r="AE312" s="678"/>
      <c r="AF312" s="678"/>
      <c r="AG312" s="678"/>
      <c r="AH312" s="678"/>
      <c r="AI312" s="678"/>
      <c r="AJ312" s="678"/>
      <c r="AK312" s="658"/>
    </row>
    <row r="313" spans="2:37" s="5" customFormat="1">
      <c r="B313" s="313"/>
      <c r="C313" s="835"/>
      <c r="D313" s="17" t="s">
        <v>316</v>
      </c>
      <c r="E313" s="243" t="s">
        <v>27</v>
      </c>
      <c r="F313" s="402">
        <f>F312</f>
        <v>42310.35</v>
      </c>
      <c r="G313" s="280">
        <v>0</v>
      </c>
      <c r="H313" s="64">
        <f>+G313*F313</f>
        <v>0</v>
      </c>
      <c r="I313" s="79"/>
      <c r="J313" s="52"/>
      <c r="K313" s="156"/>
      <c r="L313" s="383"/>
      <c r="M313" s="542"/>
      <c r="N313" s="578">
        <f t="shared" si="101"/>
        <v>0</v>
      </c>
      <c r="O313" s="678"/>
      <c r="P313" s="678"/>
      <c r="Q313" s="678"/>
      <c r="R313" s="678"/>
      <c r="S313" s="678"/>
      <c r="T313" s="678"/>
      <c r="U313" s="678"/>
      <c r="V313" s="680">
        <f>+H313</f>
        <v>0</v>
      </c>
      <c r="W313" s="680"/>
      <c r="X313" s="680"/>
      <c r="Y313" s="680"/>
      <c r="Z313" s="680"/>
      <c r="AA313" s="680"/>
      <c r="AB313" s="680"/>
      <c r="AC313" s="680"/>
      <c r="AD313" s="678"/>
      <c r="AE313" s="678"/>
      <c r="AF313" s="678"/>
      <c r="AG313" s="678"/>
      <c r="AH313" s="678"/>
      <c r="AI313" s="678"/>
      <c r="AJ313" s="678"/>
      <c r="AK313" s="658"/>
    </row>
    <row r="314" spans="2:37" s="5" customFormat="1">
      <c r="B314" s="313"/>
      <c r="C314" s="835"/>
      <c r="D314" s="17" t="s">
        <v>3</v>
      </c>
      <c r="E314" s="243" t="s">
        <v>27</v>
      </c>
      <c r="F314" s="402">
        <f>F312</f>
        <v>42310.35</v>
      </c>
      <c r="G314" s="279">
        <v>6</v>
      </c>
      <c r="H314" s="64">
        <f>+G314*F314</f>
        <v>253862.09999999998</v>
      </c>
      <c r="I314" s="79"/>
      <c r="J314" s="52"/>
      <c r="K314" s="156"/>
      <c r="L314" s="383"/>
      <c r="M314" s="542"/>
      <c r="N314" s="578">
        <f t="shared" si="101"/>
        <v>0</v>
      </c>
      <c r="O314" s="678"/>
      <c r="P314" s="678"/>
      <c r="Q314" s="678"/>
      <c r="R314" s="678"/>
      <c r="S314" s="678"/>
      <c r="T314" s="678"/>
      <c r="U314" s="678"/>
      <c r="V314" s="680"/>
      <c r="W314" s="680">
        <f>+F314</f>
        <v>42310.35</v>
      </c>
      <c r="X314" s="680">
        <f t="shared" ref="X314:AB314" si="114">+W314</f>
        <v>42310.35</v>
      </c>
      <c r="Y314" s="680">
        <f t="shared" si="114"/>
        <v>42310.35</v>
      </c>
      <c r="Z314" s="680">
        <f t="shared" si="114"/>
        <v>42310.35</v>
      </c>
      <c r="AA314" s="680">
        <f t="shared" si="114"/>
        <v>42310.35</v>
      </c>
      <c r="AB314" s="680">
        <f t="shared" si="114"/>
        <v>42310.35</v>
      </c>
      <c r="AC314" s="680"/>
      <c r="AD314" s="678"/>
      <c r="AE314" s="678"/>
      <c r="AF314" s="678"/>
      <c r="AG314" s="678"/>
      <c r="AH314" s="678"/>
      <c r="AI314" s="678"/>
      <c r="AJ314" s="678"/>
      <c r="AK314" s="658"/>
    </row>
    <row r="315" spans="2:37" s="5" customFormat="1">
      <c r="B315" s="313"/>
      <c r="C315" s="835"/>
      <c r="D315" s="17" t="s">
        <v>28</v>
      </c>
      <c r="E315" s="88">
        <f>$H$5+2+2</f>
        <v>17.25</v>
      </c>
      <c r="F315" s="84">
        <f>F312/44*1.5</f>
        <v>1442.3982954545454</v>
      </c>
      <c r="G315" s="87">
        <v>6</v>
      </c>
      <c r="H315" s="64">
        <f>+G315*F315*E315</f>
        <v>149288.22357954545</v>
      </c>
      <c r="I315" s="79"/>
      <c r="J315" s="52"/>
      <c r="K315" s="156"/>
      <c r="L315" s="383"/>
      <c r="M315" s="542"/>
      <c r="N315" s="578">
        <f t="shared" si="101"/>
        <v>0</v>
      </c>
      <c r="O315" s="678"/>
      <c r="P315" s="678"/>
      <c r="Q315" s="678"/>
      <c r="R315" s="678"/>
      <c r="S315" s="678"/>
      <c r="T315" s="678"/>
      <c r="U315" s="678"/>
      <c r="V315" s="680"/>
      <c r="W315" s="680">
        <f>+H315/6</f>
        <v>24881.370596590907</v>
      </c>
      <c r="X315" s="680">
        <f t="shared" ref="X315:AB315" si="115">+W315</f>
        <v>24881.370596590907</v>
      </c>
      <c r="Y315" s="680">
        <f t="shared" si="115"/>
        <v>24881.370596590907</v>
      </c>
      <c r="Z315" s="680">
        <f t="shared" si="115"/>
        <v>24881.370596590907</v>
      </c>
      <c r="AA315" s="680">
        <f t="shared" si="115"/>
        <v>24881.370596590907</v>
      </c>
      <c r="AB315" s="680">
        <f t="shared" si="115"/>
        <v>24881.370596590907</v>
      </c>
      <c r="AC315" s="680"/>
      <c r="AD315" s="678"/>
      <c r="AE315" s="678"/>
      <c r="AF315" s="678"/>
      <c r="AG315" s="678"/>
      <c r="AH315" s="678"/>
      <c r="AI315" s="678"/>
      <c r="AJ315" s="678"/>
      <c r="AK315" s="658"/>
    </row>
    <row r="316" spans="2:37" s="5" customFormat="1">
      <c r="B316" s="313"/>
      <c r="C316" s="835"/>
      <c r="D316" s="17" t="s">
        <v>1</v>
      </c>
      <c r="E316" s="67" t="s">
        <v>29</v>
      </c>
      <c r="F316" s="84">
        <f>F312/5*1.5</f>
        <v>12693.105</v>
      </c>
      <c r="G316" s="64">
        <f>$H$3</f>
        <v>0</v>
      </c>
      <c r="H316" s="64">
        <f>+G316*F316</f>
        <v>0</v>
      </c>
      <c r="I316" s="79"/>
      <c r="J316" s="52"/>
      <c r="K316" s="156"/>
      <c r="L316" s="383"/>
      <c r="M316" s="542"/>
      <c r="N316" s="578">
        <f t="shared" si="101"/>
        <v>0</v>
      </c>
      <c r="O316" s="678"/>
      <c r="P316" s="678"/>
      <c r="Q316" s="678"/>
      <c r="R316" s="678"/>
      <c r="S316" s="678"/>
      <c r="T316" s="678"/>
      <c r="U316" s="678"/>
      <c r="V316" s="680"/>
      <c r="W316" s="680"/>
      <c r="X316" s="680"/>
      <c r="Y316" s="680"/>
      <c r="Z316" s="680"/>
      <c r="AA316" s="680"/>
      <c r="AB316" s="680"/>
      <c r="AC316" s="680"/>
      <c r="AD316" s="678"/>
      <c r="AE316" s="678"/>
      <c r="AF316" s="678"/>
      <c r="AG316" s="678"/>
      <c r="AH316" s="678"/>
      <c r="AI316" s="678"/>
      <c r="AJ316" s="678"/>
      <c r="AK316" s="658"/>
    </row>
    <row r="317" spans="2:37" s="5" customFormat="1">
      <c r="B317" s="313"/>
      <c r="C317" s="835"/>
      <c r="D317" s="17" t="s">
        <v>4</v>
      </c>
      <c r="E317" s="67" t="s">
        <v>29</v>
      </c>
      <c r="F317" s="84">
        <f>F312/5*2</f>
        <v>16924.14</v>
      </c>
      <c r="G317" s="64">
        <f>$H$4</f>
        <v>0</v>
      </c>
      <c r="H317" s="64">
        <f>+G317*F317</f>
        <v>0</v>
      </c>
      <c r="I317" s="79"/>
      <c r="J317" s="52"/>
      <c r="K317" s="156"/>
      <c r="L317" s="383"/>
      <c r="M317" s="542"/>
      <c r="N317" s="578">
        <f t="shared" si="101"/>
        <v>0</v>
      </c>
      <c r="O317" s="678"/>
      <c r="P317" s="678"/>
      <c r="Q317" s="678"/>
      <c r="R317" s="678"/>
      <c r="S317" s="678"/>
      <c r="T317" s="678"/>
      <c r="U317" s="678"/>
      <c r="V317" s="680"/>
      <c r="W317" s="680"/>
      <c r="X317" s="680"/>
      <c r="Y317" s="680"/>
      <c r="Z317" s="680"/>
      <c r="AA317" s="680"/>
      <c r="AB317" s="680"/>
      <c r="AC317" s="680"/>
      <c r="AD317" s="678"/>
      <c r="AE317" s="678"/>
      <c r="AF317" s="678"/>
      <c r="AG317" s="678"/>
      <c r="AH317" s="678"/>
      <c r="AI317" s="678"/>
      <c r="AJ317" s="678"/>
      <c r="AK317" s="658"/>
    </row>
    <row r="318" spans="2:37" s="5" customFormat="1">
      <c r="B318" s="313"/>
      <c r="C318" s="835"/>
      <c r="D318" s="17" t="s">
        <v>46</v>
      </c>
      <c r="E318" s="81" t="s">
        <v>27</v>
      </c>
      <c r="F318" s="84">
        <f>F312</f>
        <v>42310.35</v>
      </c>
      <c r="G318" s="99">
        <v>0</v>
      </c>
      <c r="H318" s="64">
        <f>+G318*F318</f>
        <v>0</v>
      </c>
      <c r="I318" s="79"/>
      <c r="J318" s="52"/>
      <c r="K318" s="156"/>
      <c r="L318" s="383"/>
      <c r="M318" s="542"/>
      <c r="N318" s="578">
        <f t="shared" si="101"/>
        <v>0</v>
      </c>
      <c r="O318" s="678"/>
      <c r="P318" s="678"/>
      <c r="Q318" s="678"/>
      <c r="R318" s="678"/>
      <c r="S318" s="678"/>
      <c r="T318" s="678"/>
      <c r="U318" s="678"/>
      <c r="V318" s="680"/>
      <c r="W318" s="680"/>
      <c r="X318" s="680"/>
      <c r="Y318" s="680"/>
      <c r="Z318" s="680"/>
      <c r="AA318" s="680"/>
      <c r="AB318" s="680"/>
      <c r="AC318" s="680">
        <f>+H318</f>
        <v>0</v>
      </c>
      <c r="AD318" s="678"/>
      <c r="AE318" s="678"/>
      <c r="AF318" s="678"/>
      <c r="AG318" s="678"/>
      <c r="AH318" s="678"/>
      <c r="AI318" s="678"/>
      <c r="AJ318" s="678"/>
      <c r="AK318" s="658"/>
    </row>
    <row r="319" spans="2:37" s="5" customFormat="1">
      <c r="B319" s="313"/>
      <c r="C319" s="835"/>
      <c r="D319" s="17" t="s">
        <v>30</v>
      </c>
      <c r="E319" s="67" t="s">
        <v>16</v>
      </c>
      <c r="F319" s="101">
        <f>G313+G314+G318</f>
        <v>6</v>
      </c>
      <c r="G319" s="68" t="s">
        <v>31</v>
      </c>
      <c r="H319" s="64">
        <f>SUM(H313:H318)</f>
        <v>403150.32357954542</v>
      </c>
      <c r="I319" s="79"/>
      <c r="J319" s="52"/>
      <c r="K319" s="156"/>
      <c r="L319" s="383"/>
      <c r="M319" s="542"/>
      <c r="N319" s="578">
        <f t="shared" si="101"/>
        <v>-403150.32357954542</v>
      </c>
      <c r="O319" s="678"/>
      <c r="P319" s="678"/>
      <c r="Q319" s="678"/>
      <c r="R319" s="678"/>
      <c r="S319" s="678"/>
      <c r="T319" s="678"/>
      <c r="U319" s="678"/>
      <c r="V319" s="680"/>
      <c r="W319" s="680"/>
      <c r="X319" s="680"/>
      <c r="Y319" s="680"/>
      <c r="Z319" s="680"/>
      <c r="AA319" s="680"/>
      <c r="AB319" s="680"/>
      <c r="AC319" s="681"/>
      <c r="AD319" s="678"/>
      <c r="AE319" s="678"/>
      <c r="AF319" s="678"/>
      <c r="AG319" s="678"/>
      <c r="AH319" s="678"/>
      <c r="AI319" s="678"/>
      <c r="AJ319" s="678"/>
      <c r="AK319" s="658"/>
    </row>
    <row r="320" spans="2:37" s="5" customFormat="1">
      <c r="B320" s="313"/>
      <c r="C320" s="835"/>
      <c r="D320" s="19" t="s">
        <v>32</v>
      </c>
      <c r="E320" s="67" t="s">
        <v>16</v>
      </c>
      <c r="F320" s="84">
        <f>SUM(H313:H318)</f>
        <v>403150.32357954542</v>
      </c>
      <c r="G320" s="92">
        <f>$G$43</f>
        <v>8.3299999999999999E-2</v>
      </c>
      <c r="H320" s="64">
        <f>+G320*F320</f>
        <v>33582.421954176134</v>
      </c>
      <c r="I320" s="93"/>
      <c r="J320" s="52"/>
      <c r="K320" s="156"/>
      <c r="L320" s="383"/>
      <c r="M320" s="542"/>
      <c r="N320" s="578">
        <f t="shared" si="101"/>
        <v>0</v>
      </c>
      <c r="O320" s="678"/>
      <c r="P320" s="678"/>
      <c r="Q320" s="678"/>
      <c r="R320" s="678"/>
      <c r="S320" s="678"/>
      <c r="T320" s="678"/>
      <c r="U320" s="678"/>
      <c r="V320" s="680">
        <f t="shared" ref="V320:W320" si="116">SUM(V311:V319)*$G$54</f>
        <v>0</v>
      </c>
      <c r="W320" s="680">
        <f t="shared" si="116"/>
        <v>5597.0703256960223</v>
      </c>
      <c r="X320" s="680">
        <f t="shared" ref="X320:AC320" si="117">SUM(X311:X319)*$G$54</f>
        <v>5597.0703256960223</v>
      </c>
      <c r="Y320" s="680">
        <f t="shared" si="117"/>
        <v>5597.0703256960223</v>
      </c>
      <c r="Z320" s="680">
        <f t="shared" si="117"/>
        <v>5597.0703256960223</v>
      </c>
      <c r="AA320" s="680">
        <f t="shared" si="117"/>
        <v>5597.0703256960223</v>
      </c>
      <c r="AB320" s="680">
        <f t="shared" si="117"/>
        <v>5597.0703256960223</v>
      </c>
      <c r="AC320" s="680">
        <f t="shared" si="117"/>
        <v>0</v>
      </c>
      <c r="AD320" s="678"/>
      <c r="AE320" s="678"/>
      <c r="AF320" s="678"/>
      <c r="AG320" s="678"/>
      <c r="AH320" s="678"/>
      <c r="AI320" s="678"/>
      <c r="AJ320" s="678"/>
      <c r="AK320" s="658"/>
    </row>
    <row r="321" spans="2:37" s="5" customFormat="1">
      <c r="B321" s="313"/>
      <c r="C321" s="835"/>
      <c r="D321" s="19" t="s">
        <v>33</v>
      </c>
      <c r="E321" s="84">
        <f>F320/(5*F319)</f>
        <v>13438.344119318181</v>
      </c>
      <c r="F321" s="84">
        <f>E321*(F319*7)</f>
        <v>564410.45301136363</v>
      </c>
      <c r="G321" s="95">
        <f>$G$44</f>
        <v>20</v>
      </c>
      <c r="H321" s="64">
        <f>F321/G321</f>
        <v>28220.522650568182</v>
      </c>
      <c r="I321" s="72">
        <f>SUM(H319:H321)</f>
        <v>464953.26818428974</v>
      </c>
      <c r="J321" s="52">
        <f>SUM(G313:G321)</f>
        <v>32.083300000000001</v>
      </c>
      <c r="K321" s="156"/>
      <c r="L321" s="383"/>
      <c r="M321" s="542"/>
      <c r="N321" s="578">
        <f t="shared" si="101"/>
        <v>0</v>
      </c>
      <c r="O321" s="678"/>
      <c r="P321" s="678"/>
      <c r="Q321" s="678"/>
      <c r="R321" s="678"/>
      <c r="S321" s="678"/>
      <c r="T321" s="678"/>
      <c r="U321" s="678"/>
      <c r="V321" s="681"/>
      <c r="W321" s="681"/>
      <c r="X321" s="681"/>
      <c r="Y321" s="681"/>
      <c r="Z321" s="681"/>
      <c r="AA321" s="681"/>
      <c r="AB321" s="681"/>
      <c r="AC321" s="681">
        <f>+H321</f>
        <v>28220.522650568182</v>
      </c>
      <c r="AD321" s="678"/>
      <c r="AE321" s="678"/>
      <c r="AF321" s="678"/>
      <c r="AG321" s="678"/>
      <c r="AH321" s="678"/>
      <c r="AI321" s="678"/>
      <c r="AJ321" s="678"/>
      <c r="AK321" s="658"/>
    </row>
    <row r="322" spans="2:37" s="5" customFormat="1">
      <c r="B322" s="313"/>
      <c r="C322" s="835"/>
      <c r="D322" s="117"/>
      <c r="E322" s="74"/>
      <c r="F322" s="74"/>
      <c r="G322" s="401"/>
      <c r="H322" s="78"/>
      <c r="I322" s="79"/>
      <c r="J322" s="52"/>
      <c r="K322" s="156"/>
      <c r="L322" s="383"/>
      <c r="M322" s="542"/>
      <c r="N322" s="578">
        <f t="shared" si="101"/>
        <v>0</v>
      </c>
      <c r="O322" s="678"/>
      <c r="P322" s="678"/>
      <c r="Q322" s="678"/>
      <c r="R322" s="678"/>
      <c r="S322" s="678"/>
      <c r="T322" s="678"/>
      <c r="U322" s="678"/>
      <c r="V322" s="678"/>
      <c r="W322" s="678"/>
      <c r="X322" s="678"/>
      <c r="Y322" s="678"/>
      <c r="Z322" s="678"/>
      <c r="AA322" s="678"/>
      <c r="AB322" s="678"/>
      <c r="AC322" s="678"/>
      <c r="AD322" s="678"/>
      <c r="AE322" s="678"/>
      <c r="AF322" s="678"/>
      <c r="AG322" s="678"/>
      <c r="AH322" s="678"/>
      <c r="AI322" s="678"/>
      <c r="AJ322" s="678"/>
      <c r="AK322" s="658"/>
    </row>
    <row r="323" spans="2:37" s="5" customFormat="1" ht="15" customHeight="1">
      <c r="B323" s="317">
        <v>26</v>
      </c>
      <c r="C323" s="835" t="s">
        <v>888</v>
      </c>
      <c r="D323" s="80" t="s">
        <v>428</v>
      </c>
      <c r="E323" s="243">
        <f>+E312</f>
        <v>42310.35</v>
      </c>
      <c r="F323" s="402">
        <f>E323</f>
        <v>42310.35</v>
      </c>
      <c r="G323" s="411"/>
      <c r="H323" s="82"/>
      <c r="I323" s="83"/>
      <c r="J323" s="52"/>
      <c r="K323" s="156"/>
      <c r="L323" s="383"/>
      <c r="M323" s="542"/>
      <c r="N323" s="578">
        <f t="shared" si="101"/>
        <v>0</v>
      </c>
      <c r="O323" s="678"/>
      <c r="P323" s="678"/>
      <c r="Q323" s="678"/>
      <c r="R323" s="678"/>
      <c r="S323" s="678"/>
      <c r="T323" s="678"/>
      <c r="U323" s="678"/>
      <c r="V323" s="678"/>
      <c r="W323" s="678"/>
      <c r="X323" s="678"/>
      <c r="Y323" s="678"/>
      <c r="Z323" s="678"/>
      <c r="AA323" s="678"/>
      <c r="AB323" s="678"/>
      <c r="AC323" s="678"/>
      <c r="AD323" s="678"/>
      <c r="AE323" s="678"/>
      <c r="AF323" s="678"/>
      <c r="AG323" s="678"/>
      <c r="AH323" s="678"/>
      <c r="AI323" s="678"/>
      <c r="AJ323" s="678"/>
      <c r="AK323" s="658"/>
    </row>
    <row r="324" spans="2:37" s="5" customFormat="1">
      <c r="B324" s="313"/>
      <c r="C324" s="835"/>
      <c r="D324" s="17" t="s">
        <v>316</v>
      </c>
      <c r="E324" s="243" t="s">
        <v>27</v>
      </c>
      <c r="F324" s="402">
        <f>F323</f>
        <v>42310.35</v>
      </c>
      <c r="G324" s="280">
        <v>0</v>
      </c>
      <c r="H324" s="64">
        <f>+G324*F324</f>
        <v>0</v>
      </c>
      <c r="I324" s="79"/>
      <c r="J324" s="52"/>
      <c r="K324" s="156"/>
      <c r="L324" s="383"/>
      <c r="M324" s="542"/>
      <c r="N324" s="578">
        <f t="shared" si="101"/>
        <v>0</v>
      </c>
      <c r="O324" s="678"/>
      <c r="P324" s="678"/>
      <c r="Q324" s="678"/>
      <c r="R324" s="678"/>
      <c r="S324" s="678"/>
      <c r="T324" s="678"/>
      <c r="U324" s="678"/>
      <c r="V324" s="680">
        <f>+H324</f>
        <v>0</v>
      </c>
      <c r="W324" s="680"/>
      <c r="X324" s="680"/>
      <c r="Y324" s="680"/>
      <c r="Z324" s="680"/>
      <c r="AA324" s="680"/>
      <c r="AB324" s="680"/>
      <c r="AC324" s="680"/>
      <c r="AD324" s="678"/>
      <c r="AE324" s="678"/>
      <c r="AF324" s="678"/>
      <c r="AG324" s="678"/>
      <c r="AH324" s="678"/>
      <c r="AI324" s="678"/>
      <c r="AJ324" s="678"/>
      <c r="AK324" s="658"/>
    </row>
    <row r="325" spans="2:37" s="5" customFormat="1">
      <c r="B325" s="313"/>
      <c r="C325" s="835"/>
      <c r="D325" s="17" t="s">
        <v>3</v>
      </c>
      <c r="E325" s="243" t="s">
        <v>27</v>
      </c>
      <c r="F325" s="402">
        <f>F323</f>
        <v>42310.35</v>
      </c>
      <c r="G325" s="279">
        <v>6</v>
      </c>
      <c r="H325" s="64">
        <f>+G325*F325</f>
        <v>253862.09999999998</v>
      </c>
      <c r="I325" s="79"/>
      <c r="J325" s="52"/>
      <c r="K325" s="156"/>
      <c r="L325" s="383"/>
      <c r="M325" s="542"/>
      <c r="N325" s="578">
        <f t="shared" si="101"/>
        <v>0</v>
      </c>
      <c r="O325" s="678"/>
      <c r="P325" s="678"/>
      <c r="Q325" s="678"/>
      <c r="R325" s="678"/>
      <c r="S325" s="678"/>
      <c r="T325" s="678"/>
      <c r="U325" s="678"/>
      <c r="V325" s="680"/>
      <c r="W325" s="680">
        <f>+F325</f>
        <v>42310.35</v>
      </c>
      <c r="X325" s="680">
        <f t="shared" ref="X325:AB325" si="118">+W325</f>
        <v>42310.35</v>
      </c>
      <c r="Y325" s="680">
        <f t="shared" si="118"/>
        <v>42310.35</v>
      </c>
      <c r="Z325" s="680">
        <f t="shared" si="118"/>
        <v>42310.35</v>
      </c>
      <c r="AA325" s="680">
        <f t="shared" si="118"/>
        <v>42310.35</v>
      </c>
      <c r="AB325" s="680">
        <f t="shared" si="118"/>
        <v>42310.35</v>
      </c>
      <c r="AC325" s="680"/>
      <c r="AD325" s="678"/>
      <c r="AE325" s="678"/>
      <c r="AF325" s="678"/>
      <c r="AG325" s="678"/>
      <c r="AH325" s="678"/>
      <c r="AI325" s="678"/>
      <c r="AJ325" s="678"/>
      <c r="AK325" s="658"/>
    </row>
    <row r="326" spans="2:37" s="5" customFormat="1">
      <c r="B326" s="313"/>
      <c r="C326" s="835"/>
      <c r="D326" s="17" t="s">
        <v>28</v>
      </c>
      <c r="E326" s="88">
        <f>$H$5+2+2</f>
        <v>17.25</v>
      </c>
      <c r="F326" s="84">
        <f>F323/44*1.5</f>
        <v>1442.3982954545454</v>
      </c>
      <c r="G326" s="87">
        <v>6</v>
      </c>
      <c r="H326" s="64">
        <f>+G326*F326*E326</f>
        <v>149288.22357954545</v>
      </c>
      <c r="I326" s="79"/>
      <c r="J326" s="52"/>
      <c r="K326" s="156"/>
      <c r="L326" s="383"/>
      <c r="M326" s="542"/>
      <c r="N326" s="578">
        <f t="shared" si="101"/>
        <v>0</v>
      </c>
      <c r="O326" s="678"/>
      <c r="P326" s="678"/>
      <c r="Q326" s="678"/>
      <c r="R326" s="678"/>
      <c r="S326" s="678"/>
      <c r="T326" s="678"/>
      <c r="U326" s="678"/>
      <c r="V326" s="680"/>
      <c r="W326" s="680">
        <f>+H326/6</f>
        <v>24881.370596590907</v>
      </c>
      <c r="X326" s="680">
        <f t="shared" ref="X326:AB326" si="119">+W326</f>
        <v>24881.370596590907</v>
      </c>
      <c r="Y326" s="680">
        <f t="shared" si="119"/>
        <v>24881.370596590907</v>
      </c>
      <c r="Z326" s="680">
        <f t="shared" si="119"/>
        <v>24881.370596590907</v>
      </c>
      <c r="AA326" s="680">
        <f t="shared" si="119"/>
        <v>24881.370596590907</v>
      </c>
      <c r="AB326" s="680">
        <f t="shared" si="119"/>
        <v>24881.370596590907</v>
      </c>
      <c r="AC326" s="680"/>
      <c r="AD326" s="678"/>
      <c r="AE326" s="678"/>
      <c r="AF326" s="678"/>
      <c r="AG326" s="678"/>
      <c r="AH326" s="678"/>
      <c r="AI326" s="678"/>
      <c r="AJ326" s="678"/>
      <c r="AK326" s="658"/>
    </row>
    <row r="327" spans="2:37" s="5" customFormat="1">
      <c r="B327" s="313"/>
      <c r="C327" s="835"/>
      <c r="D327" s="17" t="s">
        <v>1</v>
      </c>
      <c r="E327" s="67" t="s">
        <v>29</v>
      </c>
      <c r="F327" s="84">
        <f>F323/5*1.5</f>
        <v>12693.105</v>
      </c>
      <c r="G327" s="64">
        <f>$H$3</f>
        <v>0</v>
      </c>
      <c r="H327" s="64">
        <f>+G327*F327</f>
        <v>0</v>
      </c>
      <c r="I327" s="79"/>
      <c r="J327" s="52"/>
      <c r="K327" s="156"/>
      <c r="L327" s="383"/>
      <c r="M327" s="542"/>
      <c r="N327" s="578">
        <f t="shared" si="101"/>
        <v>0</v>
      </c>
      <c r="O327" s="678"/>
      <c r="P327" s="678"/>
      <c r="Q327" s="678"/>
      <c r="R327" s="678"/>
      <c r="S327" s="678"/>
      <c r="T327" s="678"/>
      <c r="U327" s="678"/>
      <c r="V327" s="680"/>
      <c r="W327" s="680"/>
      <c r="X327" s="680"/>
      <c r="Y327" s="680"/>
      <c r="Z327" s="680"/>
      <c r="AA327" s="680"/>
      <c r="AB327" s="680"/>
      <c r="AC327" s="680"/>
      <c r="AD327" s="678"/>
      <c r="AE327" s="678"/>
      <c r="AF327" s="678"/>
      <c r="AG327" s="678"/>
      <c r="AH327" s="678"/>
      <c r="AI327" s="678"/>
      <c r="AJ327" s="678"/>
      <c r="AK327" s="658"/>
    </row>
    <row r="328" spans="2:37" s="5" customFormat="1">
      <c r="B328" s="313"/>
      <c r="C328" s="835"/>
      <c r="D328" s="17" t="s">
        <v>4</v>
      </c>
      <c r="E328" s="67" t="s">
        <v>29</v>
      </c>
      <c r="F328" s="84">
        <f>F323/5*2</f>
        <v>16924.14</v>
      </c>
      <c r="G328" s="64">
        <f>$H$4</f>
        <v>0</v>
      </c>
      <c r="H328" s="64">
        <f>+G328*F328</f>
        <v>0</v>
      </c>
      <c r="I328" s="79"/>
      <c r="J328" s="52"/>
      <c r="K328" s="156"/>
      <c r="L328" s="383"/>
      <c r="M328" s="542"/>
      <c r="N328" s="578">
        <f t="shared" si="101"/>
        <v>0</v>
      </c>
      <c r="O328" s="678"/>
      <c r="P328" s="678"/>
      <c r="Q328" s="678"/>
      <c r="R328" s="678"/>
      <c r="S328" s="678"/>
      <c r="T328" s="678"/>
      <c r="U328" s="678"/>
      <c r="V328" s="680"/>
      <c r="W328" s="680"/>
      <c r="X328" s="680"/>
      <c r="Y328" s="680"/>
      <c r="Z328" s="680"/>
      <c r="AA328" s="680"/>
      <c r="AB328" s="680"/>
      <c r="AC328" s="680"/>
      <c r="AD328" s="678"/>
      <c r="AE328" s="678"/>
      <c r="AF328" s="678"/>
      <c r="AG328" s="678"/>
      <c r="AH328" s="678"/>
      <c r="AI328" s="678"/>
      <c r="AJ328" s="678"/>
      <c r="AK328" s="658"/>
    </row>
    <row r="329" spans="2:37" s="5" customFormat="1">
      <c r="B329" s="313"/>
      <c r="C329" s="835"/>
      <c r="D329" s="17" t="s">
        <v>46</v>
      </c>
      <c r="E329" s="81" t="s">
        <v>27</v>
      </c>
      <c r="F329" s="84">
        <f>F323</f>
        <v>42310.35</v>
      </c>
      <c r="G329" s="99">
        <v>0</v>
      </c>
      <c r="H329" s="64">
        <f>+G329*F329</f>
        <v>0</v>
      </c>
      <c r="I329" s="79"/>
      <c r="J329" s="52"/>
      <c r="K329" s="156"/>
      <c r="L329" s="383"/>
      <c r="M329" s="542"/>
      <c r="N329" s="578">
        <f t="shared" si="101"/>
        <v>0</v>
      </c>
      <c r="O329" s="678"/>
      <c r="P329" s="678"/>
      <c r="Q329" s="678"/>
      <c r="R329" s="678"/>
      <c r="S329" s="678"/>
      <c r="T329" s="678"/>
      <c r="U329" s="678"/>
      <c r="V329" s="680"/>
      <c r="W329" s="680"/>
      <c r="X329" s="680"/>
      <c r="Y329" s="680"/>
      <c r="Z329" s="680"/>
      <c r="AA329" s="680"/>
      <c r="AB329" s="680"/>
      <c r="AC329" s="680">
        <f>+H329</f>
        <v>0</v>
      </c>
      <c r="AD329" s="678"/>
      <c r="AE329" s="678"/>
      <c r="AF329" s="678"/>
      <c r="AG329" s="678"/>
      <c r="AH329" s="678"/>
      <c r="AI329" s="678"/>
      <c r="AJ329" s="678"/>
      <c r="AK329" s="658"/>
    </row>
    <row r="330" spans="2:37" s="5" customFormat="1">
      <c r="B330" s="313"/>
      <c r="C330" s="835"/>
      <c r="D330" s="17" t="s">
        <v>30</v>
      </c>
      <c r="E330" s="67" t="s">
        <v>16</v>
      </c>
      <c r="F330" s="101">
        <f>G324+G325+G329</f>
        <v>6</v>
      </c>
      <c r="G330" s="68" t="s">
        <v>31</v>
      </c>
      <c r="H330" s="64">
        <f>SUM(H324:H329)</f>
        <v>403150.32357954542</v>
      </c>
      <c r="I330" s="79"/>
      <c r="J330" s="52"/>
      <c r="K330" s="156"/>
      <c r="L330" s="383"/>
      <c r="M330" s="542"/>
      <c r="N330" s="578">
        <f t="shared" si="101"/>
        <v>-403150.32357954542</v>
      </c>
      <c r="O330" s="678"/>
      <c r="P330" s="678"/>
      <c r="Q330" s="678"/>
      <c r="R330" s="678"/>
      <c r="S330" s="678"/>
      <c r="T330" s="678"/>
      <c r="U330" s="678"/>
      <c r="V330" s="680"/>
      <c r="W330" s="680"/>
      <c r="X330" s="680"/>
      <c r="Y330" s="680"/>
      <c r="Z330" s="680"/>
      <c r="AA330" s="680"/>
      <c r="AB330" s="680"/>
      <c r="AC330" s="681"/>
      <c r="AD330" s="678"/>
      <c r="AE330" s="678"/>
      <c r="AF330" s="678"/>
      <c r="AG330" s="678"/>
      <c r="AH330" s="678"/>
      <c r="AI330" s="678"/>
      <c r="AJ330" s="678"/>
      <c r="AK330" s="658"/>
    </row>
    <row r="331" spans="2:37" s="5" customFormat="1">
      <c r="B331" s="313"/>
      <c r="C331" s="835"/>
      <c r="D331" s="19" t="s">
        <v>32</v>
      </c>
      <c r="E331" s="67" t="s">
        <v>16</v>
      </c>
      <c r="F331" s="84">
        <f>SUM(H324:H329)</f>
        <v>403150.32357954542</v>
      </c>
      <c r="G331" s="92">
        <f>$G$43</f>
        <v>8.3299999999999999E-2</v>
      </c>
      <c r="H331" s="64">
        <f>+G331*F331</f>
        <v>33582.421954176134</v>
      </c>
      <c r="I331" s="93"/>
      <c r="J331" s="52"/>
      <c r="K331" s="156"/>
      <c r="L331" s="383"/>
      <c r="M331" s="542"/>
      <c r="N331" s="578">
        <f t="shared" si="101"/>
        <v>0</v>
      </c>
      <c r="O331" s="678"/>
      <c r="P331" s="678"/>
      <c r="Q331" s="678"/>
      <c r="R331" s="678"/>
      <c r="S331" s="678"/>
      <c r="T331" s="678"/>
      <c r="U331" s="678"/>
      <c r="V331" s="680">
        <f t="shared" ref="V331:W331" si="120">SUM(V322:V330)*$G$54</f>
        <v>0</v>
      </c>
      <c r="W331" s="680">
        <f t="shared" si="120"/>
        <v>5597.0703256960223</v>
      </c>
      <c r="X331" s="680">
        <f t="shared" ref="X331:AC331" si="121">SUM(X322:X330)*$G$54</f>
        <v>5597.0703256960223</v>
      </c>
      <c r="Y331" s="680">
        <f t="shared" si="121"/>
        <v>5597.0703256960223</v>
      </c>
      <c r="Z331" s="680">
        <f t="shared" si="121"/>
        <v>5597.0703256960223</v>
      </c>
      <c r="AA331" s="680">
        <f t="shared" si="121"/>
        <v>5597.0703256960223</v>
      </c>
      <c r="AB331" s="680">
        <f t="shared" si="121"/>
        <v>5597.0703256960223</v>
      </c>
      <c r="AC331" s="680">
        <f t="shared" si="121"/>
        <v>0</v>
      </c>
      <c r="AD331" s="678"/>
      <c r="AE331" s="678"/>
      <c r="AF331" s="678"/>
      <c r="AG331" s="678"/>
      <c r="AH331" s="678"/>
      <c r="AI331" s="678"/>
      <c r="AJ331" s="678"/>
      <c r="AK331" s="658"/>
    </row>
    <row r="332" spans="2:37" s="5" customFormat="1">
      <c r="B332" s="313"/>
      <c r="C332" s="835"/>
      <c r="D332" s="19" t="s">
        <v>33</v>
      </c>
      <c r="E332" s="84">
        <f>F331/(5*F330)</f>
        <v>13438.344119318181</v>
      </c>
      <c r="F332" s="84">
        <f>E332*(F330*7)</f>
        <v>564410.45301136363</v>
      </c>
      <c r="G332" s="95">
        <f>$G$44</f>
        <v>20</v>
      </c>
      <c r="H332" s="64">
        <f>F332/G332</f>
        <v>28220.522650568182</v>
      </c>
      <c r="I332" s="72">
        <f>SUM(H330:H332)</f>
        <v>464953.26818428974</v>
      </c>
      <c r="J332" s="52">
        <f>SUM(G324:G332)</f>
        <v>32.083300000000001</v>
      </c>
      <c r="K332" s="156"/>
      <c r="L332" s="383"/>
      <c r="M332" s="542"/>
      <c r="N332" s="578">
        <f t="shared" si="101"/>
        <v>0</v>
      </c>
      <c r="O332" s="678"/>
      <c r="P332" s="678"/>
      <c r="Q332" s="678"/>
      <c r="R332" s="678"/>
      <c r="S332" s="678"/>
      <c r="T332" s="678"/>
      <c r="U332" s="678"/>
      <c r="V332" s="681"/>
      <c r="W332" s="681"/>
      <c r="X332" s="681"/>
      <c r="Y332" s="681"/>
      <c r="Z332" s="681"/>
      <c r="AA332" s="681"/>
      <c r="AB332" s="681"/>
      <c r="AC332" s="681">
        <f>+H332</f>
        <v>28220.522650568182</v>
      </c>
      <c r="AD332" s="678"/>
      <c r="AE332" s="678"/>
      <c r="AF332" s="678"/>
      <c r="AG332" s="678"/>
      <c r="AH332" s="678"/>
      <c r="AI332" s="678"/>
      <c r="AJ332" s="678"/>
      <c r="AK332" s="658"/>
    </row>
    <row r="333" spans="2:37" s="5" customFormat="1">
      <c r="B333" s="313"/>
      <c r="C333" s="835"/>
      <c r="D333" s="96"/>
      <c r="E333" s="9"/>
      <c r="F333" s="74"/>
      <c r="G333" s="97"/>
      <c r="H333" s="78"/>
      <c r="I333" s="79"/>
      <c r="J333" s="52"/>
      <c r="K333" s="156"/>
      <c r="L333" s="383"/>
      <c r="M333" s="542"/>
      <c r="N333" s="578">
        <f t="shared" si="101"/>
        <v>0</v>
      </c>
      <c r="O333" s="678"/>
      <c r="P333" s="678"/>
      <c r="Q333" s="678"/>
      <c r="R333" s="678"/>
      <c r="S333" s="678"/>
      <c r="T333" s="678"/>
      <c r="U333" s="678"/>
      <c r="V333" s="678"/>
      <c r="W333" s="678"/>
      <c r="X333" s="678"/>
      <c r="Y333" s="678"/>
      <c r="Z333" s="678"/>
      <c r="AA333" s="678"/>
      <c r="AB333" s="678"/>
      <c r="AC333" s="678"/>
      <c r="AD333" s="678"/>
      <c r="AE333" s="678"/>
      <c r="AF333" s="678"/>
      <c r="AG333" s="678"/>
      <c r="AH333" s="678"/>
      <c r="AI333" s="678"/>
      <c r="AJ333" s="678"/>
      <c r="AK333" s="658"/>
    </row>
    <row r="334" spans="2:37" s="5" customFormat="1">
      <c r="B334" s="313"/>
      <c r="C334" s="835"/>
      <c r="D334" s="96"/>
      <c r="E334" s="9"/>
      <c r="F334" s="74"/>
      <c r="G334" s="97"/>
      <c r="H334" s="78"/>
      <c r="I334" s="79"/>
      <c r="J334" s="52"/>
      <c r="K334" s="156"/>
      <c r="L334" s="383"/>
      <c r="M334" s="542"/>
      <c r="N334" s="578">
        <f t="shared" si="101"/>
        <v>0</v>
      </c>
      <c r="O334" s="678"/>
      <c r="P334" s="678"/>
      <c r="Q334" s="678"/>
      <c r="R334" s="678"/>
      <c r="S334" s="678"/>
      <c r="T334" s="678"/>
      <c r="U334" s="678"/>
      <c r="V334" s="678"/>
      <c r="W334" s="678"/>
      <c r="X334" s="678"/>
      <c r="Y334" s="678"/>
      <c r="Z334" s="678"/>
      <c r="AA334" s="678"/>
      <c r="AB334" s="678"/>
      <c r="AC334" s="678"/>
      <c r="AD334" s="678"/>
      <c r="AE334" s="678"/>
      <c r="AF334" s="678"/>
      <c r="AG334" s="678"/>
      <c r="AH334" s="678"/>
      <c r="AI334" s="678"/>
      <c r="AJ334" s="678"/>
      <c r="AK334" s="658"/>
    </row>
    <row r="335" spans="2:37" s="5" customFormat="1" ht="15" customHeight="1">
      <c r="B335" s="317">
        <v>27</v>
      </c>
      <c r="C335" s="835" t="s">
        <v>889</v>
      </c>
      <c r="D335" s="80" t="s">
        <v>58</v>
      </c>
      <c r="E335" s="81">
        <v>39782.300000000003</v>
      </c>
      <c r="F335" s="74"/>
      <c r="G335" s="75"/>
      <c r="H335" s="82"/>
      <c r="I335" s="83"/>
      <c r="J335" s="52"/>
      <c r="K335" s="156"/>
      <c r="L335" s="383"/>
      <c r="M335" s="542"/>
      <c r="N335" s="578">
        <f t="shared" si="101"/>
        <v>0</v>
      </c>
      <c r="O335" s="678"/>
      <c r="P335" s="678"/>
      <c r="Q335" s="678"/>
      <c r="R335" s="678"/>
      <c r="S335" s="678"/>
      <c r="T335" s="678"/>
      <c r="U335" s="678"/>
      <c r="V335" s="680">
        <f>+H335</f>
        <v>0</v>
      </c>
      <c r="W335" s="680"/>
      <c r="X335" s="680"/>
      <c r="Y335" s="680"/>
      <c r="Z335" s="680"/>
      <c r="AA335" s="680"/>
      <c r="AB335" s="680"/>
      <c r="AC335" s="680"/>
      <c r="AD335" s="678"/>
      <c r="AE335" s="678"/>
      <c r="AF335" s="678"/>
      <c r="AG335" s="678"/>
      <c r="AH335" s="678"/>
      <c r="AI335" s="678"/>
      <c r="AJ335" s="678"/>
      <c r="AK335" s="658"/>
    </row>
    <row r="336" spans="2:37" s="5" customFormat="1">
      <c r="B336" s="313"/>
      <c r="C336" s="835"/>
      <c r="D336" s="17" t="s">
        <v>317</v>
      </c>
      <c r="E336" s="81" t="s">
        <v>27</v>
      </c>
      <c r="F336" s="84">
        <f>E335</f>
        <v>39782.300000000003</v>
      </c>
      <c r="G336" s="99">
        <v>0.6</v>
      </c>
      <c r="H336" s="64">
        <f>+G336*F336</f>
        <v>23869.38</v>
      </c>
      <c r="I336" s="79"/>
      <c r="J336" s="52"/>
      <c r="K336" s="156"/>
      <c r="L336" s="383"/>
      <c r="M336" s="542"/>
      <c r="N336" s="578">
        <f t="shared" si="101"/>
        <v>0</v>
      </c>
      <c r="O336" s="678"/>
      <c r="P336" s="678"/>
      <c r="Q336" s="678"/>
      <c r="R336" s="678"/>
      <c r="S336" s="678"/>
      <c r="T336" s="678"/>
      <c r="U336" s="678"/>
      <c r="V336" s="680"/>
      <c r="W336" s="680">
        <f>+H336</f>
        <v>23869.38</v>
      </c>
      <c r="X336" s="680"/>
      <c r="Y336" s="680"/>
      <c r="Z336" s="680"/>
      <c r="AA336" s="680"/>
      <c r="AB336" s="680"/>
      <c r="AC336" s="680"/>
      <c r="AD336" s="678"/>
      <c r="AE336" s="678"/>
      <c r="AF336" s="678"/>
      <c r="AG336" s="678"/>
      <c r="AH336" s="678"/>
      <c r="AI336" s="678"/>
      <c r="AJ336" s="678"/>
      <c r="AK336" s="658"/>
    </row>
    <row r="337" spans="2:37" s="5" customFormat="1">
      <c r="B337" s="313"/>
      <c r="C337" s="835"/>
      <c r="D337" s="17" t="s">
        <v>3</v>
      </c>
      <c r="E337" s="81" t="s">
        <v>27</v>
      </c>
      <c r="F337" s="84">
        <f>E335</f>
        <v>39782.300000000003</v>
      </c>
      <c r="G337" s="64">
        <v>6</v>
      </c>
      <c r="H337" s="64">
        <f>+G337*F337</f>
        <v>238693.80000000002</v>
      </c>
      <c r="I337" s="79"/>
      <c r="J337" s="52"/>
      <c r="K337" s="156"/>
      <c r="L337" s="383"/>
      <c r="M337" s="542"/>
      <c r="N337" s="578">
        <f t="shared" si="101"/>
        <v>0</v>
      </c>
      <c r="O337" s="678"/>
      <c r="P337" s="678"/>
      <c r="Q337" s="678"/>
      <c r="R337" s="678"/>
      <c r="S337" s="678"/>
      <c r="T337" s="678"/>
      <c r="U337" s="678"/>
      <c r="V337" s="680"/>
      <c r="W337" s="680">
        <f>+H337/6</f>
        <v>39782.300000000003</v>
      </c>
      <c r="X337" s="680">
        <f t="shared" ref="X337:AB337" si="122">+W337</f>
        <v>39782.300000000003</v>
      </c>
      <c r="Y337" s="680">
        <f t="shared" si="122"/>
        <v>39782.300000000003</v>
      </c>
      <c r="Z337" s="680">
        <f t="shared" si="122"/>
        <v>39782.300000000003</v>
      </c>
      <c r="AA337" s="680">
        <f t="shared" si="122"/>
        <v>39782.300000000003</v>
      </c>
      <c r="AB337" s="680">
        <f t="shared" si="122"/>
        <v>39782.300000000003</v>
      </c>
      <c r="AC337" s="680"/>
      <c r="AD337" s="678"/>
      <c r="AE337" s="678"/>
      <c r="AF337" s="678"/>
      <c r="AG337" s="678"/>
      <c r="AH337" s="678"/>
      <c r="AI337" s="678"/>
      <c r="AJ337" s="678"/>
      <c r="AK337" s="658"/>
    </row>
    <row r="338" spans="2:37" s="5" customFormat="1">
      <c r="B338" s="313"/>
      <c r="C338" s="835"/>
      <c r="D338" s="17" t="s">
        <v>28</v>
      </c>
      <c r="E338" s="88">
        <f>$H$5+2+2</f>
        <v>17.25</v>
      </c>
      <c r="F338" s="84">
        <f>E335/44*1.5</f>
        <v>1356.2147727272729</v>
      </c>
      <c r="G338" s="87">
        <v>6</v>
      </c>
      <c r="H338" s="64">
        <f>+G338*F338*E338</f>
        <v>140368.22897727275</v>
      </c>
      <c r="I338" s="79"/>
      <c r="J338" s="52"/>
      <c r="K338" s="156"/>
      <c r="L338" s="383"/>
      <c r="M338" s="542"/>
      <c r="N338" s="578">
        <f t="shared" si="101"/>
        <v>0</v>
      </c>
      <c r="O338" s="678"/>
      <c r="P338" s="678"/>
      <c r="Q338" s="678"/>
      <c r="R338" s="678"/>
      <c r="S338" s="678"/>
      <c r="T338" s="678"/>
      <c r="U338" s="678"/>
      <c r="V338" s="680"/>
      <c r="W338" s="680">
        <f>+H338/6</f>
        <v>23394.704829545459</v>
      </c>
      <c r="X338" s="680">
        <v>23394.704829545459</v>
      </c>
      <c r="Y338" s="680">
        <v>23394.704829545459</v>
      </c>
      <c r="Z338" s="680">
        <v>23394.704829545459</v>
      </c>
      <c r="AA338" s="680">
        <v>23394.704829545459</v>
      </c>
      <c r="AB338" s="680">
        <v>23394.704829545459</v>
      </c>
      <c r="AC338" s="680"/>
      <c r="AD338" s="678"/>
      <c r="AE338" s="678"/>
      <c r="AF338" s="678"/>
      <c r="AG338" s="678"/>
      <c r="AH338" s="678"/>
      <c r="AI338" s="678"/>
      <c r="AJ338" s="678"/>
      <c r="AK338" s="658"/>
    </row>
    <row r="339" spans="2:37" s="5" customFormat="1">
      <c r="B339" s="313"/>
      <c r="C339" s="835"/>
      <c r="D339" s="17" t="s">
        <v>1</v>
      </c>
      <c r="E339" s="67" t="s">
        <v>29</v>
      </c>
      <c r="F339" s="84">
        <f>E335/5*1.5</f>
        <v>11934.690000000002</v>
      </c>
      <c r="G339" s="64">
        <f>$H$3</f>
        <v>0</v>
      </c>
      <c r="H339" s="64">
        <f>+G339*F339</f>
        <v>0</v>
      </c>
      <c r="I339" s="79"/>
      <c r="J339" s="52"/>
      <c r="K339" s="156"/>
      <c r="L339" s="383"/>
      <c r="M339" s="542"/>
      <c r="N339" s="578">
        <f t="shared" si="101"/>
        <v>0</v>
      </c>
      <c r="O339" s="678"/>
      <c r="P339" s="678"/>
      <c r="Q339" s="678"/>
      <c r="R339" s="678"/>
      <c r="S339" s="678"/>
      <c r="T339" s="678"/>
      <c r="U339" s="678"/>
      <c r="V339" s="680"/>
      <c r="W339" s="680"/>
      <c r="X339" s="680"/>
      <c r="Y339" s="680"/>
      <c r="Z339" s="680"/>
      <c r="AA339" s="680"/>
      <c r="AB339" s="680"/>
      <c r="AC339" s="680"/>
      <c r="AD339" s="678"/>
      <c r="AE339" s="678"/>
      <c r="AF339" s="678"/>
      <c r="AG339" s="678"/>
      <c r="AH339" s="678"/>
      <c r="AI339" s="678"/>
      <c r="AJ339" s="678"/>
      <c r="AK339" s="658"/>
    </row>
    <row r="340" spans="2:37" s="5" customFormat="1">
      <c r="B340" s="313"/>
      <c r="C340" s="835"/>
      <c r="D340" s="17" t="s">
        <v>4</v>
      </c>
      <c r="E340" s="67" t="s">
        <v>29</v>
      </c>
      <c r="F340" s="84">
        <f>E335/5*2</f>
        <v>15912.920000000002</v>
      </c>
      <c r="G340" s="64">
        <f>$H$4</f>
        <v>0</v>
      </c>
      <c r="H340" s="64">
        <f>+G340*F340</f>
        <v>0</v>
      </c>
      <c r="I340" s="79"/>
      <c r="J340" s="52"/>
      <c r="K340" s="156"/>
      <c r="L340" s="383"/>
      <c r="M340" s="542"/>
      <c r="N340" s="578">
        <f t="shared" si="101"/>
        <v>0</v>
      </c>
      <c r="O340" s="678"/>
      <c r="P340" s="678"/>
      <c r="Q340" s="678"/>
      <c r="R340" s="678"/>
      <c r="S340" s="678"/>
      <c r="T340" s="678"/>
      <c r="U340" s="678"/>
      <c r="V340" s="680"/>
      <c r="W340" s="680"/>
      <c r="X340" s="680"/>
      <c r="Y340" s="680"/>
      <c r="Z340" s="680"/>
      <c r="AA340" s="680"/>
      <c r="AB340" s="680"/>
      <c r="AC340" s="680">
        <f>+H340</f>
        <v>0</v>
      </c>
      <c r="AD340" s="678"/>
      <c r="AE340" s="678"/>
      <c r="AF340" s="678"/>
      <c r="AG340" s="678"/>
      <c r="AH340" s="678"/>
      <c r="AI340" s="678"/>
      <c r="AJ340" s="678"/>
      <c r="AK340" s="658"/>
    </row>
    <row r="341" spans="2:37" s="5" customFormat="1">
      <c r="B341" s="313"/>
      <c r="C341" s="835"/>
      <c r="D341" s="17" t="s">
        <v>5</v>
      </c>
      <c r="E341" s="81" t="s">
        <v>27</v>
      </c>
      <c r="F341" s="84">
        <f>E335</f>
        <v>39782.300000000003</v>
      </c>
      <c r="G341" s="99">
        <f>0.6</f>
        <v>0.6</v>
      </c>
      <c r="H341" s="64">
        <f>+G341*F341</f>
        <v>23869.38</v>
      </c>
      <c r="I341" s="79"/>
      <c r="J341" s="52"/>
      <c r="K341" s="156"/>
      <c r="L341" s="383"/>
      <c r="M341" s="542"/>
      <c r="N341" s="578">
        <f t="shared" si="101"/>
        <v>0</v>
      </c>
      <c r="O341" s="678"/>
      <c r="P341" s="678"/>
      <c r="Q341" s="678"/>
      <c r="R341" s="678"/>
      <c r="S341" s="678"/>
      <c r="T341" s="678"/>
      <c r="U341" s="678"/>
      <c r="V341" s="680"/>
      <c r="W341" s="680"/>
      <c r="X341" s="680"/>
      <c r="Y341" s="680"/>
      <c r="Z341" s="680"/>
      <c r="AA341" s="680"/>
      <c r="AB341" s="680"/>
      <c r="AC341" s="681">
        <f>+H341</f>
        <v>23869.38</v>
      </c>
      <c r="AD341" s="678"/>
      <c r="AE341" s="678"/>
      <c r="AF341" s="678"/>
      <c r="AG341" s="678"/>
      <c r="AH341" s="678"/>
      <c r="AI341" s="678"/>
      <c r="AJ341" s="678"/>
      <c r="AK341" s="658"/>
    </row>
    <row r="342" spans="2:37" s="5" customFormat="1">
      <c r="B342" s="313"/>
      <c r="C342" s="835"/>
      <c r="D342" s="17" t="s">
        <v>30</v>
      </c>
      <c r="E342" s="67" t="s">
        <v>16</v>
      </c>
      <c r="F342" s="101">
        <f>G336+G337+G341</f>
        <v>7.1999999999999993</v>
      </c>
      <c r="G342" s="68" t="s">
        <v>31</v>
      </c>
      <c r="H342" s="64">
        <f>SUM(H336:H341)</f>
        <v>426800.78897727275</v>
      </c>
      <c r="I342" s="79"/>
      <c r="J342" s="52"/>
      <c r="K342" s="156"/>
      <c r="L342" s="383"/>
      <c r="M342" s="542"/>
      <c r="N342" s="578">
        <f t="shared" si="101"/>
        <v>-391248.28325546591</v>
      </c>
      <c r="O342" s="678"/>
      <c r="P342" s="678"/>
      <c r="Q342" s="678"/>
      <c r="R342" s="678"/>
      <c r="S342" s="678"/>
      <c r="T342" s="678"/>
      <c r="U342" s="678"/>
      <c r="V342" s="680">
        <f t="shared" ref="V342:W342" si="123">SUM(V333:V341)*$G$54</f>
        <v>0</v>
      </c>
      <c r="W342" s="680">
        <f t="shared" si="123"/>
        <v>7250.9638563011376</v>
      </c>
      <c r="X342" s="680">
        <f t="shared" ref="X342:AC342" si="124">SUM(X333:X341)*$G$54</f>
        <v>5262.6445023011365</v>
      </c>
      <c r="Y342" s="680">
        <f t="shared" si="124"/>
        <v>5262.6445023011365</v>
      </c>
      <c r="Z342" s="680">
        <f t="shared" si="124"/>
        <v>5262.6445023011365</v>
      </c>
      <c r="AA342" s="680">
        <f t="shared" si="124"/>
        <v>5262.6445023011365</v>
      </c>
      <c r="AB342" s="680">
        <f t="shared" si="124"/>
        <v>5262.6445023011365</v>
      </c>
      <c r="AC342" s="680">
        <f t="shared" si="124"/>
        <v>1988.319354</v>
      </c>
      <c r="AD342" s="678"/>
      <c r="AE342" s="678"/>
      <c r="AF342" s="678"/>
      <c r="AG342" s="678"/>
      <c r="AH342" s="678"/>
      <c r="AI342" s="678"/>
      <c r="AJ342" s="678"/>
      <c r="AK342" s="658"/>
    </row>
    <row r="343" spans="2:37" s="5" customFormat="1">
      <c r="B343" s="313"/>
      <c r="C343" s="835"/>
      <c r="D343" s="19" t="s">
        <v>32</v>
      </c>
      <c r="E343" s="67" t="s">
        <v>16</v>
      </c>
      <c r="F343" s="84">
        <f>SUM(H336:H341)</f>
        <v>426800.78897727275</v>
      </c>
      <c r="G343" s="92">
        <f>$G$43</f>
        <v>8.3299999999999999E-2</v>
      </c>
      <c r="H343" s="64">
        <f>+G343*F343</f>
        <v>35552.505721806818</v>
      </c>
      <c r="I343" s="93"/>
      <c r="J343" s="52"/>
      <c r="K343" s="156"/>
      <c r="L343" s="383"/>
      <c r="M343" s="542"/>
      <c r="N343" s="578">
        <f t="shared" ref="N343:N406" si="125">SUM(O343:AL343)-H343</f>
        <v>0</v>
      </c>
      <c r="O343" s="678"/>
      <c r="P343" s="678"/>
      <c r="Q343" s="678"/>
      <c r="R343" s="678"/>
      <c r="S343" s="678"/>
      <c r="T343" s="678"/>
      <c r="U343" s="678"/>
      <c r="V343" s="681"/>
      <c r="W343" s="681"/>
      <c r="X343" s="681"/>
      <c r="Y343" s="681"/>
      <c r="Z343" s="681"/>
      <c r="AA343" s="681"/>
      <c r="AB343" s="681"/>
      <c r="AC343" s="681">
        <f>+H343</f>
        <v>35552.505721806818</v>
      </c>
      <c r="AD343" s="678"/>
      <c r="AE343" s="678"/>
      <c r="AF343" s="678"/>
      <c r="AG343" s="678"/>
      <c r="AH343" s="678"/>
      <c r="AI343" s="678"/>
      <c r="AJ343" s="678"/>
      <c r="AK343" s="658"/>
    </row>
    <row r="344" spans="2:37" s="5" customFormat="1">
      <c r="B344" s="313"/>
      <c r="C344" s="835"/>
      <c r="D344" s="19" t="s">
        <v>33</v>
      </c>
      <c r="E344" s="84">
        <f>F343/(5*F342)</f>
        <v>11855.57747159091</v>
      </c>
      <c r="F344" s="84">
        <f>E344*(F342*7)</f>
        <v>597521.10456818179</v>
      </c>
      <c r="G344" s="95">
        <f>$G$44</f>
        <v>20</v>
      </c>
      <c r="H344" s="64">
        <f>F344/G344</f>
        <v>29876.055228409088</v>
      </c>
      <c r="I344" s="72">
        <f>SUM(H342:H344)</f>
        <v>492229.34992748866</v>
      </c>
      <c r="J344" s="52">
        <f>SUM(G336:G344)</f>
        <v>33.283299999999997</v>
      </c>
      <c r="K344" s="156"/>
      <c r="L344" s="383"/>
      <c r="M344" s="542"/>
      <c r="N344" s="578">
        <f t="shared" si="125"/>
        <v>0</v>
      </c>
      <c r="O344" s="678"/>
      <c r="P344" s="678"/>
      <c r="Q344" s="678"/>
      <c r="R344" s="678"/>
      <c r="S344" s="678"/>
      <c r="T344" s="678"/>
      <c r="U344" s="678"/>
      <c r="V344" s="678"/>
      <c r="W344" s="678"/>
      <c r="X344" s="678"/>
      <c r="Y344" s="678"/>
      <c r="Z344" s="678"/>
      <c r="AA344" s="678"/>
      <c r="AB344" s="678"/>
      <c r="AC344" s="681">
        <f>+H344</f>
        <v>29876.055228409088</v>
      </c>
      <c r="AD344" s="678"/>
      <c r="AE344" s="678"/>
      <c r="AF344" s="678"/>
      <c r="AG344" s="678"/>
      <c r="AH344" s="678"/>
      <c r="AI344" s="678"/>
      <c r="AJ344" s="678"/>
      <c r="AK344" s="658"/>
    </row>
    <row r="345" spans="2:37" s="5" customFormat="1">
      <c r="B345" s="313"/>
      <c r="C345" s="835"/>
      <c r="D345" s="96"/>
      <c r="E345" s="9"/>
      <c r="F345" s="74"/>
      <c r="G345" s="97"/>
      <c r="H345" s="78"/>
      <c r="I345" s="79"/>
      <c r="J345" s="52"/>
      <c r="K345" s="156"/>
      <c r="L345" s="383"/>
      <c r="M345" s="542"/>
      <c r="N345" s="578">
        <f t="shared" si="125"/>
        <v>0</v>
      </c>
      <c r="O345" s="678"/>
      <c r="P345" s="678"/>
      <c r="Q345" s="678"/>
      <c r="R345" s="678"/>
      <c r="S345" s="678"/>
      <c r="T345" s="678"/>
      <c r="U345" s="678"/>
      <c r="V345" s="678"/>
      <c r="W345" s="678"/>
      <c r="X345" s="678"/>
      <c r="Y345" s="678"/>
      <c r="Z345" s="678"/>
      <c r="AA345" s="678"/>
      <c r="AB345" s="678"/>
      <c r="AC345" s="678"/>
      <c r="AD345" s="678"/>
      <c r="AE345" s="678"/>
      <c r="AF345" s="678"/>
      <c r="AG345" s="678"/>
      <c r="AH345" s="678"/>
      <c r="AI345" s="678"/>
      <c r="AJ345" s="678"/>
      <c r="AK345" s="658"/>
    </row>
    <row r="346" spans="2:37" s="5" customFormat="1" ht="15" customHeight="1">
      <c r="B346" s="317">
        <v>28</v>
      </c>
      <c r="C346" s="835" t="s">
        <v>890</v>
      </c>
      <c r="D346" s="80" t="s">
        <v>59</v>
      </c>
      <c r="E346" s="81">
        <v>84572.65</v>
      </c>
      <c r="F346" s="74"/>
      <c r="G346" s="75"/>
      <c r="H346" s="82"/>
      <c r="I346" s="83"/>
      <c r="J346" s="52"/>
      <c r="K346" s="156"/>
      <c r="L346" s="383"/>
      <c r="M346" s="542"/>
      <c r="N346" s="578">
        <f t="shared" si="125"/>
        <v>0</v>
      </c>
      <c r="O346" s="678"/>
      <c r="P346" s="678"/>
      <c r="Q346" s="678"/>
      <c r="R346" s="678"/>
      <c r="S346" s="678"/>
      <c r="T346" s="678"/>
      <c r="U346" s="678"/>
      <c r="V346" s="678"/>
      <c r="W346" s="678"/>
      <c r="X346" s="678"/>
      <c r="Y346" s="678"/>
      <c r="Z346" s="678"/>
      <c r="AA346" s="678"/>
      <c r="AB346" s="678"/>
      <c r="AC346" s="678"/>
      <c r="AD346" s="678"/>
      <c r="AE346" s="678"/>
      <c r="AF346" s="678"/>
      <c r="AG346" s="678"/>
      <c r="AH346" s="678"/>
      <c r="AI346" s="678"/>
      <c r="AJ346" s="678"/>
      <c r="AK346" s="658"/>
    </row>
    <row r="347" spans="2:37" s="5" customFormat="1" ht="15" customHeight="1">
      <c r="B347" s="317"/>
      <c r="C347" s="837"/>
      <c r="D347" s="412" t="s">
        <v>468</v>
      </c>
      <c r="E347" s="413">
        <f>E346/2</f>
        <v>42286.324999999997</v>
      </c>
      <c r="F347" s="414">
        <f>E347</f>
        <v>42286.324999999997</v>
      </c>
      <c r="G347" s="415">
        <v>12</v>
      </c>
      <c r="H347" s="416">
        <f>G347*F347</f>
        <v>507435.89999999997</v>
      </c>
      <c r="I347" s="83"/>
      <c r="J347" s="6"/>
      <c r="K347" s="156"/>
      <c r="L347" s="383"/>
      <c r="M347" s="542"/>
      <c r="N347" s="578">
        <f t="shared" si="125"/>
        <v>0</v>
      </c>
      <c r="O347" s="678"/>
      <c r="P347" s="678"/>
      <c r="Q347" s="678">
        <f>+H347/G347</f>
        <v>42286.324999999997</v>
      </c>
      <c r="R347" s="678">
        <v>42286.324999999997</v>
      </c>
      <c r="S347" s="678">
        <v>42286.324999999997</v>
      </c>
      <c r="T347" s="678">
        <v>42286.324999999997</v>
      </c>
      <c r="U347" s="678">
        <v>42286.324999999997</v>
      </c>
      <c r="V347" s="678">
        <v>42286.324999999997</v>
      </c>
      <c r="W347" s="678">
        <v>42286.324999999997</v>
      </c>
      <c r="X347" s="678">
        <v>42286.324999999997</v>
      </c>
      <c r="Y347" s="678">
        <v>42286.324999999997</v>
      </c>
      <c r="Z347" s="678">
        <v>42286.324999999997</v>
      </c>
      <c r="AA347" s="678">
        <v>42286.324999999997</v>
      </c>
      <c r="AB347" s="678">
        <v>42286.324999999997</v>
      </c>
      <c r="AC347" s="678"/>
      <c r="AD347" s="678"/>
      <c r="AE347" s="678"/>
      <c r="AF347" s="678"/>
      <c r="AG347" s="678"/>
      <c r="AH347" s="678"/>
      <c r="AI347" s="678"/>
      <c r="AJ347" s="678"/>
      <c r="AK347" s="658"/>
    </row>
    <row r="348" spans="2:37" s="5" customFormat="1">
      <c r="B348" s="313"/>
      <c r="C348" s="835"/>
      <c r="D348" s="17" t="s">
        <v>321</v>
      </c>
      <c r="E348" s="81" t="s">
        <v>27</v>
      </c>
      <c r="F348" s="84">
        <f>E346</f>
        <v>84572.65</v>
      </c>
      <c r="G348" s="64">
        <v>8</v>
      </c>
      <c r="H348" s="64">
        <f>+G348*F348</f>
        <v>676581.2</v>
      </c>
      <c r="I348" s="79"/>
      <c r="J348" s="52"/>
      <c r="K348" s="156"/>
      <c r="L348" s="383"/>
      <c r="M348" s="542"/>
      <c r="N348" s="578">
        <f t="shared" si="125"/>
        <v>0</v>
      </c>
      <c r="O348" s="678">
        <f>+H348/G348</f>
        <v>84572.65</v>
      </c>
      <c r="P348" s="678">
        <f t="shared" ref="P348:V348" si="126">+O348</f>
        <v>84572.65</v>
      </c>
      <c r="Q348" s="678">
        <f t="shared" si="126"/>
        <v>84572.65</v>
      </c>
      <c r="R348" s="678">
        <f t="shared" si="126"/>
        <v>84572.65</v>
      </c>
      <c r="S348" s="678">
        <f t="shared" si="126"/>
        <v>84572.65</v>
      </c>
      <c r="T348" s="678">
        <f t="shared" si="126"/>
        <v>84572.65</v>
      </c>
      <c r="U348" s="678">
        <f t="shared" si="126"/>
        <v>84572.65</v>
      </c>
      <c r="V348" s="678">
        <f t="shared" si="126"/>
        <v>84572.65</v>
      </c>
      <c r="W348" s="678"/>
      <c r="X348" s="678"/>
      <c r="Y348" s="678"/>
      <c r="Z348" s="678"/>
      <c r="AA348" s="678"/>
      <c r="AB348" s="678"/>
      <c r="AC348" s="678"/>
      <c r="AD348" s="678"/>
      <c r="AE348" s="678"/>
      <c r="AF348" s="678"/>
      <c r="AG348" s="678"/>
      <c r="AH348" s="678"/>
      <c r="AI348" s="678"/>
      <c r="AJ348" s="678"/>
      <c r="AK348" s="658"/>
    </row>
    <row r="349" spans="2:37" s="5" customFormat="1">
      <c r="B349" s="313"/>
      <c r="C349" s="835"/>
      <c r="D349" s="17" t="s">
        <v>3</v>
      </c>
      <c r="E349" s="81" t="s">
        <v>27</v>
      </c>
      <c r="F349" s="84">
        <f>E346</f>
        <v>84572.65</v>
      </c>
      <c r="G349" s="64">
        <v>6</v>
      </c>
      <c r="H349" s="64">
        <f>+G349*F349</f>
        <v>507435.89999999997</v>
      </c>
      <c r="I349" s="79"/>
      <c r="J349" s="52"/>
      <c r="K349" s="156"/>
      <c r="L349" s="383"/>
      <c r="M349" s="542"/>
      <c r="N349" s="578">
        <f t="shared" si="125"/>
        <v>0</v>
      </c>
      <c r="O349" s="678"/>
      <c r="P349" s="678"/>
      <c r="Q349" s="678"/>
      <c r="R349" s="678"/>
      <c r="S349" s="678"/>
      <c r="T349" s="678"/>
      <c r="U349" s="679"/>
      <c r="V349" s="679"/>
      <c r="W349" s="678">
        <f>+H349/G349</f>
        <v>84572.65</v>
      </c>
      <c r="X349" s="678">
        <f t="shared" ref="X349:AB349" si="127">+W349</f>
        <v>84572.65</v>
      </c>
      <c r="Y349" s="678">
        <f t="shared" si="127"/>
        <v>84572.65</v>
      </c>
      <c r="Z349" s="678">
        <f t="shared" si="127"/>
        <v>84572.65</v>
      </c>
      <c r="AA349" s="678">
        <f t="shared" si="127"/>
        <v>84572.65</v>
      </c>
      <c r="AB349" s="678">
        <f t="shared" si="127"/>
        <v>84572.65</v>
      </c>
      <c r="AC349" s="678"/>
      <c r="AD349" s="678"/>
      <c r="AE349" s="678"/>
      <c r="AF349" s="678"/>
      <c r="AG349" s="678"/>
      <c r="AH349" s="678"/>
      <c r="AI349" s="678"/>
      <c r="AJ349" s="678"/>
      <c r="AK349" s="658"/>
    </row>
    <row r="350" spans="2:37" s="5" customFormat="1">
      <c r="B350" s="313"/>
      <c r="C350" s="835"/>
      <c r="D350" s="17" t="s">
        <v>28</v>
      </c>
      <c r="E350" s="88">
        <f>$H$5+2</f>
        <v>15.25</v>
      </c>
      <c r="F350" s="84">
        <f>E346/44*1.5</f>
        <v>2883.1585227272726</v>
      </c>
      <c r="G350" s="87">
        <v>6</v>
      </c>
      <c r="H350" s="64">
        <f>+G350*F350*E350</f>
        <v>263809.00482954539</v>
      </c>
      <c r="I350" s="79"/>
      <c r="J350" s="52"/>
      <c r="K350" s="156"/>
      <c r="L350" s="383"/>
      <c r="M350" s="542"/>
      <c r="N350" s="578">
        <f t="shared" si="125"/>
        <v>0</v>
      </c>
      <c r="O350" s="678"/>
      <c r="P350" s="678"/>
      <c r="Q350" s="678"/>
      <c r="R350" s="678"/>
      <c r="S350" s="678"/>
      <c r="T350" s="678"/>
      <c r="U350" s="679"/>
      <c r="V350" s="679"/>
      <c r="W350" s="678">
        <f>+H350/G350</f>
        <v>43968.167471590896</v>
      </c>
      <c r="X350" s="678">
        <f t="shared" ref="X350:AB350" si="128">+W350</f>
        <v>43968.167471590896</v>
      </c>
      <c r="Y350" s="678">
        <f t="shared" si="128"/>
        <v>43968.167471590896</v>
      </c>
      <c r="Z350" s="678">
        <f t="shared" si="128"/>
        <v>43968.167471590896</v>
      </c>
      <c r="AA350" s="678">
        <f t="shared" si="128"/>
        <v>43968.167471590896</v>
      </c>
      <c r="AB350" s="678">
        <f t="shared" si="128"/>
        <v>43968.167471590896</v>
      </c>
      <c r="AC350" s="678"/>
      <c r="AD350" s="678"/>
      <c r="AE350" s="678"/>
      <c r="AF350" s="678"/>
      <c r="AG350" s="678"/>
      <c r="AH350" s="678"/>
      <c r="AI350" s="678"/>
      <c r="AJ350" s="678"/>
      <c r="AK350" s="658"/>
    </row>
    <row r="351" spans="2:37" s="5" customFormat="1">
      <c r="B351" s="313"/>
      <c r="C351" s="835"/>
      <c r="D351" s="17" t="s">
        <v>1</v>
      </c>
      <c r="E351" s="67" t="s">
        <v>60</v>
      </c>
      <c r="F351" s="84">
        <f>E346/5*1.5</f>
        <v>25371.794999999998</v>
      </c>
      <c r="G351" s="64">
        <f>$H$3</f>
        <v>0</v>
      </c>
      <c r="H351" s="64">
        <f>+G351*F351</f>
        <v>0</v>
      </c>
      <c r="I351" s="79"/>
      <c r="J351" s="52"/>
      <c r="K351" s="156"/>
      <c r="L351" s="383"/>
      <c r="M351" s="542"/>
      <c r="N351" s="578">
        <f t="shared" si="125"/>
        <v>0</v>
      </c>
      <c r="O351" s="678"/>
      <c r="P351" s="678"/>
      <c r="Q351" s="678"/>
      <c r="R351" s="678"/>
      <c r="S351" s="678"/>
      <c r="T351" s="678"/>
      <c r="U351" s="678"/>
      <c r="V351" s="678"/>
      <c r="W351" s="678"/>
      <c r="X351" s="678"/>
      <c r="Y351" s="678"/>
      <c r="Z351" s="678"/>
      <c r="AA351" s="678"/>
      <c r="AB351" s="678"/>
      <c r="AC351" s="678"/>
      <c r="AD351" s="678"/>
      <c r="AE351" s="678"/>
      <c r="AF351" s="678"/>
      <c r="AG351" s="678"/>
      <c r="AH351" s="678"/>
      <c r="AI351" s="678"/>
      <c r="AJ351" s="678"/>
      <c r="AK351" s="658"/>
    </row>
    <row r="352" spans="2:37" s="5" customFormat="1">
      <c r="B352" s="313"/>
      <c r="C352" s="835"/>
      <c r="D352" s="17" t="s">
        <v>4</v>
      </c>
      <c r="E352" s="67" t="s">
        <v>60</v>
      </c>
      <c r="F352" s="84">
        <f>E346/5*2</f>
        <v>33829.06</v>
      </c>
      <c r="G352" s="64">
        <f>$H$4</f>
        <v>0</v>
      </c>
      <c r="H352" s="64">
        <f>+G352*F352</f>
        <v>0</v>
      </c>
      <c r="I352" s="79"/>
      <c r="J352" s="52"/>
      <c r="K352" s="156"/>
      <c r="L352" s="383"/>
      <c r="M352" s="542"/>
      <c r="N352" s="578">
        <f t="shared" si="125"/>
        <v>0</v>
      </c>
      <c r="O352" s="678"/>
      <c r="P352" s="678"/>
      <c r="Q352" s="678"/>
      <c r="R352" s="678"/>
      <c r="S352" s="678"/>
      <c r="T352" s="678"/>
      <c r="U352" s="678"/>
      <c r="V352" s="678"/>
      <c r="W352" s="678"/>
      <c r="X352" s="678"/>
      <c r="Y352" s="678"/>
      <c r="Z352" s="678"/>
      <c r="AA352" s="678"/>
      <c r="AB352" s="678"/>
      <c r="AC352" s="678"/>
      <c r="AD352" s="678"/>
      <c r="AE352" s="678"/>
      <c r="AF352" s="678"/>
      <c r="AG352" s="678"/>
      <c r="AH352" s="678"/>
      <c r="AI352" s="678"/>
      <c r="AJ352" s="678"/>
      <c r="AK352" s="658"/>
    </row>
    <row r="353" spans="2:37" s="5" customFormat="1">
      <c r="B353" s="313"/>
      <c r="C353" s="835"/>
      <c r="D353" s="17" t="s">
        <v>5</v>
      </c>
      <c r="E353" s="81" t="s">
        <v>27</v>
      </c>
      <c r="F353" s="84">
        <f>E346</f>
        <v>84572.65</v>
      </c>
      <c r="G353" s="64">
        <v>1</v>
      </c>
      <c r="H353" s="64">
        <f>+G353*F353</f>
        <v>84572.65</v>
      </c>
      <c r="I353" s="79"/>
      <c r="J353" s="52"/>
      <c r="K353" s="156"/>
      <c r="L353" s="383"/>
      <c r="M353" s="542"/>
      <c r="N353" s="578">
        <f t="shared" si="125"/>
        <v>0</v>
      </c>
      <c r="O353" s="678"/>
      <c r="P353" s="678"/>
      <c r="Q353" s="678"/>
      <c r="R353" s="678"/>
      <c r="S353" s="678"/>
      <c r="T353" s="678"/>
      <c r="U353" s="678"/>
      <c r="V353" s="678"/>
      <c r="W353" s="678"/>
      <c r="X353" s="678"/>
      <c r="Y353" s="678"/>
      <c r="Z353" s="678"/>
      <c r="AA353" s="679">
        <v>0</v>
      </c>
      <c r="AB353" s="678"/>
      <c r="AC353" s="678">
        <f>+H353</f>
        <v>84572.65</v>
      </c>
      <c r="AD353" s="678"/>
      <c r="AE353" s="678"/>
      <c r="AF353" s="678"/>
      <c r="AG353" s="678"/>
      <c r="AH353" s="678"/>
      <c r="AI353" s="678"/>
      <c r="AJ353" s="678"/>
      <c r="AK353" s="658"/>
    </row>
    <row r="354" spans="2:37" s="5" customFormat="1">
      <c r="B354" s="313"/>
      <c r="C354" s="835"/>
      <c r="D354" s="17" t="s">
        <v>30</v>
      </c>
      <c r="E354" s="67" t="s">
        <v>16</v>
      </c>
      <c r="F354" s="64">
        <f>G348+G349+G353</f>
        <v>15</v>
      </c>
      <c r="G354" s="68" t="s">
        <v>31</v>
      </c>
      <c r="H354" s="64">
        <f>SUM(H348:H353)</f>
        <v>1532398.754829545</v>
      </c>
      <c r="I354" s="79"/>
      <c r="J354" s="52"/>
      <c r="K354" s="156"/>
      <c r="L354" s="383"/>
      <c r="M354" s="542"/>
      <c r="N354" s="578">
        <f t="shared" si="125"/>
        <v>-1532398.754829545</v>
      </c>
      <c r="O354" s="678"/>
      <c r="P354" s="678"/>
      <c r="Q354" s="678"/>
      <c r="R354" s="678"/>
      <c r="S354" s="678"/>
      <c r="T354" s="678"/>
      <c r="U354" s="678"/>
      <c r="V354" s="678"/>
      <c r="W354" s="678"/>
      <c r="X354" s="678"/>
      <c r="Y354" s="678"/>
      <c r="Z354" s="678"/>
      <c r="AA354" s="678"/>
      <c r="AB354" s="678"/>
      <c r="AC354" s="678"/>
      <c r="AD354" s="678"/>
      <c r="AE354" s="678"/>
      <c r="AF354" s="678"/>
      <c r="AG354" s="678"/>
      <c r="AH354" s="678"/>
      <c r="AI354" s="678"/>
      <c r="AJ354" s="678"/>
      <c r="AK354" s="658"/>
    </row>
    <row r="355" spans="2:37" s="5" customFormat="1">
      <c r="B355" s="313"/>
      <c r="C355" s="835"/>
      <c r="D355" s="19" t="s">
        <v>32</v>
      </c>
      <c r="E355" s="67" t="s">
        <v>16</v>
      </c>
      <c r="F355" s="84">
        <f>SUM(H348:H353)</f>
        <v>1532398.754829545</v>
      </c>
      <c r="G355" s="92">
        <f>$G$43</f>
        <v>8.3299999999999999E-2</v>
      </c>
      <c r="H355" s="64">
        <f>+G355*F355</f>
        <v>127648.8162773011</v>
      </c>
      <c r="I355" s="93"/>
      <c r="J355" s="52"/>
      <c r="K355" s="156"/>
      <c r="L355" s="383"/>
      <c r="M355" s="542"/>
      <c r="N355" s="578">
        <f t="shared" si="125"/>
        <v>0</v>
      </c>
      <c r="O355" s="679">
        <f>SUM(O346:O354)*$G$355</f>
        <v>7044.9017449999992</v>
      </c>
      <c r="P355" s="679">
        <f>SUM(P348:P354)*$G$355</f>
        <v>7044.9017449999992</v>
      </c>
      <c r="Q355" s="679">
        <f t="shared" ref="Q355:AB355" si="129">SUM(Q348:Q354)*$G$355</f>
        <v>7044.9017449999992</v>
      </c>
      <c r="R355" s="679">
        <f t="shared" si="129"/>
        <v>7044.9017449999992</v>
      </c>
      <c r="S355" s="679">
        <f t="shared" si="129"/>
        <v>7044.9017449999992</v>
      </c>
      <c r="T355" s="679">
        <f t="shared" si="129"/>
        <v>7044.9017449999992</v>
      </c>
      <c r="U355" s="679">
        <f t="shared" si="129"/>
        <v>7044.9017449999992</v>
      </c>
      <c r="V355" s="679">
        <f t="shared" si="129"/>
        <v>7044.9017449999992</v>
      </c>
      <c r="W355" s="679">
        <f t="shared" si="129"/>
        <v>10707.45009538352</v>
      </c>
      <c r="X355" s="679">
        <f t="shared" si="129"/>
        <v>10707.45009538352</v>
      </c>
      <c r="Y355" s="679">
        <f t="shared" si="129"/>
        <v>10707.45009538352</v>
      </c>
      <c r="Z355" s="679">
        <f t="shared" si="129"/>
        <v>10707.45009538352</v>
      </c>
      <c r="AA355" s="679">
        <f t="shared" si="129"/>
        <v>10707.45009538352</v>
      </c>
      <c r="AB355" s="679">
        <f t="shared" si="129"/>
        <v>10707.45009538352</v>
      </c>
      <c r="AC355" s="679">
        <f>SUM(AC348:AC354)*$G$355</f>
        <v>7044.9017449999992</v>
      </c>
      <c r="AD355" s="678"/>
      <c r="AE355" s="678"/>
      <c r="AF355" s="678"/>
      <c r="AG355" s="678"/>
      <c r="AH355" s="678"/>
      <c r="AI355" s="678"/>
      <c r="AJ355" s="678"/>
      <c r="AK355" s="658"/>
    </row>
    <row r="356" spans="2:37" s="5" customFormat="1">
      <c r="B356" s="313"/>
      <c r="C356" s="835"/>
      <c r="D356" s="19" t="s">
        <v>33</v>
      </c>
      <c r="E356" s="84">
        <f>F355/(5*F354)</f>
        <v>20431.983397727268</v>
      </c>
      <c r="F356" s="84">
        <f>E356*(F354*7)</f>
        <v>2145358.2567613632</v>
      </c>
      <c r="G356" s="95">
        <f>$G$44</f>
        <v>20</v>
      </c>
      <c r="H356" s="64">
        <f>F356/G356</f>
        <v>107267.91283806817</v>
      </c>
      <c r="I356" s="72">
        <f>SUM(H354:H356)+H347</f>
        <v>2274751.3839449142</v>
      </c>
      <c r="J356" s="52">
        <f>SUM(G348:G356)</f>
        <v>41.083300000000001</v>
      </c>
      <c r="K356" s="156"/>
      <c r="L356" s="383"/>
      <c r="M356" s="542"/>
      <c r="N356" s="578">
        <f t="shared" si="125"/>
        <v>0</v>
      </c>
      <c r="O356" s="678"/>
      <c r="P356" s="678"/>
      <c r="Q356" s="678"/>
      <c r="R356" s="678"/>
      <c r="S356" s="678"/>
      <c r="T356" s="678"/>
      <c r="U356" s="678"/>
      <c r="V356" s="678"/>
      <c r="W356" s="678"/>
      <c r="X356" s="678"/>
      <c r="Y356" s="678"/>
      <c r="Z356" s="678"/>
      <c r="AA356" s="678"/>
      <c r="AB356" s="678"/>
      <c r="AC356" s="678">
        <f>+H356</f>
        <v>107267.91283806817</v>
      </c>
      <c r="AD356" s="678"/>
      <c r="AE356" s="678"/>
      <c r="AF356" s="678"/>
      <c r="AG356" s="678"/>
      <c r="AH356" s="678"/>
      <c r="AI356" s="678"/>
      <c r="AJ356" s="678"/>
      <c r="AK356" s="658"/>
    </row>
    <row r="357" spans="2:37" s="5" customFormat="1">
      <c r="B357" s="313"/>
      <c r="C357" s="835"/>
      <c r="D357" s="96"/>
      <c r="E357" s="9"/>
      <c r="F357" s="74"/>
      <c r="G357" s="97"/>
      <c r="H357" s="78"/>
      <c r="I357" s="79"/>
      <c r="J357" s="52"/>
      <c r="K357" s="193"/>
      <c r="L357" s="388"/>
      <c r="M357" s="597"/>
      <c r="N357" s="578">
        <f t="shared" si="125"/>
        <v>0</v>
      </c>
      <c r="O357" s="678"/>
      <c r="P357" s="678"/>
      <c r="Q357" s="678"/>
      <c r="R357" s="678"/>
      <c r="S357" s="678"/>
      <c r="T357" s="678"/>
      <c r="U357" s="678"/>
      <c r="V357" s="678"/>
      <c r="W357" s="678"/>
      <c r="X357" s="678"/>
      <c r="Y357" s="678"/>
      <c r="Z357" s="678"/>
      <c r="AA357" s="678"/>
      <c r="AB357" s="678"/>
      <c r="AC357" s="678"/>
      <c r="AD357" s="678"/>
      <c r="AE357" s="678"/>
      <c r="AF357" s="678"/>
      <c r="AG357" s="678"/>
      <c r="AH357" s="678"/>
      <c r="AI357" s="678"/>
      <c r="AJ357" s="678"/>
      <c r="AK357" s="658"/>
    </row>
    <row r="358" spans="2:37" s="5" customFormat="1" ht="15" customHeight="1">
      <c r="B358" s="317">
        <v>29</v>
      </c>
      <c r="C358" s="835" t="s">
        <v>891</v>
      </c>
      <c r="D358" s="80" t="s">
        <v>61</v>
      </c>
      <c r="E358" s="81">
        <v>72180.399999999994</v>
      </c>
      <c r="F358" s="74"/>
      <c r="G358" s="75"/>
      <c r="H358" s="82"/>
      <c r="I358" s="83"/>
      <c r="J358" s="52"/>
      <c r="K358" s="193"/>
      <c r="L358" s="388"/>
      <c r="M358" s="597"/>
      <c r="N358" s="578">
        <f t="shared" si="125"/>
        <v>0</v>
      </c>
      <c r="O358" s="678"/>
      <c r="P358" s="678"/>
      <c r="Q358" s="678"/>
      <c r="R358" s="678"/>
      <c r="S358" s="678"/>
      <c r="T358" s="678"/>
      <c r="U358" s="678"/>
      <c r="V358" s="678"/>
      <c r="W358" s="678"/>
      <c r="X358" s="678"/>
      <c r="Y358" s="678"/>
      <c r="Z358" s="678"/>
      <c r="AA358" s="678"/>
      <c r="AB358" s="678"/>
      <c r="AC358" s="678"/>
      <c r="AD358" s="678"/>
      <c r="AE358" s="678"/>
      <c r="AF358" s="678"/>
      <c r="AG358" s="678"/>
      <c r="AH358" s="678"/>
      <c r="AI358" s="678"/>
      <c r="AJ358" s="678"/>
      <c r="AK358" s="658"/>
    </row>
    <row r="359" spans="2:37" s="5" customFormat="1">
      <c r="B359" s="313"/>
      <c r="C359" s="835"/>
      <c r="D359" s="17" t="s">
        <v>0</v>
      </c>
      <c r="E359" s="81" t="s">
        <v>27</v>
      </c>
      <c r="F359" s="84">
        <f>E358</f>
        <v>72180.399999999994</v>
      </c>
      <c r="G359" s="64">
        <v>8</v>
      </c>
      <c r="H359" s="64">
        <f>+G359*F359</f>
        <v>577443.19999999995</v>
      </c>
      <c r="I359" s="79"/>
      <c r="J359" s="52"/>
      <c r="K359" s="193"/>
      <c r="L359" s="388"/>
      <c r="M359" s="597"/>
      <c r="N359" s="578">
        <f t="shared" si="125"/>
        <v>0</v>
      </c>
      <c r="O359" s="678">
        <f>+H359/G359</f>
        <v>72180.399999999994</v>
      </c>
      <c r="P359" s="678">
        <f>+O359</f>
        <v>72180.399999999994</v>
      </c>
      <c r="Q359" s="678">
        <f>+H359/G359</f>
        <v>72180.399999999994</v>
      </c>
      <c r="R359" s="678">
        <f>+H359/G359</f>
        <v>72180.399999999994</v>
      </c>
      <c r="S359" s="678">
        <f>+H359/G359</f>
        <v>72180.399999999994</v>
      </c>
      <c r="T359" s="678">
        <f>+H359/G359</f>
        <v>72180.399999999994</v>
      </c>
      <c r="U359" s="678">
        <f>+H359/G359</f>
        <v>72180.399999999994</v>
      </c>
      <c r="V359" s="678">
        <f>+H359/G359</f>
        <v>72180.399999999994</v>
      </c>
      <c r="W359" s="678"/>
      <c r="X359" s="678"/>
      <c r="Y359" s="678"/>
      <c r="Z359" s="678"/>
      <c r="AA359" s="678"/>
      <c r="AB359" s="678"/>
      <c r="AC359" s="678"/>
      <c r="AD359" s="678"/>
      <c r="AE359" s="678"/>
      <c r="AF359" s="678"/>
      <c r="AG359" s="678"/>
      <c r="AH359" s="678"/>
      <c r="AI359" s="678"/>
      <c r="AJ359" s="678"/>
      <c r="AK359" s="658"/>
    </row>
    <row r="360" spans="2:37" s="5" customFormat="1">
      <c r="B360" s="313"/>
      <c r="C360" s="835"/>
      <c r="D360" s="17" t="s">
        <v>3</v>
      </c>
      <c r="E360" s="81" t="s">
        <v>27</v>
      </c>
      <c r="F360" s="84">
        <f>E358</f>
        <v>72180.399999999994</v>
      </c>
      <c r="G360" s="64">
        <v>6</v>
      </c>
      <c r="H360" s="64">
        <f>+G360*F360</f>
        <v>433082.39999999997</v>
      </c>
      <c r="I360" s="79"/>
      <c r="J360" s="52"/>
      <c r="K360" s="193"/>
      <c r="L360" s="388"/>
      <c r="M360" s="597"/>
      <c r="N360" s="578">
        <f t="shared" si="125"/>
        <v>0</v>
      </c>
      <c r="O360" s="678"/>
      <c r="P360" s="678"/>
      <c r="Q360" s="678"/>
      <c r="R360" s="678"/>
      <c r="S360" s="678"/>
      <c r="T360" s="678"/>
      <c r="U360" s="678"/>
      <c r="V360" s="678"/>
      <c r="W360" s="678">
        <f>+H360/G360</f>
        <v>72180.399999999994</v>
      </c>
      <c r="X360" s="678">
        <f>+H360/G360</f>
        <v>72180.399999999994</v>
      </c>
      <c r="Y360" s="678">
        <f>+H360/G360</f>
        <v>72180.399999999994</v>
      </c>
      <c r="Z360" s="678">
        <f>+H360/G360</f>
        <v>72180.399999999994</v>
      </c>
      <c r="AA360" s="678">
        <f>+H360/G360</f>
        <v>72180.399999999994</v>
      </c>
      <c r="AB360" s="678">
        <f>+H360/G360</f>
        <v>72180.399999999994</v>
      </c>
      <c r="AC360" s="678"/>
      <c r="AD360" s="678"/>
      <c r="AE360" s="678"/>
      <c r="AF360" s="678"/>
      <c r="AG360" s="678"/>
      <c r="AH360" s="678"/>
      <c r="AI360" s="678"/>
      <c r="AJ360" s="678"/>
      <c r="AK360" s="658"/>
    </row>
    <row r="361" spans="2:37" s="5" customFormat="1">
      <c r="B361" s="313"/>
      <c r="C361" s="835"/>
      <c r="D361" s="17" t="s">
        <v>28</v>
      </c>
      <c r="E361" s="88">
        <f>$H$5+2</f>
        <v>15.25</v>
      </c>
      <c r="F361" s="84">
        <f>E358/44*1.5</f>
        <v>2460.6954545454541</v>
      </c>
      <c r="G361" s="87">
        <v>6</v>
      </c>
      <c r="H361" s="64">
        <f>+G361*F361*E361</f>
        <v>225153.63409090906</v>
      </c>
      <c r="I361" s="79"/>
      <c r="J361" s="52"/>
      <c r="K361" s="193"/>
      <c r="L361" s="388"/>
      <c r="M361" s="597"/>
      <c r="N361" s="578">
        <f t="shared" si="125"/>
        <v>0</v>
      </c>
      <c r="O361" s="678"/>
      <c r="P361" s="678"/>
      <c r="Q361" s="678"/>
      <c r="R361" s="678"/>
      <c r="S361" s="678"/>
      <c r="T361" s="678"/>
      <c r="U361" s="678"/>
      <c r="V361" s="678"/>
      <c r="W361" s="678">
        <f>+H361/G361</f>
        <v>37525.605681818175</v>
      </c>
      <c r="X361" s="678">
        <f>+W361</f>
        <v>37525.605681818175</v>
      </c>
      <c r="Y361" s="678">
        <f>+X361</f>
        <v>37525.605681818175</v>
      </c>
      <c r="Z361" s="678">
        <f>+Y361</f>
        <v>37525.605681818175</v>
      </c>
      <c r="AA361" s="678">
        <f>+Z361</f>
        <v>37525.605681818175</v>
      </c>
      <c r="AB361" s="678">
        <f>+AA361</f>
        <v>37525.605681818175</v>
      </c>
      <c r="AC361" s="678"/>
      <c r="AD361" s="678"/>
      <c r="AE361" s="678"/>
      <c r="AF361" s="678"/>
      <c r="AG361" s="678"/>
      <c r="AH361" s="678"/>
      <c r="AI361" s="678"/>
      <c r="AJ361" s="678"/>
      <c r="AK361" s="658"/>
    </row>
    <row r="362" spans="2:37" s="5" customFormat="1">
      <c r="B362" s="313"/>
      <c r="C362" s="835"/>
      <c r="D362" s="17" t="s">
        <v>1</v>
      </c>
      <c r="E362" s="67" t="s">
        <v>29</v>
      </c>
      <c r="F362" s="84">
        <f>E358/5*1.5</f>
        <v>21654.119999999995</v>
      </c>
      <c r="G362" s="64">
        <f>$H$3</f>
        <v>0</v>
      </c>
      <c r="H362" s="64">
        <f>+G362*F362</f>
        <v>0</v>
      </c>
      <c r="I362" s="79"/>
      <c r="J362" s="52"/>
      <c r="K362" s="193"/>
      <c r="L362" s="388"/>
      <c r="M362" s="597"/>
      <c r="N362" s="578">
        <f t="shared" si="125"/>
        <v>0</v>
      </c>
      <c r="O362" s="678"/>
      <c r="P362" s="678"/>
      <c r="Q362" s="678"/>
      <c r="R362" s="678"/>
      <c r="S362" s="678"/>
      <c r="T362" s="678"/>
      <c r="U362" s="678"/>
      <c r="V362" s="678"/>
      <c r="W362" s="678"/>
      <c r="X362" s="678"/>
      <c r="Y362" s="678"/>
      <c r="Z362" s="678"/>
      <c r="AA362" s="678"/>
      <c r="AB362" s="678"/>
      <c r="AC362" s="678"/>
      <c r="AD362" s="678"/>
      <c r="AE362" s="678"/>
      <c r="AF362" s="678"/>
      <c r="AG362" s="678"/>
      <c r="AH362" s="678"/>
      <c r="AI362" s="678"/>
      <c r="AJ362" s="678"/>
      <c r="AK362" s="658"/>
    </row>
    <row r="363" spans="2:37" s="5" customFormat="1">
      <c r="B363" s="313"/>
      <c r="C363" s="835"/>
      <c r="D363" s="17" t="s">
        <v>4</v>
      </c>
      <c r="E363" s="67" t="s">
        <v>29</v>
      </c>
      <c r="F363" s="84">
        <f>E358/5*2</f>
        <v>28872.159999999996</v>
      </c>
      <c r="G363" s="64">
        <f>$H$4</f>
        <v>0</v>
      </c>
      <c r="H363" s="64">
        <f>+G363*F363</f>
        <v>0</v>
      </c>
      <c r="I363" s="79"/>
      <c r="J363" s="52"/>
      <c r="K363" s="193"/>
      <c r="L363" s="388"/>
      <c r="M363" s="597"/>
      <c r="N363" s="578">
        <f t="shared" si="125"/>
        <v>0</v>
      </c>
      <c r="O363" s="678"/>
      <c r="P363" s="678"/>
      <c r="Q363" s="678"/>
      <c r="R363" s="678"/>
      <c r="S363" s="678"/>
      <c r="T363" s="678"/>
      <c r="U363" s="678"/>
      <c r="V363" s="678"/>
      <c r="W363" s="678"/>
      <c r="X363" s="678"/>
      <c r="Y363" s="678"/>
      <c r="Z363" s="678"/>
      <c r="AA363" s="678"/>
      <c r="AB363" s="678"/>
      <c r="AC363" s="678"/>
      <c r="AD363" s="678"/>
      <c r="AE363" s="678"/>
      <c r="AF363" s="678"/>
      <c r="AG363" s="678"/>
      <c r="AH363" s="678"/>
      <c r="AI363" s="678"/>
      <c r="AJ363" s="678"/>
      <c r="AK363" s="658"/>
    </row>
    <row r="364" spans="2:37" s="5" customFormat="1">
      <c r="B364" s="313"/>
      <c r="C364" s="835"/>
      <c r="D364" s="17" t="s">
        <v>5</v>
      </c>
      <c r="E364" s="81" t="s">
        <v>27</v>
      </c>
      <c r="F364" s="84">
        <f>F359</f>
        <v>72180.399999999994</v>
      </c>
      <c r="G364" s="64">
        <f>0.6</f>
        <v>0.6</v>
      </c>
      <c r="H364" s="64">
        <f>F364</f>
        <v>72180.399999999994</v>
      </c>
      <c r="I364" s="79"/>
      <c r="J364" s="52"/>
      <c r="K364" s="193"/>
      <c r="L364" s="388"/>
      <c r="M364" s="597"/>
      <c r="N364" s="578">
        <f t="shared" si="125"/>
        <v>0</v>
      </c>
      <c r="O364" s="678"/>
      <c r="P364" s="678"/>
      <c r="Q364" s="678"/>
      <c r="R364" s="678"/>
      <c r="S364" s="678"/>
      <c r="T364" s="678"/>
      <c r="U364" s="678"/>
      <c r="V364" s="678"/>
      <c r="W364" s="678"/>
      <c r="X364" s="678"/>
      <c r="Y364" s="678"/>
      <c r="Z364" s="678"/>
      <c r="AA364" s="678"/>
      <c r="AB364" s="678"/>
      <c r="AC364" s="679">
        <f>+H364</f>
        <v>72180.399999999994</v>
      </c>
      <c r="AD364" s="678"/>
      <c r="AE364" s="678"/>
      <c r="AF364" s="678"/>
      <c r="AG364" s="678"/>
      <c r="AH364" s="678"/>
      <c r="AI364" s="678"/>
      <c r="AJ364" s="678"/>
      <c r="AK364" s="658"/>
    </row>
    <row r="365" spans="2:37" s="5" customFormat="1">
      <c r="B365" s="313"/>
      <c r="C365" s="835"/>
      <c r="D365" s="17" t="s">
        <v>30</v>
      </c>
      <c r="E365" s="67" t="s">
        <v>16</v>
      </c>
      <c r="F365" s="64">
        <f>G359+G360+G364</f>
        <v>14.6</v>
      </c>
      <c r="G365" s="68" t="s">
        <v>31</v>
      </c>
      <c r="H365" s="64">
        <f>SUM(H359:H364)</f>
        <v>1307859.6340909088</v>
      </c>
      <c r="I365" s="79"/>
      <c r="J365" s="52"/>
      <c r="K365" s="193"/>
      <c r="L365" s="388"/>
      <c r="M365" s="597"/>
      <c r="N365" s="578">
        <f t="shared" si="125"/>
        <v>-1307859.6340909088</v>
      </c>
      <c r="O365" s="678"/>
      <c r="P365" s="678"/>
      <c r="Q365" s="678"/>
      <c r="R365" s="678"/>
      <c r="S365" s="678"/>
      <c r="T365" s="678"/>
      <c r="U365" s="678"/>
      <c r="V365" s="678"/>
      <c r="W365" s="678"/>
      <c r="X365" s="678"/>
      <c r="Y365" s="678"/>
      <c r="Z365" s="678"/>
      <c r="AA365" s="678"/>
      <c r="AB365" s="678"/>
      <c r="AC365" s="678"/>
      <c r="AD365" s="678"/>
      <c r="AE365" s="678"/>
      <c r="AF365" s="678"/>
      <c r="AG365" s="678"/>
      <c r="AH365" s="678"/>
      <c r="AI365" s="678"/>
      <c r="AJ365" s="678"/>
      <c r="AK365" s="658"/>
    </row>
    <row r="366" spans="2:37" s="5" customFormat="1">
      <c r="B366" s="313"/>
      <c r="C366" s="835"/>
      <c r="D366" s="19" t="s">
        <v>32</v>
      </c>
      <c r="E366" s="67" t="s">
        <v>16</v>
      </c>
      <c r="F366" s="84">
        <f>SUM(H359:H364)</f>
        <v>1307859.6340909088</v>
      </c>
      <c r="G366" s="92">
        <f>$G$43</f>
        <v>8.3299999999999999E-2</v>
      </c>
      <c r="H366" s="64">
        <f>+G366*F366</f>
        <v>108944.7075197727</v>
      </c>
      <c r="I366" s="93"/>
      <c r="J366" s="52"/>
      <c r="K366" s="193"/>
      <c r="L366" s="388"/>
      <c r="M366" s="597"/>
      <c r="N366" s="578">
        <f t="shared" si="125"/>
        <v>0</v>
      </c>
      <c r="O366" s="679">
        <f t="shared" ref="O366:AC366" si="130">SUM(O357:O365)*$G$54</f>
        <v>6012.6273199999996</v>
      </c>
      <c r="P366" s="679">
        <f t="shared" si="130"/>
        <v>6012.6273199999996</v>
      </c>
      <c r="Q366" s="679">
        <f t="shared" si="130"/>
        <v>6012.6273199999996</v>
      </c>
      <c r="R366" s="679">
        <f t="shared" si="130"/>
        <v>6012.6273199999996</v>
      </c>
      <c r="S366" s="679">
        <f t="shared" si="130"/>
        <v>6012.6273199999996</v>
      </c>
      <c r="T366" s="679">
        <f t="shared" si="130"/>
        <v>6012.6273199999996</v>
      </c>
      <c r="U366" s="679">
        <f t="shared" si="130"/>
        <v>6012.6273199999996</v>
      </c>
      <c r="V366" s="679">
        <f t="shared" si="130"/>
        <v>6012.6273199999996</v>
      </c>
      <c r="W366" s="679">
        <f t="shared" si="130"/>
        <v>9138.5102732954547</v>
      </c>
      <c r="X366" s="679">
        <f t="shared" si="130"/>
        <v>9138.5102732954547</v>
      </c>
      <c r="Y366" s="679">
        <f t="shared" si="130"/>
        <v>9138.5102732954547</v>
      </c>
      <c r="Z366" s="679">
        <f t="shared" si="130"/>
        <v>9138.5102732954547</v>
      </c>
      <c r="AA366" s="679">
        <f t="shared" si="130"/>
        <v>9138.5102732954547</v>
      </c>
      <c r="AB366" s="679">
        <f t="shared" si="130"/>
        <v>9138.5102732954547</v>
      </c>
      <c r="AC366" s="679">
        <f t="shared" si="130"/>
        <v>6012.6273199999996</v>
      </c>
      <c r="AD366" s="678"/>
      <c r="AE366" s="678"/>
      <c r="AF366" s="678"/>
      <c r="AG366" s="678"/>
      <c r="AH366" s="678"/>
      <c r="AI366" s="678"/>
      <c r="AJ366" s="678"/>
      <c r="AK366" s="658"/>
    </row>
    <row r="367" spans="2:37" s="5" customFormat="1">
      <c r="B367" s="313"/>
      <c r="C367" s="835"/>
      <c r="D367" s="19" t="s">
        <v>548</v>
      </c>
      <c r="E367" s="84">
        <f>F366/(5*F365)</f>
        <v>17915.885398505601</v>
      </c>
      <c r="F367" s="84">
        <f>E367*(F365*7)</f>
        <v>1831003.4877272726</v>
      </c>
      <c r="G367" s="95">
        <f>$G$44</f>
        <v>20</v>
      </c>
      <c r="H367" s="64">
        <f>F367/G367</f>
        <v>91550.174386363622</v>
      </c>
      <c r="I367" s="72">
        <f>SUM(H365:H367)</f>
        <v>1508354.5159970452</v>
      </c>
      <c r="J367" s="52">
        <f>SUM(G359:G367)</f>
        <v>40.683300000000003</v>
      </c>
      <c r="K367" s="193"/>
      <c r="L367" s="388"/>
      <c r="M367" s="597"/>
      <c r="N367" s="578">
        <f t="shared" si="125"/>
        <v>0</v>
      </c>
      <c r="O367" s="678"/>
      <c r="P367" s="678"/>
      <c r="Q367" s="678"/>
      <c r="R367" s="678"/>
      <c r="S367" s="678"/>
      <c r="T367" s="678"/>
      <c r="U367" s="678"/>
      <c r="V367" s="678"/>
      <c r="W367" s="678"/>
      <c r="X367" s="678"/>
      <c r="Y367" s="678"/>
      <c r="Z367" s="678"/>
      <c r="AA367" s="678"/>
      <c r="AB367" s="678">
        <f>+H367</f>
        <v>91550.174386363622</v>
      </c>
      <c r="AC367" s="678"/>
      <c r="AD367" s="678"/>
      <c r="AE367" s="678"/>
      <c r="AF367" s="678"/>
      <c r="AG367" s="678"/>
      <c r="AH367" s="678"/>
      <c r="AI367" s="678"/>
      <c r="AJ367" s="678"/>
      <c r="AK367" s="658"/>
    </row>
    <row r="368" spans="2:37" s="5" customFormat="1">
      <c r="B368" s="313"/>
      <c r="C368" s="835"/>
      <c r="D368" s="96"/>
      <c r="E368" s="9"/>
      <c r="F368" s="74"/>
      <c r="G368" s="97"/>
      <c r="H368" s="78"/>
      <c r="I368" s="79"/>
      <c r="J368" s="52"/>
      <c r="K368" s="193"/>
      <c r="L368" s="388"/>
      <c r="M368" s="597"/>
      <c r="N368" s="578">
        <f t="shared" si="125"/>
        <v>0</v>
      </c>
      <c r="O368" s="678"/>
      <c r="P368" s="678"/>
      <c r="Q368" s="678"/>
      <c r="R368" s="678"/>
      <c r="S368" s="678"/>
      <c r="T368" s="678"/>
      <c r="U368" s="678"/>
      <c r="V368" s="678"/>
      <c r="W368" s="678"/>
      <c r="X368" s="678"/>
      <c r="Y368" s="678"/>
      <c r="Z368" s="678"/>
      <c r="AA368" s="678"/>
      <c r="AB368" s="678"/>
      <c r="AC368" s="678"/>
      <c r="AD368" s="678"/>
      <c r="AE368" s="678"/>
      <c r="AF368" s="678"/>
      <c r="AG368" s="678"/>
      <c r="AH368" s="678"/>
      <c r="AI368" s="678"/>
      <c r="AJ368" s="678"/>
      <c r="AK368" s="658"/>
    </row>
    <row r="369" spans="2:37" s="5" customFormat="1" ht="15" customHeight="1">
      <c r="B369" s="317">
        <v>30</v>
      </c>
      <c r="C369" s="835" t="s">
        <v>892</v>
      </c>
      <c r="D369" s="80" t="s">
        <v>62</v>
      </c>
      <c r="E369" s="81">
        <v>57232.2</v>
      </c>
      <c r="F369" s="74"/>
      <c r="G369" s="75"/>
      <c r="H369" s="82"/>
      <c r="I369" s="83"/>
      <c r="J369" s="52"/>
      <c r="K369" s="156"/>
      <c r="L369" s="383"/>
      <c r="M369" s="542"/>
      <c r="N369" s="578">
        <f t="shared" si="125"/>
        <v>0</v>
      </c>
      <c r="O369" s="678"/>
      <c r="P369" s="678"/>
      <c r="Q369" s="678"/>
      <c r="R369" s="678"/>
      <c r="S369" s="678"/>
      <c r="T369" s="678"/>
      <c r="U369" s="678"/>
      <c r="V369" s="678"/>
      <c r="W369" s="678"/>
      <c r="X369" s="678"/>
      <c r="Y369" s="678"/>
      <c r="Z369" s="678"/>
      <c r="AA369" s="678"/>
      <c r="AB369" s="678"/>
      <c r="AC369" s="678"/>
      <c r="AD369" s="678"/>
      <c r="AE369" s="678"/>
      <c r="AF369" s="678"/>
      <c r="AG369" s="678"/>
      <c r="AH369" s="678"/>
      <c r="AI369" s="678"/>
      <c r="AJ369" s="678"/>
      <c r="AK369" s="658"/>
    </row>
    <row r="370" spans="2:37" s="5" customFormat="1">
      <c r="B370" s="313"/>
      <c r="C370" s="835"/>
      <c r="D370" s="17" t="s">
        <v>0</v>
      </c>
      <c r="E370" s="81" t="s">
        <v>27</v>
      </c>
      <c r="F370" s="84">
        <f>E369</f>
        <v>57232.2</v>
      </c>
      <c r="G370" s="64">
        <v>8</v>
      </c>
      <c r="H370" s="64">
        <f>+G370*F370</f>
        <v>457857.6</v>
      </c>
      <c r="I370" s="79"/>
      <c r="J370" s="52"/>
      <c r="K370" s="156"/>
      <c r="L370" s="383"/>
      <c r="M370" s="542"/>
      <c r="N370" s="578">
        <f t="shared" si="125"/>
        <v>0</v>
      </c>
      <c r="O370" s="678">
        <f>+H370/G370</f>
        <v>57232.2</v>
      </c>
      <c r="P370" s="678">
        <f t="shared" ref="P370" si="131">+O370</f>
        <v>57232.2</v>
      </c>
      <c r="Q370" s="678">
        <f>+H370/G370</f>
        <v>57232.2</v>
      </c>
      <c r="R370" s="678">
        <f>+H370/G370</f>
        <v>57232.2</v>
      </c>
      <c r="S370" s="678">
        <f>+H370/G370</f>
        <v>57232.2</v>
      </c>
      <c r="T370" s="678">
        <f>+H370/G370</f>
        <v>57232.2</v>
      </c>
      <c r="U370" s="678">
        <f>+H370/G370</f>
        <v>57232.2</v>
      </c>
      <c r="V370" s="678">
        <f>+H370/G370</f>
        <v>57232.2</v>
      </c>
      <c r="W370" s="678"/>
      <c r="X370" s="678"/>
      <c r="Y370" s="678"/>
      <c r="Z370" s="678"/>
      <c r="AA370" s="678"/>
      <c r="AB370" s="678"/>
      <c r="AC370" s="678"/>
      <c r="AD370" s="678"/>
      <c r="AE370" s="678"/>
      <c r="AF370" s="678"/>
      <c r="AG370" s="678"/>
      <c r="AH370" s="678"/>
      <c r="AI370" s="678"/>
      <c r="AJ370" s="678"/>
      <c r="AK370" s="658"/>
    </row>
    <row r="371" spans="2:37" s="5" customFormat="1">
      <c r="B371" s="313"/>
      <c r="C371" s="835"/>
      <c r="D371" s="17" t="s">
        <v>3</v>
      </c>
      <c r="E371" s="81" t="s">
        <v>27</v>
      </c>
      <c r="F371" s="84">
        <f>E369</f>
        <v>57232.2</v>
      </c>
      <c r="G371" s="64">
        <v>6</v>
      </c>
      <c r="H371" s="64">
        <f>+G371*F371</f>
        <v>343393.19999999995</v>
      </c>
      <c r="I371" s="79"/>
      <c r="J371" s="52"/>
      <c r="K371" s="156"/>
      <c r="L371" s="383"/>
      <c r="M371" s="542"/>
      <c r="N371" s="578">
        <f t="shared" si="125"/>
        <v>0</v>
      </c>
      <c r="O371" s="678"/>
      <c r="P371" s="678"/>
      <c r="Q371" s="678"/>
      <c r="R371" s="678"/>
      <c r="S371" s="678"/>
      <c r="T371" s="678"/>
      <c r="U371" s="678"/>
      <c r="V371" s="678"/>
      <c r="W371" s="678">
        <f>+H371/G371</f>
        <v>57232.19999999999</v>
      </c>
      <c r="X371" s="678">
        <f>+H371/G371</f>
        <v>57232.19999999999</v>
      </c>
      <c r="Y371" s="678">
        <f>+H371/G371</f>
        <v>57232.19999999999</v>
      </c>
      <c r="Z371" s="678">
        <f>+H371/G371</f>
        <v>57232.19999999999</v>
      </c>
      <c r="AA371" s="678">
        <f>+H371/G371</f>
        <v>57232.19999999999</v>
      </c>
      <c r="AB371" s="678">
        <f>+H371/G371</f>
        <v>57232.19999999999</v>
      </c>
      <c r="AC371" s="678"/>
      <c r="AD371" s="678"/>
      <c r="AE371" s="678"/>
      <c r="AF371" s="678"/>
      <c r="AG371" s="678"/>
      <c r="AH371" s="678"/>
      <c r="AI371" s="678"/>
      <c r="AJ371" s="678"/>
      <c r="AK371" s="658"/>
    </row>
    <row r="372" spans="2:37" s="5" customFormat="1">
      <c r="B372" s="313"/>
      <c r="C372" s="835"/>
      <c r="D372" s="17" t="s">
        <v>28</v>
      </c>
      <c r="E372" s="88">
        <f>$H$5+2</f>
        <v>15.25</v>
      </c>
      <c r="F372" s="84">
        <f>E369/44*1.5</f>
        <v>1951.0977272727273</v>
      </c>
      <c r="G372" s="87">
        <v>6</v>
      </c>
      <c r="H372" s="64">
        <f>+G372*F372*E372</f>
        <v>178525.44204545458</v>
      </c>
      <c r="I372" s="79"/>
      <c r="J372" s="52"/>
      <c r="K372" s="156"/>
      <c r="L372" s="383"/>
      <c r="M372" s="542"/>
      <c r="N372" s="578">
        <f t="shared" si="125"/>
        <v>0</v>
      </c>
      <c r="O372" s="678"/>
      <c r="P372" s="678"/>
      <c r="Q372" s="678"/>
      <c r="R372" s="678"/>
      <c r="S372" s="678"/>
      <c r="T372" s="678"/>
      <c r="U372" s="678"/>
      <c r="V372" s="678"/>
      <c r="W372" s="678">
        <f>+H372/G372</f>
        <v>29754.240340909095</v>
      </c>
      <c r="X372" s="678">
        <f t="shared" ref="X372:AB372" si="132">+W372</f>
        <v>29754.240340909095</v>
      </c>
      <c r="Y372" s="678">
        <f t="shared" si="132"/>
        <v>29754.240340909095</v>
      </c>
      <c r="Z372" s="678">
        <f t="shared" si="132"/>
        <v>29754.240340909095</v>
      </c>
      <c r="AA372" s="678">
        <f t="shared" si="132"/>
        <v>29754.240340909095</v>
      </c>
      <c r="AB372" s="678">
        <f t="shared" si="132"/>
        <v>29754.240340909095</v>
      </c>
      <c r="AC372" s="678"/>
      <c r="AD372" s="678"/>
      <c r="AE372" s="678"/>
      <c r="AF372" s="678"/>
      <c r="AG372" s="678"/>
      <c r="AH372" s="678"/>
      <c r="AI372" s="678"/>
      <c r="AJ372" s="678"/>
      <c r="AK372" s="658"/>
    </row>
    <row r="373" spans="2:37" s="5" customFormat="1">
      <c r="B373" s="313"/>
      <c r="C373" s="835"/>
      <c r="D373" s="17" t="s">
        <v>1</v>
      </c>
      <c r="E373" s="67" t="s">
        <v>29</v>
      </c>
      <c r="F373" s="84">
        <f>E369/5*1.5</f>
        <v>17169.659999999996</v>
      </c>
      <c r="G373" s="64">
        <f>$H$3</f>
        <v>0</v>
      </c>
      <c r="H373" s="64">
        <f>+G373*F373</f>
        <v>0</v>
      </c>
      <c r="I373" s="79"/>
      <c r="J373" s="52"/>
      <c r="K373" s="156"/>
      <c r="L373" s="383"/>
      <c r="M373" s="542"/>
      <c r="N373" s="578">
        <f t="shared" si="125"/>
        <v>0</v>
      </c>
      <c r="O373" s="678"/>
      <c r="P373" s="678"/>
      <c r="Q373" s="678"/>
      <c r="R373" s="678"/>
      <c r="S373" s="678"/>
      <c r="T373" s="678"/>
      <c r="U373" s="678"/>
      <c r="V373" s="678"/>
      <c r="W373" s="678"/>
      <c r="X373" s="678"/>
      <c r="Y373" s="678"/>
      <c r="Z373" s="678"/>
      <c r="AA373" s="678"/>
      <c r="AB373" s="678"/>
      <c r="AC373" s="678"/>
      <c r="AD373" s="678"/>
      <c r="AE373" s="678"/>
      <c r="AF373" s="678"/>
      <c r="AG373" s="678"/>
      <c r="AH373" s="678"/>
      <c r="AI373" s="678"/>
      <c r="AJ373" s="678"/>
      <c r="AK373" s="658"/>
    </row>
    <row r="374" spans="2:37" s="5" customFormat="1">
      <c r="B374" s="313"/>
      <c r="C374" s="835"/>
      <c r="D374" s="17" t="s">
        <v>4</v>
      </c>
      <c r="E374" s="67" t="s">
        <v>29</v>
      </c>
      <c r="F374" s="84">
        <f>E369/5*2</f>
        <v>22892.879999999997</v>
      </c>
      <c r="G374" s="64">
        <f>$H$4</f>
        <v>0</v>
      </c>
      <c r="H374" s="64">
        <f>+G374*F374</f>
        <v>0</v>
      </c>
      <c r="I374" s="79"/>
      <c r="J374" s="52"/>
      <c r="K374" s="156"/>
      <c r="L374" s="383"/>
      <c r="M374" s="542"/>
      <c r="N374" s="578">
        <f t="shared" si="125"/>
        <v>0</v>
      </c>
      <c r="O374" s="678"/>
      <c r="P374" s="678"/>
      <c r="Q374" s="678"/>
      <c r="R374" s="678"/>
      <c r="S374" s="678"/>
      <c r="T374" s="678"/>
      <c r="U374" s="678"/>
      <c r="V374" s="678"/>
      <c r="W374" s="678"/>
      <c r="X374" s="678"/>
      <c r="Y374" s="678"/>
      <c r="Z374" s="678"/>
      <c r="AA374" s="678"/>
      <c r="AB374" s="678"/>
      <c r="AC374" s="678"/>
      <c r="AD374" s="678"/>
      <c r="AE374" s="678"/>
      <c r="AF374" s="678"/>
      <c r="AG374" s="678"/>
      <c r="AH374" s="678"/>
      <c r="AI374" s="678"/>
      <c r="AJ374" s="678"/>
      <c r="AK374" s="658"/>
    </row>
    <row r="375" spans="2:37" s="5" customFormat="1">
      <c r="B375" s="313"/>
      <c r="C375" s="835"/>
      <c r="D375" s="17" t="s">
        <v>5</v>
      </c>
      <c r="E375" s="81" t="s">
        <v>27</v>
      </c>
      <c r="F375" s="84">
        <f>E369</f>
        <v>57232.2</v>
      </c>
      <c r="G375" s="99">
        <v>0.6</v>
      </c>
      <c r="H375" s="64">
        <f>+G375*F375</f>
        <v>34339.32</v>
      </c>
      <c r="I375" s="79"/>
      <c r="J375" s="52"/>
      <c r="K375" s="156"/>
      <c r="L375" s="383"/>
      <c r="M375" s="542"/>
      <c r="N375" s="578">
        <f t="shared" si="125"/>
        <v>0</v>
      </c>
      <c r="O375" s="678"/>
      <c r="P375" s="678"/>
      <c r="Q375" s="678"/>
      <c r="R375" s="678"/>
      <c r="S375" s="678"/>
      <c r="T375" s="678"/>
      <c r="U375" s="678"/>
      <c r="V375" s="678"/>
      <c r="W375" s="678"/>
      <c r="X375" s="678"/>
      <c r="Y375" s="678"/>
      <c r="Z375" s="678"/>
      <c r="AA375" s="678"/>
      <c r="AB375" s="678"/>
      <c r="AC375" s="679">
        <f>+H375</f>
        <v>34339.32</v>
      </c>
      <c r="AD375" s="678"/>
      <c r="AE375" s="678"/>
      <c r="AF375" s="678"/>
      <c r="AG375" s="678"/>
      <c r="AH375" s="678"/>
      <c r="AI375" s="678"/>
      <c r="AJ375" s="678"/>
      <c r="AK375" s="658"/>
    </row>
    <row r="376" spans="2:37" s="5" customFormat="1">
      <c r="B376" s="313"/>
      <c r="C376" s="835"/>
      <c r="D376" s="17" t="s">
        <v>30</v>
      </c>
      <c r="E376" s="67" t="s">
        <v>16</v>
      </c>
      <c r="F376" s="64">
        <f>G370+G371+G375</f>
        <v>14.6</v>
      </c>
      <c r="G376" s="68" t="s">
        <v>31</v>
      </c>
      <c r="H376" s="64">
        <f>SUM(H370:H375)</f>
        <v>1014115.5620454544</v>
      </c>
      <c r="I376" s="79"/>
      <c r="J376" s="52"/>
      <c r="K376" s="156"/>
      <c r="L376" s="383"/>
      <c r="M376" s="542"/>
      <c r="N376" s="578">
        <f t="shared" si="125"/>
        <v>-1014115.5620454544</v>
      </c>
      <c r="O376" s="678"/>
      <c r="P376" s="678"/>
      <c r="Q376" s="678"/>
      <c r="R376" s="678"/>
      <c r="S376" s="678"/>
      <c r="T376" s="678"/>
      <c r="U376" s="678"/>
      <c r="V376" s="678"/>
      <c r="W376" s="678"/>
      <c r="X376" s="678"/>
      <c r="Y376" s="678"/>
      <c r="Z376" s="678"/>
      <c r="AA376" s="678"/>
      <c r="AB376" s="678"/>
      <c r="AC376" s="678"/>
      <c r="AD376" s="678"/>
      <c r="AE376" s="678"/>
      <c r="AF376" s="678"/>
      <c r="AG376" s="678"/>
      <c r="AH376" s="678"/>
      <c r="AI376" s="678"/>
      <c r="AJ376" s="678"/>
      <c r="AK376" s="658"/>
    </row>
    <row r="377" spans="2:37" s="5" customFormat="1">
      <c r="B377" s="313"/>
      <c r="C377" s="835"/>
      <c r="D377" s="19" t="s">
        <v>32</v>
      </c>
      <c r="E377" s="67" t="s">
        <v>16</v>
      </c>
      <c r="F377" s="84">
        <f>SUM(H370:H375)</f>
        <v>1014115.5620454544</v>
      </c>
      <c r="G377" s="92">
        <f>$G$43</f>
        <v>8.3299999999999999E-2</v>
      </c>
      <c r="H377" s="64">
        <f>+G377*F377</f>
        <v>84475.826318386346</v>
      </c>
      <c r="I377" s="93"/>
      <c r="J377" s="52"/>
      <c r="K377" s="156"/>
      <c r="L377" s="383"/>
      <c r="M377" s="542"/>
      <c r="N377" s="578">
        <f t="shared" si="125"/>
        <v>0</v>
      </c>
      <c r="O377" s="679">
        <f t="shared" ref="O377:AC377" si="133">SUM(O368:O376)*$G$54</f>
        <v>4767.4422599999998</v>
      </c>
      <c r="P377" s="679">
        <f t="shared" si="133"/>
        <v>4767.4422599999998</v>
      </c>
      <c r="Q377" s="679">
        <f t="shared" si="133"/>
        <v>4767.4422599999998</v>
      </c>
      <c r="R377" s="679">
        <f t="shared" si="133"/>
        <v>4767.4422599999998</v>
      </c>
      <c r="S377" s="679">
        <f t="shared" si="133"/>
        <v>4767.4422599999998</v>
      </c>
      <c r="T377" s="679">
        <f t="shared" si="133"/>
        <v>4767.4422599999998</v>
      </c>
      <c r="U377" s="679">
        <f t="shared" si="133"/>
        <v>4767.4422599999998</v>
      </c>
      <c r="V377" s="679">
        <f t="shared" si="133"/>
        <v>4767.4422599999998</v>
      </c>
      <c r="W377" s="679">
        <f t="shared" si="133"/>
        <v>7245.9704803977265</v>
      </c>
      <c r="X377" s="679">
        <f t="shared" si="133"/>
        <v>7245.9704803977265</v>
      </c>
      <c r="Y377" s="679">
        <f t="shared" si="133"/>
        <v>7245.9704803977265</v>
      </c>
      <c r="Z377" s="679">
        <f t="shared" si="133"/>
        <v>7245.9704803977265</v>
      </c>
      <c r="AA377" s="679">
        <f t="shared" si="133"/>
        <v>7245.9704803977265</v>
      </c>
      <c r="AB377" s="679">
        <f t="shared" si="133"/>
        <v>7245.9704803977265</v>
      </c>
      <c r="AC377" s="679">
        <f t="shared" si="133"/>
        <v>2860.4653560000002</v>
      </c>
      <c r="AD377" s="678"/>
      <c r="AE377" s="678"/>
      <c r="AF377" s="678"/>
      <c r="AG377" s="678"/>
      <c r="AH377" s="678"/>
      <c r="AI377" s="678"/>
      <c r="AJ377" s="678"/>
      <c r="AK377" s="658"/>
    </row>
    <row r="378" spans="2:37" s="5" customFormat="1">
      <c r="B378" s="313"/>
      <c r="C378" s="835"/>
      <c r="D378" s="19" t="s">
        <v>33</v>
      </c>
      <c r="E378" s="84">
        <f>F377/(5*F376)</f>
        <v>13891.994000622662</v>
      </c>
      <c r="F378" s="84">
        <f>E378*(F376*7)</f>
        <v>1419761.7868636362</v>
      </c>
      <c r="G378" s="95">
        <f>$G$44</f>
        <v>20</v>
      </c>
      <c r="H378" s="64">
        <f>F378/G378</f>
        <v>70988.089343181811</v>
      </c>
      <c r="I378" s="72">
        <f>SUM(H376:H378)</f>
        <v>1169579.4777070226</v>
      </c>
      <c r="J378" s="52"/>
      <c r="K378" s="156"/>
      <c r="L378" s="383"/>
      <c r="M378" s="542"/>
      <c r="N378" s="578">
        <f t="shared" si="125"/>
        <v>0</v>
      </c>
      <c r="O378" s="678"/>
      <c r="P378" s="678"/>
      <c r="Q378" s="678"/>
      <c r="R378" s="678"/>
      <c r="S378" s="678"/>
      <c r="T378" s="678"/>
      <c r="U378" s="678"/>
      <c r="V378" s="678"/>
      <c r="W378" s="678"/>
      <c r="X378" s="678"/>
      <c r="Y378" s="678"/>
      <c r="Z378" s="678"/>
      <c r="AA378" s="678"/>
      <c r="AB378" s="678">
        <f>+H378</f>
        <v>70988.089343181811</v>
      </c>
      <c r="AC378" s="678"/>
      <c r="AD378" s="678"/>
      <c r="AE378" s="678"/>
      <c r="AF378" s="678"/>
      <c r="AG378" s="678"/>
      <c r="AH378" s="678"/>
      <c r="AI378" s="678"/>
      <c r="AJ378" s="678"/>
      <c r="AK378" s="658"/>
    </row>
    <row r="379" spans="2:37" s="5" customFormat="1">
      <c r="B379" s="313"/>
      <c r="C379" s="835"/>
      <c r="D379" s="96"/>
      <c r="E379" s="9"/>
      <c r="F379" s="74"/>
      <c r="G379" s="97"/>
      <c r="H379" s="78"/>
      <c r="I379" s="79"/>
      <c r="J379" s="52">
        <f>SUM(G371:G379)</f>
        <v>32.683300000000003</v>
      </c>
      <c r="K379" s="156"/>
      <c r="L379" s="383"/>
      <c r="M379" s="542"/>
      <c r="N379" s="578">
        <f t="shared" si="125"/>
        <v>0</v>
      </c>
      <c r="O379" s="678"/>
      <c r="P379" s="678"/>
      <c r="Q379" s="678"/>
      <c r="R379" s="678"/>
      <c r="S379" s="678"/>
      <c r="T379" s="678"/>
      <c r="U379" s="678"/>
      <c r="V379" s="678"/>
      <c r="W379" s="678"/>
      <c r="X379" s="678"/>
      <c r="Y379" s="678"/>
      <c r="Z379" s="678"/>
      <c r="AA379" s="678"/>
      <c r="AB379" s="678"/>
      <c r="AC379" s="678"/>
      <c r="AD379" s="678"/>
      <c r="AE379" s="678"/>
      <c r="AF379" s="678"/>
      <c r="AG379" s="678"/>
      <c r="AH379" s="678"/>
      <c r="AI379" s="678"/>
      <c r="AJ379" s="678"/>
      <c r="AK379" s="658"/>
    </row>
    <row r="380" spans="2:37" s="5" customFormat="1" ht="15" customHeight="1">
      <c r="B380" s="317">
        <v>31</v>
      </c>
      <c r="C380" s="835" t="s">
        <v>893</v>
      </c>
      <c r="D380" s="105" t="s">
        <v>63</v>
      </c>
      <c r="E380" s="194">
        <v>52273.75</v>
      </c>
      <c r="F380" s="75"/>
      <c r="G380" s="75"/>
      <c r="H380" s="82"/>
      <c r="I380" s="83"/>
      <c r="J380" s="52"/>
      <c r="K380" s="193"/>
      <c r="L380" s="388"/>
      <c r="M380" s="597"/>
      <c r="N380" s="578">
        <f t="shared" si="125"/>
        <v>0</v>
      </c>
      <c r="O380" s="678"/>
      <c r="P380" s="678"/>
      <c r="Q380" s="678"/>
      <c r="R380" s="678"/>
      <c r="S380" s="678"/>
      <c r="T380" s="678"/>
      <c r="U380" s="678"/>
      <c r="V380" s="678"/>
      <c r="W380" s="678"/>
      <c r="X380" s="678"/>
      <c r="Y380" s="678"/>
      <c r="Z380" s="678"/>
      <c r="AA380" s="678"/>
      <c r="AB380" s="678"/>
      <c r="AC380" s="678"/>
      <c r="AD380" s="678"/>
      <c r="AE380" s="678"/>
      <c r="AF380" s="678"/>
      <c r="AG380" s="678"/>
      <c r="AH380" s="678"/>
      <c r="AI380" s="678"/>
      <c r="AJ380" s="678"/>
      <c r="AK380" s="658"/>
    </row>
    <row r="381" spans="2:37" s="5" customFormat="1">
      <c r="B381" s="313"/>
      <c r="C381" s="835"/>
      <c r="D381" s="17" t="s">
        <v>0</v>
      </c>
      <c r="E381" s="147" t="s">
        <v>27</v>
      </c>
      <c r="F381" s="84">
        <f>E380</f>
        <v>52273.75</v>
      </c>
      <c r="G381" s="64">
        <v>6</v>
      </c>
      <c r="H381" s="64">
        <f>+G381*F381</f>
        <v>313642.5</v>
      </c>
      <c r="I381" s="79"/>
      <c r="J381" s="52"/>
      <c r="K381" s="193"/>
      <c r="L381" s="388"/>
      <c r="M381" s="597"/>
      <c r="N381" s="578">
        <f t="shared" si="125"/>
        <v>0</v>
      </c>
      <c r="O381" s="678"/>
      <c r="P381" s="678"/>
      <c r="Q381" s="678">
        <f>+H381/G381</f>
        <v>52273.75</v>
      </c>
      <c r="R381" s="678">
        <f>+H381/G381</f>
        <v>52273.75</v>
      </c>
      <c r="S381" s="678">
        <f>+H381/G381</f>
        <v>52273.75</v>
      </c>
      <c r="T381" s="678">
        <f>+H381/G381</f>
        <v>52273.75</v>
      </c>
      <c r="U381" s="678">
        <f>+H381/G381</f>
        <v>52273.75</v>
      </c>
      <c r="V381" s="678">
        <f>+H381/G381</f>
        <v>52273.75</v>
      </c>
      <c r="W381" s="678"/>
      <c r="X381" s="678"/>
      <c r="Y381" s="678"/>
      <c r="Z381" s="678"/>
      <c r="AA381" s="678"/>
      <c r="AB381" s="678"/>
      <c r="AC381" s="678"/>
      <c r="AD381" s="678"/>
      <c r="AE381" s="678"/>
      <c r="AF381" s="678"/>
      <c r="AG381" s="678"/>
      <c r="AH381" s="678"/>
      <c r="AI381" s="678"/>
      <c r="AJ381" s="678"/>
      <c r="AK381" s="658"/>
    </row>
    <row r="382" spans="2:37" s="5" customFormat="1">
      <c r="B382" s="313"/>
      <c r="C382" s="835"/>
      <c r="D382" s="17" t="s">
        <v>3</v>
      </c>
      <c r="E382" s="81" t="s">
        <v>27</v>
      </c>
      <c r="F382" s="84">
        <f>E380</f>
        <v>52273.75</v>
      </c>
      <c r="G382" s="64">
        <v>6</v>
      </c>
      <c r="H382" s="64">
        <f>+G382*F382</f>
        <v>313642.5</v>
      </c>
      <c r="I382" s="79"/>
      <c r="J382" s="52"/>
      <c r="K382" s="193"/>
      <c r="L382" s="388"/>
      <c r="M382" s="597"/>
      <c r="N382" s="578">
        <f t="shared" si="125"/>
        <v>0</v>
      </c>
      <c r="O382" s="678"/>
      <c r="P382" s="678"/>
      <c r="Q382" s="678"/>
      <c r="R382" s="678"/>
      <c r="S382" s="678"/>
      <c r="T382" s="678"/>
      <c r="U382" s="678"/>
      <c r="V382" s="678"/>
      <c r="W382" s="678">
        <f>+H382/G382</f>
        <v>52273.75</v>
      </c>
      <c r="X382" s="678">
        <f>+H382/G382</f>
        <v>52273.75</v>
      </c>
      <c r="Y382" s="678">
        <f>+H382/G382</f>
        <v>52273.75</v>
      </c>
      <c r="Z382" s="678">
        <f>+H382/G382</f>
        <v>52273.75</v>
      </c>
      <c r="AA382" s="678">
        <f>+H382/G382</f>
        <v>52273.75</v>
      </c>
      <c r="AB382" s="678">
        <f>+H382/G382</f>
        <v>52273.75</v>
      </c>
      <c r="AC382" s="678"/>
      <c r="AD382" s="678"/>
      <c r="AE382" s="678"/>
      <c r="AF382" s="678"/>
      <c r="AG382" s="678"/>
      <c r="AH382" s="678"/>
      <c r="AI382" s="678"/>
      <c r="AJ382" s="678"/>
      <c r="AK382" s="658"/>
    </row>
    <row r="383" spans="2:37" s="5" customFormat="1">
      <c r="B383" s="313"/>
      <c r="C383" s="835"/>
      <c r="D383" s="17" t="s">
        <v>28</v>
      </c>
      <c r="E383" s="88">
        <f>$H$5+2</f>
        <v>15.25</v>
      </c>
      <c r="F383" s="84">
        <f>E380/44*1.5</f>
        <v>1782.059659090909</v>
      </c>
      <c r="G383" s="87">
        <v>6</v>
      </c>
      <c r="H383" s="64">
        <f>+G383*F383*E383</f>
        <v>163058.45880681818</v>
      </c>
      <c r="I383" s="79"/>
      <c r="J383" s="52"/>
      <c r="K383" s="193"/>
      <c r="L383" s="388"/>
      <c r="M383" s="597"/>
      <c r="N383" s="578">
        <f t="shared" si="125"/>
        <v>0</v>
      </c>
      <c r="O383" s="678"/>
      <c r="P383" s="678"/>
      <c r="Q383" s="678"/>
      <c r="R383" s="678"/>
      <c r="S383" s="678"/>
      <c r="T383" s="678"/>
      <c r="U383" s="678"/>
      <c r="V383" s="678"/>
      <c r="W383" s="678">
        <f>+H383/G383</f>
        <v>27176.409801136364</v>
      </c>
      <c r="X383" s="678">
        <f t="shared" ref="X383:AB383" si="134">+W383</f>
        <v>27176.409801136364</v>
      </c>
      <c r="Y383" s="678">
        <f t="shared" si="134"/>
        <v>27176.409801136364</v>
      </c>
      <c r="Z383" s="678">
        <f t="shared" si="134"/>
        <v>27176.409801136364</v>
      </c>
      <c r="AA383" s="678">
        <f t="shared" si="134"/>
        <v>27176.409801136364</v>
      </c>
      <c r="AB383" s="678">
        <f t="shared" si="134"/>
        <v>27176.409801136364</v>
      </c>
      <c r="AC383" s="678"/>
      <c r="AD383" s="678"/>
      <c r="AE383" s="678"/>
      <c r="AF383" s="678"/>
      <c r="AG383" s="678"/>
      <c r="AH383" s="678"/>
      <c r="AI383" s="678"/>
      <c r="AJ383" s="678"/>
      <c r="AK383" s="658"/>
    </row>
    <row r="384" spans="2:37" s="5" customFormat="1">
      <c r="B384" s="313"/>
      <c r="C384" s="835"/>
      <c r="D384" s="17" t="s">
        <v>1</v>
      </c>
      <c r="E384" s="67" t="s">
        <v>29</v>
      </c>
      <c r="F384" s="84">
        <f>E380/5*1.5</f>
        <v>15682.125</v>
      </c>
      <c r="G384" s="64">
        <f>$H$3</f>
        <v>0</v>
      </c>
      <c r="H384" s="64">
        <f>+G384*F384</f>
        <v>0</v>
      </c>
      <c r="I384" s="79"/>
      <c r="J384" s="52"/>
      <c r="K384" s="193"/>
      <c r="L384" s="388"/>
      <c r="M384" s="597"/>
      <c r="N384" s="578">
        <f t="shared" si="125"/>
        <v>0</v>
      </c>
      <c r="O384" s="678"/>
      <c r="P384" s="678"/>
      <c r="Q384" s="678"/>
      <c r="R384" s="678"/>
      <c r="S384" s="678"/>
      <c r="T384" s="678"/>
      <c r="U384" s="678"/>
      <c r="V384" s="678"/>
      <c r="W384" s="678"/>
      <c r="X384" s="678"/>
      <c r="Y384" s="678"/>
      <c r="Z384" s="678"/>
      <c r="AA384" s="678"/>
      <c r="AB384" s="678"/>
      <c r="AC384" s="678"/>
      <c r="AD384" s="678"/>
      <c r="AE384" s="678"/>
      <c r="AF384" s="678"/>
      <c r="AG384" s="678"/>
      <c r="AH384" s="678"/>
      <c r="AI384" s="678"/>
      <c r="AJ384" s="678"/>
      <c r="AK384" s="658"/>
    </row>
    <row r="385" spans="2:37" s="5" customFormat="1">
      <c r="B385" s="313"/>
      <c r="C385" s="835"/>
      <c r="D385" s="17" t="s">
        <v>4</v>
      </c>
      <c r="E385" s="67" t="s">
        <v>29</v>
      </c>
      <c r="F385" s="84">
        <f>E380/5*1.5</f>
        <v>15682.125</v>
      </c>
      <c r="G385" s="64">
        <f>$H$4</f>
        <v>0</v>
      </c>
      <c r="H385" s="64">
        <f>+G385*F385</f>
        <v>0</v>
      </c>
      <c r="I385" s="79"/>
      <c r="J385" s="52"/>
      <c r="K385" s="193"/>
      <c r="L385" s="388"/>
      <c r="M385" s="597"/>
      <c r="N385" s="578">
        <f t="shared" si="125"/>
        <v>0</v>
      </c>
      <c r="O385" s="678"/>
      <c r="P385" s="678"/>
      <c r="Q385" s="678"/>
      <c r="R385" s="678"/>
      <c r="S385" s="678"/>
      <c r="T385" s="678"/>
      <c r="U385" s="678"/>
      <c r="V385" s="678"/>
      <c r="W385" s="678"/>
      <c r="X385" s="678"/>
      <c r="Y385" s="678"/>
      <c r="Z385" s="678"/>
      <c r="AA385" s="678"/>
      <c r="AB385" s="678"/>
      <c r="AC385" s="678"/>
      <c r="AD385" s="678"/>
      <c r="AE385" s="678"/>
      <c r="AF385" s="678"/>
      <c r="AG385" s="678"/>
      <c r="AH385" s="678"/>
      <c r="AI385" s="678"/>
      <c r="AJ385" s="678"/>
      <c r="AK385" s="658"/>
    </row>
    <row r="386" spans="2:37" s="5" customFormat="1">
      <c r="B386" s="313"/>
      <c r="C386" s="835"/>
      <c r="D386" s="17" t="s">
        <v>5</v>
      </c>
      <c r="E386" s="81" t="s">
        <v>27</v>
      </c>
      <c r="F386" s="84">
        <f>F380</f>
        <v>0</v>
      </c>
      <c r="G386" s="64">
        <v>0</v>
      </c>
      <c r="H386" s="64">
        <f>+G386*F386</f>
        <v>0</v>
      </c>
      <c r="I386" s="79"/>
      <c r="J386" s="52"/>
      <c r="K386" s="193"/>
      <c r="L386" s="388"/>
      <c r="M386" s="597"/>
      <c r="N386" s="578">
        <f t="shared" si="125"/>
        <v>0</v>
      </c>
      <c r="O386" s="678"/>
      <c r="P386" s="678"/>
      <c r="Q386" s="678"/>
      <c r="R386" s="678"/>
      <c r="S386" s="678"/>
      <c r="T386" s="678"/>
      <c r="U386" s="678"/>
      <c r="V386" s="678"/>
      <c r="W386" s="678"/>
      <c r="X386" s="678"/>
      <c r="Y386" s="678"/>
      <c r="Z386" s="678"/>
      <c r="AA386" s="678"/>
      <c r="AB386" s="678"/>
      <c r="AC386" s="679">
        <f>+H386</f>
        <v>0</v>
      </c>
      <c r="AD386" s="678"/>
      <c r="AE386" s="678"/>
      <c r="AF386" s="678"/>
      <c r="AG386" s="678"/>
      <c r="AH386" s="678"/>
      <c r="AI386" s="678"/>
      <c r="AJ386" s="678"/>
      <c r="AK386" s="658"/>
    </row>
    <row r="387" spans="2:37" s="5" customFormat="1">
      <c r="B387" s="313"/>
      <c r="C387" s="835"/>
      <c r="D387" s="17" t="s">
        <v>30</v>
      </c>
      <c r="E387" s="67" t="s">
        <v>16</v>
      </c>
      <c r="F387" s="64">
        <f>G381+G382+G386</f>
        <v>12</v>
      </c>
      <c r="G387" s="68" t="s">
        <v>31</v>
      </c>
      <c r="H387" s="64">
        <f>SUM(H381:H386)</f>
        <v>790343.45880681812</v>
      </c>
      <c r="I387" s="79"/>
      <c r="J387" s="52"/>
      <c r="K387" s="193"/>
      <c r="L387" s="388"/>
      <c r="M387" s="597"/>
      <c r="N387" s="578">
        <f t="shared" si="125"/>
        <v>-790343.45880681812</v>
      </c>
      <c r="O387" s="678"/>
      <c r="P387" s="678"/>
      <c r="Q387" s="678"/>
      <c r="R387" s="678"/>
      <c r="S387" s="678"/>
      <c r="T387" s="678"/>
      <c r="U387" s="678"/>
      <c r="V387" s="678"/>
      <c r="W387" s="678"/>
      <c r="X387" s="678"/>
      <c r="Y387" s="678"/>
      <c r="Z387" s="678"/>
      <c r="AA387" s="678"/>
      <c r="AB387" s="678"/>
      <c r="AC387" s="678"/>
      <c r="AD387" s="678"/>
      <c r="AE387" s="678"/>
      <c r="AF387" s="678"/>
      <c r="AG387" s="678"/>
      <c r="AH387" s="678"/>
      <c r="AI387" s="678"/>
      <c r="AJ387" s="678"/>
      <c r="AK387" s="658"/>
    </row>
    <row r="388" spans="2:37" s="5" customFormat="1">
      <c r="B388" s="313"/>
      <c r="C388" s="835"/>
      <c r="D388" s="19" t="s">
        <v>32</v>
      </c>
      <c r="E388" s="67" t="s">
        <v>16</v>
      </c>
      <c r="F388" s="84">
        <f>SUM(H381:H386)</f>
        <v>790343.45880681812</v>
      </c>
      <c r="G388" s="92">
        <f>$G$43</f>
        <v>8.3299999999999999E-2</v>
      </c>
      <c r="H388" s="64">
        <f>+G388*F388</f>
        <v>65835.610118607947</v>
      </c>
      <c r="I388" s="93"/>
      <c r="J388" s="52"/>
      <c r="K388" s="193"/>
      <c r="L388" s="388"/>
      <c r="M388" s="597"/>
      <c r="N388" s="578">
        <f t="shared" si="125"/>
        <v>0</v>
      </c>
      <c r="O388" s="679">
        <f t="shared" ref="O388:AC388" si="135">SUM(O379:O387)*$G$54</f>
        <v>0</v>
      </c>
      <c r="P388" s="679">
        <f t="shared" si="135"/>
        <v>0</v>
      </c>
      <c r="Q388" s="679">
        <f t="shared" si="135"/>
        <v>4354.4033749999999</v>
      </c>
      <c r="R388" s="679">
        <f t="shared" si="135"/>
        <v>4354.4033749999999</v>
      </c>
      <c r="S388" s="679">
        <f t="shared" si="135"/>
        <v>4354.4033749999999</v>
      </c>
      <c r="T388" s="679">
        <f t="shared" si="135"/>
        <v>4354.4033749999999</v>
      </c>
      <c r="U388" s="679">
        <f t="shared" si="135"/>
        <v>4354.4033749999999</v>
      </c>
      <c r="V388" s="679">
        <f t="shared" si="135"/>
        <v>4354.4033749999999</v>
      </c>
      <c r="W388" s="679">
        <f t="shared" si="135"/>
        <v>6618.1983114346594</v>
      </c>
      <c r="X388" s="679">
        <f t="shared" si="135"/>
        <v>6618.1983114346594</v>
      </c>
      <c r="Y388" s="679">
        <f t="shared" si="135"/>
        <v>6618.1983114346594</v>
      </c>
      <c r="Z388" s="679">
        <f t="shared" si="135"/>
        <v>6618.1983114346594</v>
      </c>
      <c r="AA388" s="679">
        <f t="shared" si="135"/>
        <v>6618.1983114346594</v>
      </c>
      <c r="AB388" s="679">
        <f t="shared" si="135"/>
        <v>6618.1983114346594</v>
      </c>
      <c r="AC388" s="679">
        <f t="shared" si="135"/>
        <v>0</v>
      </c>
      <c r="AD388" s="678"/>
      <c r="AE388" s="678"/>
      <c r="AF388" s="678"/>
      <c r="AG388" s="678"/>
      <c r="AH388" s="678"/>
      <c r="AI388" s="678"/>
      <c r="AJ388" s="678"/>
      <c r="AK388" s="658"/>
    </row>
    <row r="389" spans="2:37" s="5" customFormat="1">
      <c r="B389" s="313"/>
      <c r="C389" s="835"/>
      <c r="D389" s="19" t="s">
        <v>278</v>
      </c>
      <c r="E389" s="84">
        <f>F388/(5*F387)</f>
        <v>13172.390980113636</v>
      </c>
      <c r="F389" s="84">
        <f>E389*(F387*7)</f>
        <v>1106480.8423295454</v>
      </c>
      <c r="G389" s="95">
        <f>$G$44</f>
        <v>20</v>
      </c>
      <c r="H389" s="64">
        <f>F389/G389</f>
        <v>55324.042116477271</v>
      </c>
      <c r="I389" s="72">
        <f>SUM(H387:H389)</f>
        <v>911503.11104190338</v>
      </c>
      <c r="J389" s="52">
        <f>SUM(G381:G389)</f>
        <v>38.083300000000001</v>
      </c>
      <c r="K389" s="193"/>
      <c r="L389" s="388"/>
      <c r="M389" s="597"/>
      <c r="N389" s="578">
        <f t="shared" si="125"/>
        <v>0</v>
      </c>
      <c r="O389" s="678"/>
      <c r="P389" s="678"/>
      <c r="Q389" s="678"/>
      <c r="R389" s="678"/>
      <c r="S389" s="678"/>
      <c r="T389" s="678"/>
      <c r="U389" s="678"/>
      <c r="V389" s="678"/>
      <c r="W389" s="678"/>
      <c r="X389" s="678"/>
      <c r="Y389" s="678"/>
      <c r="Z389" s="678"/>
      <c r="AA389" s="678"/>
      <c r="AB389" s="678">
        <f>+H389</f>
        <v>55324.042116477271</v>
      </c>
      <c r="AC389" s="678"/>
      <c r="AD389" s="678"/>
      <c r="AE389" s="678"/>
      <c r="AF389" s="678"/>
      <c r="AG389" s="678"/>
      <c r="AH389" s="678"/>
      <c r="AI389" s="678"/>
      <c r="AJ389" s="678"/>
      <c r="AK389" s="658"/>
    </row>
    <row r="390" spans="2:37" s="5" customFormat="1">
      <c r="B390" s="313"/>
      <c r="C390" s="835"/>
      <c r="D390" s="117"/>
      <c r="E390" s="74"/>
      <c r="F390" s="74"/>
      <c r="G390" s="401"/>
      <c r="H390" s="78"/>
      <c r="I390" s="79"/>
      <c r="J390" s="52"/>
      <c r="K390" s="193"/>
      <c r="L390" s="388"/>
      <c r="M390" s="597"/>
      <c r="N390" s="578">
        <f t="shared" si="125"/>
        <v>0</v>
      </c>
      <c r="O390" s="678"/>
      <c r="P390" s="678"/>
      <c r="Q390" s="678"/>
      <c r="R390" s="678"/>
      <c r="S390" s="678"/>
      <c r="T390" s="678"/>
      <c r="U390" s="678"/>
      <c r="V390" s="678"/>
      <c r="W390" s="678"/>
      <c r="X390" s="678"/>
      <c r="Y390" s="678"/>
      <c r="Z390" s="678"/>
      <c r="AA390" s="678"/>
      <c r="AB390" s="678"/>
      <c r="AC390" s="678"/>
      <c r="AD390" s="678"/>
      <c r="AE390" s="678"/>
      <c r="AF390" s="678"/>
      <c r="AG390" s="678"/>
      <c r="AH390" s="678"/>
      <c r="AI390" s="678"/>
      <c r="AJ390" s="678"/>
      <c r="AK390" s="658"/>
    </row>
    <row r="391" spans="2:37" s="5" customFormat="1" ht="15" customHeight="1">
      <c r="B391" s="317">
        <v>32</v>
      </c>
      <c r="C391" s="835" t="s">
        <v>894</v>
      </c>
      <c r="D391" s="105" t="s">
        <v>63</v>
      </c>
      <c r="E391" s="194">
        <v>52273.75</v>
      </c>
      <c r="F391" s="75"/>
      <c r="G391" s="75"/>
      <c r="H391" s="82"/>
      <c r="I391" s="83"/>
      <c r="J391" s="52"/>
      <c r="K391" s="193"/>
      <c r="L391" s="388"/>
      <c r="M391" s="597"/>
      <c r="N391" s="578">
        <f t="shared" si="125"/>
        <v>0</v>
      </c>
      <c r="O391" s="678"/>
      <c r="P391" s="678"/>
      <c r="Q391" s="678"/>
      <c r="R391" s="678"/>
      <c r="S391" s="678"/>
      <c r="T391" s="678"/>
      <c r="U391" s="678"/>
      <c r="V391" s="678"/>
      <c r="W391" s="678"/>
      <c r="X391" s="678"/>
      <c r="Y391" s="678"/>
      <c r="Z391" s="678"/>
      <c r="AA391" s="678"/>
      <c r="AB391" s="678"/>
      <c r="AC391" s="678"/>
      <c r="AD391" s="678"/>
      <c r="AE391" s="678"/>
      <c r="AF391" s="678"/>
      <c r="AG391" s="678"/>
      <c r="AH391" s="678"/>
      <c r="AI391" s="678"/>
      <c r="AJ391" s="678"/>
      <c r="AK391" s="658"/>
    </row>
    <row r="392" spans="2:37" s="5" customFormat="1">
      <c r="B392" s="313"/>
      <c r="C392" s="835"/>
      <c r="D392" s="17" t="s">
        <v>0</v>
      </c>
      <c r="E392" s="147" t="s">
        <v>27</v>
      </c>
      <c r="F392" s="84">
        <f>E391</f>
        <v>52273.75</v>
      </c>
      <c r="G392" s="64">
        <v>6</v>
      </c>
      <c r="H392" s="64">
        <f>+G392*F392</f>
        <v>313642.5</v>
      </c>
      <c r="I392" s="79"/>
      <c r="J392" s="52"/>
      <c r="K392" s="193"/>
      <c r="L392" s="388"/>
      <c r="M392" s="597"/>
      <c r="N392" s="578">
        <f t="shared" si="125"/>
        <v>0</v>
      </c>
      <c r="O392" s="678"/>
      <c r="P392" s="678"/>
      <c r="Q392" s="678">
        <f>+H392/G392</f>
        <v>52273.75</v>
      </c>
      <c r="R392" s="678">
        <f>+H392/G392</f>
        <v>52273.75</v>
      </c>
      <c r="S392" s="678">
        <f>+H392/G392</f>
        <v>52273.75</v>
      </c>
      <c r="T392" s="678">
        <f>+H392/G392</f>
        <v>52273.75</v>
      </c>
      <c r="U392" s="678">
        <f>+H392/G392</f>
        <v>52273.75</v>
      </c>
      <c r="V392" s="678">
        <f>+H392/G392</f>
        <v>52273.75</v>
      </c>
      <c r="W392" s="678"/>
      <c r="X392" s="678"/>
      <c r="Y392" s="678"/>
      <c r="Z392" s="678"/>
      <c r="AA392" s="678"/>
      <c r="AB392" s="678"/>
      <c r="AC392" s="678"/>
      <c r="AD392" s="678"/>
      <c r="AE392" s="678"/>
      <c r="AF392" s="678"/>
      <c r="AG392" s="678"/>
      <c r="AH392" s="678"/>
      <c r="AI392" s="678"/>
      <c r="AJ392" s="678"/>
      <c r="AK392" s="658"/>
    </row>
    <row r="393" spans="2:37" s="5" customFormat="1">
      <c r="B393" s="313"/>
      <c r="C393" s="835"/>
      <c r="D393" s="17" t="s">
        <v>3</v>
      </c>
      <c r="E393" s="81" t="s">
        <v>27</v>
      </c>
      <c r="F393" s="84">
        <f>E391</f>
        <v>52273.75</v>
      </c>
      <c r="G393" s="64">
        <v>6</v>
      </c>
      <c r="H393" s="64">
        <f>+G393*F393</f>
        <v>313642.5</v>
      </c>
      <c r="I393" s="79"/>
      <c r="J393" s="52"/>
      <c r="K393" s="193"/>
      <c r="L393" s="388"/>
      <c r="M393" s="597"/>
      <c r="N393" s="578">
        <f t="shared" si="125"/>
        <v>0</v>
      </c>
      <c r="O393" s="678"/>
      <c r="P393" s="678"/>
      <c r="Q393" s="678"/>
      <c r="R393" s="678"/>
      <c r="S393" s="678"/>
      <c r="T393" s="678"/>
      <c r="U393" s="678"/>
      <c r="V393" s="678"/>
      <c r="W393" s="678">
        <f>+H393/G393</f>
        <v>52273.75</v>
      </c>
      <c r="X393" s="678">
        <f>+H393/G393</f>
        <v>52273.75</v>
      </c>
      <c r="Y393" s="678">
        <f>+H393/G393</f>
        <v>52273.75</v>
      </c>
      <c r="Z393" s="678">
        <f>+H393/G393</f>
        <v>52273.75</v>
      </c>
      <c r="AA393" s="678">
        <f>+H393/G393</f>
        <v>52273.75</v>
      </c>
      <c r="AB393" s="678">
        <f>+H393/G393</f>
        <v>52273.75</v>
      </c>
      <c r="AC393" s="678"/>
      <c r="AD393" s="678"/>
      <c r="AE393" s="678"/>
      <c r="AF393" s="678"/>
      <c r="AG393" s="678"/>
      <c r="AH393" s="678"/>
      <c r="AI393" s="678"/>
      <c r="AJ393" s="678"/>
      <c r="AK393" s="658"/>
    </row>
    <row r="394" spans="2:37" s="5" customFormat="1">
      <c r="B394" s="313"/>
      <c r="C394" s="835"/>
      <c r="D394" s="17" t="s">
        <v>28</v>
      </c>
      <c r="E394" s="88">
        <f>$H$5+2+2</f>
        <v>17.25</v>
      </c>
      <c r="F394" s="84">
        <f>E391/44*1.5</f>
        <v>1782.059659090909</v>
      </c>
      <c r="G394" s="87">
        <v>6</v>
      </c>
      <c r="H394" s="64">
        <f>+G394*F394*E394</f>
        <v>184443.17471590909</v>
      </c>
      <c r="I394" s="79"/>
      <c r="J394" s="52"/>
      <c r="K394" s="193"/>
      <c r="L394" s="388"/>
      <c r="M394" s="597"/>
      <c r="N394" s="578">
        <f t="shared" si="125"/>
        <v>0</v>
      </c>
      <c r="O394" s="678"/>
      <c r="P394" s="678"/>
      <c r="Q394" s="678"/>
      <c r="R394" s="678"/>
      <c r="S394" s="678"/>
      <c r="T394" s="678"/>
      <c r="U394" s="678"/>
      <c r="V394" s="678"/>
      <c r="W394" s="678">
        <f>+H394/G394</f>
        <v>30740.52911931818</v>
      </c>
      <c r="X394" s="678">
        <f t="shared" ref="X394:AB394" si="136">+W394</f>
        <v>30740.52911931818</v>
      </c>
      <c r="Y394" s="678">
        <f t="shared" si="136"/>
        <v>30740.52911931818</v>
      </c>
      <c r="Z394" s="678">
        <f t="shared" si="136"/>
        <v>30740.52911931818</v>
      </c>
      <c r="AA394" s="678">
        <f t="shared" si="136"/>
        <v>30740.52911931818</v>
      </c>
      <c r="AB394" s="678">
        <f t="shared" si="136"/>
        <v>30740.52911931818</v>
      </c>
      <c r="AC394" s="678"/>
      <c r="AD394" s="678"/>
      <c r="AE394" s="678"/>
      <c r="AF394" s="678"/>
      <c r="AG394" s="678"/>
      <c r="AH394" s="678"/>
      <c r="AI394" s="678"/>
      <c r="AJ394" s="678"/>
      <c r="AK394" s="658"/>
    </row>
    <row r="395" spans="2:37" s="5" customFormat="1">
      <c r="B395" s="313"/>
      <c r="C395" s="835"/>
      <c r="D395" s="17" t="s">
        <v>1</v>
      </c>
      <c r="E395" s="67" t="s">
        <v>29</v>
      </c>
      <c r="F395" s="84">
        <f>E391/5*1.5</f>
        <v>15682.125</v>
      </c>
      <c r="G395" s="64">
        <f>$H$3</f>
        <v>0</v>
      </c>
      <c r="H395" s="64">
        <f>+G395*F395</f>
        <v>0</v>
      </c>
      <c r="I395" s="79"/>
      <c r="J395" s="52"/>
      <c r="K395" s="193"/>
      <c r="L395" s="388"/>
      <c r="M395" s="597"/>
      <c r="N395" s="578">
        <f t="shared" si="125"/>
        <v>0</v>
      </c>
      <c r="O395" s="678"/>
      <c r="P395" s="678"/>
      <c r="Q395" s="678"/>
      <c r="R395" s="678"/>
      <c r="S395" s="678"/>
      <c r="T395" s="678"/>
      <c r="U395" s="678"/>
      <c r="V395" s="678"/>
      <c r="W395" s="678"/>
      <c r="X395" s="678"/>
      <c r="Y395" s="678"/>
      <c r="Z395" s="678"/>
      <c r="AA395" s="678"/>
      <c r="AB395" s="678"/>
      <c r="AC395" s="678"/>
      <c r="AD395" s="678"/>
      <c r="AE395" s="678"/>
      <c r="AF395" s="678"/>
      <c r="AG395" s="678"/>
      <c r="AH395" s="678"/>
      <c r="AI395" s="678"/>
      <c r="AJ395" s="678"/>
      <c r="AK395" s="658"/>
    </row>
    <row r="396" spans="2:37" s="5" customFormat="1">
      <c r="B396" s="313"/>
      <c r="C396" s="835"/>
      <c r="D396" s="17" t="s">
        <v>4</v>
      </c>
      <c r="E396" s="67" t="s">
        <v>29</v>
      </c>
      <c r="F396" s="84">
        <f>E391/5*1.5</f>
        <v>15682.125</v>
      </c>
      <c r="G396" s="64">
        <f>$H$4</f>
        <v>0</v>
      </c>
      <c r="H396" s="64">
        <f>+G396*F396</f>
        <v>0</v>
      </c>
      <c r="I396" s="79"/>
      <c r="J396" s="52"/>
      <c r="K396" s="193"/>
      <c r="L396" s="388"/>
      <c r="M396" s="597"/>
      <c r="N396" s="578">
        <f t="shared" si="125"/>
        <v>0</v>
      </c>
      <c r="O396" s="678"/>
      <c r="P396" s="678"/>
      <c r="Q396" s="678"/>
      <c r="R396" s="678"/>
      <c r="S396" s="678"/>
      <c r="T396" s="678"/>
      <c r="U396" s="678"/>
      <c r="V396" s="678"/>
      <c r="W396" s="678"/>
      <c r="X396" s="678"/>
      <c r="Y396" s="678"/>
      <c r="Z396" s="678"/>
      <c r="AA396" s="678"/>
      <c r="AB396" s="678"/>
      <c r="AC396" s="678"/>
      <c r="AD396" s="678"/>
      <c r="AE396" s="678"/>
      <c r="AF396" s="678"/>
      <c r="AG396" s="678"/>
      <c r="AH396" s="678"/>
      <c r="AI396" s="678"/>
      <c r="AJ396" s="678"/>
      <c r="AK396" s="658"/>
    </row>
    <row r="397" spans="2:37" s="5" customFormat="1">
      <c r="B397" s="313"/>
      <c r="C397" s="835"/>
      <c r="D397" s="17" t="s">
        <v>5</v>
      </c>
      <c r="E397" s="81" t="s">
        <v>27</v>
      </c>
      <c r="F397" s="84">
        <f>F391</f>
        <v>0</v>
      </c>
      <c r="G397" s="64">
        <v>0</v>
      </c>
      <c r="H397" s="64">
        <f>+G397*F397</f>
        <v>0</v>
      </c>
      <c r="I397" s="79"/>
      <c r="J397" s="52"/>
      <c r="K397" s="193"/>
      <c r="L397" s="388"/>
      <c r="M397" s="597"/>
      <c r="N397" s="578">
        <f t="shared" si="125"/>
        <v>0</v>
      </c>
      <c r="O397" s="678"/>
      <c r="P397" s="678"/>
      <c r="Q397" s="678"/>
      <c r="R397" s="678"/>
      <c r="S397" s="678"/>
      <c r="T397" s="678"/>
      <c r="U397" s="678"/>
      <c r="V397" s="678"/>
      <c r="W397" s="678"/>
      <c r="X397" s="678"/>
      <c r="Y397" s="678"/>
      <c r="Z397" s="678"/>
      <c r="AA397" s="678"/>
      <c r="AB397" s="678"/>
      <c r="AC397" s="679">
        <f>+H397</f>
        <v>0</v>
      </c>
      <c r="AD397" s="678"/>
      <c r="AE397" s="678"/>
      <c r="AF397" s="678"/>
      <c r="AG397" s="678"/>
      <c r="AH397" s="678"/>
      <c r="AI397" s="678"/>
      <c r="AJ397" s="678"/>
      <c r="AK397" s="658"/>
    </row>
    <row r="398" spans="2:37" s="5" customFormat="1">
      <c r="B398" s="313"/>
      <c r="C398" s="835"/>
      <c r="D398" s="17" t="s">
        <v>30</v>
      </c>
      <c r="E398" s="67" t="s">
        <v>16</v>
      </c>
      <c r="F398" s="64">
        <f>G392+G393+G397</f>
        <v>12</v>
      </c>
      <c r="G398" s="68" t="s">
        <v>31</v>
      </c>
      <c r="H398" s="64">
        <f>SUM(H392:H397)</f>
        <v>811728.17471590906</v>
      </c>
      <c r="I398" s="79"/>
      <c r="J398" s="52"/>
      <c r="K398" s="193"/>
      <c r="L398" s="388"/>
      <c r="M398" s="597"/>
      <c r="N398" s="578">
        <f t="shared" si="125"/>
        <v>-811728.17471590906</v>
      </c>
      <c r="O398" s="678"/>
      <c r="P398" s="678"/>
      <c r="Q398" s="678"/>
      <c r="R398" s="678"/>
      <c r="S398" s="678"/>
      <c r="T398" s="678"/>
      <c r="U398" s="678"/>
      <c r="V398" s="678"/>
      <c r="W398" s="678"/>
      <c r="X398" s="678"/>
      <c r="Y398" s="678"/>
      <c r="Z398" s="678"/>
      <c r="AA398" s="678"/>
      <c r="AB398" s="678"/>
      <c r="AC398" s="678"/>
      <c r="AD398" s="678"/>
      <c r="AE398" s="678"/>
      <c r="AF398" s="678"/>
      <c r="AG398" s="678"/>
      <c r="AH398" s="678"/>
      <c r="AI398" s="678"/>
      <c r="AJ398" s="678"/>
      <c r="AK398" s="658"/>
    </row>
    <row r="399" spans="2:37" s="5" customFormat="1">
      <c r="B399" s="313"/>
      <c r="C399" s="835"/>
      <c r="D399" s="19" t="s">
        <v>32</v>
      </c>
      <c r="E399" s="67" t="s">
        <v>16</v>
      </c>
      <c r="F399" s="84">
        <f>SUM(H392:H397)</f>
        <v>811728.17471590906</v>
      </c>
      <c r="G399" s="92">
        <f>$G$43</f>
        <v>8.3299999999999999E-2</v>
      </c>
      <c r="H399" s="64">
        <f>+G399*F399</f>
        <v>67616.956953835223</v>
      </c>
      <c r="I399" s="93"/>
      <c r="J399" s="52"/>
      <c r="K399" s="193"/>
      <c r="L399" s="388"/>
      <c r="M399" s="597"/>
      <c r="N399" s="578">
        <f t="shared" si="125"/>
        <v>0</v>
      </c>
      <c r="O399" s="679">
        <f t="shared" ref="O399:AC399" si="137">SUM(O390:O398)*$G$54</f>
        <v>0</v>
      </c>
      <c r="P399" s="679">
        <f t="shared" si="137"/>
        <v>0</v>
      </c>
      <c r="Q399" s="679">
        <f t="shared" si="137"/>
        <v>4354.4033749999999</v>
      </c>
      <c r="R399" s="679">
        <f t="shared" si="137"/>
        <v>4354.4033749999999</v>
      </c>
      <c r="S399" s="679">
        <f t="shared" si="137"/>
        <v>4354.4033749999999</v>
      </c>
      <c r="T399" s="679">
        <f t="shared" si="137"/>
        <v>4354.4033749999999</v>
      </c>
      <c r="U399" s="679">
        <f t="shared" si="137"/>
        <v>4354.4033749999999</v>
      </c>
      <c r="V399" s="679">
        <f t="shared" si="137"/>
        <v>4354.4033749999999</v>
      </c>
      <c r="W399" s="679">
        <f t="shared" si="137"/>
        <v>6915.0894506392042</v>
      </c>
      <c r="X399" s="679">
        <f t="shared" si="137"/>
        <v>6915.0894506392042</v>
      </c>
      <c r="Y399" s="679">
        <f t="shared" si="137"/>
        <v>6915.0894506392042</v>
      </c>
      <c r="Z399" s="679">
        <f t="shared" si="137"/>
        <v>6915.0894506392042</v>
      </c>
      <c r="AA399" s="679">
        <f t="shared" si="137"/>
        <v>6915.0894506392042</v>
      </c>
      <c r="AB399" s="679">
        <f t="shared" si="137"/>
        <v>6915.0894506392042</v>
      </c>
      <c r="AC399" s="679">
        <f t="shared" si="137"/>
        <v>0</v>
      </c>
      <c r="AD399" s="678"/>
      <c r="AE399" s="678"/>
      <c r="AF399" s="678"/>
      <c r="AG399" s="678"/>
      <c r="AH399" s="678"/>
      <c r="AI399" s="678"/>
      <c r="AJ399" s="678"/>
      <c r="AK399" s="658"/>
    </row>
    <row r="400" spans="2:37" s="5" customFormat="1">
      <c r="B400" s="313"/>
      <c r="C400" s="835"/>
      <c r="D400" s="19" t="s">
        <v>278</v>
      </c>
      <c r="E400" s="84">
        <f>F399/(5*F398)</f>
        <v>13528.802911931818</v>
      </c>
      <c r="F400" s="84">
        <f>E400*(F398*7)</f>
        <v>1136419.4446022727</v>
      </c>
      <c r="G400" s="95">
        <f>$G$44</f>
        <v>20</v>
      </c>
      <c r="H400" s="64">
        <f>F400/G400</f>
        <v>56820.972230113635</v>
      </c>
      <c r="I400" s="72">
        <f>SUM(H398:H400)</f>
        <v>936166.10389985796</v>
      </c>
      <c r="J400" s="52">
        <f>SUM(G392:G400)</f>
        <v>38.083300000000001</v>
      </c>
      <c r="K400" s="193"/>
      <c r="L400" s="388"/>
      <c r="M400" s="597"/>
      <c r="N400" s="578">
        <f t="shared" si="125"/>
        <v>0</v>
      </c>
      <c r="O400" s="678"/>
      <c r="P400" s="678"/>
      <c r="Q400" s="678"/>
      <c r="R400" s="678"/>
      <c r="S400" s="678"/>
      <c r="T400" s="678"/>
      <c r="U400" s="678"/>
      <c r="V400" s="678"/>
      <c r="W400" s="678"/>
      <c r="X400" s="678"/>
      <c r="Y400" s="678"/>
      <c r="Z400" s="678"/>
      <c r="AA400" s="678"/>
      <c r="AB400" s="678">
        <f>+H400</f>
        <v>56820.972230113635</v>
      </c>
      <c r="AC400" s="678"/>
      <c r="AD400" s="678"/>
      <c r="AE400" s="678"/>
      <c r="AF400" s="678"/>
      <c r="AG400" s="678"/>
      <c r="AH400" s="678"/>
      <c r="AI400" s="678"/>
      <c r="AJ400" s="678"/>
      <c r="AK400" s="658"/>
    </row>
    <row r="401" spans="2:37" s="5" customFormat="1">
      <c r="B401" s="313"/>
      <c r="C401" s="835"/>
      <c r="D401" s="96"/>
      <c r="E401" s="9"/>
      <c r="F401" s="74"/>
      <c r="G401" s="97"/>
      <c r="H401" s="78"/>
      <c r="I401" s="79"/>
      <c r="J401" s="52"/>
      <c r="K401" s="156"/>
      <c r="L401" s="383"/>
      <c r="M401" s="542"/>
      <c r="N401" s="578">
        <f t="shared" si="125"/>
        <v>0</v>
      </c>
      <c r="O401" s="678"/>
      <c r="P401" s="678"/>
      <c r="Q401" s="678"/>
      <c r="R401" s="678"/>
      <c r="S401" s="678"/>
      <c r="T401" s="678"/>
      <c r="U401" s="678"/>
      <c r="V401" s="678"/>
      <c r="W401" s="678"/>
      <c r="X401" s="678"/>
      <c r="Y401" s="678"/>
      <c r="Z401" s="678"/>
      <c r="AA401" s="678"/>
      <c r="AB401" s="678"/>
      <c r="AC401" s="678"/>
      <c r="AD401" s="678"/>
      <c r="AE401" s="678"/>
      <c r="AF401" s="678"/>
      <c r="AG401" s="678"/>
      <c r="AH401" s="678"/>
      <c r="AI401" s="678"/>
      <c r="AJ401" s="678"/>
      <c r="AK401" s="658"/>
    </row>
    <row r="402" spans="2:37" s="5" customFormat="1" ht="15" customHeight="1">
      <c r="B402" s="317">
        <v>33</v>
      </c>
      <c r="C402" s="835" t="s">
        <v>895</v>
      </c>
      <c r="D402" s="105" t="s">
        <v>63</v>
      </c>
      <c r="E402" s="194">
        <v>52273.75</v>
      </c>
      <c r="F402" s="75"/>
      <c r="G402" s="75"/>
      <c r="H402" s="82"/>
      <c r="I402" s="83"/>
      <c r="J402" s="52"/>
      <c r="K402" s="193"/>
      <c r="L402" s="388"/>
      <c r="M402" s="597"/>
      <c r="N402" s="578">
        <f t="shared" si="125"/>
        <v>0</v>
      </c>
      <c r="O402" s="678"/>
      <c r="P402" s="678"/>
      <c r="Q402" s="678"/>
      <c r="R402" s="678"/>
      <c r="S402" s="678"/>
      <c r="T402" s="678"/>
      <c r="U402" s="678"/>
      <c r="V402" s="678"/>
      <c r="W402" s="678"/>
      <c r="X402" s="678"/>
      <c r="Y402" s="678"/>
      <c r="Z402" s="678"/>
      <c r="AA402" s="678"/>
      <c r="AB402" s="678"/>
      <c r="AC402" s="678"/>
      <c r="AD402" s="678"/>
      <c r="AE402" s="678"/>
      <c r="AF402" s="678"/>
      <c r="AG402" s="678"/>
      <c r="AH402" s="678"/>
      <c r="AI402" s="678"/>
      <c r="AJ402" s="678"/>
      <c r="AK402" s="658"/>
    </row>
    <row r="403" spans="2:37" s="5" customFormat="1">
      <c r="B403" s="313"/>
      <c r="C403" s="835"/>
      <c r="D403" s="17" t="s">
        <v>0</v>
      </c>
      <c r="E403" s="147" t="s">
        <v>27</v>
      </c>
      <c r="F403" s="84">
        <f>E402</f>
        <v>52273.75</v>
      </c>
      <c r="G403" s="64">
        <v>2</v>
      </c>
      <c r="H403" s="64">
        <f>+G403*F403</f>
        <v>104547.5</v>
      </c>
      <c r="I403" s="79"/>
      <c r="J403" s="52"/>
      <c r="K403" s="193"/>
      <c r="L403" s="388"/>
      <c r="M403" s="597"/>
      <c r="N403" s="578">
        <f t="shared" si="125"/>
        <v>0</v>
      </c>
      <c r="O403" s="678"/>
      <c r="P403" s="678"/>
      <c r="Q403" s="678"/>
      <c r="R403" s="678"/>
      <c r="S403" s="678"/>
      <c r="T403" s="678"/>
      <c r="U403" s="678">
        <f>+H403/G403</f>
        <v>52273.75</v>
      </c>
      <c r="V403" s="678">
        <f>+H403/G403</f>
        <v>52273.75</v>
      </c>
      <c r="W403" s="678"/>
      <c r="X403" s="678"/>
      <c r="Y403" s="678"/>
      <c r="Z403" s="678"/>
      <c r="AA403" s="678"/>
      <c r="AB403" s="678"/>
      <c r="AC403" s="678"/>
      <c r="AD403" s="678"/>
      <c r="AE403" s="678"/>
      <c r="AF403" s="678"/>
      <c r="AG403" s="678"/>
      <c r="AH403" s="678"/>
      <c r="AI403" s="678"/>
      <c r="AJ403" s="678"/>
      <c r="AK403" s="658"/>
    </row>
    <row r="404" spans="2:37" s="5" customFormat="1">
      <c r="B404" s="313"/>
      <c r="C404" s="835"/>
      <c r="D404" s="17" t="s">
        <v>3</v>
      </c>
      <c r="E404" s="81" t="s">
        <v>27</v>
      </c>
      <c r="F404" s="84">
        <f>E402</f>
        <v>52273.75</v>
      </c>
      <c r="G404" s="64">
        <v>6</v>
      </c>
      <c r="H404" s="64">
        <f>+G404*F404</f>
        <v>313642.5</v>
      </c>
      <c r="I404" s="79"/>
      <c r="J404" s="52"/>
      <c r="K404" s="193"/>
      <c r="L404" s="388"/>
      <c r="M404" s="597"/>
      <c r="N404" s="578">
        <f t="shared" si="125"/>
        <v>0</v>
      </c>
      <c r="O404" s="678"/>
      <c r="P404" s="678"/>
      <c r="Q404" s="678"/>
      <c r="R404" s="678"/>
      <c r="S404" s="678"/>
      <c r="T404" s="678"/>
      <c r="U404" s="678"/>
      <c r="V404" s="678"/>
      <c r="W404" s="678">
        <f>+H404/G404</f>
        <v>52273.75</v>
      </c>
      <c r="X404" s="678">
        <f>+H404/G404</f>
        <v>52273.75</v>
      </c>
      <c r="Y404" s="678">
        <f>+H404/G404</f>
        <v>52273.75</v>
      </c>
      <c r="Z404" s="678">
        <f>+H404/G404</f>
        <v>52273.75</v>
      </c>
      <c r="AA404" s="678">
        <f>+H404/G404</f>
        <v>52273.75</v>
      </c>
      <c r="AB404" s="678">
        <f>+H404/G404</f>
        <v>52273.75</v>
      </c>
      <c r="AC404" s="678"/>
      <c r="AD404" s="678"/>
      <c r="AE404" s="678"/>
      <c r="AF404" s="678"/>
      <c r="AG404" s="678"/>
      <c r="AH404" s="678"/>
      <c r="AI404" s="678"/>
      <c r="AJ404" s="678"/>
      <c r="AK404" s="658"/>
    </row>
    <row r="405" spans="2:37" s="5" customFormat="1">
      <c r="B405" s="313"/>
      <c r="C405" s="835"/>
      <c r="D405" s="17" t="s">
        <v>28</v>
      </c>
      <c r="E405" s="88">
        <f>$H$5+2+2</f>
        <v>17.25</v>
      </c>
      <c r="F405" s="84">
        <f>E402/44*1.5</f>
        <v>1782.059659090909</v>
      </c>
      <c r="G405" s="87">
        <v>6</v>
      </c>
      <c r="H405" s="64">
        <f>+G405*F405*E405</f>
        <v>184443.17471590909</v>
      </c>
      <c r="I405" s="79"/>
      <c r="J405" s="52"/>
      <c r="K405" s="193"/>
      <c r="L405" s="388"/>
      <c r="M405" s="597"/>
      <c r="N405" s="578">
        <f t="shared" si="125"/>
        <v>0</v>
      </c>
      <c r="O405" s="678"/>
      <c r="P405" s="678"/>
      <c r="Q405" s="678"/>
      <c r="R405" s="678"/>
      <c r="S405" s="678"/>
      <c r="T405" s="678"/>
      <c r="U405" s="678"/>
      <c r="V405" s="678"/>
      <c r="W405" s="678">
        <f>+H405/G405</f>
        <v>30740.52911931818</v>
      </c>
      <c r="X405" s="678">
        <f t="shared" ref="X405:AB405" si="138">+W405</f>
        <v>30740.52911931818</v>
      </c>
      <c r="Y405" s="678">
        <f t="shared" si="138"/>
        <v>30740.52911931818</v>
      </c>
      <c r="Z405" s="678">
        <f t="shared" si="138"/>
        <v>30740.52911931818</v>
      </c>
      <c r="AA405" s="678">
        <f t="shared" si="138"/>
        <v>30740.52911931818</v>
      </c>
      <c r="AB405" s="678">
        <f t="shared" si="138"/>
        <v>30740.52911931818</v>
      </c>
      <c r="AC405" s="678"/>
      <c r="AD405" s="678"/>
      <c r="AE405" s="678"/>
      <c r="AF405" s="678"/>
      <c r="AG405" s="678"/>
      <c r="AH405" s="678"/>
      <c r="AI405" s="678"/>
      <c r="AJ405" s="678"/>
      <c r="AK405" s="658"/>
    </row>
    <row r="406" spans="2:37" s="5" customFormat="1">
      <c r="B406" s="313"/>
      <c r="C406" s="835"/>
      <c r="D406" s="17" t="s">
        <v>1</v>
      </c>
      <c r="E406" s="67" t="s">
        <v>29</v>
      </c>
      <c r="F406" s="84">
        <f>E402/5*1.5</f>
        <v>15682.125</v>
      </c>
      <c r="G406" s="64">
        <f>$H$3</f>
        <v>0</v>
      </c>
      <c r="H406" s="64">
        <f>+G406*F406</f>
        <v>0</v>
      </c>
      <c r="I406" s="79"/>
      <c r="J406" s="52"/>
      <c r="K406" s="193"/>
      <c r="L406" s="388"/>
      <c r="M406" s="597"/>
      <c r="N406" s="578">
        <f t="shared" si="125"/>
        <v>0</v>
      </c>
      <c r="O406" s="678"/>
      <c r="P406" s="678"/>
      <c r="Q406" s="678"/>
      <c r="R406" s="678"/>
      <c r="S406" s="678"/>
      <c r="T406" s="678"/>
      <c r="U406" s="678"/>
      <c r="V406" s="678"/>
      <c r="W406" s="678"/>
      <c r="X406" s="678"/>
      <c r="Y406" s="678"/>
      <c r="Z406" s="678"/>
      <c r="AA406" s="678"/>
      <c r="AB406" s="678"/>
      <c r="AC406" s="678"/>
      <c r="AD406" s="678"/>
      <c r="AE406" s="678"/>
      <c r="AF406" s="678"/>
      <c r="AG406" s="678"/>
      <c r="AH406" s="678"/>
      <c r="AI406" s="678"/>
      <c r="AJ406" s="678"/>
      <c r="AK406" s="658"/>
    </row>
    <row r="407" spans="2:37" s="5" customFormat="1">
      <c r="B407" s="313"/>
      <c r="C407" s="835"/>
      <c r="D407" s="17" t="s">
        <v>4</v>
      </c>
      <c r="E407" s="67" t="s">
        <v>29</v>
      </c>
      <c r="F407" s="84">
        <f>E402/5*1.5</f>
        <v>15682.125</v>
      </c>
      <c r="G407" s="64">
        <f>$H$4</f>
        <v>0</v>
      </c>
      <c r="H407" s="64">
        <f>+G407*F407</f>
        <v>0</v>
      </c>
      <c r="I407" s="79"/>
      <c r="J407" s="52"/>
      <c r="K407" s="193"/>
      <c r="L407" s="388"/>
      <c r="M407" s="597"/>
      <c r="N407" s="578">
        <f t="shared" ref="N407:N471" si="139">SUM(O407:AL407)-H407</f>
        <v>0</v>
      </c>
      <c r="O407" s="678"/>
      <c r="P407" s="678"/>
      <c r="Q407" s="678"/>
      <c r="R407" s="678"/>
      <c r="S407" s="678"/>
      <c r="T407" s="678"/>
      <c r="U407" s="678"/>
      <c r="V407" s="678"/>
      <c r="W407" s="678"/>
      <c r="X407" s="678"/>
      <c r="Y407" s="678"/>
      <c r="Z407" s="678"/>
      <c r="AA407" s="678"/>
      <c r="AB407" s="678"/>
      <c r="AC407" s="678"/>
      <c r="AD407" s="678"/>
      <c r="AE407" s="678"/>
      <c r="AF407" s="678"/>
      <c r="AG407" s="678"/>
      <c r="AH407" s="678"/>
      <c r="AI407" s="678"/>
      <c r="AJ407" s="678"/>
      <c r="AK407" s="658"/>
    </row>
    <row r="408" spans="2:37" s="5" customFormat="1">
      <c r="B408" s="313"/>
      <c r="C408" s="835"/>
      <c r="D408" s="17" t="s">
        <v>5</v>
      </c>
      <c r="E408" s="81" t="s">
        <v>27</v>
      </c>
      <c r="F408" s="84">
        <f>F402</f>
        <v>0</v>
      </c>
      <c r="G408" s="64">
        <v>0</v>
      </c>
      <c r="H408" s="64">
        <f>+G408*F408</f>
        <v>0</v>
      </c>
      <c r="I408" s="79"/>
      <c r="J408" s="52"/>
      <c r="K408" s="193"/>
      <c r="L408" s="388"/>
      <c r="M408" s="597"/>
      <c r="N408" s="578">
        <f t="shared" si="139"/>
        <v>0</v>
      </c>
      <c r="O408" s="678"/>
      <c r="P408" s="678"/>
      <c r="Q408" s="678"/>
      <c r="R408" s="678"/>
      <c r="S408" s="678"/>
      <c r="T408" s="678"/>
      <c r="U408" s="678"/>
      <c r="V408" s="678"/>
      <c r="W408" s="678"/>
      <c r="X408" s="678"/>
      <c r="Y408" s="678"/>
      <c r="Z408" s="678"/>
      <c r="AA408" s="678"/>
      <c r="AB408" s="678"/>
      <c r="AC408" s="679">
        <f>+H408</f>
        <v>0</v>
      </c>
      <c r="AD408" s="678"/>
      <c r="AE408" s="678"/>
      <c r="AF408" s="678"/>
      <c r="AG408" s="678"/>
      <c r="AH408" s="678"/>
      <c r="AI408" s="678"/>
      <c r="AJ408" s="678"/>
      <c r="AK408" s="658"/>
    </row>
    <row r="409" spans="2:37" s="5" customFormat="1">
      <c r="B409" s="313"/>
      <c r="C409" s="835"/>
      <c r="D409" s="17" t="s">
        <v>30</v>
      </c>
      <c r="E409" s="67" t="s">
        <v>16</v>
      </c>
      <c r="F409" s="64">
        <f>G403+G404+G408</f>
        <v>8</v>
      </c>
      <c r="G409" s="68" t="s">
        <v>31</v>
      </c>
      <c r="H409" s="64">
        <f>SUM(H403:H408)</f>
        <v>602633.17471590906</v>
      </c>
      <c r="I409" s="79"/>
      <c r="J409" s="52"/>
      <c r="K409" s="193"/>
      <c r="L409" s="388"/>
      <c r="M409" s="597"/>
      <c r="N409" s="578">
        <f t="shared" si="139"/>
        <v>-602633.17471590906</v>
      </c>
      <c r="O409" s="678"/>
      <c r="P409" s="678"/>
      <c r="Q409" s="678"/>
      <c r="R409" s="678"/>
      <c r="S409" s="678"/>
      <c r="T409" s="678"/>
      <c r="U409" s="678"/>
      <c r="V409" s="678"/>
      <c r="W409" s="678"/>
      <c r="X409" s="678"/>
      <c r="Y409" s="678"/>
      <c r="Z409" s="678"/>
      <c r="AA409" s="678"/>
      <c r="AB409" s="678"/>
      <c r="AC409" s="678"/>
      <c r="AD409" s="678"/>
      <c r="AE409" s="678"/>
      <c r="AF409" s="678"/>
      <c r="AG409" s="678"/>
      <c r="AH409" s="678"/>
      <c r="AI409" s="678"/>
      <c r="AJ409" s="678"/>
      <c r="AK409" s="658"/>
    </row>
    <row r="410" spans="2:37" s="5" customFormat="1">
      <c r="B410" s="313"/>
      <c r="C410" s="835"/>
      <c r="D410" s="19" t="s">
        <v>32</v>
      </c>
      <c r="E410" s="67" t="s">
        <v>16</v>
      </c>
      <c r="F410" s="84">
        <f>SUM(H403:H408)</f>
        <v>602633.17471590906</v>
      </c>
      <c r="G410" s="92">
        <f>$G$43</f>
        <v>8.3299999999999999E-2</v>
      </c>
      <c r="H410" s="64">
        <f>+G410*F410</f>
        <v>50199.343453835223</v>
      </c>
      <c r="I410" s="93"/>
      <c r="J410" s="52"/>
      <c r="K410" s="193"/>
      <c r="L410" s="388"/>
      <c r="M410" s="597"/>
      <c r="N410" s="578">
        <f t="shared" si="139"/>
        <v>0</v>
      </c>
      <c r="O410" s="679">
        <f t="shared" ref="O410:AC410" si="140">SUM(O401:O409)*$G$54</f>
        <v>0</v>
      </c>
      <c r="P410" s="679">
        <f t="shared" si="140"/>
        <v>0</v>
      </c>
      <c r="Q410" s="679">
        <f t="shared" si="140"/>
        <v>0</v>
      </c>
      <c r="R410" s="679">
        <f t="shared" si="140"/>
        <v>0</v>
      </c>
      <c r="S410" s="679">
        <f t="shared" si="140"/>
        <v>0</v>
      </c>
      <c r="T410" s="679">
        <f t="shared" si="140"/>
        <v>0</v>
      </c>
      <c r="U410" s="679">
        <f t="shared" si="140"/>
        <v>4354.4033749999999</v>
      </c>
      <c r="V410" s="679">
        <f t="shared" si="140"/>
        <v>4354.4033749999999</v>
      </c>
      <c r="W410" s="679">
        <f t="shared" si="140"/>
        <v>6915.0894506392042</v>
      </c>
      <c r="X410" s="679">
        <f t="shared" si="140"/>
        <v>6915.0894506392042</v>
      </c>
      <c r="Y410" s="679">
        <f t="shared" si="140"/>
        <v>6915.0894506392042</v>
      </c>
      <c r="Z410" s="679">
        <f t="shared" si="140"/>
        <v>6915.0894506392042</v>
      </c>
      <c r="AA410" s="679">
        <f t="shared" si="140"/>
        <v>6915.0894506392042</v>
      </c>
      <c r="AB410" s="679">
        <f t="shared" si="140"/>
        <v>6915.0894506392042</v>
      </c>
      <c r="AC410" s="679">
        <f t="shared" si="140"/>
        <v>0</v>
      </c>
      <c r="AD410" s="678"/>
      <c r="AE410" s="678"/>
      <c r="AF410" s="678"/>
      <c r="AG410" s="678"/>
      <c r="AH410" s="678"/>
      <c r="AI410" s="678"/>
      <c r="AJ410" s="678"/>
      <c r="AK410" s="658"/>
    </row>
    <row r="411" spans="2:37" s="5" customFormat="1">
      <c r="B411" s="313"/>
      <c r="C411" s="835"/>
      <c r="D411" s="19" t="s">
        <v>278</v>
      </c>
      <c r="E411" s="84">
        <f>F410/(5*F409)</f>
        <v>15065.829367897726</v>
      </c>
      <c r="F411" s="84">
        <f>E411*(F409*7)</f>
        <v>843686.44460227271</v>
      </c>
      <c r="G411" s="95">
        <f>$G$44</f>
        <v>20</v>
      </c>
      <c r="H411" s="64">
        <f>F411/G411</f>
        <v>42184.322230113634</v>
      </c>
      <c r="I411" s="72">
        <f>SUM(H409:H411)</f>
        <v>695016.84039985796</v>
      </c>
      <c r="J411" s="52">
        <f>SUM(G403:G411)</f>
        <v>34.083300000000001</v>
      </c>
      <c r="K411" s="193"/>
      <c r="L411" s="388"/>
      <c r="M411" s="597"/>
      <c r="N411" s="578">
        <f t="shared" si="139"/>
        <v>0</v>
      </c>
      <c r="O411" s="678"/>
      <c r="P411" s="678"/>
      <c r="Q411" s="678"/>
      <c r="R411" s="678"/>
      <c r="S411" s="678"/>
      <c r="T411" s="678"/>
      <c r="U411" s="678"/>
      <c r="V411" s="678"/>
      <c r="W411" s="678"/>
      <c r="X411" s="678"/>
      <c r="Y411" s="678"/>
      <c r="Z411" s="678"/>
      <c r="AA411" s="678"/>
      <c r="AB411" s="678">
        <f>+H411</f>
        <v>42184.322230113634</v>
      </c>
      <c r="AC411" s="678"/>
      <c r="AD411" s="678"/>
      <c r="AE411" s="678"/>
      <c r="AF411" s="678"/>
      <c r="AG411" s="678"/>
      <c r="AH411" s="678"/>
      <c r="AI411" s="678"/>
      <c r="AJ411" s="678"/>
      <c r="AK411" s="658"/>
    </row>
    <row r="412" spans="2:37" s="5" customFormat="1">
      <c r="B412" s="313"/>
      <c r="C412" s="835"/>
      <c r="D412" s="96"/>
      <c r="E412" s="9"/>
      <c r="F412" s="74"/>
      <c r="G412" s="97"/>
      <c r="H412" s="78"/>
      <c r="I412" s="79"/>
      <c r="J412" s="52"/>
      <c r="K412" s="156"/>
      <c r="L412" s="383"/>
      <c r="M412" s="542"/>
      <c r="N412" s="578">
        <f t="shared" si="139"/>
        <v>0</v>
      </c>
      <c r="O412" s="678"/>
      <c r="P412" s="678"/>
      <c r="Q412" s="678"/>
      <c r="R412" s="678"/>
      <c r="S412" s="678"/>
      <c r="T412" s="678"/>
      <c r="U412" s="678"/>
      <c r="V412" s="678"/>
      <c r="W412" s="678"/>
      <c r="X412" s="678"/>
      <c r="Y412" s="678"/>
      <c r="Z412" s="678"/>
      <c r="AA412" s="678"/>
      <c r="AB412" s="678"/>
      <c r="AC412" s="678"/>
      <c r="AD412" s="678"/>
      <c r="AE412" s="678"/>
      <c r="AF412" s="678"/>
      <c r="AG412" s="678"/>
      <c r="AH412" s="678"/>
      <c r="AI412" s="678"/>
      <c r="AJ412" s="678"/>
      <c r="AK412" s="658"/>
    </row>
    <row r="413" spans="2:37" s="5" customFormat="1" ht="15" customHeight="1">
      <c r="B413" s="317">
        <v>34</v>
      </c>
      <c r="C413" s="835" t="s">
        <v>896</v>
      </c>
      <c r="D413" s="80" t="s">
        <v>64</v>
      </c>
      <c r="E413" s="81">
        <v>72180.399999999994</v>
      </c>
      <c r="F413" s="74"/>
      <c r="G413" s="75"/>
      <c r="H413" s="82"/>
      <c r="I413" s="83"/>
      <c r="J413" s="52"/>
      <c r="K413" s="156"/>
      <c r="L413" s="383"/>
      <c r="M413" s="542"/>
      <c r="N413" s="578">
        <f t="shared" si="139"/>
        <v>0</v>
      </c>
      <c r="O413" s="678"/>
      <c r="P413" s="678"/>
      <c r="Q413" s="678"/>
      <c r="R413" s="678"/>
      <c r="S413" s="678"/>
      <c r="T413" s="678"/>
      <c r="U413" s="678"/>
      <c r="V413" s="678"/>
      <c r="W413" s="678"/>
      <c r="X413" s="678"/>
      <c r="Y413" s="678"/>
      <c r="Z413" s="678"/>
      <c r="AA413" s="678"/>
      <c r="AB413" s="678"/>
      <c r="AC413" s="678"/>
      <c r="AD413" s="678"/>
      <c r="AE413" s="678"/>
      <c r="AF413" s="678"/>
      <c r="AG413" s="678"/>
      <c r="AH413" s="678"/>
      <c r="AI413" s="678"/>
      <c r="AJ413" s="678"/>
      <c r="AK413" s="658"/>
    </row>
    <row r="414" spans="2:37" s="5" customFormat="1" ht="15" customHeight="1">
      <c r="B414" s="317"/>
      <c r="C414" s="837"/>
      <c r="D414" s="412" t="s">
        <v>468</v>
      </c>
      <c r="E414" s="413">
        <f>E413/2</f>
        <v>36090.199999999997</v>
      </c>
      <c r="F414" s="414">
        <f>E414</f>
        <v>36090.199999999997</v>
      </c>
      <c r="G414" s="415">
        <v>12</v>
      </c>
      <c r="H414" s="416">
        <f>G414*F414</f>
        <v>433082.39999999997</v>
      </c>
      <c r="I414" s="83"/>
      <c r="J414" s="6"/>
      <c r="K414" s="156"/>
      <c r="L414" s="383"/>
      <c r="M414" s="542"/>
      <c r="N414" s="578">
        <f t="shared" si="139"/>
        <v>0</v>
      </c>
      <c r="O414" s="678"/>
      <c r="P414" s="678"/>
      <c r="Q414" s="678">
        <f>+H414/G414</f>
        <v>36090.199999999997</v>
      </c>
      <c r="R414" s="678">
        <v>36090.199999999997</v>
      </c>
      <c r="S414" s="678">
        <v>36090.199999999997</v>
      </c>
      <c r="T414" s="678">
        <v>36090.199999999997</v>
      </c>
      <c r="U414" s="678">
        <v>36090.199999999997</v>
      </c>
      <c r="V414" s="678">
        <v>36090.199999999997</v>
      </c>
      <c r="W414" s="678">
        <v>36090.199999999997</v>
      </c>
      <c r="X414" s="678">
        <v>36090.199999999997</v>
      </c>
      <c r="Y414" s="678">
        <v>36090.199999999997</v>
      </c>
      <c r="Z414" s="678">
        <v>36090.199999999997</v>
      </c>
      <c r="AA414" s="678">
        <v>36090.199999999997</v>
      </c>
      <c r="AB414" s="678">
        <v>36090.199999999997</v>
      </c>
      <c r="AC414" s="678"/>
      <c r="AD414" s="678"/>
      <c r="AE414" s="678"/>
      <c r="AF414" s="678"/>
      <c r="AG414" s="678"/>
      <c r="AH414" s="678"/>
      <c r="AI414" s="678"/>
      <c r="AJ414" s="678"/>
      <c r="AK414" s="658"/>
    </row>
    <row r="415" spans="2:37" s="5" customFormat="1">
      <c r="B415" s="313"/>
      <c r="C415" s="835"/>
      <c r="D415" s="17" t="s">
        <v>0</v>
      </c>
      <c r="E415" s="81" t="s">
        <v>27</v>
      </c>
      <c r="F415" s="84">
        <f>E413</f>
        <v>72180.399999999994</v>
      </c>
      <c r="G415" s="64">
        <v>8</v>
      </c>
      <c r="H415" s="64">
        <f>+G415*F415</f>
        <v>577443.19999999995</v>
      </c>
      <c r="I415" s="79"/>
      <c r="J415" s="52"/>
      <c r="K415" s="156"/>
      <c r="L415" s="383"/>
      <c r="M415" s="542"/>
      <c r="N415" s="578">
        <f t="shared" si="139"/>
        <v>0</v>
      </c>
      <c r="O415" s="678">
        <f>+H415/G415</f>
        <v>72180.399999999994</v>
      </c>
      <c r="P415" s="678">
        <f t="shared" ref="P415" si="141">+O415</f>
        <v>72180.399999999994</v>
      </c>
      <c r="Q415" s="678">
        <f>+H415/G415</f>
        <v>72180.399999999994</v>
      </c>
      <c r="R415" s="678">
        <f>+H415/G415</f>
        <v>72180.399999999994</v>
      </c>
      <c r="S415" s="678">
        <f>+H415/G415</f>
        <v>72180.399999999994</v>
      </c>
      <c r="T415" s="678">
        <f>+H415/G415</f>
        <v>72180.399999999994</v>
      </c>
      <c r="U415" s="678">
        <f>+H415/G415</f>
        <v>72180.399999999994</v>
      </c>
      <c r="V415" s="678">
        <f>+H415/G415</f>
        <v>72180.399999999994</v>
      </c>
      <c r="W415" s="678"/>
      <c r="X415" s="678"/>
      <c r="Y415" s="678"/>
      <c r="Z415" s="678"/>
      <c r="AA415" s="678"/>
      <c r="AB415" s="678"/>
      <c r="AC415" s="678"/>
      <c r="AD415" s="678"/>
      <c r="AE415" s="678"/>
      <c r="AF415" s="678"/>
      <c r="AG415" s="678"/>
      <c r="AH415" s="678"/>
      <c r="AI415" s="678"/>
      <c r="AJ415" s="678"/>
      <c r="AK415" s="658"/>
    </row>
    <row r="416" spans="2:37" s="5" customFormat="1">
      <c r="B416" s="313"/>
      <c r="C416" s="835"/>
      <c r="D416" s="17" t="s">
        <v>3</v>
      </c>
      <c r="E416" s="81" t="s">
        <v>27</v>
      </c>
      <c r="F416" s="84">
        <f>E413</f>
        <v>72180.399999999994</v>
      </c>
      <c r="G416" s="64">
        <v>6</v>
      </c>
      <c r="H416" s="64">
        <f>+G416*F416</f>
        <v>433082.39999999997</v>
      </c>
      <c r="I416" s="79"/>
      <c r="J416" s="52"/>
      <c r="K416" s="156"/>
      <c r="L416" s="383"/>
      <c r="M416" s="542"/>
      <c r="N416" s="578">
        <f t="shared" si="139"/>
        <v>0</v>
      </c>
      <c r="O416" s="678"/>
      <c r="P416" s="678"/>
      <c r="Q416" s="678"/>
      <c r="R416" s="678"/>
      <c r="S416" s="678"/>
      <c r="T416" s="678"/>
      <c r="U416" s="678"/>
      <c r="V416" s="678"/>
      <c r="W416" s="678">
        <f>+H416/G416</f>
        <v>72180.399999999994</v>
      </c>
      <c r="X416" s="678">
        <f>+H416/G416</f>
        <v>72180.399999999994</v>
      </c>
      <c r="Y416" s="678">
        <f>+H416/G416</f>
        <v>72180.399999999994</v>
      </c>
      <c r="Z416" s="678">
        <f>+H416/G416</f>
        <v>72180.399999999994</v>
      </c>
      <c r="AA416" s="678">
        <f>+H416/G416</f>
        <v>72180.399999999994</v>
      </c>
      <c r="AB416" s="678">
        <f>+H416/G416</f>
        <v>72180.399999999994</v>
      </c>
      <c r="AC416" s="678"/>
      <c r="AD416" s="678"/>
      <c r="AE416" s="678"/>
      <c r="AF416" s="678"/>
      <c r="AG416" s="678"/>
      <c r="AH416" s="678"/>
      <c r="AI416" s="678"/>
      <c r="AJ416" s="678"/>
      <c r="AK416" s="658"/>
    </row>
    <row r="417" spans="2:37" s="5" customFormat="1">
      <c r="B417" s="313"/>
      <c r="C417" s="835"/>
      <c r="D417" s="17" t="s">
        <v>28</v>
      </c>
      <c r="E417" s="88">
        <f>$H$5+2+2</f>
        <v>17.25</v>
      </c>
      <c r="F417" s="84">
        <f>E413/44*1.5</f>
        <v>2460.6954545454541</v>
      </c>
      <c r="G417" s="87">
        <v>6</v>
      </c>
      <c r="H417" s="64">
        <f>+G417*F417*E417</f>
        <v>254681.97954545452</v>
      </c>
      <c r="I417" s="79"/>
      <c r="J417" s="52"/>
      <c r="K417" s="156"/>
      <c r="L417" s="383"/>
      <c r="M417" s="542"/>
      <c r="N417" s="578">
        <f t="shared" si="139"/>
        <v>0</v>
      </c>
      <c r="O417" s="678"/>
      <c r="P417" s="678"/>
      <c r="Q417" s="678"/>
      <c r="R417" s="678"/>
      <c r="S417" s="678"/>
      <c r="T417" s="678"/>
      <c r="U417" s="678"/>
      <c r="V417" s="678"/>
      <c r="W417" s="678">
        <f>+H417/G417</f>
        <v>42446.99659090909</v>
      </c>
      <c r="X417" s="678">
        <f t="shared" ref="X417:AB417" si="142">+W417</f>
        <v>42446.99659090909</v>
      </c>
      <c r="Y417" s="678">
        <f t="shared" si="142"/>
        <v>42446.99659090909</v>
      </c>
      <c r="Z417" s="678">
        <f t="shared" si="142"/>
        <v>42446.99659090909</v>
      </c>
      <c r="AA417" s="678">
        <f t="shared" si="142"/>
        <v>42446.99659090909</v>
      </c>
      <c r="AB417" s="678">
        <f t="shared" si="142"/>
        <v>42446.99659090909</v>
      </c>
      <c r="AC417" s="678"/>
      <c r="AD417" s="678"/>
      <c r="AE417" s="678"/>
      <c r="AF417" s="678"/>
      <c r="AG417" s="678"/>
      <c r="AH417" s="678"/>
      <c r="AI417" s="678"/>
      <c r="AJ417" s="678"/>
      <c r="AK417" s="658"/>
    </row>
    <row r="418" spans="2:37" s="5" customFormat="1">
      <c r="B418" s="313"/>
      <c r="C418" s="835"/>
      <c r="D418" s="17" t="s">
        <v>1</v>
      </c>
      <c r="E418" s="67" t="s">
        <v>29</v>
      </c>
      <c r="F418" s="84">
        <f>E413/5*1.5</f>
        <v>21654.119999999995</v>
      </c>
      <c r="G418" s="64">
        <f>$H$3</f>
        <v>0</v>
      </c>
      <c r="H418" s="64">
        <f>+G418*F418</f>
        <v>0</v>
      </c>
      <c r="I418" s="79"/>
      <c r="J418" s="52"/>
      <c r="K418" s="156"/>
      <c r="L418" s="383"/>
      <c r="M418" s="542"/>
      <c r="N418" s="578">
        <f t="shared" si="139"/>
        <v>0</v>
      </c>
      <c r="O418" s="678"/>
      <c r="P418" s="678"/>
      <c r="Q418" s="678"/>
      <c r="R418" s="678"/>
      <c r="S418" s="678"/>
      <c r="T418" s="678"/>
      <c r="U418" s="678"/>
      <c r="V418" s="678"/>
      <c r="W418" s="678"/>
      <c r="X418" s="678"/>
      <c r="Y418" s="678"/>
      <c r="Z418" s="678"/>
      <c r="AA418" s="678"/>
      <c r="AB418" s="678"/>
      <c r="AC418" s="678"/>
      <c r="AD418" s="678"/>
      <c r="AE418" s="678"/>
      <c r="AF418" s="678"/>
      <c r="AG418" s="678"/>
      <c r="AH418" s="678"/>
      <c r="AI418" s="678"/>
      <c r="AJ418" s="678"/>
      <c r="AK418" s="658"/>
    </row>
    <row r="419" spans="2:37" s="5" customFormat="1">
      <c r="B419" s="313"/>
      <c r="C419" s="835"/>
      <c r="D419" s="17" t="s">
        <v>4</v>
      </c>
      <c r="E419" s="67" t="s">
        <v>29</v>
      </c>
      <c r="F419" s="84">
        <f>E413/5*2</f>
        <v>28872.159999999996</v>
      </c>
      <c r="G419" s="64">
        <f>$H$4</f>
        <v>0</v>
      </c>
      <c r="H419" s="64">
        <f>+G419*F419</f>
        <v>0</v>
      </c>
      <c r="I419" s="79"/>
      <c r="J419" s="52"/>
      <c r="K419" s="156"/>
      <c r="L419" s="383"/>
      <c r="M419" s="542"/>
      <c r="N419" s="578">
        <f t="shared" si="139"/>
        <v>0</v>
      </c>
      <c r="O419" s="678"/>
      <c r="P419" s="678"/>
      <c r="Q419" s="678"/>
      <c r="R419" s="678"/>
      <c r="S419" s="678"/>
      <c r="T419" s="678"/>
      <c r="U419" s="678"/>
      <c r="V419" s="678"/>
      <c r="W419" s="678"/>
      <c r="X419" s="678"/>
      <c r="Y419" s="678"/>
      <c r="Z419" s="678"/>
      <c r="AA419" s="678"/>
      <c r="AB419" s="678"/>
      <c r="AC419" s="678"/>
      <c r="AD419" s="678"/>
      <c r="AE419" s="678"/>
      <c r="AF419" s="678"/>
      <c r="AG419" s="678"/>
      <c r="AH419" s="678"/>
      <c r="AI419" s="678"/>
      <c r="AJ419" s="678"/>
      <c r="AK419" s="658"/>
    </row>
    <row r="420" spans="2:37" s="5" customFormat="1">
      <c r="B420" s="313"/>
      <c r="C420" s="835"/>
      <c r="D420" s="17" t="s">
        <v>5</v>
      </c>
      <c r="E420" s="81" t="s">
        <v>27</v>
      </c>
      <c r="F420" s="84">
        <f>E413</f>
        <v>72180.399999999994</v>
      </c>
      <c r="G420" s="99">
        <v>0.6</v>
      </c>
      <c r="H420" s="64">
        <f>+G420*F420</f>
        <v>43308.24</v>
      </c>
      <c r="I420" s="79"/>
      <c r="J420" s="52"/>
      <c r="K420" s="156"/>
      <c r="L420" s="383"/>
      <c r="M420" s="542"/>
      <c r="N420" s="578">
        <f t="shared" si="139"/>
        <v>0</v>
      </c>
      <c r="O420" s="678"/>
      <c r="P420" s="678"/>
      <c r="Q420" s="678"/>
      <c r="R420" s="678"/>
      <c r="S420" s="678"/>
      <c r="T420" s="678"/>
      <c r="U420" s="678"/>
      <c r="V420" s="678"/>
      <c r="W420" s="678"/>
      <c r="X420" s="678"/>
      <c r="Y420" s="678"/>
      <c r="Z420" s="678"/>
      <c r="AA420" s="678"/>
      <c r="AB420" s="678"/>
      <c r="AC420" s="679">
        <f>+H420</f>
        <v>43308.24</v>
      </c>
      <c r="AD420" s="678"/>
      <c r="AE420" s="678"/>
      <c r="AF420" s="678"/>
      <c r="AG420" s="678"/>
      <c r="AH420" s="678"/>
      <c r="AI420" s="678"/>
      <c r="AJ420" s="678"/>
      <c r="AK420" s="658"/>
    </row>
    <row r="421" spans="2:37" s="5" customFormat="1">
      <c r="B421" s="313"/>
      <c r="C421" s="835"/>
      <c r="D421" s="17" t="s">
        <v>30</v>
      </c>
      <c r="E421" s="67" t="s">
        <v>16</v>
      </c>
      <c r="F421" s="101">
        <f>G415+G416+G420</f>
        <v>14.6</v>
      </c>
      <c r="G421" s="68" t="s">
        <v>31</v>
      </c>
      <c r="H421" s="64">
        <f>SUM(H415:H420)</f>
        <v>1308515.8195454543</v>
      </c>
      <c r="I421" s="79"/>
      <c r="J421" s="52"/>
      <c r="K421" s="156"/>
      <c r="L421" s="383"/>
      <c r="M421" s="542"/>
      <c r="N421" s="578">
        <f t="shared" si="139"/>
        <v>-1308515.8195454543</v>
      </c>
      <c r="O421" s="678"/>
      <c r="P421" s="678"/>
      <c r="Q421" s="678"/>
      <c r="R421" s="678"/>
      <c r="S421" s="678"/>
      <c r="T421" s="678"/>
      <c r="U421" s="678"/>
      <c r="V421" s="678"/>
      <c r="W421" s="678"/>
      <c r="X421" s="678"/>
      <c r="Y421" s="678"/>
      <c r="Z421" s="678"/>
      <c r="AA421" s="678"/>
      <c r="AB421" s="678"/>
      <c r="AC421" s="678"/>
      <c r="AD421" s="678"/>
      <c r="AE421" s="678"/>
      <c r="AF421" s="678"/>
      <c r="AG421" s="678"/>
      <c r="AH421" s="678"/>
      <c r="AI421" s="678"/>
      <c r="AJ421" s="678"/>
      <c r="AK421" s="658"/>
    </row>
    <row r="422" spans="2:37" s="5" customFormat="1">
      <c r="B422" s="313"/>
      <c r="C422" s="835"/>
      <c r="D422" s="19" t="s">
        <v>32</v>
      </c>
      <c r="E422" s="67" t="s">
        <v>16</v>
      </c>
      <c r="F422" s="84">
        <f>SUM(H415:H420)</f>
        <v>1308515.8195454543</v>
      </c>
      <c r="G422" s="92">
        <f>$G$43</f>
        <v>8.3299999999999999E-2</v>
      </c>
      <c r="H422" s="64">
        <f>+G422*F422</f>
        <v>108999.36776813635</v>
      </c>
      <c r="I422" s="93"/>
      <c r="J422" s="52"/>
      <c r="K422" s="156"/>
      <c r="L422" s="383"/>
      <c r="M422" s="542"/>
      <c r="N422" s="578">
        <f t="shared" si="139"/>
        <v>0</v>
      </c>
      <c r="O422" s="679">
        <f>SUM(O415:O421)*$G$54</f>
        <v>6012.6273199999996</v>
      </c>
      <c r="P422" s="679">
        <f t="shared" ref="P422:AC422" si="143">SUM(P415:P421)*$G$54</f>
        <v>6012.6273199999996</v>
      </c>
      <c r="Q422" s="679">
        <f t="shared" si="143"/>
        <v>6012.6273199999996</v>
      </c>
      <c r="R422" s="679">
        <f t="shared" si="143"/>
        <v>6012.6273199999996</v>
      </c>
      <c r="S422" s="679">
        <f t="shared" si="143"/>
        <v>6012.6273199999996</v>
      </c>
      <c r="T422" s="679">
        <f t="shared" si="143"/>
        <v>6012.6273199999996</v>
      </c>
      <c r="U422" s="679">
        <f t="shared" si="143"/>
        <v>6012.6273199999996</v>
      </c>
      <c r="V422" s="679">
        <f t="shared" si="143"/>
        <v>6012.6273199999996</v>
      </c>
      <c r="W422" s="679">
        <f t="shared" si="143"/>
        <v>9548.4621360227266</v>
      </c>
      <c r="X422" s="679">
        <f t="shared" si="143"/>
        <v>9548.4621360227266</v>
      </c>
      <c r="Y422" s="679">
        <f t="shared" si="143"/>
        <v>9548.4621360227266</v>
      </c>
      <c r="Z422" s="679">
        <f t="shared" si="143"/>
        <v>9548.4621360227266</v>
      </c>
      <c r="AA422" s="679">
        <f t="shared" si="143"/>
        <v>9548.4621360227266</v>
      </c>
      <c r="AB422" s="679">
        <f t="shared" si="143"/>
        <v>9548.4621360227266</v>
      </c>
      <c r="AC422" s="679">
        <f t="shared" si="143"/>
        <v>3607.5763919999999</v>
      </c>
      <c r="AD422" s="678"/>
      <c r="AE422" s="678"/>
      <c r="AF422" s="678"/>
      <c r="AG422" s="678"/>
      <c r="AH422" s="678"/>
      <c r="AI422" s="678"/>
      <c r="AJ422" s="678"/>
      <c r="AK422" s="658"/>
    </row>
    <row r="423" spans="2:37" s="5" customFormat="1">
      <c r="B423" s="313"/>
      <c r="C423" s="835"/>
      <c r="D423" s="19" t="s">
        <v>33</v>
      </c>
      <c r="E423" s="84">
        <f>F422/(5*F421)</f>
        <v>17924.87424034869</v>
      </c>
      <c r="F423" s="84">
        <f>E423*(F421*7)</f>
        <v>1831922.1473636362</v>
      </c>
      <c r="G423" s="95">
        <f>$G$44</f>
        <v>20</v>
      </c>
      <c r="H423" s="64">
        <f>F423/G423</f>
        <v>91596.107368181809</v>
      </c>
      <c r="I423" s="72">
        <f>SUM(H421:H423)+H414</f>
        <v>1942193.6946817725</v>
      </c>
      <c r="J423" s="52">
        <f>SUM(G415:G423)</f>
        <v>40.683300000000003</v>
      </c>
      <c r="K423" s="156"/>
      <c r="L423" s="383"/>
      <c r="M423" s="542"/>
      <c r="N423" s="578">
        <f t="shared" si="139"/>
        <v>0</v>
      </c>
      <c r="O423" s="678"/>
      <c r="P423" s="678"/>
      <c r="Q423" s="678"/>
      <c r="R423" s="678"/>
      <c r="S423" s="678"/>
      <c r="T423" s="678"/>
      <c r="U423" s="678"/>
      <c r="V423" s="678"/>
      <c r="W423" s="678"/>
      <c r="X423" s="678"/>
      <c r="Y423" s="678"/>
      <c r="Z423" s="678"/>
      <c r="AA423" s="678"/>
      <c r="AB423" s="678">
        <f>+H423</f>
        <v>91596.107368181809</v>
      </c>
      <c r="AC423" s="678"/>
      <c r="AD423" s="678"/>
      <c r="AE423" s="678"/>
      <c r="AF423" s="678"/>
      <c r="AG423" s="678"/>
      <c r="AH423" s="678"/>
      <c r="AI423" s="678"/>
      <c r="AJ423" s="678"/>
      <c r="AK423" s="658"/>
    </row>
    <row r="424" spans="2:37" s="5" customFormat="1">
      <c r="B424" s="313"/>
      <c r="C424" s="835"/>
      <c r="D424" s="96"/>
      <c r="E424" s="9"/>
      <c r="F424" s="74"/>
      <c r="G424" s="97"/>
      <c r="H424" s="78"/>
      <c r="I424" s="79"/>
      <c r="J424" s="52"/>
      <c r="K424" s="156"/>
      <c r="L424" s="383"/>
      <c r="M424" s="542"/>
      <c r="N424" s="578">
        <f t="shared" si="139"/>
        <v>0</v>
      </c>
      <c r="O424" s="678"/>
      <c r="P424" s="678"/>
      <c r="Q424" s="678"/>
      <c r="R424" s="678"/>
      <c r="S424" s="678"/>
      <c r="T424" s="678"/>
      <c r="U424" s="678"/>
      <c r="V424" s="678"/>
      <c r="W424" s="678"/>
      <c r="X424" s="678"/>
      <c r="Y424" s="678"/>
      <c r="Z424" s="678"/>
      <c r="AA424" s="678"/>
      <c r="AB424" s="678"/>
      <c r="AC424" s="678"/>
      <c r="AD424" s="678"/>
      <c r="AE424" s="678"/>
      <c r="AF424" s="678"/>
      <c r="AG424" s="678"/>
      <c r="AH424" s="678"/>
      <c r="AI424" s="678"/>
      <c r="AJ424" s="678"/>
      <c r="AK424" s="658"/>
    </row>
    <row r="425" spans="2:37" s="5" customFormat="1" ht="15" customHeight="1">
      <c r="B425" s="317">
        <v>35</v>
      </c>
      <c r="C425" s="835" t="s">
        <v>897</v>
      </c>
      <c r="D425" s="80" t="s">
        <v>65</v>
      </c>
      <c r="E425" s="81">
        <v>52273.75</v>
      </c>
      <c r="F425" s="74"/>
      <c r="G425" s="75"/>
      <c r="H425" s="82"/>
      <c r="I425" s="83"/>
      <c r="J425" s="52"/>
      <c r="K425" s="156"/>
      <c r="L425" s="383"/>
      <c r="M425" s="542"/>
      <c r="N425" s="578">
        <f t="shared" si="139"/>
        <v>0</v>
      </c>
      <c r="O425" s="678"/>
      <c r="P425" s="678"/>
      <c r="Q425" s="678"/>
      <c r="R425" s="678"/>
      <c r="S425" s="678"/>
      <c r="T425" s="678"/>
      <c r="U425" s="678"/>
      <c r="V425" s="678"/>
      <c r="W425" s="678"/>
      <c r="X425" s="678"/>
      <c r="Y425" s="678"/>
      <c r="Z425" s="678"/>
      <c r="AA425" s="678"/>
      <c r="AB425" s="678"/>
      <c r="AC425" s="678"/>
      <c r="AD425" s="678"/>
      <c r="AE425" s="678"/>
      <c r="AF425" s="678"/>
      <c r="AG425" s="678"/>
      <c r="AH425" s="678"/>
      <c r="AI425" s="678"/>
      <c r="AJ425" s="678"/>
      <c r="AK425" s="658"/>
    </row>
    <row r="426" spans="2:37" s="5" customFormat="1">
      <c r="B426" s="313"/>
      <c r="C426" s="835"/>
      <c r="D426" s="17" t="s">
        <v>0</v>
      </c>
      <c r="E426" s="81" t="s">
        <v>27</v>
      </c>
      <c r="F426" s="84">
        <f>E425</f>
        <v>52273.75</v>
      </c>
      <c r="G426" s="64">
        <v>6</v>
      </c>
      <c r="H426" s="64">
        <f>+G426*F426</f>
        <v>313642.5</v>
      </c>
      <c r="I426" s="79"/>
      <c r="J426" s="52"/>
      <c r="K426" s="156"/>
      <c r="L426" s="383"/>
      <c r="M426" s="542"/>
      <c r="N426" s="578">
        <f t="shared" si="139"/>
        <v>0</v>
      </c>
      <c r="O426" s="678"/>
      <c r="P426" s="678"/>
      <c r="Q426" s="678">
        <f>+H426/G426</f>
        <v>52273.75</v>
      </c>
      <c r="R426" s="678">
        <f>+H426/G426</f>
        <v>52273.75</v>
      </c>
      <c r="S426" s="678">
        <f>+H426/G426</f>
        <v>52273.75</v>
      </c>
      <c r="T426" s="678">
        <f>+H426/G426</f>
        <v>52273.75</v>
      </c>
      <c r="U426" s="678">
        <f>+H426/G426</f>
        <v>52273.75</v>
      </c>
      <c r="V426" s="678">
        <f>+H426/G426</f>
        <v>52273.75</v>
      </c>
      <c r="W426" s="678"/>
      <c r="X426" s="678"/>
      <c r="Y426" s="678"/>
      <c r="Z426" s="678"/>
      <c r="AA426" s="678"/>
      <c r="AB426" s="678"/>
      <c r="AC426" s="678"/>
      <c r="AD426" s="678"/>
      <c r="AE426" s="678"/>
      <c r="AF426" s="678"/>
      <c r="AG426" s="678"/>
      <c r="AH426" s="678"/>
      <c r="AI426" s="678"/>
      <c r="AJ426" s="678"/>
      <c r="AK426" s="658"/>
    </row>
    <row r="427" spans="2:37" s="5" customFormat="1">
      <c r="B427" s="313"/>
      <c r="C427" s="835"/>
      <c r="D427" s="17" t="s">
        <v>3</v>
      </c>
      <c r="E427" s="81" t="s">
        <v>27</v>
      </c>
      <c r="F427" s="84">
        <f>E425</f>
        <v>52273.75</v>
      </c>
      <c r="G427" s="64">
        <v>6</v>
      </c>
      <c r="H427" s="64">
        <f>+G427*F427</f>
        <v>313642.5</v>
      </c>
      <c r="I427" s="79"/>
      <c r="J427" s="52"/>
      <c r="K427" s="156"/>
      <c r="L427" s="383"/>
      <c r="M427" s="542"/>
      <c r="N427" s="578">
        <f t="shared" si="139"/>
        <v>0</v>
      </c>
      <c r="O427" s="678"/>
      <c r="P427" s="678"/>
      <c r="Q427" s="678"/>
      <c r="R427" s="678"/>
      <c r="S427" s="678"/>
      <c r="T427" s="678"/>
      <c r="U427" s="678"/>
      <c r="V427" s="678"/>
      <c r="W427" s="678">
        <f>+H427/G427</f>
        <v>52273.75</v>
      </c>
      <c r="X427" s="678">
        <f>+H427/G427</f>
        <v>52273.75</v>
      </c>
      <c r="Y427" s="678">
        <f>+H427/G427</f>
        <v>52273.75</v>
      </c>
      <c r="Z427" s="678">
        <f>+H427/G427</f>
        <v>52273.75</v>
      </c>
      <c r="AA427" s="678">
        <f>+H427/G427</f>
        <v>52273.75</v>
      </c>
      <c r="AB427" s="678">
        <f>+H427/G427</f>
        <v>52273.75</v>
      </c>
      <c r="AC427" s="678"/>
      <c r="AD427" s="678"/>
      <c r="AE427" s="678"/>
      <c r="AF427" s="678"/>
      <c r="AG427" s="678"/>
      <c r="AH427" s="678"/>
      <c r="AI427" s="678"/>
      <c r="AJ427" s="678"/>
      <c r="AK427" s="658"/>
    </row>
    <row r="428" spans="2:37" s="5" customFormat="1">
      <c r="B428" s="313"/>
      <c r="C428" s="835"/>
      <c r="D428" s="17" t="s">
        <v>28</v>
      </c>
      <c r="E428" s="88">
        <f>$H$5+2.5+2</f>
        <v>17.75</v>
      </c>
      <c r="F428" s="84">
        <f>E425/44*1.5</f>
        <v>1782.059659090909</v>
      </c>
      <c r="G428" s="87">
        <v>6</v>
      </c>
      <c r="H428" s="64">
        <f>+G428*F428*E428</f>
        <v>189789.35369318182</v>
      </c>
      <c r="I428" s="79"/>
      <c r="J428" s="52"/>
      <c r="K428" s="156"/>
      <c r="L428" s="383"/>
      <c r="M428" s="542"/>
      <c r="N428" s="578">
        <f t="shared" si="139"/>
        <v>0</v>
      </c>
      <c r="O428" s="678"/>
      <c r="P428" s="678"/>
      <c r="Q428" s="678"/>
      <c r="R428" s="678"/>
      <c r="S428" s="678"/>
      <c r="T428" s="678"/>
      <c r="U428" s="678"/>
      <c r="V428" s="678"/>
      <c r="W428" s="678">
        <f>+H428/G428</f>
        <v>31631.558948863636</v>
      </c>
      <c r="X428" s="678">
        <f t="shared" ref="X428:AB428" si="144">+W428</f>
        <v>31631.558948863636</v>
      </c>
      <c r="Y428" s="678">
        <f t="shared" si="144"/>
        <v>31631.558948863636</v>
      </c>
      <c r="Z428" s="678">
        <f t="shared" si="144"/>
        <v>31631.558948863636</v>
      </c>
      <c r="AA428" s="678">
        <f t="shared" si="144"/>
        <v>31631.558948863636</v>
      </c>
      <c r="AB428" s="678">
        <f t="shared" si="144"/>
        <v>31631.558948863636</v>
      </c>
      <c r="AC428" s="678"/>
      <c r="AD428" s="678"/>
      <c r="AE428" s="678"/>
      <c r="AF428" s="678"/>
      <c r="AG428" s="678"/>
      <c r="AH428" s="678"/>
      <c r="AI428" s="678"/>
      <c r="AJ428" s="678"/>
      <c r="AK428" s="658"/>
    </row>
    <row r="429" spans="2:37" s="5" customFormat="1">
      <c r="B429" s="313"/>
      <c r="C429" s="835"/>
      <c r="D429" s="17" t="s">
        <v>1</v>
      </c>
      <c r="E429" s="67" t="s">
        <v>29</v>
      </c>
      <c r="F429" s="84">
        <f>E425/5*1.5</f>
        <v>15682.125</v>
      </c>
      <c r="G429" s="64">
        <f>$H$3</f>
        <v>0</v>
      </c>
      <c r="H429" s="64">
        <f>+G429*F429</f>
        <v>0</v>
      </c>
      <c r="I429" s="79"/>
      <c r="J429" s="52"/>
      <c r="K429" s="156"/>
      <c r="L429" s="383"/>
      <c r="M429" s="542"/>
      <c r="N429" s="578">
        <f t="shared" si="139"/>
        <v>0</v>
      </c>
      <c r="O429" s="678"/>
      <c r="P429" s="678"/>
      <c r="Q429" s="678"/>
      <c r="R429" s="678"/>
      <c r="S429" s="678"/>
      <c r="T429" s="678"/>
      <c r="U429" s="678"/>
      <c r="V429" s="678"/>
      <c r="W429" s="678"/>
      <c r="X429" s="678"/>
      <c r="Y429" s="678"/>
      <c r="Z429" s="678"/>
      <c r="AA429" s="678"/>
      <c r="AB429" s="678"/>
      <c r="AC429" s="678"/>
      <c r="AD429" s="678"/>
      <c r="AE429" s="678"/>
      <c r="AF429" s="678"/>
      <c r="AG429" s="678"/>
      <c r="AH429" s="678"/>
      <c r="AI429" s="678"/>
      <c r="AJ429" s="678"/>
      <c r="AK429" s="658"/>
    </row>
    <row r="430" spans="2:37" s="5" customFormat="1">
      <c r="B430" s="313"/>
      <c r="C430" s="835"/>
      <c r="D430" s="17" t="s">
        <v>4</v>
      </c>
      <c r="E430" s="67" t="s">
        <v>29</v>
      </c>
      <c r="F430" s="84">
        <f>E425/5*2</f>
        <v>20909.5</v>
      </c>
      <c r="G430" s="64">
        <f>$H$4</f>
        <v>0</v>
      </c>
      <c r="H430" s="64">
        <f>+G430*F430</f>
        <v>0</v>
      </c>
      <c r="I430" s="79"/>
      <c r="J430" s="52"/>
      <c r="K430" s="156"/>
      <c r="L430" s="383"/>
      <c r="M430" s="542"/>
      <c r="N430" s="578">
        <f t="shared" si="139"/>
        <v>0</v>
      </c>
      <c r="O430" s="678"/>
      <c r="P430" s="678"/>
      <c r="Q430" s="678"/>
      <c r="R430" s="678"/>
      <c r="S430" s="678"/>
      <c r="T430" s="678"/>
      <c r="U430" s="678"/>
      <c r="V430" s="678"/>
      <c r="W430" s="678"/>
      <c r="X430" s="678"/>
      <c r="Y430" s="678"/>
      <c r="Z430" s="678"/>
      <c r="AA430" s="678"/>
      <c r="AB430" s="678"/>
      <c r="AC430" s="678"/>
      <c r="AD430" s="678"/>
      <c r="AE430" s="678"/>
      <c r="AF430" s="678"/>
      <c r="AG430" s="678"/>
      <c r="AH430" s="678"/>
      <c r="AI430" s="678"/>
      <c r="AJ430" s="678"/>
      <c r="AK430" s="658"/>
    </row>
    <row r="431" spans="2:37" s="5" customFormat="1">
      <c r="B431" s="313"/>
      <c r="C431" s="835"/>
      <c r="D431" s="17" t="s">
        <v>5</v>
      </c>
      <c r="E431" s="81" t="s">
        <v>27</v>
      </c>
      <c r="F431" s="84">
        <f>E425</f>
        <v>52273.75</v>
      </c>
      <c r="G431" s="99">
        <v>0.6</v>
      </c>
      <c r="H431" s="64">
        <f>+G431*F431</f>
        <v>31364.25</v>
      </c>
      <c r="I431" s="79"/>
      <c r="J431" s="52"/>
      <c r="K431" s="156"/>
      <c r="L431" s="383"/>
      <c r="M431" s="542"/>
      <c r="N431" s="578">
        <f t="shared" si="139"/>
        <v>0</v>
      </c>
      <c r="O431" s="678"/>
      <c r="P431" s="678"/>
      <c r="Q431" s="678"/>
      <c r="R431" s="678"/>
      <c r="S431" s="678"/>
      <c r="T431" s="678"/>
      <c r="U431" s="678"/>
      <c r="V431" s="678"/>
      <c r="W431" s="678"/>
      <c r="X431" s="678"/>
      <c r="Y431" s="678"/>
      <c r="Z431" s="678"/>
      <c r="AA431" s="678"/>
      <c r="AB431" s="678"/>
      <c r="AC431" s="679">
        <f>+H431</f>
        <v>31364.25</v>
      </c>
      <c r="AD431" s="678"/>
      <c r="AE431" s="678"/>
      <c r="AF431" s="678"/>
      <c r="AG431" s="678"/>
      <c r="AH431" s="678"/>
      <c r="AI431" s="678"/>
      <c r="AJ431" s="678"/>
      <c r="AK431" s="658"/>
    </row>
    <row r="432" spans="2:37" s="5" customFormat="1">
      <c r="B432" s="313"/>
      <c r="C432" s="835"/>
      <c r="D432" s="17" t="s">
        <v>30</v>
      </c>
      <c r="E432" s="67" t="s">
        <v>16</v>
      </c>
      <c r="F432" s="101">
        <f>G426+G427+G431</f>
        <v>12.6</v>
      </c>
      <c r="G432" s="68" t="s">
        <v>31</v>
      </c>
      <c r="H432" s="64">
        <f>SUM(H426:H431)</f>
        <v>848438.60369318188</v>
      </c>
      <c r="I432" s="79"/>
      <c r="J432" s="52"/>
      <c r="K432" s="156"/>
      <c r="L432" s="383"/>
      <c r="M432" s="542"/>
      <c r="N432" s="578">
        <f t="shared" si="139"/>
        <v>-848438.60369318188</v>
      </c>
      <c r="O432" s="678"/>
      <c r="P432" s="678"/>
      <c r="Q432" s="678"/>
      <c r="R432" s="678"/>
      <c r="S432" s="678"/>
      <c r="T432" s="678"/>
      <c r="U432" s="678"/>
      <c r="V432" s="678"/>
      <c r="W432" s="678"/>
      <c r="X432" s="678"/>
      <c r="Y432" s="678"/>
      <c r="Z432" s="678"/>
      <c r="AA432" s="678"/>
      <c r="AB432" s="678"/>
      <c r="AC432" s="678"/>
      <c r="AD432" s="678"/>
      <c r="AE432" s="678"/>
      <c r="AF432" s="678"/>
      <c r="AG432" s="678"/>
      <c r="AH432" s="678"/>
      <c r="AI432" s="678"/>
      <c r="AJ432" s="678"/>
      <c r="AK432" s="658"/>
    </row>
    <row r="433" spans="2:37" s="5" customFormat="1">
      <c r="B433" s="313"/>
      <c r="C433" s="835"/>
      <c r="D433" s="19" t="s">
        <v>32</v>
      </c>
      <c r="E433" s="67" t="s">
        <v>16</v>
      </c>
      <c r="F433" s="84">
        <f>SUM(H426:H431)</f>
        <v>848438.60369318188</v>
      </c>
      <c r="G433" s="92">
        <f>$G$43</f>
        <v>8.3299999999999999E-2</v>
      </c>
      <c r="H433" s="64">
        <f>+G433*F433</f>
        <v>70674.93568764205</v>
      </c>
      <c r="I433" s="93"/>
      <c r="J433" s="52"/>
      <c r="K433" s="156"/>
      <c r="L433" s="383"/>
      <c r="M433" s="542"/>
      <c r="N433" s="578">
        <f t="shared" si="139"/>
        <v>0</v>
      </c>
      <c r="O433" s="679">
        <f t="shared" ref="O433:AC433" si="145">SUM(O424:O432)*$G$54</f>
        <v>0</v>
      </c>
      <c r="P433" s="679">
        <f t="shared" si="145"/>
        <v>0</v>
      </c>
      <c r="Q433" s="679">
        <f t="shared" si="145"/>
        <v>4354.4033749999999</v>
      </c>
      <c r="R433" s="679">
        <f t="shared" si="145"/>
        <v>4354.4033749999999</v>
      </c>
      <c r="S433" s="679">
        <f t="shared" si="145"/>
        <v>4354.4033749999999</v>
      </c>
      <c r="T433" s="679">
        <f t="shared" si="145"/>
        <v>4354.4033749999999</v>
      </c>
      <c r="U433" s="679">
        <f t="shared" si="145"/>
        <v>4354.4033749999999</v>
      </c>
      <c r="V433" s="679">
        <f t="shared" si="145"/>
        <v>4354.4033749999999</v>
      </c>
      <c r="W433" s="679">
        <f t="shared" si="145"/>
        <v>6989.3122354403404</v>
      </c>
      <c r="X433" s="679">
        <f t="shared" si="145"/>
        <v>6989.3122354403404</v>
      </c>
      <c r="Y433" s="679">
        <f t="shared" si="145"/>
        <v>6989.3122354403404</v>
      </c>
      <c r="Z433" s="679">
        <f t="shared" si="145"/>
        <v>6989.3122354403404</v>
      </c>
      <c r="AA433" s="679">
        <f t="shared" si="145"/>
        <v>6989.3122354403404</v>
      </c>
      <c r="AB433" s="679">
        <f t="shared" si="145"/>
        <v>6989.3122354403404</v>
      </c>
      <c r="AC433" s="679">
        <f t="shared" si="145"/>
        <v>2612.6420250000001</v>
      </c>
      <c r="AD433" s="678"/>
      <c r="AE433" s="678"/>
      <c r="AF433" s="678"/>
      <c r="AG433" s="678"/>
      <c r="AH433" s="678"/>
      <c r="AI433" s="678"/>
      <c r="AJ433" s="678"/>
      <c r="AK433" s="658"/>
    </row>
    <row r="434" spans="2:37" s="5" customFormat="1">
      <c r="B434" s="313"/>
      <c r="C434" s="835"/>
      <c r="D434" s="19" t="s">
        <v>33</v>
      </c>
      <c r="E434" s="84">
        <f>F433/(5*F432)</f>
        <v>13467.2794237013</v>
      </c>
      <c r="F434" s="84">
        <f>E434*(F432*7)</f>
        <v>1187814.0451704548</v>
      </c>
      <c r="G434" s="95">
        <f>$G$44</f>
        <v>20</v>
      </c>
      <c r="H434" s="64">
        <f>F434/G434</f>
        <v>59390.702258522739</v>
      </c>
      <c r="I434" s="72">
        <f>SUM(H432:H434)</f>
        <v>978504.2416393467</v>
      </c>
      <c r="J434" s="52">
        <f>SUM(G426:G434)</f>
        <v>38.683300000000003</v>
      </c>
      <c r="K434" s="156"/>
      <c r="L434" s="383"/>
      <c r="M434" s="542"/>
      <c r="N434" s="578">
        <f t="shared" si="139"/>
        <v>0</v>
      </c>
      <c r="O434" s="678"/>
      <c r="P434" s="678"/>
      <c r="Q434" s="678"/>
      <c r="R434" s="678"/>
      <c r="S434" s="678"/>
      <c r="T434" s="678"/>
      <c r="U434" s="678"/>
      <c r="V434" s="678"/>
      <c r="W434" s="678"/>
      <c r="X434" s="678"/>
      <c r="Y434" s="678"/>
      <c r="Z434" s="678"/>
      <c r="AA434" s="678"/>
      <c r="AB434" s="678">
        <f>+H434</f>
        <v>59390.702258522739</v>
      </c>
      <c r="AC434" s="678"/>
      <c r="AD434" s="678"/>
      <c r="AE434" s="678"/>
      <c r="AF434" s="678"/>
      <c r="AG434" s="678"/>
      <c r="AH434" s="678"/>
      <c r="AI434" s="678"/>
      <c r="AJ434" s="678"/>
      <c r="AK434" s="658"/>
    </row>
    <row r="435" spans="2:37" s="5" customFormat="1">
      <c r="B435" s="313"/>
      <c r="C435" s="835"/>
      <c r="D435" s="96"/>
      <c r="E435" s="100"/>
      <c r="F435" s="74"/>
      <c r="G435" s="97"/>
      <c r="H435" s="78"/>
      <c r="I435" s="79"/>
      <c r="J435" s="52"/>
      <c r="K435" s="156"/>
      <c r="L435" s="383"/>
      <c r="M435" s="542"/>
      <c r="N435" s="578">
        <f t="shared" si="139"/>
        <v>0</v>
      </c>
      <c r="O435" s="678"/>
      <c r="P435" s="678"/>
      <c r="Q435" s="678"/>
      <c r="R435" s="678"/>
      <c r="S435" s="678"/>
      <c r="T435" s="678"/>
      <c r="U435" s="678"/>
      <c r="V435" s="678"/>
      <c r="W435" s="678"/>
      <c r="X435" s="678"/>
      <c r="Y435" s="678"/>
      <c r="Z435" s="678"/>
      <c r="AA435" s="678"/>
      <c r="AB435" s="678"/>
      <c r="AC435" s="678"/>
      <c r="AD435" s="678"/>
      <c r="AE435" s="678"/>
      <c r="AF435" s="678"/>
      <c r="AG435" s="678"/>
      <c r="AH435" s="678"/>
      <c r="AI435" s="678"/>
      <c r="AJ435" s="678"/>
      <c r="AK435" s="658"/>
    </row>
    <row r="436" spans="2:37" s="5" customFormat="1" ht="15" customHeight="1">
      <c r="B436" s="317">
        <v>36</v>
      </c>
      <c r="C436" s="835" t="s">
        <v>898</v>
      </c>
      <c r="D436" s="80" t="s">
        <v>65</v>
      </c>
      <c r="E436" s="81">
        <f>+E425</f>
        <v>52273.75</v>
      </c>
      <c r="F436" s="74"/>
      <c r="G436" s="75"/>
      <c r="H436" s="82"/>
      <c r="I436" s="83"/>
      <c r="J436" s="52"/>
      <c r="K436" s="156"/>
      <c r="L436" s="383"/>
      <c r="M436" s="542"/>
      <c r="N436" s="578">
        <f t="shared" si="139"/>
        <v>0</v>
      </c>
      <c r="O436" s="678"/>
      <c r="P436" s="678"/>
      <c r="Q436" s="678"/>
      <c r="R436" s="678"/>
      <c r="S436" s="678"/>
      <c r="T436" s="678"/>
      <c r="U436" s="678"/>
      <c r="V436" s="678"/>
      <c r="W436" s="678"/>
      <c r="X436" s="678"/>
      <c r="Y436" s="678"/>
      <c r="Z436" s="678"/>
      <c r="AA436" s="678"/>
      <c r="AB436" s="678"/>
      <c r="AC436" s="678"/>
      <c r="AD436" s="678"/>
      <c r="AE436" s="678"/>
      <c r="AF436" s="678"/>
      <c r="AG436" s="678"/>
      <c r="AH436" s="678"/>
      <c r="AI436" s="678"/>
      <c r="AJ436" s="678"/>
      <c r="AK436" s="658"/>
    </row>
    <row r="437" spans="2:37" s="5" customFormat="1">
      <c r="B437" s="313"/>
      <c r="C437" s="835"/>
      <c r="D437" s="17" t="s">
        <v>0</v>
      </c>
      <c r="E437" s="81" t="s">
        <v>27</v>
      </c>
      <c r="F437" s="84">
        <f>E436</f>
        <v>52273.75</v>
      </c>
      <c r="G437" s="64">
        <v>6</v>
      </c>
      <c r="H437" s="64">
        <f>+G437*F437</f>
        <v>313642.5</v>
      </c>
      <c r="I437" s="79"/>
      <c r="J437" s="52"/>
      <c r="K437" s="156"/>
      <c r="L437" s="383"/>
      <c r="M437" s="542"/>
      <c r="N437" s="578">
        <f t="shared" si="139"/>
        <v>0</v>
      </c>
      <c r="O437" s="678"/>
      <c r="P437" s="678"/>
      <c r="Q437" s="678">
        <f>+H437/G437</f>
        <v>52273.75</v>
      </c>
      <c r="R437" s="678">
        <f>+H437/G437</f>
        <v>52273.75</v>
      </c>
      <c r="S437" s="678">
        <f>+H437/G437</f>
        <v>52273.75</v>
      </c>
      <c r="T437" s="678">
        <f>+H437/G437</f>
        <v>52273.75</v>
      </c>
      <c r="U437" s="678">
        <f>+H437/G437</f>
        <v>52273.75</v>
      </c>
      <c r="V437" s="678">
        <f>+H437/G437</f>
        <v>52273.75</v>
      </c>
      <c r="W437" s="678"/>
      <c r="X437" s="678"/>
      <c r="Y437" s="678"/>
      <c r="Z437" s="678"/>
      <c r="AA437" s="678"/>
      <c r="AB437" s="678"/>
      <c r="AC437" s="678"/>
      <c r="AD437" s="678"/>
      <c r="AE437" s="678"/>
      <c r="AF437" s="678"/>
      <c r="AG437" s="678"/>
      <c r="AH437" s="678"/>
      <c r="AI437" s="678"/>
      <c r="AJ437" s="678"/>
      <c r="AK437" s="658"/>
    </row>
    <row r="438" spans="2:37" s="5" customFormat="1">
      <c r="B438" s="313"/>
      <c r="C438" s="835"/>
      <c r="D438" s="17" t="s">
        <v>3</v>
      </c>
      <c r="E438" s="81" t="s">
        <v>27</v>
      </c>
      <c r="F438" s="84">
        <f>E436</f>
        <v>52273.75</v>
      </c>
      <c r="G438" s="64">
        <v>6</v>
      </c>
      <c r="H438" s="64">
        <f>+G438*F438</f>
        <v>313642.5</v>
      </c>
      <c r="I438" s="79"/>
      <c r="J438" s="52"/>
      <c r="K438" s="156"/>
      <c r="L438" s="383"/>
      <c r="M438" s="542"/>
      <c r="N438" s="578">
        <f t="shared" si="139"/>
        <v>0</v>
      </c>
      <c r="O438" s="678"/>
      <c r="P438" s="678"/>
      <c r="Q438" s="678"/>
      <c r="R438" s="678"/>
      <c r="S438" s="678"/>
      <c r="T438" s="678"/>
      <c r="U438" s="678"/>
      <c r="V438" s="678"/>
      <c r="W438" s="678">
        <f>+H438/G438</f>
        <v>52273.75</v>
      </c>
      <c r="X438" s="678">
        <f>+H438/G438</f>
        <v>52273.75</v>
      </c>
      <c r="Y438" s="678">
        <f>+H438/G438</f>
        <v>52273.75</v>
      </c>
      <c r="Z438" s="678">
        <f>+H438/G438</f>
        <v>52273.75</v>
      </c>
      <c r="AA438" s="678">
        <f>+H438/G438</f>
        <v>52273.75</v>
      </c>
      <c r="AB438" s="678">
        <f>+H438/G438</f>
        <v>52273.75</v>
      </c>
      <c r="AC438" s="678"/>
      <c r="AD438" s="678"/>
      <c r="AE438" s="678"/>
      <c r="AF438" s="678"/>
      <c r="AG438" s="678"/>
      <c r="AH438" s="678"/>
      <c r="AI438" s="678"/>
      <c r="AJ438" s="678"/>
      <c r="AK438" s="658"/>
    </row>
    <row r="439" spans="2:37" s="5" customFormat="1">
      <c r="B439" s="313"/>
      <c r="C439" s="835"/>
      <c r="D439" s="17" t="s">
        <v>28</v>
      </c>
      <c r="E439" s="88">
        <f>$H$5+2.5+2</f>
        <v>17.75</v>
      </c>
      <c r="F439" s="84">
        <f>E436/44*1.5</f>
        <v>1782.059659090909</v>
      </c>
      <c r="G439" s="87">
        <v>6</v>
      </c>
      <c r="H439" s="64">
        <f>+G439*F439*E439</f>
        <v>189789.35369318182</v>
      </c>
      <c r="I439" s="79"/>
      <c r="J439" s="52"/>
      <c r="K439" s="156"/>
      <c r="L439" s="383"/>
      <c r="M439" s="542"/>
      <c r="N439" s="578">
        <f t="shared" si="139"/>
        <v>0</v>
      </c>
      <c r="O439" s="678"/>
      <c r="P439" s="678"/>
      <c r="Q439" s="678"/>
      <c r="R439" s="678"/>
      <c r="S439" s="678"/>
      <c r="T439" s="678"/>
      <c r="U439" s="678"/>
      <c r="V439" s="678"/>
      <c r="W439" s="678">
        <f>+H439/G439</f>
        <v>31631.558948863636</v>
      </c>
      <c r="X439" s="678">
        <f t="shared" ref="X439:AB439" si="146">+W439</f>
        <v>31631.558948863636</v>
      </c>
      <c r="Y439" s="678">
        <f t="shared" si="146"/>
        <v>31631.558948863636</v>
      </c>
      <c r="Z439" s="678">
        <f t="shared" si="146"/>
        <v>31631.558948863636</v>
      </c>
      <c r="AA439" s="678">
        <f t="shared" si="146"/>
        <v>31631.558948863636</v>
      </c>
      <c r="AB439" s="678">
        <f t="shared" si="146"/>
        <v>31631.558948863636</v>
      </c>
      <c r="AC439" s="678"/>
      <c r="AD439" s="678"/>
      <c r="AE439" s="678"/>
      <c r="AF439" s="678"/>
      <c r="AG439" s="678"/>
      <c r="AH439" s="678"/>
      <c r="AI439" s="678"/>
      <c r="AJ439" s="678"/>
      <c r="AK439" s="658"/>
    </row>
    <row r="440" spans="2:37" s="5" customFormat="1">
      <c r="B440" s="313"/>
      <c r="C440" s="835"/>
      <c r="D440" s="17" t="s">
        <v>1</v>
      </c>
      <c r="E440" s="67" t="s">
        <v>29</v>
      </c>
      <c r="F440" s="84">
        <f>E436/5*1.5</f>
        <v>15682.125</v>
      </c>
      <c r="G440" s="64">
        <f>$H$3</f>
        <v>0</v>
      </c>
      <c r="H440" s="64">
        <f>+G440*F440</f>
        <v>0</v>
      </c>
      <c r="I440" s="79"/>
      <c r="J440" s="52"/>
      <c r="K440" s="156"/>
      <c r="L440" s="383"/>
      <c r="M440" s="542"/>
      <c r="N440" s="578">
        <f t="shared" si="139"/>
        <v>0</v>
      </c>
      <c r="O440" s="678"/>
      <c r="P440" s="678"/>
      <c r="Q440" s="678"/>
      <c r="R440" s="678"/>
      <c r="S440" s="678"/>
      <c r="T440" s="678"/>
      <c r="U440" s="678"/>
      <c r="V440" s="678"/>
      <c r="W440" s="678"/>
      <c r="X440" s="678"/>
      <c r="Y440" s="678"/>
      <c r="Z440" s="678"/>
      <c r="AA440" s="678"/>
      <c r="AB440" s="678"/>
      <c r="AC440" s="678"/>
      <c r="AD440" s="678"/>
      <c r="AE440" s="678"/>
      <c r="AF440" s="678"/>
      <c r="AG440" s="678"/>
      <c r="AH440" s="678"/>
      <c r="AI440" s="678"/>
      <c r="AJ440" s="678"/>
      <c r="AK440" s="658"/>
    </row>
    <row r="441" spans="2:37" s="5" customFormat="1">
      <c r="B441" s="313"/>
      <c r="C441" s="835"/>
      <c r="D441" s="17" t="s">
        <v>4</v>
      </c>
      <c r="E441" s="67" t="s">
        <v>29</v>
      </c>
      <c r="F441" s="84">
        <f>E436/5*2</f>
        <v>20909.5</v>
      </c>
      <c r="G441" s="64">
        <f>$H$4</f>
        <v>0</v>
      </c>
      <c r="H441" s="64">
        <f>+G441*F441</f>
        <v>0</v>
      </c>
      <c r="I441" s="79"/>
      <c r="J441" s="52"/>
      <c r="K441" s="156"/>
      <c r="L441" s="383"/>
      <c r="M441" s="542"/>
      <c r="N441" s="578">
        <f t="shared" si="139"/>
        <v>0</v>
      </c>
      <c r="O441" s="678"/>
      <c r="P441" s="678"/>
      <c r="Q441" s="678"/>
      <c r="R441" s="678"/>
      <c r="S441" s="678"/>
      <c r="T441" s="678"/>
      <c r="U441" s="678"/>
      <c r="V441" s="678"/>
      <c r="W441" s="678"/>
      <c r="X441" s="678"/>
      <c r="Y441" s="678"/>
      <c r="Z441" s="678"/>
      <c r="AA441" s="678"/>
      <c r="AB441" s="678"/>
      <c r="AC441" s="678"/>
      <c r="AD441" s="678"/>
      <c r="AE441" s="678"/>
      <c r="AF441" s="678"/>
      <c r="AG441" s="678"/>
      <c r="AH441" s="678"/>
      <c r="AI441" s="678"/>
      <c r="AJ441" s="678"/>
      <c r="AK441" s="658"/>
    </row>
    <row r="442" spans="2:37" s="5" customFormat="1">
      <c r="B442" s="313"/>
      <c r="C442" s="835"/>
      <c r="D442" s="17" t="s">
        <v>5</v>
      </c>
      <c r="E442" s="81" t="s">
        <v>27</v>
      </c>
      <c r="F442" s="84">
        <f>E436</f>
        <v>52273.75</v>
      </c>
      <c r="G442" s="99">
        <v>0.6</v>
      </c>
      <c r="H442" s="64">
        <f>+G442*F442</f>
        <v>31364.25</v>
      </c>
      <c r="I442" s="79"/>
      <c r="J442" s="52"/>
      <c r="K442" s="156"/>
      <c r="L442" s="383"/>
      <c r="M442" s="542"/>
      <c r="N442" s="578">
        <f t="shared" si="139"/>
        <v>0</v>
      </c>
      <c r="O442" s="678"/>
      <c r="P442" s="678"/>
      <c r="Q442" s="678"/>
      <c r="R442" s="678"/>
      <c r="S442" s="678"/>
      <c r="T442" s="678"/>
      <c r="U442" s="678"/>
      <c r="V442" s="678"/>
      <c r="W442" s="678"/>
      <c r="X442" s="678"/>
      <c r="Y442" s="678"/>
      <c r="Z442" s="678"/>
      <c r="AA442" s="678"/>
      <c r="AB442" s="678"/>
      <c r="AC442" s="679">
        <f>+H442</f>
        <v>31364.25</v>
      </c>
      <c r="AD442" s="678"/>
      <c r="AE442" s="678"/>
      <c r="AF442" s="678"/>
      <c r="AG442" s="678"/>
      <c r="AH442" s="678"/>
      <c r="AI442" s="678"/>
      <c r="AJ442" s="678"/>
      <c r="AK442" s="658"/>
    </row>
    <row r="443" spans="2:37" s="5" customFormat="1">
      <c r="B443" s="313"/>
      <c r="C443" s="835"/>
      <c r="D443" s="17" t="s">
        <v>30</v>
      </c>
      <c r="E443" s="67" t="s">
        <v>16</v>
      </c>
      <c r="F443" s="101">
        <f>G437+G438+G442</f>
        <v>12.6</v>
      </c>
      <c r="G443" s="68" t="s">
        <v>31</v>
      </c>
      <c r="H443" s="64">
        <f>SUM(H437:H442)</f>
        <v>848438.60369318188</v>
      </c>
      <c r="I443" s="79"/>
      <c r="J443" s="52"/>
      <c r="K443" s="156"/>
      <c r="L443" s="383"/>
      <c r="M443" s="542"/>
      <c r="N443" s="578">
        <f t="shared" si="139"/>
        <v>-848438.60369318188</v>
      </c>
      <c r="O443" s="678"/>
      <c r="P443" s="678"/>
      <c r="Q443" s="678"/>
      <c r="R443" s="678"/>
      <c r="S443" s="678"/>
      <c r="T443" s="678"/>
      <c r="U443" s="678"/>
      <c r="V443" s="678"/>
      <c r="W443" s="678"/>
      <c r="X443" s="678"/>
      <c r="Y443" s="678"/>
      <c r="Z443" s="678"/>
      <c r="AA443" s="678"/>
      <c r="AB443" s="678"/>
      <c r="AC443" s="678"/>
      <c r="AD443" s="678"/>
      <c r="AE443" s="678"/>
      <c r="AF443" s="678"/>
      <c r="AG443" s="678"/>
      <c r="AH443" s="678"/>
      <c r="AI443" s="678"/>
      <c r="AJ443" s="678"/>
      <c r="AK443" s="658"/>
    </row>
    <row r="444" spans="2:37" s="5" customFormat="1">
      <c r="B444" s="313"/>
      <c r="C444" s="835"/>
      <c r="D444" s="19" t="s">
        <v>32</v>
      </c>
      <c r="E444" s="67" t="s">
        <v>16</v>
      </c>
      <c r="F444" s="84">
        <f>SUM(H437:H442)</f>
        <v>848438.60369318188</v>
      </c>
      <c r="G444" s="92">
        <f>$G$43</f>
        <v>8.3299999999999999E-2</v>
      </c>
      <c r="H444" s="64">
        <f>+G444*F444</f>
        <v>70674.93568764205</v>
      </c>
      <c r="I444" s="93"/>
      <c r="J444" s="52"/>
      <c r="K444" s="156"/>
      <c r="L444" s="383"/>
      <c r="M444" s="542"/>
      <c r="N444" s="578">
        <f t="shared" si="139"/>
        <v>0</v>
      </c>
      <c r="O444" s="679">
        <f t="shared" ref="O444:AC444" si="147">SUM(O435:O443)*$G$54</f>
        <v>0</v>
      </c>
      <c r="P444" s="679">
        <f t="shared" si="147"/>
        <v>0</v>
      </c>
      <c r="Q444" s="679">
        <f t="shared" si="147"/>
        <v>4354.4033749999999</v>
      </c>
      <c r="R444" s="679">
        <f t="shared" si="147"/>
        <v>4354.4033749999999</v>
      </c>
      <c r="S444" s="679">
        <f t="shared" si="147"/>
        <v>4354.4033749999999</v>
      </c>
      <c r="T444" s="679">
        <f t="shared" si="147"/>
        <v>4354.4033749999999</v>
      </c>
      <c r="U444" s="679">
        <f t="shared" si="147"/>
        <v>4354.4033749999999</v>
      </c>
      <c r="V444" s="679">
        <f t="shared" si="147"/>
        <v>4354.4033749999999</v>
      </c>
      <c r="W444" s="679">
        <f t="shared" si="147"/>
        <v>6989.3122354403404</v>
      </c>
      <c r="X444" s="679">
        <f t="shared" si="147"/>
        <v>6989.3122354403404</v>
      </c>
      <c r="Y444" s="679">
        <f t="shared" si="147"/>
        <v>6989.3122354403404</v>
      </c>
      <c r="Z444" s="679">
        <f t="shared" si="147"/>
        <v>6989.3122354403404</v>
      </c>
      <c r="AA444" s="679">
        <f t="shared" si="147"/>
        <v>6989.3122354403404</v>
      </c>
      <c r="AB444" s="679">
        <f t="shared" si="147"/>
        <v>6989.3122354403404</v>
      </c>
      <c r="AC444" s="679">
        <f t="shared" si="147"/>
        <v>2612.6420250000001</v>
      </c>
      <c r="AD444" s="678"/>
      <c r="AE444" s="678"/>
      <c r="AF444" s="678"/>
      <c r="AG444" s="678"/>
      <c r="AH444" s="678"/>
      <c r="AI444" s="678"/>
      <c r="AJ444" s="678"/>
      <c r="AK444" s="658"/>
    </row>
    <row r="445" spans="2:37" s="5" customFormat="1">
      <c r="B445" s="313"/>
      <c r="C445" s="835"/>
      <c r="D445" s="19" t="s">
        <v>33</v>
      </c>
      <c r="E445" s="84">
        <f>F444/(5*F443)</f>
        <v>13467.2794237013</v>
      </c>
      <c r="F445" s="84">
        <f>E445*(F443*7)</f>
        <v>1187814.0451704548</v>
      </c>
      <c r="G445" s="95">
        <f>$G$44</f>
        <v>20</v>
      </c>
      <c r="H445" s="64">
        <f>F445/G445</f>
        <v>59390.702258522739</v>
      </c>
      <c r="I445" s="72">
        <f>SUM(H443:H445)</f>
        <v>978504.2416393467</v>
      </c>
      <c r="J445" s="52">
        <f>SUM(G437:G445)</f>
        <v>38.683300000000003</v>
      </c>
      <c r="K445" s="156"/>
      <c r="L445" s="383"/>
      <c r="M445" s="542"/>
      <c r="N445" s="578">
        <f t="shared" si="139"/>
        <v>0</v>
      </c>
      <c r="O445" s="678"/>
      <c r="P445" s="678"/>
      <c r="Q445" s="678"/>
      <c r="R445" s="678"/>
      <c r="S445" s="678"/>
      <c r="T445" s="678"/>
      <c r="U445" s="678"/>
      <c r="V445" s="678"/>
      <c r="W445" s="678"/>
      <c r="X445" s="678"/>
      <c r="Y445" s="678"/>
      <c r="Z445" s="678"/>
      <c r="AA445" s="678"/>
      <c r="AB445" s="678">
        <f>+H445</f>
        <v>59390.702258522739</v>
      </c>
      <c r="AC445" s="678"/>
      <c r="AD445" s="678"/>
      <c r="AE445" s="678"/>
      <c r="AF445" s="678"/>
      <c r="AG445" s="678"/>
      <c r="AH445" s="678"/>
      <c r="AI445" s="678"/>
      <c r="AJ445" s="678"/>
      <c r="AK445" s="658"/>
    </row>
    <row r="446" spans="2:37" s="5" customFormat="1">
      <c r="B446" s="313"/>
      <c r="C446" s="835"/>
      <c r="D446" s="96"/>
      <c r="E446" s="100"/>
      <c r="F446" s="74"/>
      <c r="G446" s="97"/>
      <c r="H446" s="78"/>
      <c r="I446" s="79"/>
      <c r="J446" s="52"/>
      <c r="K446" s="156"/>
      <c r="L446" s="383"/>
      <c r="M446" s="542"/>
      <c r="N446" s="578">
        <f t="shared" si="139"/>
        <v>0</v>
      </c>
      <c r="O446" s="678"/>
      <c r="P446" s="678"/>
      <c r="Q446" s="678"/>
      <c r="R446" s="678"/>
      <c r="S446" s="678"/>
      <c r="T446" s="678"/>
      <c r="U446" s="678"/>
      <c r="V446" s="678"/>
      <c r="W446" s="678"/>
      <c r="X446" s="678"/>
      <c r="Y446" s="678"/>
      <c r="Z446" s="678"/>
      <c r="AA446" s="678"/>
      <c r="AB446" s="678"/>
      <c r="AC446" s="678"/>
      <c r="AD446" s="678"/>
      <c r="AE446" s="678"/>
      <c r="AF446" s="678"/>
      <c r="AG446" s="678"/>
      <c r="AH446" s="678"/>
      <c r="AI446" s="678"/>
      <c r="AJ446" s="678"/>
      <c r="AK446" s="658"/>
    </row>
    <row r="447" spans="2:37" s="5" customFormat="1" ht="15" customHeight="1">
      <c r="B447" s="317">
        <v>37</v>
      </c>
      <c r="C447" s="835" t="s">
        <v>899</v>
      </c>
      <c r="D447" s="80" t="s">
        <v>429</v>
      </c>
      <c r="E447" s="81">
        <f>+E436</f>
        <v>52273.75</v>
      </c>
      <c r="F447" s="74"/>
      <c r="G447" s="75"/>
      <c r="H447" s="82"/>
      <c r="I447" s="83"/>
      <c r="J447" s="52"/>
      <c r="K447" s="156"/>
      <c r="L447" s="383"/>
      <c r="M447" s="542"/>
      <c r="N447" s="578">
        <f t="shared" si="139"/>
        <v>0</v>
      </c>
      <c r="O447" s="678"/>
      <c r="P447" s="678"/>
      <c r="Q447" s="678"/>
      <c r="R447" s="678"/>
      <c r="S447" s="678"/>
      <c r="T447" s="678"/>
      <c r="U447" s="678"/>
      <c r="V447" s="678"/>
      <c r="W447" s="678"/>
      <c r="X447" s="678"/>
      <c r="Y447" s="678"/>
      <c r="Z447" s="678"/>
      <c r="AA447" s="678"/>
      <c r="AB447" s="678"/>
      <c r="AC447" s="678"/>
      <c r="AD447" s="678"/>
      <c r="AE447" s="678"/>
      <c r="AF447" s="678"/>
      <c r="AG447" s="678"/>
      <c r="AH447" s="678"/>
      <c r="AI447" s="678"/>
      <c r="AJ447" s="678"/>
      <c r="AK447" s="658"/>
    </row>
    <row r="448" spans="2:37" s="5" customFormat="1">
      <c r="B448" s="313"/>
      <c r="C448" s="835"/>
      <c r="D448" s="17"/>
      <c r="E448" s="81" t="s">
        <v>27</v>
      </c>
      <c r="F448" s="84">
        <f>E447</f>
        <v>52273.75</v>
      </c>
      <c r="G448" s="64">
        <v>0</v>
      </c>
      <c r="H448" s="64">
        <f>+G448*F448</f>
        <v>0</v>
      </c>
      <c r="I448" s="79"/>
      <c r="J448" s="52"/>
      <c r="K448" s="156"/>
      <c r="L448" s="383"/>
      <c r="M448" s="542"/>
      <c r="N448" s="578">
        <f t="shared" si="139"/>
        <v>0</v>
      </c>
      <c r="O448" s="678"/>
      <c r="P448" s="678"/>
      <c r="Q448" s="678"/>
      <c r="R448" s="678"/>
      <c r="S448" s="678"/>
      <c r="T448" s="678"/>
      <c r="U448" s="678"/>
      <c r="V448" s="678"/>
      <c r="W448" s="678"/>
      <c r="X448" s="678"/>
      <c r="Y448" s="678"/>
      <c r="Z448" s="678"/>
      <c r="AA448" s="678"/>
      <c r="AB448" s="678"/>
      <c r="AC448" s="678"/>
      <c r="AD448" s="678"/>
      <c r="AE448" s="678"/>
      <c r="AF448" s="678"/>
      <c r="AG448" s="678"/>
      <c r="AH448" s="678"/>
      <c r="AI448" s="678"/>
      <c r="AJ448" s="678"/>
      <c r="AK448" s="658"/>
    </row>
    <row r="449" spans="2:37" s="5" customFormat="1">
      <c r="B449" s="313"/>
      <c r="C449" s="835"/>
      <c r="D449" s="17" t="s">
        <v>3</v>
      </c>
      <c r="E449" s="81" t="s">
        <v>27</v>
      </c>
      <c r="F449" s="84">
        <f>E447</f>
        <v>52273.75</v>
      </c>
      <c r="G449" s="64">
        <v>3</v>
      </c>
      <c r="H449" s="64">
        <f>+G449*F449</f>
        <v>156821.25</v>
      </c>
      <c r="I449" s="79"/>
      <c r="J449" s="52"/>
      <c r="K449" s="156"/>
      <c r="L449" s="383"/>
      <c r="M449" s="542"/>
      <c r="N449" s="578">
        <f t="shared" si="139"/>
        <v>0</v>
      </c>
      <c r="O449" s="678"/>
      <c r="P449" s="678"/>
      <c r="Q449" s="678"/>
      <c r="R449" s="678"/>
      <c r="S449" s="678"/>
      <c r="T449" s="678"/>
      <c r="U449" s="678"/>
      <c r="V449" s="678"/>
      <c r="W449" s="678">
        <f>+H449/G449</f>
        <v>52273.75</v>
      </c>
      <c r="X449" s="678"/>
      <c r="Y449" s="678">
        <f>+H449/G449</f>
        <v>52273.75</v>
      </c>
      <c r="Z449" s="678"/>
      <c r="AA449" s="678">
        <f>+H449/G449</f>
        <v>52273.75</v>
      </c>
      <c r="AB449" s="678"/>
      <c r="AC449" s="678"/>
      <c r="AD449" s="678"/>
      <c r="AE449" s="678"/>
      <c r="AF449" s="678"/>
      <c r="AG449" s="678"/>
      <c r="AH449" s="678"/>
      <c r="AI449" s="678"/>
      <c r="AJ449" s="678"/>
      <c r="AK449" s="658"/>
    </row>
    <row r="450" spans="2:37" s="5" customFormat="1">
      <c r="B450" s="313"/>
      <c r="C450" s="835"/>
      <c r="D450" s="17" t="s">
        <v>28</v>
      </c>
      <c r="E450" s="88">
        <f>$H$5+2.5+2</f>
        <v>17.75</v>
      </c>
      <c r="F450" s="84">
        <f>E447/44*1.5</f>
        <v>1782.059659090909</v>
      </c>
      <c r="G450" s="87">
        <v>3</v>
      </c>
      <c r="H450" s="64">
        <f>+G450*F450*E450</f>
        <v>94894.676846590912</v>
      </c>
      <c r="I450" s="79"/>
      <c r="J450" s="52"/>
      <c r="K450" s="156"/>
      <c r="L450" s="383"/>
      <c r="M450" s="542"/>
      <c r="N450" s="578">
        <f t="shared" si="139"/>
        <v>0</v>
      </c>
      <c r="O450" s="678"/>
      <c r="P450" s="678"/>
      <c r="Q450" s="678"/>
      <c r="R450" s="678"/>
      <c r="S450" s="678"/>
      <c r="T450" s="678"/>
      <c r="U450" s="678"/>
      <c r="V450" s="678"/>
      <c r="W450" s="678">
        <f>+H450/G450</f>
        <v>31631.558948863636</v>
      </c>
      <c r="X450" s="678"/>
      <c r="Y450" s="678">
        <f>+W450</f>
        <v>31631.558948863636</v>
      </c>
      <c r="Z450" s="678"/>
      <c r="AA450" s="678">
        <f>+Y450</f>
        <v>31631.558948863636</v>
      </c>
      <c r="AB450" s="678"/>
      <c r="AC450" s="678"/>
      <c r="AD450" s="678"/>
      <c r="AE450" s="678"/>
      <c r="AF450" s="678"/>
      <c r="AG450" s="678"/>
      <c r="AH450" s="678"/>
      <c r="AI450" s="678"/>
      <c r="AJ450" s="678"/>
      <c r="AK450" s="658"/>
    </row>
    <row r="451" spans="2:37" s="5" customFormat="1">
      <c r="B451" s="313"/>
      <c r="C451" s="835"/>
      <c r="D451" s="17" t="s">
        <v>1</v>
      </c>
      <c r="E451" s="67" t="s">
        <v>29</v>
      </c>
      <c r="F451" s="84">
        <f>E447/5*1.5</f>
        <v>15682.125</v>
      </c>
      <c r="G451" s="64">
        <f>$H$3</f>
        <v>0</v>
      </c>
      <c r="H451" s="64">
        <f>+G451*F451</f>
        <v>0</v>
      </c>
      <c r="I451" s="79"/>
      <c r="J451" s="52"/>
      <c r="K451" s="156"/>
      <c r="L451" s="383"/>
      <c r="M451" s="542"/>
      <c r="N451" s="578">
        <f t="shared" si="139"/>
        <v>0</v>
      </c>
      <c r="O451" s="678"/>
      <c r="P451" s="678"/>
      <c r="Q451" s="678"/>
      <c r="R451" s="678"/>
      <c r="S451" s="678"/>
      <c r="T451" s="678"/>
      <c r="U451" s="678"/>
      <c r="V451" s="678"/>
      <c r="W451" s="678"/>
      <c r="X451" s="678"/>
      <c r="Y451" s="678"/>
      <c r="Z451" s="678"/>
      <c r="AA451" s="678"/>
      <c r="AB451" s="678"/>
      <c r="AC451" s="678"/>
      <c r="AD451" s="678"/>
      <c r="AE451" s="678"/>
      <c r="AF451" s="678"/>
      <c r="AG451" s="678"/>
      <c r="AH451" s="678"/>
      <c r="AI451" s="678"/>
      <c r="AJ451" s="678"/>
      <c r="AK451" s="658"/>
    </row>
    <row r="452" spans="2:37" s="5" customFormat="1">
      <c r="B452" s="313"/>
      <c r="C452" s="835"/>
      <c r="D452" s="17" t="s">
        <v>4</v>
      </c>
      <c r="E452" s="67" t="s">
        <v>29</v>
      </c>
      <c r="F452" s="84">
        <f>E447/5*2</f>
        <v>20909.5</v>
      </c>
      <c r="G452" s="64">
        <f>$H$4</f>
        <v>0</v>
      </c>
      <c r="H452" s="64">
        <f>+G452*F452</f>
        <v>0</v>
      </c>
      <c r="I452" s="79"/>
      <c r="J452" s="52"/>
      <c r="K452" s="156"/>
      <c r="L452" s="383"/>
      <c r="M452" s="542"/>
      <c r="N452" s="578">
        <f t="shared" si="139"/>
        <v>0</v>
      </c>
      <c r="O452" s="678"/>
      <c r="P452" s="678"/>
      <c r="Q452" s="678"/>
      <c r="R452" s="678"/>
      <c r="S452" s="678"/>
      <c r="T452" s="678"/>
      <c r="U452" s="678"/>
      <c r="V452" s="678"/>
      <c r="W452" s="678"/>
      <c r="X452" s="678"/>
      <c r="Y452" s="678"/>
      <c r="Z452" s="678"/>
      <c r="AA452" s="678"/>
      <c r="AB452" s="678"/>
      <c r="AC452" s="678"/>
      <c r="AD452" s="678"/>
      <c r="AE452" s="678"/>
      <c r="AF452" s="678"/>
      <c r="AG452" s="678"/>
      <c r="AH452" s="678"/>
      <c r="AI452" s="678"/>
      <c r="AJ452" s="678"/>
      <c r="AK452" s="658"/>
    </row>
    <row r="453" spans="2:37" s="5" customFormat="1">
      <c r="B453" s="313"/>
      <c r="C453" s="835"/>
      <c r="D453" s="17" t="s">
        <v>5</v>
      </c>
      <c r="E453" s="81" t="s">
        <v>27</v>
      </c>
      <c r="F453" s="84">
        <f>E447</f>
        <v>52273.75</v>
      </c>
      <c r="G453" s="99">
        <v>0.6</v>
      </c>
      <c r="H453" s="64">
        <f>+G453*F453</f>
        <v>31364.25</v>
      </c>
      <c r="I453" s="79"/>
      <c r="J453" s="52"/>
      <c r="K453" s="156"/>
      <c r="L453" s="383"/>
      <c r="M453" s="542"/>
      <c r="N453" s="578">
        <f t="shared" si="139"/>
        <v>0</v>
      </c>
      <c r="O453" s="678"/>
      <c r="P453" s="678"/>
      <c r="Q453" s="678"/>
      <c r="R453" s="678"/>
      <c r="S453" s="678"/>
      <c r="T453" s="678"/>
      <c r="U453" s="678"/>
      <c r="V453" s="678"/>
      <c r="W453" s="678"/>
      <c r="X453" s="678"/>
      <c r="Y453" s="678"/>
      <c r="Z453" s="678"/>
      <c r="AA453" s="678"/>
      <c r="AB453" s="678"/>
      <c r="AC453" s="679">
        <f>+H453</f>
        <v>31364.25</v>
      </c>
      <c r="AD453" s="678"/>
      <c r="AE453" s="678"/>
      <c r="AF453" s="678"/>
      <c r="AG453" s="678"/>
      <c r="AH453" s="678"/>
      <c r="AI453" s="678"/>
      <c r="AJ453" s="678"/>
      <c r="AK453" s="658"/>
    </row>
    <row r="454" spans="2:37" s="5" customFormat="1">
      <c r="B454" s="313"/>
      <c r="C454" s="835"/>
      <c r="D454" s="17" t="s">
        <v>30</v>
      </c>
      <c r="E454" s="67" t="s">
        <v>16</v>
      </c>
      <c r="F454" s="101">
        <f>G448+G449+G453</f>
        <v>3.6</v>
      </c>
      <c r="G454" s="68" t="s">
        <v>31</v>
      </c>
      <c r="H454" s="64">
        <f>SUM(H448:H453)</f>
        <v>283080.17684659094</v>
      </c>
      <c r="I454" s="79"/>
      <c r="J454" s="52"/>
      <c r="K454" s="156"/>
      <c r="L454" s="383"/>
      <c r="M454" s="542"/>
      <c r="N454" s="578">
        <f t="shared" si="139"/>
        <v>-283080.17684659094</v>
      </c>
      <c r="O454" s="678"/>
      <c r="P454" s="678"/>
      <c r="Q454" s="678"/>
      <c r="R454" s="678"/>
      <c r="S454" s="678"/>
      <c r="T454" s="678"/>
      <c r="U454" s="678"/>
      <c r="V454" s="678"/>
      <c r="W454" s="678"/>
      <c r="X454" s="678"/>
      <c r="Y454" s="678"/>
      <c r="Z454" s="678"/>
      <c r="AA454" s="678"/>
      <c r="AB454" s="678"/>
      <c r="AC454" s="678"/>
      <c r="AD454" s="678"/>
      <c r="AE454" s="678"/>
      <c r="AF454" s="678"/>
      <c r="AG454" s="678"/>
      <c r="AH454" s="678"/>
      <c r="AI454" s="678"/>
      <c r="AJ454" s="678"/>
      <c r="AK454" s="658"/>
    </row>
    <row r="455" spans="2:37" s="5" customFormat="1">
      <c r="B455" s="313"/>
      <c r="C455" s="835"/>
      <c r="D455" s="19" t="s">
        <v>32</v>
      </c>
      <c r="E455" s="67" t="s">
        <v>16</v>
      </c>
      <c r="F455" s="84">
        <f>SUM(H448:H453)</f>
        <v>283080.17684659094</v>
      </c>
      <c r="G455" s="92">
        <f>$G$43</f>
        <v>8.3299999999999999E-2</v>
      </c>
      <c r="H455" s="64">
        <f>+G455*F455</f>
        <v>23580.578731321024</v>
      </c>
      <c r="I455" s="93"/>
      <c r="J455" s="52"/>
      <c r="K455" s="156"/>
      <c r="L455" s="383"/>
      <c r="M455" s="542"/>
      <c r="N455" s="578">
        <f t="shared" si="139"/>
        <v>0</v>
      </c>
      <c r="O455" s="679">
        <f t="shared" ref="O455:AC455" si="148">SUM(O446:O454)*$G$54</f>
        <v>0</v>
      </c>
      <c r="P455" s="679">
        <f t="shared" si="148"/>
        <v>0</v>
      </c>
      <c r="Q455" s="679">
        <f t="shared" si="148"/>
        <v>0</v>
      </c>
      <c r="R455" s="679">
        <f t="shared" si="148"/>
        <v>0</v>
      </c>
      <c r="S455" s="679">
        <f t="shared" si="148"/>
        <v>0</v>
      </c>
      <c r="T455" s="679">
        <f t="shared" si="148"/>
        <v>0</v>
      </c>
      <c r="U455" s="679">
        <f t="shared" si="148"/>
        <v>0</v>
      </c>
      <c r="V455" s="679">
        <f t="shared" si="148"/>
        <v>0</v>
      </c>
      <c r="W455" s="679">
        <f t="shared" si="148"/>
        <v>6989.3122354403404</v>
      </c>
      <c r="X455" s="679">
        <f t="shared" si="148"/>
        <v>0</v>
      </c>
      <c r="Y455" s="679">
        <f t="shared" si="148"/>
        <v>6989.3122354403404</v>
      </c>
      <c r="Z455" s="679">
        <f t="shared" si="148"/>
        <v>0</v>
      </c>
      <c r="AA455" s="679">
        <f t="shared" si="148"/>
        <v>6989.3122354403404</v>
      </c>
      <c r="AB455" s="679">
        <f t="shared" si="148"/>
        <v>0</v>
      </c>
      <c r="AC455" s="679">
        <f t="shared" si="148"/>
        <v>2612.6420250000001</v>
      </c>
      <c r="AD455" s="678"/>
      <c r="AE455" s="678"/>
      <c r="AF455" s="678"/>
      <c r="AG455" s="678"/>
      <c r="AH455" s="678"/>
      <c r="AI455" s="678"/>
      <c r="AJ455" s="678"/>
      <c r="AK455" s="658"/>
    </row>
    <row r="456" spans="2:37" s="5" customFormat="1">
      <c r="B456" s="313"/>
      <c r="C456" s="835"/>
      <c r="D456" s="19" t="s">
        <v>33</v>
      </c>
      <c r="E456" s="84">
        <f>F455/(5*F454)</f>
        <v>15726.676491477274</v>
      </c>
      <c r="F456" s="84">
        <f>E456*(F454*7)</f>
        <v>396312.24758522731</v>
      </c>
      <c r="G456" s="95">
        <f>$G$44</f>
        <v>20</v>
      </c>
      <c r="H456" s="64">
        <f>F456/G456</f>
        <v>19815.612379261365</v>
      </c>
      <c r="I456" s="72">
        <f>SUM(H454:H456)</f>
        <v>326476.36795717332</v>
      </c>
      <c r="J456" s="52">
        <f>SUM(G448:G456)</f>
        <v>26.683299999999999</v>
      </c>
      <c r="K456" s="156"/>
      <c r="L456" s="383"/>
      <c r="M456" s="542"/>
      <c r="N456" s="578">
        <f t="shared" si="139"/>
        <v>0</v>
      </c>
      <c r="O456" s="678"/>
      <c r="P456" s="678"/>
      <c r="Q456" s="678"/>
      <c r="R456" s="678"/>
      <c r="S456" s="678"/>
      <c r="T456" s="678"/>
      <c r="U456" s="678"/>
      <c r="V456" s="678"/>
      <c r="W456" s="678"/>
      <c r="X456" s="678"/>
      <c r="Y456" s="678"/>
      <c r="Z456" s="678"/>
      <c r="AA456" s="678"/>
      <c r="AB456" s="678">
        <f>+H456</f>
        <v>19815.612379261365</v>
      </c>
      <c r="AC456" s="678"/>
      <c r="AD456" s="678"/>
      <c r="AE456" s="678"/>
      <c r="AF456" s="678"/>
      <c r="AG456" s="678"/>
      <c r="AH456" s="678"/>
      <c r="AI456" s="678"/>
      <c r="AJ456" s="678"/>
      <c r="AK456" s="658"/>
    </row>
    <row r="457" spans="2:37" s="5" customFormat="1">
      <c r="B457" s="313"/>
      <c r="C457" s="835"/>
      <c r="D457" s="96"/>
      <c r="E457" s="100"/>
      <c r="F457" s="74"/>
      <c r="G457" s="97"/>
      <c r="H457" s="78"/>
      <c r="I457" s="79"/>
      <c r="J457" s="52"/>
      <c r="K457" s="156"/>
      <c r="L457" s="383"/>
      <c r="M457" s="542"/>
      <c r="N457" s="578">
        <f t="shared" si="139"/>
        <v>0</v>
      </c>
      <c r="O457" s="678"/>
      <c r="P457" s="678"/>
      <c r="Q457" s="678"/>
      <c r="R457" s="678"/>
      <c r="S457" s="678"/>
      <c r="T457" s="678"/>
      <c r="U457" s="678"/>
      <c r="V457" s="678"/>
      <c r="W457" s="678"/>
      <c r="X457" s="678"/>
      <c r="Y457" s="678"/>
      <c r="Z457" s="678"/>
      <c r="AA457" s="678"/>
      <c r="AB457" s="678"/>
      <c r="AC457" s="678"/>
      <c r="AD457" s="678"/>
      <c r="AE457" s="678"/>
      <c r="AF457" s="678"/>
      <c r="AG457" s="678"/>
      <c r="AH457" s="678"/>
      <c r="AI457" s="678"/>
      <c r="AJ457" s="678"/>
      <c r="AK457" s="658"/>
    </row>
    <row r="458" spans="2:37" s="5" customFormat="1" ht="15" customHeight="1">
      <c r="B458" s="317">
        <v>38</v>
      </c>
      <c r="C458" s="835" t="s">
        <v>900</v>
      </c>
      <c r="D458" s="80" t="s">
        <v>66</v>
      </c>
      <c r="E458" s="81"/>
      <c r="F458" s="74"/>
      <c r="G458" s="75"/>
      <c r="H458" s="82"/>
      <c r="I458" s="83"/>
      <c r="J458" s="52"/>
      <c r="K458" s="156"/>
      <c r="L458" s="383"/>
      <c r="M458" s="542"/>
      <c r="N458" s="578">
        <f t="shared" si="139"/>
        <v>0</v>
      </c>
      <c r="O458" s="678"/>
      <c r="P458" s="678"/>
      <c r="Q458" s="678"/>
      <c r="R458" s="678"/>
      <c r="S458" s="678"/>
      <c r="T458" s="678"/>
      <c r="U458" s="678"/>
      <c r="V458" s="678"/>
      <c r="W458" s="678"/>
      <c r="X458" s="678"/>
      <c r="Y458" s="678"/>
      <c r="Z458" s="678"/>
      <c r="AA458" s="678"/>
      <c r="AB458" s="678"/>
      <c r="AC458" s="678"/>
      <c r="AD458" s="678"/>
      <c r="AE458" s="678"/>
      <c r="AF458" s="678"/>
      <c r="AG458" s="678"/>
      <c r="AH458" s="678"/>
      <c r="AI458" s="678"/>
      <c r="AJ458" s="678"/>
      <c r="AK458" s="658"/>
    </row>
    <row r="459" spans="2:37" s="5" customFormat="1">
      <c r="B459" s="313"/>
      <c r="C459" s="835"/>
      <c r="D459" s="17" t="s">
        <v>0</v>
      </c>
      <c r="E459" s="81" t="s">
        <v>27</v>
      </c>
      <c r="F459" s="84">
        <f>E458</f>
        <v>0</v>
      </c>
      <c r="G459" s="64">
        <v>1</v>
      </c>
      <c r="H459" s="64">
        <f>+G459*F459</f>
        <v>0</v>
      </c>
      <c r="I459" s="79"/>
      <c r="J459" s="52"/>
      <c r="K459" s="156"/>
      <c r="L459" s="383"/>
      <c r="M459" s="542"/>
      <c r="N459" s="578">
        <f t="shared" si="139"/>
        <v>0</v>
      </c>
      <c r="O459" s="678">
        <f>+H459/G459</f>
        <v>0</v>
      </c>
      <c r="P459" s="678">
        <f t="shared" ref="P459" si="149">+O459</f>
        <v>0</v>
      </c>
      <c r="Q459" s="678">
        <f>+H459/G459</f>
        <v>0</v>
      </c>
      <c r="R459" s="678">
        <f>+H459/G459</f>
        <v>0</v>
      </c>
      <c r="S459" s="678">
        <f>+H459/G459</f>
        <v>0</v>
      </c>
      <c r="T459" s="678">
        <f>+H459/G459</f>
        <v>0</v>
      </c>
      <c r="U459" s="678">
        <f>+H459/G459</f>
        <v>0</v>
      </c>
      <c r="V459" s="678">
        <f>+H459/G459</f>
        <v>0</v>
      </c>
      <c r="W459" s="678"/>
      <c r="X459" s="678"/>
      <c r="Y459" s="678"/>
      <c r="Z459" s="678"/>
      <c r="AA459" s="678"/>
      <c r="AB459" s="678"/>
      <c r="AC459" s="678"/>
      <c r="AD459" s="678"/>
      <c r="AE459" s="678"/>
      <c r="AF459" s="678"/>
      <c r="AG459" s="678"/>
      <c r="AH459" s="678"/>
      <c r="AI459" s="678"/>
      <c r="AJ459" s="678"/>
      <c r="AK459" s="658"/>
    </row>
    <row r="460" spans="2:37" s="5" customFormat="1">
      <c r="B460" s="313"/>
      <c r="C460" s="835"/>
      <c r="D460" s="17" t="s">
        <v>3</v>
      </c>
      <c r="E460" s="81" t="s">
        <v>27</v>
      </c>
      <c r="F460" s="84">
        <f>E458</f>
        <v>0</v>
      </c>
      <c r="G460" s="64">
        <v>6</v>
      </c>
      <c r="H460" s="64">
        <f>+G460*F460</f>
        <v>0</v>
      </c>
      <c r="I460" s="79"/>
      <c r="J460" s="52"/>
      <c r="K460" s="156"/>
      <c r="L460" s="383"/>
      <c r="M460" s="542"/>
      <c r="N460" s="578">
        <f t="shared" si="139"/>
        <v>0</v>
      </c>
      <c r="O460" s="678"/>
      <c r="P460" s="678"/>
      <c r="Q460" s="678"/>
      <c r="R460" s="678"/>
      <c r="S460" s="678"/>
      <c r="T460" s="678"/>
      <c r="U460" s="678"/>
      <c r="V460" s="678"/>
      <c r="W460" s="678">
        <f>+H460/G460</f>
        <v>0</v>
      </c>
      <c r="X460" s="678">
        <f>+H460/G460</f>
        <v>0</v>
      </c>
      <c r="Y460" s="678">
        <f>+H460/G460</f>
        <v>0</v>
      </c>
      <c r="Z460" s="678">
        <f>+H460/G460</f>
        <v>0</v>
      </c>
      <c r="AA460" s="678">
        <f>+H460/G460</f>
        <v>0</v>
      </c>
      <c r="AB460" s="678">
        <f>+H460/G460</f>
        <v>0</v>
      </c>
      <c r="AC460" s="678"/>
      <c r="AD460" s="678"/>
      <c r="AE460" s="678"/>
      <c r="AF460" s="678"/>
      <c r="AG460" s="678"/>
      <c r="AH460" s="678"/>
      <c r="AI460" s="678"/>
      <c r="AJ460" s="678"/>
      <c r="AK460" s="658"/>
    </row>
    <row r="461" spans="2:37" s="5" customFormat="1">
      <c r="B461" s="313"/>
      <c r="C461" s="835"/>
      <c r="D461" s="17" t="s">
        <v>28</v>
      </c>
      <c r="E461" s="67">
        <f>$H$5+3</f>
        <v>16.25</v>
      </c>
      <c r="F461" s="84">
        <f>E458/44*1.5</f>
        <v>0</v>
      </c>
      <c r="G461" s="87">
        <v>6</v>
      </c>
      <c r="H461" s="64">
        <f>+G461*F461*E461</f>
        <v>0</v>
      </c>
      <c r="I461" s="79"/>
      <c r="J461" s="52"/>
      <c r="K461" s="156"/>
      <c r="L461" s="383"/>
      <c r="M461" s="542"/>
      <c r="N461" s="578">
        <f t="shared" si="139"/>
        <v>0</v>
      </c>
      <c r="O461" s="678"/>
      <c r="P461" s="678"/>
      <c r="Q461" s="678"/>
      <c r="R461" s="678"/>
      <c r="S461" s="678"/>
      <c r="T461" s="678"/>
      <c r="U461" s="678"/>
      <c r="V461" s="678"/>
      <c r="W461" s="678">
        <f>+H461/G461</f>
        <v>0</v>
      </c>
      <c r="X461" s="678">
        <f t="shared" ref="X461:AB461" si="150">+W461</f>
        <v>0</v>
      </c>
      <c r="Y461" s="678">
        <f t="shared" si="150"/>
        <v>0</v>
      </c>
      <c r="Z461" s="678">
        <f t="shared" si="150"/>
        <v>0</v>
      </c>
      <c r="AA461" s="678">
        <f t="shared" si="150"/>
        <v>0</v>
      </c>
      <c r="AB461" s="678">
        <f t="shared" si="150"/>
        <v>0</v>
      </c>
      <c r="AC461" s="678"/>
      <c r="AD461" s="678"/>
      <c r="AE461" s="678"/>
      <c r="AF461" s="678"/>
      <c r="AG461" s="678"/>
      <c r="AH461" s="678"/>
      <c r="AI461" s="678"/>
      <c r="AJ461" s="678"/>
      <c r="AK461" s="658"/>
    </row>
    <row r="462" spans="2:37" s="5" customFormat="1">
      <c r="B462" s="313"/>
      <c r="C462" s="835"/>
      <c r="D462" s="17" t="s">
        <v>1</v>
      </c>
      <c r="E462" s="67" t="s">
        <v>29</v>
      </c>
      <c r="F462" s="84">
        <f>E458/5*1.5</f>
        <v>0</v>
      </c>
      <c r="G462" s="64">
        <f>$H$3</f>
        <v>0</v>
      </c>
      <c r="H462" s="64">
        <f>+G462*F462</f>
        <v>0</v>
      </c>
      <c r="I462" s="79"/>
      <c r="J462" s="52"/>
      <c r="K462" s="156"/>
      <c r="L462" s="383"/>
      <c r="M462" s="542"/>
      <c r="N462" s="578">
        <f t="shared" si="139"/>
        <v>0</v>
      </c>
      <c r="O462" s="678"/>
      <c r="P462" s="678"/>
      <c r="Q462" s="678"/>
      <c r="R462" s="678"/>
      <c r="S462" s="678"/>
      <c r="T462" s="678"/>
      <c r="U462" s="678"/>
      <c r="V462" s="678"/>
      <c r="W462" s="678"/>
      <c r="X462" s="678"/>
      <c r="Y462" s="678"/>
      <c r="Z462" s="678"/>
      <c r="AA462" s="678"/>
      <c r="AB462" s="678"/>
      <c r="AC462" s="678"/>
      <c r="AD462" s="678"/>
      <c r="AE462" s="678"/>
      <c r="AF462" s="678"/>
      <c r="AG462" s="678"/>
      <c r="AH462" s="678"/>
      <c r="AI462" s="678"/>
      <c r="AJ462" s="678"/>
      <c r="AK462" s="658"/>
    </row>
    <row r="463" spans="2:37" s="5" customFormat="1">
      <c r="B463" s="313"/>
      <c r="C463" s="835"/>
      <c r="D463" s="17" t="s">
        <v>4</v>
      </c>
      <c r="E463" s="67" t="s">
        <v>29</v>
      </c>
      <c r="F463" s="84">
        <f>E458/5*2</f>
        <v>0</v>
      </c>
      <c r="G463" s="64">
        <f>$H$4</f>
        <v>0</v>
      </c>
      <c r="H463" s="64">
        <f>+G463*F463</f>
        <v>0</v>
      </c>
      <c r="I463" s="79"/>
      <c r="J463" s="52"/>
      <c r="K463" s="156"/>
      <c r="L463" s="383"/>
      <c r="M463" s="542"/>
      <c r="N463" s="578">
        <f t="shared" si="139"/>
        <v>0</v>
      </c>
      <c r="O463" s="678"/>
      <c r="P463" s="678"/>
      <c r="Q463" s="678"/>
      <c r="R463" s="678"/>
      <c r="S463" s="678"/>
      <c r="T463" s="678"/>
      <c r="U463" s="678"/>
      <c r="V463" s="678"/>
      <c r="W463" s="678"/>
      <c r="X463" s="678"/>
      <c r="Y463" s="678"/>
      <c r="Z463" s="678"/>
      <c r="AA463" s="678"/>
      <c r="AB463" s="678"/>
      <c r="AC463" s="678"/>
      <c r="AD463" s="678"/>
      <c r="AE463" s="678"/>
      <c r="AF463" s="678"/>
      <c r="AG463" s="678"/>
      <c r="AH463" s="678"/>
      <c r="AI463" s="678"/>
      <c r="AJ463" s="678"/>
      <c r="AK463" s="658"/>
    </row>
    <row r="464" spans="2:37" s="5" customFormat="1">
      <c r="B464" s="313"/>
      <c r="C464" s="835"/>
      <c r="D464" s="17" t="s">
        <v>5</v>
      </c>
      <c r="E464" s="81" t="s">
        <v>27</v>
      </c>
      <c r="F464" s="84">
        <f>E458</f>
        <v>0</v>
      </c>
      <c r="G464" s="64">
        <v>0</v>
      </c>
      <c r="H464" s="64">
        <f>+G464*F464</f>
        <v>0</v>
      </c>
      <c r="I464" s="79"/>
      <c r="J464" s="52"/>
      <c r="K464" s="156"/>
      <c r="L464" s="383"/>
      <c r="M464" s="542"/>
      <c r="N464" s="578">
        <f t="shared" si="139"/>
        <v>0</v>
      </c>
      <c r="O464" s="678"/>
      <c r="P464" s="678"/>
      <c r="Q464" s="678"/>
      <c r="R464" s="678"/>
      <c r="S464" s="678"/>
      <c r="T464" s="678"/>
      <c r="U464" s="678"/>
      <c r="V464" s="678"/>
      <c r="W464" s="678"/>
      <c r="X464" s="678"/>
      <c r="Y464" s="678"/>
      <c r="Z464" s="678"/>
      <c r="AA464" s="678"/>
      <c r="AB464" s="678"/>
      <c r="AC464" s="679">
        <f>+H464</f>
        <v>0</v>
      </c>
      <c r="AD464" s="678"/>
      <c r="AE464" s="678"/>
      <c r="AF464" s="678"/>
      <c r="AG464" s="678"/>
      <c r="AH464" s="678"/>
      <c r="AI464" s="678"/>
      <c r="AJ464" s="678"/>
      <c r="AK464" s="658"/>
    </row>
    <row r="465" spans="2:37" s="5" customFormat="1">
      <c r="B465" s="313"/>
      <c r="C465" s="835"/>
      <c r="D465" s="17" t="s">
        <v>30</v>
      </c>
      <c r="E465" s="67" t="s">
        <v>16</v>
      </c>
      <c r="F465" s="101">
        <f>G459+G460+G464</f>
        <v>7</v>
      </c>
      <c r="G465" s="68" t="s">
        <v>31</v>
      </c>
      <c r="H465" s="64">
        <f>SUM(H459:H464)</f>
        <v>0</v>
      </c>
      <c r="I465" s="79"/>
      <c r="J465" s="52"/>
      <c r="K465" s="156"/>
      <c r="L465" s="383"/>
      <c r="M465" s="542"/>
      <c r="N465" s="578">
        <f t="shared" si="139"/>
        <v>0</v>
      </c>
      <c r="O465" s="678"/>
      <c r="P465" s="678"/>
      <c r="Q465" s="678"/>
      <c r="R465" s="678"/>
      <c r="S465" s="678"/>
      <c r="T465" s="678"/>
      <c r="U465" s="678"/>
      <c r="V465" s="678"/>
      <c r="W465" s="678"/>
      <c r="X465" s="678"/>
      <c r="Y465" s="678"/>
      <c r="Z465" s="678"/>
      <c r="AA465" s="678"/>
      <c r="AB465" s="678"/>
      <c r="AC465" s="678"/>
      <c r="AD465" s="678"/>
      <c r="AE465" s="678"/>
      <c r="AF465" s="678"/>
      <c r="AG465" s="678"/>
      <c r="AH465" s="678"/>
      <c r="AI465" s="678"/>
      <c r="AJ465" s="678"/>
      <c r="AK465" s="658"/>
    </row>
    <row r="466" spans="2:37" s="5" customFormat="1">
      <c r="B466" s="313"/>
      <c r="C466" s="835"/>
      <c r="D466" s="19" t="s">
        <v>32</v>
      </c>
      <c r="E466" s="67" t="s">
        <v>16</v>
      </c>
      <c r="F466" s="84">
        <f>SUM(H459:H464)</f>
        <v>0</v>
      </c>
      <c r="G466" s="92">
        <f>$G$43</f>
        <v>8.3299999999999999E-2</v>
      </c>
      <c r="H466" s="64">
        <f>+G466*F466</f>
        <v>0</v>
      </c>
      <c r="I466" s="93"/>
      <c r="J466" s="52"/>
      <c r="K466" s="156"/>
      <c r="L466" s="383"/>
      <c r="M466" s="542"/>
      <c r="N466" s="578">
        <f t="shared" si="139"/>
        <v>0</v>
      </c>
      <c r="O466" s="679">
        <f t="shared" ref="O466:AC466" si="151">SUM(O457:O465)*$G$54</f>
        <v>0</v>
      </c>
      <c r="P466" s="679">
        <f t="shared" si="151"/>
        <v>0</v>
      </c>
      <c r="Q466" s="679">
        <f t="shared" si="151"/>
        <v>0</v>
      </c>
      <c r="R466" s="679">
        <f t="shared" si="151"/>
        <v>0</v>
      </c>
      <c r="S466" s="679">
        <f t="shared" si="151"/>
        <v>0</v>
      </c>
      <c r="T466" s="679">
        <f t="shared" si="151"/>
        <v>0</v>
      </c>
      <c r="U466" s="679">
        <f t="shared" si="151"/>
        <v>0</v>
      </c>
      <c r="V466" s="679">
        <f t="shared" si="151"/>
        <v>0</v>
      </c>
      <c r="W466" s="679">
        <f t="shared" si="151"/>
        <v>0</v>
      </c>
      <c r="X466" s="679">
        <f t="shared" si="151"/>
        <v>0</v>
      </c>
      <c r="Y466" s="679">
        <f t="shared" si="151"/>
        <v>0</v>
      </c>
      <c r="Z466" s="679">
        <f t="shared" si="151"/>
        <v>0</v>
      </c>
      <c r="AA466" s="679">
        <f t="shared" si="151"/>
        <v>0</v>
      </c>
      <c r="AB466" s="679">
        <f t="shared" si="151"/>
        <v>0</v>
      </c>
      <c r="AC466" s="679">
        <f t="shared" si="151"/>
        <v>0</v>
      </c>
      <c r="AD466" s="678"/>
      <c r="AE466" s="678"/>
      <c r="AF466" s="678"/>
      <c r="AG466" s="678"/>
      <c r="AH466" s="678"/>
      <c r="AI466" s="678"/>
      <c r="AJ466" s="678"/>
      <c r="AK466" s="658"/>
    </row>
    <row r="467" spans="2:37" s="5" customFormat="1">
      <c r="B467" s="313"/>
      <c r="C467" s="835"/>
      <c r="D467" s="19" t="s">
        <v>33</v>
      </c>
      <c r="E467" s="84">
        <f>F466/(5*F465)</f>
        <v>0</v>
      </c>
      <c r="F467" s="84">
        <f>E467*(F465*7)</f>
        <v>0</v>
      </c>
      <c r="G467" s="95">
        <f>$G$44</f>
        <v>20</v>
      </c>
      <c r="H467" s="64">
        <f>F467/G467</f>
        <v>0</v>
      </c>
      <c r="I467" s="72">
        <f>SUM(H465:H467)</f>
        <v>0</v>
      </c>
      <c r="J467" s="52">
        <f>SUM(G459:G467)</f>
        <v>33.083300000000001</v>
      </c>
      <c r="K467" s="156"/>
      <c r="L467" s="383"/>
      <c r="M467" s="542"/>
      <c r="N467" s="578">
        <f t="shared" si="139"/>
        <v>0</v>
      </c>
      <c r="O467" s="678"/>
      <c r="P467" s="678"/>
      <c r="Q467" s="678"/>
      <c r="R467" s="678"/>
      <c r="S467" s="678"/>
      <c r="T467" s="678"/>
      <c r="U467" s="678"/>
      <c r="V467" s="678"/>
      <c r="W467" s="678"/>
      <c r="X467" s="678"/>
      <c r="Y467" s="678"/>
      <c r="Z467" s="678"/>
      <c r="AA467" s="678"/>
      <c r="AB467" s="678">
        <f>+H467</f>
        <v>0</v>
      </c>
      <c r="AC467" s="678"/>
      <c r="AD467" s="678"/>
      <c r="AE467" s="678"/>
      <c r="AF467" s="678"/>
      <c r="AG467" s="678"/>
      <c r="AH467" s="678"/>
      <c r="AI467" s="678"/>
      <c r="AJ467" s="678"/>
      <c r="AK467" s="658"/>
    </row>
    <row r="468" spans="2:37" s="5" customFormat="1">
      <c r="B468" s="313"/>
      <c r="C468" s="835"/>
      <c r="D468" s="96"/>
      <c r="E468" s="100"/>
      <c r="F468" s="74"/>
      <c r="G468" s="97"/>
      <c r="H468" s="78"/>
      <c r="I468" s="79"/>
      <c r="J468" s="52"/>
      <c r="K468" s="156"/>
      <c r="L468" s="383"/>
      <c r="M468" s="542"/>
      <c r="N468" s="578">
        <f t="shared" si="139"/>
        <v>0</v>
      </c>
      <c r="O468" s="678"/>
      <c r="P468" s="678"/>
      <c r="Q468" s="678"/>
      <c r="R468" s="678"/>
      <c r="S468" s="678"/>
      <c r="T468" s="678"/>
      <c r="U468" s="678"/>
      <c r="V468" s="678"/>
      <c r="W468" s="678"/>
      <c r="X468" s="678"/>
      <c r="Y468" s="678"/>
      <c r="Z468" s="678"/>
      <c r="AA468" s="678"/>
      <c r="AB468" s="678"/>
      <c r="AC468" s="678"/>
      <c r="AD468" s="678"/>
      <c r="AE468" s="678"/>
      <c r="AF468" s="678"/>
      <c r="AG468" s="678"/>
      <c r="AH468" s="678"/>
      <c r="AI468" s="678"/>
      <c r="AJ468" s="678"/>
      <c r="AK468" s="658"/>
    </row>
    <row r="469" spans="2:37" s="5" customFormat="1" ht="15" customHeight="1">
      <c r="B469" s="317">
        <v>39</v>
      </c>
      <c r="C469" s="835" t="s">
        <v>901</v>
      </c>
      <c r="D469" s="80" t="s">
        <v>67</v>
      </c>
      <c r="E469" s="81">
        <v>52273.75</v>
      </c>
      <c r="F469" s="74"/>
      <c r="G469" s="75"/>
      <c r="H469" s="82"/>
      <c r="I469" s="83"/>
      <c r="J469" s="52"/>
      <c r="K469" s="156"/>
      <c r="L469" s="383"/>
      <c r="M469" s="542"/>
      <c r="N469" s="578">
        <f t="shared" si="139"/>
        <v>0</v>
      </c>
      <c r="O469" s="678"/>
      <c r="P469" s="678"/>
      <c r="Q469" s="678"/>
      <c r="R469" s="678"/>
      <c r="S469" s="678"/>
      <c r="T469" s="678"/>
      <c r="U469" s="678"/>
      <c r="V469" s="678"/>
      <c r="W469" s="678"/>
      <c r="X469" s="678"/>
      <c r="Y469" s="678"/>
      <c r="Z469" s="678"/>
      <c r="AA469" s="678"/>
      <c r="AB469" s="678"/>
      <c r="AC469" s="678"/>
      <c r="AD469" s="678"/>
      <c r="AE469" s="678"/>
      <c r="AF469" s="678"/>
      <c r="AG469" s="678"/>
      <c r="AH469" s="678"/>
      <c r="AI469" s="678"/>
      <c r="AJ469" s="678"/>
      <c r="AK469" s="658"/>
    </row>
    <row r="470" spans="2:37" s="5" customFormat="1">
      <c r="B470" s="313"/>
      <c r="C470" s="835"/>
      <c r="D470" s="17" t="s">
        <v>0</v>
      </c>
      <c r="E470" s="81" t="s">
        <v>27</v>
      </c>
      <c r="F470" s="84">
        <f>E469</f>
        <v>52273.75</v>
      </c>
      <c r="G470" s="64">
        <v>1</v>
      </c>
      <c r="H470" s="64">
        <f>+G470*F470</f>
        <v>52273.75</v>
      </c>
      <c r="I470" s="79"/>
      <c r="J470" s="52"/>
      <c r="K470" s="156"/>
      <c r="L470" s="383"/>
      <c r="M470" s="542"/>
      <c r="N470" s="578">
        <f t="shared" si="139"/>
        <v>0</v>
      </c>
      <c r="O470" s="678"/>
      <c r="P470" s="678"/>
      <c r="Q470" s="678"/>
      <c r="R470" s="678"/>
      <c r="S470" s="678"/>
      <c r="T470" s="678"/>
      <c r="U470" s="678"/>
      <c r="V470" s="678">
        <f>+H470/G470</f>
        <v>52273.75</v>
      </c>
      <c r="W470" s="678"/>
      <c r="X470" s="678"/>
      <c r="Y470" s="678"/>
      <c r="Z470" s="678"/>
      <c r="AA470" s="678"/>
      <c r="AB470" s="678"/>
      <c r="AC470" s="678"/>
      <c r="AD470" s="678"/>
      <c r="AE470" s="678"/>
      <c r="AF470" s="678"/>
      <c r="AG470" s="678"/>
      <c r="AH470" s="678"/>
      <c r="AI470" s="678"/>
      <c r="AJ470" s="678"/>
      <c r="AK470" s="658"/>
    </row>
    <row r="471" spans="2:37" s="5" customFormat="1">
      <c r="B471" s="313"/>
      <c r="C471" s="835"/>
      <c r="D471" s="17" t="s">
        <v>3</v>
      </c>
      <c r="E471" s="81" t="s">
        <v>27</v>
      </c>
      <c r="F471" s="84">
        <f>E469</f>
        <v>52273.75</v>
      </c>
      <c r="G471" s="64">
        <v>6</v>
      </c>
      <c r="H471" s="64">
        <f>+G471*F471</f>
        <v>313642.5</v>
      </c>
      <c r="I471" s="79"/>
      <c r="J471" s="52"/>
      <c r="K471" s="156"/>
      <c r="L471" s="383"/>
      <c r="M471" s="542"/>
      <c r="N471" s="578">
        <f t="shared" si="139"/>
        <v>0</v>
      </c>
      <c r="O471" s="678"/>
      <c r="P471" s="678"/>
      <c r="Q471" s="678"/>
      <c r="R471" s="678"/>
      <c r="S471" s="678"/>
      <c r="T471" s="678"/>
      <c r="U471" s="678"/>
      <c r="V471" s="678"/>
      <c r="W471" s="678">
        <f>+H471/G471</f>
        <v>52273.75</v>
      </c>
      <c r="X471" s="678">
        <f>+H471/G471</f>
        <v>52273.75</v>
      </c>
      <c r="Y471" s="678">
        <f>+H471/G471</f>
        <v>52273.75</v>
      </c>
      <c r="Z471" s="678">
        <f>+H471/G471</f>
        <v>52273.75</v>
      </c>
      <c r="AA471" s="678">
        <f>+H471/G471</f>
        <v>52273.75</v>
      </c>
      <c r="AB471" s="678">
        <f>+H471/G471</f>
        <v>52273.75</v>
      </c>
      <c r="AC471" s="678"/>
      <c r="AD471" s="678"/>
      <c r="AE471" s="678"/>
      <c r="AF471" s="678"/>
      <c r="AG471" s="678"/>
      <c r="AH471" s="678"/>
      <c r="AI471" s="678"/>
      <c r="AJ471" s="678"/>
      <c r="AK471" s="658"/>
    </row>
    <row r="472" spans="2:37" s="5" customFormat="1">
      <c r="B472" s="313"/>
      <c r="C472" s="835"/>
      <c r="D472" s="17" t="s">
        <v>28</v>
      </c>
      <c r="E472" s="88">
        <f>$H$5+2+2</f>
        <v>17.25</v>
      </c>
      <c r="F472" s="84">
        <f>E469/44*1.5</f>
        <v>1782.059659090909</v>
      </c>
      <c r="G472" s="87">
        <v>6</v>
      </c>
      <c r="H472" s="64">
        <f>+G472*F472*E472</f>
        <v>184443.17471590909</v>
      </c>
      <c r="I472" s="79"/>
      <c r="J472" s="52"/>
      <c r="K472" s="156"/>
      <c r="L472" s="383"/>
      <c r="M472" s="542"/>
      <c r="N472" s="578">
        <f t="shared" ref="N472:N535" si="152">SUM(O472:AL472)-H472</f>
        <v>0</v>
      </c>
      <c r="O472" s="678"/>
      <c r="P472" s="678"/>
      <c r="Q472" s="678"/>
      <c r="R472" s="678"/>
      <c r="S472" s="678"/>
      <c r="T472" s="678"/>
      <c r="U472" s="678"/>
      <c r="V472" s="678"/>
      <c r="W472" s="678">
        <f>+H472/G472</f>
        <v>30740.52911931818</v>
      </c>
      <c r="X472" s="678">
        <f t="shared" ref="X472:AB472" si="153">+W472</f>
        <v>30740.52911931818</v>
      </c>
      <c r="Y472" s="678">
        <f t="shared" si="153"/>
        <v>30740.52911931818</v>
      </c>
      <c r="Z472" s="678">
        <f t="shared" si="153"/>
        <v>30740.52911931818</v>
      </c>
      <c r="AA472" s="678">
        <f t="shared" si="153"/>
        <v>30740.52911931818</v>
      </c>
      <c r="AB472" s="678">
        <f t="shared" si="153"/>
        <v>30740.52911931818</v>
      </c>
      <c r="AC472" s="678"/>
      <c r="AD472" s="678"/>
      <c r="AE472" s="678"/>
      <c r="AF472" s="678"/>
      <c r="AG472" s="678"/>
      <c r="AH472" s="678"/>
      <c r="AI472" s="678"/>
      <c r="AJ472" s="678"/>
      <c r="AK472" s="658"/>
    </row>
    <row r="473" spans="2:37" s="5" customFormat="1">
      <c r="B473" s="313"/>
      <c r="C473" s="835"/>
      <c r="D473" s="17" t="s">
        <v>1</v>
      </c>
      <c r="E473" s="67" t="s">
        <v>29</v>
      </c>
      <c r="F473" s="84">
        <f>E469/5*1.5</f>
        <v>15682.125</v>
      </c>
      <c r="G473" s="64">
        <f>$H$3</f>
        <v>0</v>
      </c>
      <c r="H473" s="64">
        <f>+G473*F473</f>
        <v>0</v>
      </c>
      <c r="I473" s="79"/>
      <c r="J473" s="52"/>
      <c r="K473" s="156"/>
      <c r="L473" s="383"/>
      <c r="M473" s="542"/>
      <c r="N473" s="578">
        <f t="shared" si="152"/>
        <v>0</v>
      </c>
      <c r="O473" s="678"/>
      <c r="P473" s="678"/>
      <c r="Q473" s="678"/>
      <c r="R473" s="678"/>
      <c r="S473" s="678"/>
      <c r="T473" s="678"/>
      <c r="U473" s="678"/>
      <c r="V473" s="678"/>
      <c r="W473" s="678"/>
      <c r="X473" s="678"/>
      <c r="Y473" s="678"/>
      <c r="Z473" s="678"/>
      <c r="AA473" s="678"/>
      <c r="AB473" s="678"/>
      <c r="AC473" s="678"/>
      <c r="AD473" s="678"/>
      <c r="AE473" s="678"/>
      <c r="AF473" s="678"/>
      <c r="AG473" s="678"/>
      <c r="AH473" s="678"/>
      <c r="AI473" s="678"/>
      <c r="AJ473" s="678"/>
      <c r="AK473" s="658"/>
    </row>
    <row r="474" spans="2:37" s="5" customFormat="1">
      <c r="B474" s="313"/>
      <c r="C474" s="835"/>
      <c r="D474" s="17" t="s">
        <v>4</v>
      </c>
      <c r="E474" s="67" t="s">
        <v>29</v>
      </c>
      <c r="F474" s="84">
        <f>E469/5*2</f>
        <v>20909.5</v>
      </c>
      <c r="G474" s="64">
        <f>$H$4</f>
        <v>0</v>
      </c>
      <c r="H474" s="64">
        <f>+G474*F474</f>
        <v>0</v>
      </c>
      <c r="I474" s="79"/>
      <c r="J474" s="52"/>
      <c r="K474" s="156"/>
      <c r="L474" s="383"/>
      <c r="M474" s="542"/>
      <c r="N474" s="578">
        <f t="shared" si="152"/>
        <v>0</v>
      </c>
      <c r="O474" s="678"/>
      <c r="P474" s="678"/>
      <c r="Q474" s="678"/>
      <c r="R474" s="678"/>
      <c r="S474" s="678"/>
      <c r="T474" s="678"/>
      <c r="U474" s="678"/>
      <c r="V474" s="678"/>
      <c r="W474" s="678"/>
      <c r="X474" s="678"/>
      <c r="Y474" s="678"/>
      <c r="Z474" s="678"/>
      <c r="AA474" s="678"/>
      <c r="AB474" s="678"/>
      <c r="AC474" s="678"/>
      <c r="AD474" s="678"/>
      <c r="AE474" s="678"/>
      <c r="AF474" s="678"/>
      <c r="AG474" s="678"/>
      <c r="AH474" s="678"/>
      <c r="AI474" s="678"/>
      <c r="AJ474" s="678"/>
      <c r="AK474" s="658"/>
    </row>
    <row r="475" spans="2:37" s="5" customFormat="1">
      <c r="B475" s="313"/>
      <c r="C475" s="835"/>
      <c r="D475" s="17" t="s">
        <v>5</v>
      </c>
      <c r="E475" s="81" t="s">
        <v>27</v>
      </c>
      <c r="F475" s="84">
        <f>E469</f>
        <v>52273.75</v>
      </c>
      <c r="G475" s="64">
        <f>$F$5-$F$5</f>
        <v>0</v>
      </c>
      <c r="H475" s="64">
        <f>+G475*F475</f>
        <v>0</v>
      </c>
      <c r="I475" s="79"/>
      <c r="J475" s="52"/>
      <c r="K475" s="156"/>
      <c r="L475" s="383"/>
      <c r="M475" s="542"/>
      <c r="N475" s="578">
        <f t="shared" si="152"/>
        <v>0</v>
      </c>
      <c r="O475" s="678"/>
      <c r="P475" s="678"/>
      <c r="Q475" s="678"/>
      <c r="R475" s="678"/>
      <c r="S475" s="678"/>
      <c r="T475" s="678"/>
      <c r="U475" s="678"/>
      <c r="V475" s="678"/>
      <c r="W475" s="678"/>
      <c r="X475" s="678"/>
      <c r="Y475" s="678"/>
      <c r="Z475" s="678"/>
      <c r="AA475" s="678"/>
      <c r="AB475" s="678"/>
      <c r="AC475" s="679">
        <f>+H475</f>
        <v>0</v>
      </c>
      <c r="AD475" s="678"/>
      <c r="AE475" s="678"/>
      <c r="AF475" s="678"/>
      <c r="AG475" s="678"/>
      <c r="AH475" s="678"/>
      <c r="AI475" s="678"/>
      <c r="AJ475" s="678"/>
      <c r="AK475" s="658"/>
    </row>
    <row r="476" spans="2:37" s="5" customFormat="1">
      <c r="B476" s="313"/>
      <c r="C476" s="835"/>
      <c r="D476" s="17" t="s">
        <v>30</v>
      </c>
      <c r="E476" s="67" t="s">
        <v>16</v>
      </c>
      <c r="F476" s="101">
        <f>G470+G471+G475</f>
        <v>7</v>
      </c>
      <c r="G476" s="68" t="s">
        <v>31</v>
      </c>
      <c r="H476" s="64">
        <f>SUM(H470:H475)</f>
        <v>550359.42471590906</v>
      </c>
      <c r="I476" s="79"/>
      <c r="J476" s="52"/>
      <c r="K476" s="156"/>
      <c r="L476" s="383"/>
      <c r="M476" s="542"/>
      <c r="N476" s="578">
        <f t="shared" si="152"/>
        <v>-550359.42471590906</v>
      </c>
      <c r="O476" s="678"/>
      <c r="P476" s="678"/>
      <c r="Q476" s="678"/>
      <c r="R476" s="678"/>
      <c r="S476" s="678"/>
      <c r="T476" s="678"/>
      <c r="U476" s="678"/>
      <c r="V476" s="678"/>
      <c r="W476" s="678"/>
      <c r="X476" s="678"/>
      <c r="Y476" s="678"/>
      <c r="Z476" s="678"/>
      <c r="AA476" s="678"/>
      <c r="AB476" s="678"/>
      <c r="AC476" s="678"/>
      <c r="AD476" s="678"/>
      <c r="AE476" s="678"/>
      <c r="AF476" s="678"/>
      <c r="AG476" s="678"/>
      <c r="AH476" s="678"/>
      <c r="AI476" s="678"/>
      <c r="AJ476" s="678"/>
      <c r="AK476" s="658"/>
    </row>
    <row r="477" spans="2:37" s="5" customFormat="1">
      <c r="B477" s="313"/>
      <c r="C477" s="835"/>
      <c r="D477" s="19" t="s">
        <v>32</v>
      </c>
      <c r="E477" s="67" t="s">
        <v>16</v>
      </c>
      <c r="F477" s="84">
        <f>SUM(H470:H475)</f>
        <v>550359.42471590906</v>
      </c>
      <c r="G477" s="92">
        <f>$G$43</f>
        <v>8.3299999999999999E-2</v>
      </c>
      <c r="H477" s="64">
        <f>+G477*F477</f>
        <v>45844.940078835221</v>
      </c>
      <c r="I477" s="93"/>
      <c r="J477" s="52"/>
      <c r="K477" s="156"/>
      <c r="L477" s="383"/>
      <c r="M477" s="542"/>
      <c r="N477" s="578">
        <f t="shared" si="152"/>
        <v>0</v>
      </c>
      <c r="O477" s="679">
        <f t="shared" ref="O477:AC477" si="154">SUM(O468:O476)*$G$54</f>
        <v>0</v>
      </c>
      <c r="P477" s="679">
        <f t="shared" si="154"/>
        <v>0</v>
      </c>
      <c r="Q477" s="679">
        <f t="shared" si="154"/>
        <v>0</v>
      </c>
      <c r="R477" s="679">
        <f t="shared" si="154"/>
        <v>0</v>
      </c>
      <c r="S477" s="679">
        <f t="shared" si="154"/>
        <v>0</v>
      </c>
      <c r="T477" s="679">
        <f t="shared" si="154"/>
        <v>0</v>
      </c>
      <c r="U477" s="679">
        <f t="shared" si="154"/>
        <v>0</v>
      </c>
      <c r="V477" s="679">
        <f t="shared" si="154"/>
        <v>4354.4033749999999</v>
      </c>
      <c r="W477" s="679">
        <f t="shared" si="154"/>
        <v>6915.0894506392042</v>
      </c>
      <c r="X477" s="679">
        <f t="shared" si="154"/>
        <v>6915.0894506392042</v>
      </c>
      <c r="Y477" s="679">
        <f t="shared" si="154"/>
        <v>6915.0894506392042</v>
      </c>
      <c r="Z477" s="679">
        <f t="shared" si="154"/>
        <v>6915.0894506392042</v>
      </c>
      <c r="AA477" s="679">
        <f t="shared" si="154"/>
        <v>6915.0894506392042</v>
      </c>
      <c r="AB477" s="679">
        <f t="shared" si="154"/>
        <v>6915.0894506392042</v>
      </c>
      <c r="AC477" s="679">
        <f t="shared" si="154"/>
        <v>0</v>
      </c>
      <c r="AD477" s="678"/>
      <c r="AE477" s="678"/>
      <c r="AF477" s="678"/>
      <c r="AG477" s="678"/>
      <c r="AH477" s="678"/>
      <c r="AI477" s="678"/>
      <c r="AJ477" s="678"/>
      <c r="AK477" s="658"/>
    </row>
    <row r="478" spans="2:37" s="5" customFormat="1">
      <c r="B478" s="313"/>
      <c r="C478" s="835"/>
      <c r="D478" s="19" t="s">
        <v>33</v>
      </c>
      <c r="E478" s="84">
        <f>F477/(5*F476)</f>
        <v>15724.554991883117</v>
      </c>
      <c r="F478" s="84">
        <f>E478*(F476*7)</f>
        <v>770503.19460227271</v>
      </c>
      <c r="G478" s="95">
        <f>$G$44</f>
        <v>20</v>
      </c>
      <c r="H478" s="64">
        <f>F478/G478</f>
        <v>38525.159730113635</v>
      </c>
      <c r="I478" s="72">
        <f>SUM(H476:H478)</f>
        <v>634729.52452485799</v>
      </c>
      <c r="J478" s="52">
        <f>SUM(G470:G478)</f>
        <v>33.083300000000001</v>
      </c>
      <c r="K478" s="156"/>
      <c r="L478" s="383"/>
      <c r="M478" s="542"/>
      <c r="N478" s="578">
        <f t="shared" si="152"/>
        <v>0</v>
      </c>
      <c r="O478" s="678"/>
      <c r="P478" s="678"/>
      <c r="Q478" s="678"/>
      <c r="R478" s="678"/>
      <c r="S478" s="678"/>
      <c r="T478" s="678"/>
      <c r="U478" s="678"/>
      <c r="V478" s="678"/>
      <c r="W478" s="678"/>
      <c r="X478" s="678"/>
      <c r="Y478" s="678"/>
      <c r="Z478" s="678"/>
      <c r="AA478" s="678"/>
      <c r="AB478" s="678">
        <f>+H478</f>
        <v>38525.159730113635</v>
      </c>
      <c r="AC478" s="678"/>
      <c r="AD478" s="678"/>
      <c r="AE478" s="678"/>
      <c r="AF478" s="678"/>
      <c r="AG478" s="678"/>
      <c r="AH478" s="678"/>
      <c r="AI478" s="678"/>
      <c r="AJ478" s="678"/>
      <c r="AK478" s="658"/>
    </row>
    <row r="479" spans="2:37" s="5" customFormat="1">
      <c r="B479" s="313"/>
      <c r="C479" s="835"/>
      <c r="D479" s="96"/>
      <c r="E479" s="100"/>
      <c r="F479" s="74"/>
      <c r="G479" s="97"/>
      <c r="H479" s="78"/>
      <c r="I479" s="79"/>
      <c r="J479" s="52"/>
      <c r="K479" s="156"/>
      <c r="L479" s="383"/>
      <c r="M479" s="542"/>
      <c r="N479" s="578">
        <f t="shared" si="152"/>
        <v>0</v>
      </c>
      <c r="O479" s="678"/>
      <c r="P479" s="678"/>
      <c r="Q479" s="678"/>
      <c r="R479" s="678"/>
      <c r="S479" s="678"/>
      <c r="T479" s="678"/>
      <c r="U479" s="678"/>
      <c r="V479" s="678"/>
      <c r="W479" s="678"/>
      <c r="X479" s="678"/>
      <c r="Y479" s="678"/>
      <c r="Z479" s="678"/>
      <c r="AA479" s="678"/>
      <c r="AB479" s="678"/>
      <c r="AC479" s="678"/>
      <c r="AD479" s="678"/>
      <c r="AE479" s="678"/>
      <c r="AF479" s="678"/>
      <c r="AG479" s="678"/>
      <c r="AH479" s="678"/>
      <c r="AI479" s="678"/>
      <c r="AJ479" s="678"/>
      <c r="AK479" s="658"/>
    </row>
    <row r="480" spans="2:37" s="5" customFormat="1" ht="15" customHeight="1">
      <c r="B480" s="317">
        <v>40</v>
      </c>
      <c r="C480" s="835" t="s">
        <v>902</v>
      </c>
      <c r="D480" s="80" t="s">
        <v>323</v>
      </c>
      <c r="E480" s="81">
        <f>PRESUPUESTO!E469</f>
        <v>52273.75</v>
      </c>
      <c r="F480" s="74"/>
      <c r="G480" s="75"/>
      <c r="H480" s="82"/>
      <c r="I480" s="83"/>
      <c r="J480" s="52"/>
      <c r="K480" s="156"/>
      <c r="L480" s="383"/>
      <c r="M480" s="542"/>
      <c r="N480" s="578">
        <f t="shared" si="152"/>
        <v>0</v>
      </c>
      <c r="O480" s="678"/>
      <c r="P480" s="678"/>
      <c r="Q480" s="678"/>
      <c r="R480" s="678"/>
      <c r="S480" s="678"/>
      <c r="T480" s="678"/>
      <c r="U480" s="678"/>
      <c r="V480" s="678"/>
      <c r="W480" s="678"/>
      <c r="X480" s="678"/>
      <c r="Y480" s="678"/>
      <c r="Z480" s="678"/>
      <c r="AA480" s="678"/>
      <c r="AB480" s="678"/>
      <c r="AC480" s="678"/>
      <c r="AD480" s="678"/>
      <c r="AE480" s="678"/>
      <c r="AF480" s="678"/>
      <c r="AG480" s="678"/>
      <c r="AH480" s="678"/>
      <c r="AI480" s="678"/>
      <c r="AJ480" s="678"/>
      <c r="AK480" s="658"/>
    </row>
    <row r="481" spans="2:37" s="5" customFormat="1">
      <c r="B481" s="313"/>
      <c r="C481" s="835"/>
      <c r="D481" s="17" t="s">
        <v>0</v>
      </c>
      <c r="E481" s="81" t="s">
        <v>27</v>
      </c>
      <c r="F481" s="84">
        <f>E480</f>
        <v>52273.75</v>
      </c>
      <c r="G481" s="64">
        <f>$F$3-5</f>
        <v>1</v>
      </c>
      <c r="H481" s="64">
        <f>+G481*F481</f>
        <v>52273.75</v>
      </c>
      <c r="I481" s="79"/>
      <c r="J481" s="52"/>
      <c r="K481" s="156"/>
      <c r="L481" s="383"/>
      <c r="M481" s="542"/>
      <c r="N481" s="578">
        <f t="shared" si="152"/>
        <v>0</v>
      </c>
      <c r="O481" s="678"/>
      <c r="P481" s="678"/>
      <c r="Q481" s="678"/>
      <c r="R481" s="678"/>
      <c r="S481" s="678"/>
      <c r="T481" s="678"/>
      <c r="U481" s="678"/>
      <c r="V481" s="678">
        <f>+H481/G481</f>
        <v>52273.75</v>
      </c>
      <c r="W481" s="678"/>
      <c r="X481" s="678"/>
      <c r="Y481" s="678"/>
      <c r="Z481" s="678"/>
      <c r="AA481" s="678"/>
      <c r="AB481" s="678"/>
      <c r="AC481" s="678"/>
      <c r="AD481" s="678"/>
      <c r="AE481" s="678"/>
      <c r="AF481" s="678"/>
      <c r="AG481" s="678"/>
      <c r="AH481" s="678"/>
      <c r="AI481" s="678"/>
      <c r="AJ481" s="678"/>
      <c r="AK481" s="658"/>
    </row>
    <row r="482" spans="2:37" s="5" customFormat="1">
      <c r="B482" s="313"/>
      <c r="C482" s="835"/>
      <c r="D482" s="17" t="s">
        <v>3</v>
      </c>
      <c r="E482" s="81" t="s">
        <v>27</v>
      </c>
      <c r="F482" s="84">
        <f>E480</f>
        <v>52273.75</v>
      </c>
      <c r="G482" s="65">
        <v>6</v>
      </c>
      <c r="H482" s="64">
        <f>+G482*F482</f>
        <v>313642.5</v>
      </c>
      <c r="I482" s="79"/>
      <c r="J482" s="52"/>
      <c r="K482" s="156"/>
      <c r="L482" s="383"/>
      <c r="M482" s="542"/>
      <c r="N482" s="578">
        <f t="shared" si="152"/>
        <v>0</v>
      </c>
      <c r="O482" s="678"/>
      <c r="P482" s="678"/>
      <c r="Q482" s="678"/>
      <c r="R482" s="678"/>
      <c r="S482" s="678"/>
      <c r="T482" s="678"/>
      <c r="U482" s="678"/>
      <c r="V482" s="678"/>
      <c r="W482" s="678">
        <f>+H482/G482</f>
        <v>52273.75</v>
      </c>
      <c r="X482" s="678">
        <f>+H482/G482</f>
        <v>52273.75</v>
      </c>
      <c r="Y482" s="678">
        <f>+H482/G482</f>
        <v>52273.75</v>
      </c>
      <c r="Z482" s="678">
        <f>+H482/G482</f>
        <v>52273.75</v>
      </c>
      <c r="AA482" s="678">
        <f>+H482/G482</f>
        <v>52273.75</v>
      </c>
      <c r="AB482" s="678">
        <f>+H482/G482</f>
        <v>52273.75</v>
      </c>
      <c r="AC482" s="678"/>
      <c r="AD482" s="678"/>
      <c r="AE482" s="678"/>
      <c r="AF482" s="678"/>
      <c r="AG482" s="678"/>
      <c r="AH482" s="678"/>
      <c r="AI482" s="678"/>
      <c r="AJ482" s="678"/>
      <c r="AK482" s="658"/>
    </row>
    <row r="483" spans="2:37" s="5" customFormat="1">
      <c r="B483" s="313"/>
      <c r="C483" s="835"/>
      <c r="D483" s="17" t="s">
        <v>28</v>
      </c>
      <c r="E483" s="88">
        <f>$H$5+2+2</f>
        <v>17.25</v>
      </c>
      <c r="F483" s="84">
        <f>E480/44*1.5</f>
        <v>1782.059659090909</v>
      </c>
      <c r="G483" s="87">
        <v>6</v>
      </c>
      <c r="H483" s="64">
        <f>+G483*F483*E483</f>
        <v>184443.17471590909</v>
      </c>
      <c r="I483" s="79"/>
      <c r="J483" s="52"/>
      <c r="K483" s="156"/>
      <c r="L483" s="383"/>
      <c r="M483" s="542"/>
      <c r="N483" s="578">
        <f t="shared" si="152"/>
        <v>0</v>
      </c>
      <c r="O483" s="678"/>
      <c r="P483" s="678"/>
      <c r="Q483" s="678"/>
      <c r="R483" s="678"/>
      <c r="S483" s="678"/>
      <c r="T483" s="678"/>
      <c r="U483" s="678"/>
      <c r="V483" s="678"/>
      <c r="W483" s="678">
        <f>+H483/G483</f>
        <v>30740.52911931818</v>
      </c>
      <c r="X483" s="678">
        <f t="shared" ref="X483:AB483" si="155">+W483</f>
        <v>30740.52911931818</v>
      </c>
      <c r="Y483" s="678">
        <f t="shared" si="155"/>
        <v>30740.52911931818</v>
      </c>
      <c r="Z483" s="678">
        <f t="shared" si="155"/>
        <v>30740.52911931818</v>
      </c>
      <c r="AA483" s="678">
        <f t="shared" si="155"/>
        <v>30740.52911931818</v>
      </c>
      <c r="AB483" s="678">
        <f t="shared" si="155"/>
        <v>30740.52911931818</v>
      </c>
      <c r="AC483" s="678"/>
      <c r="AD483" s="678"/>
      <c r="AE483" s="678"/>
      <c r="AF483" s="678"/>
      <c r="AG483" s="678"/>
      <c r="AH483" s="678"/>
      <c r="AI483" s="678"/>
      <c r="AJ483" s="678"/>
      <c r="AK483" s="658"/>
    </row>
    <row r="484" spans="2:37" s="5" customFormat="1">
      <c r="B484" s="313"/>
      <c r="C484" s="835"/>
      <c r="D484" s="17" t="s">
        <v>1</v>
      </c>
      <c r="E484" s="67" t="s">
        <v>29</v>
      </c>
      <c r="F484" s="84">
        <f>E480/5*1.5</f>
        <v>15682.125</v>
      </c>
      <c r="G484" s="64">
        <f>$H$3</f>
        <v>0</v>
      </c>
      <c r="H484" s="64">
        <f>+G484*F484</f>
        <v>0</v>
      </c>
      <c r="I484" s="79"/>
      <c r="J484" s="52"/>
      <c r="K484" s="156"/>
      <c r="L484" s="383"/>
      <c r="M484" s="542"/>
      <c r="N484" s="578">
        <f t="shared" si="152"/>
        <v>0</v>
      </c>
      <c r="O484" s="678"/>
      <c r="P484" s="678"/>
      <c r="Q484" s="678"/>
      <c r="R484" s="678"/>
      <c r="S484" s="678"/>
      <c r="T484" s="678"/>
      <c r="U484" s="678"/>
      <c r="V484" s="678"/>
      <c r="W484" s="678"/>
      <c r="X484" s="678"/>
      <c r="Y484" s="678"/>
      <c r="Z484" s="678"/>
      <c r="AA484" s="678"/>
      <c r="AB484" s="678"/>
      <c r="AC484" s="678"/>
      <c r="AD484" s="678"/>
      <c r="AE484" s="678"/>
      <c r="AF484" s="678"/>
      <c r="AG484" s="678"/>
      <c r="AH484" s="678"/>
      <c r="AI484" s="678"/>
      <c r="AJ484" s="678"/>
      <c r="AK484" s="658"/>
    </row>
    <row r="485" spans="2:37" s="5" customFormat="1">
      <c r="B485" s="313"/>
      <c r="C485" s="835"/>
      <c r="D485" s="17" t="s">
        <v>4</v>
      </c>
      <c r="E485" s="67" t="s">
        <v>29</v>
      </c>
      <c r="F485" s="84">
        <f>E480/5*2</f>
        <v>20909.5</v>
      </c>
      <c r="G485" s="64">
        <f>$H$4</f>
        <v>0</v>
      </c>
      <c r="H485" s="64">
        <f>+G485*F485</f>
        <v>0</v>
      </c>
      <c r="I485" s="79"/>
      <c r="J485" s="52"/>
      <c r="K485" s="156"/>
      <c r="L485" s="383"/>
      <c r="M485" s="542"/>
      <c r="N485" s="578">
        <f t="shared" si="152"/>
        <v>0</v>
      </c>
      <c r="O485" s="678"/>
      <c r="P485" s="678"/>
      <c r="Q485" s="678"/>
      <c r="R485" s="678"/>
      <c r="S485" s="678"/>
      <c r="T485" s="678"/>
      <c r="U485" s="678"/>
      <c r="V485" s="678"/>
      <c r="W485" s="678"/>
      <c r="X485" s="678"/>
      <c r="Y485" s="678"/>
      <c r="Z485" s="678"/>
      <c r="AA485" s="678"/>
      <c r="AB485" s="678"/>
      <c r="AC485" s="678"/>
      <c r="AD485" s="678"/>
      <c r="AE485" s="678"/>
      <c r="AF485" s="678"/>
      <c r="AG485" s="678"/>
      <c r="AH485" s="678"/>
      <c r="AI485" s="678"/>
      <c r="AJ485" s="678"/>
      <c r="AK485" s="658"/>
    </row>
    <row r="486" spans="2:37" s="5" customFormat="1">
      <c r="B486" s="313"/>
      <c r="C486" s="835"/>
      <c r="D486" s="17" t="s">
        <v>5</v>
      </c>
      <c r="E486" s="81" t="s">
        <v>27</v>
      </c>
      <c r="F486" s="84">
        <f>E480</f>
        <v>52273.75</v>
      </c>
      <c r="G486" s="64">
        <v>0</v>
      </c>
      <c r="H486" s="64">
        <f>+G486*F486</f>
        <v>0</v>
      </c>
      <c r="I486" s="79"/>
      <c r="J486" s="52"/>
      <c r="K486" s="156"/>
      <c r="L486" s="383"/>
      <c r="M486" s="542"/>
      <c r="N486" s="578">
        <f t="shared" si="152"/>
        <v>0</v>
      </c>
      <c r="O486" s="678"/>
      <c r="P486" s="678"/>
      <c r="Q486" s="678"/>
      <c r="R486" s="678"/>
      <c r="S486" s="678"/>
      <c r="T486" s="678"/>
      <c r="U486" s="678"/>
      <c r="V486" s="678"/>
      <c r="W486" s="678"/>
      <c r="X486" s="678"/>
      <c r="Y486" s="678"/>
      <c r="Z486" s="678"/>
      <c r="AA486" s="678"/>
      <c r="AB486" s="678"/>
      <c r="AC486" s="679">
        <f>+H486</f>
        <v>0</v>
      </c>
      <c r="AD486" s="678"/>
      <c r="AE486" s="678"/>
      <c r="AF486" s="678"/>
      <c r="AG486" s="678"/>
      <c r="AH486" s="678"/>
      <c r="AI486" s="678"/>
      <c r="AJ486" s="678"/>
      <c r="AK486" s="658"/>
    </row>
    <row r="487" spans="2:37" s="5" customFormat="1">
      <c r="B487" s="313"/>
      <c r="C487" s="835"/>
      <c r="D487" s="17" t="s">
        <v>30</v>
      </c>
      <c r="E487" s="67" t="s">
        <v>16</v>
      </c>
      <c r="F487" s="101">
        <f>G481+G482+G486</f>
        <v>7</v>
      </c>
      <c r="G487" s="68" t="s">
        <v>31</v>
      </c>
      <c r="H487" s="64">
        <f>SUM(H481:H486)</f>
        <v>550359.42471590906</v>
      </c>
      <c r="I487" s="79"/>
      <c r="J487" s="52"/>
      <c r="K487" s="156"/>
      <c r="L487" s="383"/>
      <c r="M487" s="542"/>
      <c r="N487" s="578">
        <f t="shared" si="152"/>
        <v>-550359.42471590906</v>
      </c>
      <c r="O487" s="678"/>
      <c r="P487" s="678"/>
      <c r="Q487" s="678"/>
      <c r="R487" s="678"/>
      <c r="S487" s="678"/>
      <c r="T487" s="678"/>
      <c r="U487" s="678"/>
      <c r="V487" s="678"/>
      <c r="W487" s="678"/>
      <c r="X487" s="678"/>
      <c r="Y487" s="678"/>
      <c r="Z487" s="678"/>
      <c r="AA487" s="678"/>
      <c r="AB487" s="678"/>
      <c r="AC487" s="678"/>
      <c r="AD487" s="678"/>
      <c r="AE487" s="678"/>
      <c r="AF487" s="678"/>
      <c r="AG487" s="678"/>
      <c r="AH487" s="678"/>
      <c r="AI487" s="678"/>
      <c r="AJ487" s="678"/>
      <c r="AK487" s="658"/>
    </row>
    <row r="488" spans="2:37" s="5" customFormat="1">
      <c r="B488" s="313"/>
      <c r="C488" s="835"/>
      <c r="D488" s="19" t="s">
        <v>32</v>
      </c>
      <c r="E488" s="67" t="s">
        <v>16</v>
      </c>
      <c r="F488" s="84">
        <f>SUM(H481:H486)</f>
        <v>550359.42471590906</v>
      </c>
      <c r="G488" s="92">
        <f>$G$43</f>
        <v>8.3299999999999999E-2</v>
      </c>
      <c r="H488" s="64">
        <f>+G488*F488</f>
        <v>45844.940078835221</v>
      </c>
      <c r="I488" s="93"/>
      <c r="J488" s="52"/>
      <c r="K488" s="156"/>
      <c r="L488" s="383"/>
      <c r="M488" s="542"/>
      <c r="N488" s="578">
        <f t="shared" si="152"/>
        <v>0</v>
      </c>
      <c r="O488" s="679">
        <f t="shared" ref="O488:AC488" si="156">SUM(O479:O487)*$G$54</f>
        <v>0</v>
      </c>
      <c r="P488" s="679">
        <f t="shared" si="156"/>
        <v>0</v>
      </c>
      <c r="Q488" s="679">
        <f t="shared" si="156"/>
        <v>0</v>
      </c>
      <c r="R488" s="679">
        <f t="shared" si="156"/>
        <v>0</v>
      </c>
      <c r="S488" s="679">
        <f t="shared" si="156"/>
        <v>0</v>
      </c>
      <c r="T488" s="679">
        <f t="shared" si="156"/>
        <v>0</v>
      </c>
      <c r="U488" s="679">
        <f t="shared" si="156"/>
        <v>0</v>
      </c>
      <c r="V488" s="679">
        <f t="shared" si="156"/>
        <v>4354.4033749999999</v>
      </c>
      <c r="W488" s="679">
        <f t="shared" si="156"/>
        <v>6915.0894506392042</v>
      </c>
      <c r="X488" s="679">
        <f t="shared" si="156"/>
        <v>6915.0894506392042</v>
      </c>
      <c r="Y488" s="679">
        <f t="shared" si="156"/>
        <v>6915.0894506392042</v>
      </c>
      <c r="Z488" s="679">
        <f t="shared" si="156"/>
        <v>6915.0894506392042</v>
      </c>
      <c r="AA488" s="679">
        <f t="shared" si="156"/>
        <v>6915.0894506392042</v>
      </c>
      <c r="AB488" s="679">
        <f t="shared" si="156"/>
        <v>6915.0894506392042</v>
      </c>
      <c r="AC488" s="679">
        <f t="shared" si="156"/>
        <v>0</v>
      </c>
      <c r="AD488" s="678"/>
      <c r="AE488" s="678"/>
      <c r="AF488" s="678"/>
      <c r="AG488" s="678"/>
      <c r="AH488" s="678"/>
      <c r="AI488" s="678"/>
      <c r="AJ488" s="678"/>
      <c r="AK488" s="658"/>
    </row>
    <row r="489" spans="2:37" s="5" customFormat="1">
      <c r="B489" s="313"/>
      <c r="C489" s="835"/>
      <c r="D489" s="19" t="s">
        <v>33</v>
      </c>
      <c r="E489" s="84">
        <f>F488/(5*F487)</f>
        <v>15724.554991883117</v>
      </c>
      <c r="F489" s="84">
        <f>E489*(F487*7)</f>
        <v>770503.19460227271</v>
      </c>
      <c r="G489" s="95">
        <f>$G$44</f>
        <v>20</v>
      </c>
      <c r="H489" s="64">
        <f>F489/G489</f>
        <v>38525.159730113635</v>
      </c>
      <c r="I489" s="72">
        <f>SUM(H487:H489)</f>
        <v>634729.52452485799</v>
      </c>
      <c r="J489" s="52">
        <f>SUM(G481:G489)</f>
        <v>33.083300000000001</v>
      </c>
      <c r="K489" s="156"/>
      <c r="L489" s="383"/>
      <c r="M489" s="542"/>
      <c r="N489" s="578">
        <f t="shared" si="152"/>
        <v>0</v>
      </c>
      <c r="O489" s="678"/>
      <c r="P489" s="678"/>
      <c r="Q489" s="678"/>
      <c r="R489" s="678"/>
      <c r="S489" s="678"/>
      <c r="T489" s="678"/>
      <c r="U489" s="678"/>
      <c r="V489" s="678"/>
      <c r="W489" s="678"/>
      <c r="X489" s="678"/>
      <c r="Y489" s="678"/>
      <c r="Z489" s="678"/>
      <c r="AA489" s="678"/>
      <c r="AB489" s="678">
        <f>+H489</f>
        <v>38525.159730113635</v>
      </c>
      <c r="AC489" s="678"/>
      <c r="AD489" s="678"/>
      <c r="AE489" s="678"/>
      <c r="AF489" s="678"/>
      <c r="AG489" s="678"/>
      <c r="AH489" s="678"/>
      <c r="AI489" s="678"/>
      <c r="AJ489" s="678"/>
      <c r="AK489" s="658"/>
    </row>
    <row r="490" spans="2:37" s="5" customFormat="1">
      <c r="B490" s="313"/>
      <c r="C490" s="835"/>
      <c r="D490" s="96"/>
      <c r="E490" s="100"/>
      <c r="F490" s="74"/>
      <c r="G490" s="97"/>
      <c r="H490" s="78"/>
      <c r="I490" s="79"/>
      <c r="J490" s="52"/>
      <c r="K490" s="156"/>
      <c r="L490" s="383"/>
      <c r="M490" s="542"/>
      <c r="N490" s="578">
        <f t="shared" si="152"/>
        <v>0</v>
      </c>
      <c r="O490" s="678"/>
      <c r="P490" s="678"/>
      <c r="Q490" s="678"/>
      <c r="R490" s="678"/>
      <c r="S490" s="678"/>
      <c r="T490" s="678"/>
      <c r="U490" s="678"/>
      <c r="V490" s="678"/>
      <c r="W490" s="678"/>
      <c r="X490" s="678"/>
      <c r="Y490" s="678"/>
      <c r="Z490" s="678"/>
      <c r="AA490" s="678"/>
      <c r="AB490" s="678"/>
      <c r="AC490" s="678"/>
      <c r="AD490" s="678"/>
      <c r="AE490" s="678"/>
      <c r="AF490" s="678"/>
      <c r="AG490" s="678"/>
      <c r="AH490" s="678"/>
      <c r="AI490" s="678"/>
      <c r="AJ490" s="678"/>
      <c r="AK490" s="658"/>
    </row>
    <row r="491" spans="2:37" s="5" customFormat="1" ht="15" customHeight="1">
      <c r="B491" s="317">
        <v>41</v>
      </c>
      <c r="C491" s="835" t="s">
        <v>903</v>
      </c>
      <c r="D491" s="80" t="s">
        <v>68</v>
      </c>
      <c r="E491" s="81">
        <v>39782.300000000003</v>
      </c>
      <c r="F491" s="74"/>
      <c r="G491" s="75"/>
      <c r="H491" s="82"/>
      <c r="I491" s="83"/>
      <c r="J491" s="52"/>
      <c r="K491" s="156"/>
      <c r="L491" s="383"/>
      <c r="M491" s="542"/>
      <c r="N491" s="578">
        <f t="shared" si="152"/>
        <v>0</v>
      </c>
      <c r="O491" s="678"/>
      <c r="P491" s="678"/>
      <c r="Q491" s="678"/>
      <c r="R491" s="678"/>
      <c r="S491" s="678"/>
      <c r="T491" s="678"/>
      <c r="U491" s="678"/>
      <c r="V491" s="678"/>
      <c r="W491" s="678"/>
      <c r="X491" s="678"/>
      <c r="Y491" s="678"/>
      <c r="Z491" s="678"/>
      <c r="AA491" s="678"/>
      <c r="AB491" s="678"/>
      <c r="AC491" s="678"/>
      <c r="AD491" s="678"/>
      <c r="AE491" s="678"/>
      <c r="AF491" s="678"/>
      <c r="AG491" s="678"/>
      <c r="AH491" s="678"/>
      <c r="AI491" s="678"/>
      <c r="AJ491" s="678"/>
      <c r="AK491" s="658"/>
    </row>
    <row r="492" spans="2:37" s="5" customFormat="1">
      <c r="B492" s="313"/>
      <c r="C492" s="835"/>
      <c r="D492" s="17" t="s">
        <v>0</v>
      </c>
      <c r="E492" s="81" t="s">
        <v>27</v>
      </c>
      <c r="F492" s="84">
        <f>E491</f>
        <v>39782.300000000003</v>
      </c>
      <c r="G492" s="64">
        <f>$F$3-5</f>
        <v>1</v>
      </c>
      <c r="H492" s="64">
        <f>+G492*F492</f>
        <v>39782.300000000003</v>
      </c>
      <c r="I492" s="79"/>
      <c r="J492" s="52"/>
      <c r="K492" s="156"/>
      <c r="L492" s="383"/>
      <c r="M492" s="542"/>
      <c r="N492" s="578">
        <f t="shared" si="152"/>
        <v>0</v>
      </c>
      <c r="O492" s="678"/>
      <c r="P492" s="678"/>
      <c r="Q492" s="678"/>
      <c r="R492" s="678"/>
      <c r="S492" s="678"/>
      <c r="T492" s="678"/>
      <c r="U492" s="678"/>
      <c r="V492" s="678">
        <f>+H492/G492</f>
        <v>39782.300000000003</v>
      </c>
      <c r="W492" s="678"/>
      <c r="X492" s="678"/>
      <c r="Y492" s="678"/>
      <c r="Z492" s="678"/>
      <c r="AA492" s="678"/>
      <c r="AB492" s="678"/>
      <c r="AC492" s="678"/>
      <c r="AD492" s="678"/>
      <c r="AE492" s="678"/>
      <c r="AF492" s="678"/>
      <c r="AG492" s="678"/>
      <c r="AH492" s="678"/>
      <c r="AI492" s="678"/>
      <c r="AJ492" s="678"/>
      <c r="AK492" s="658"/>
    </row>
    <row r="493" spans="2:37" s="5" customFormat="1">
      <c r="B493" s="313"/>
      <c r="C493" s="835"/>
      <c r="D493" s="17" t="s">
        <v>3</v>
      </c>
      <c r="E493" s="81" t="s">
        <v>27</v>
      </c>
      <c r="F493" s="84">
        <f>E491</f>
        <v>39782.300000000003</v>
      </c>
      <c r="G493" s="64">
        <v>6</v>
      </c>
      <c r="H493" s="64">
        <f>+G493*F493</f>
        <v>238693.80000000002</v>
      </c>
      <c r="I493" s="79"/>
      <c r="J493" s="52"/>
      <c r="K493" s="156"/>
      <c r="L493" s="383"/>
      <c r="M493" s="542"/>
      <c r="N493" s="578">
        <f t="shared" si="152"/>
        <v>0</v>
      </c>
      <c r="O493" s="678"/>
      <c r="P493" s="678"/>
      <c r="Q493" s="678"/>
      <c r="R493" s="678"/>
      <c r="S493" s="678"/>
      <c r="T493" s="678"/>
      <c r="U493" s="678"/>
      <c r="V493" s="678"/>
      <c r="W493" s="678">
        <f>+H493/G493</f>
        <v>39782.300000000003</v>
      </c>
      <c r="X493" s="678">
        <f>+H493/G493</f>
        <v>39782.300000000003</v>
      </c>
      <c r="Y493" s="678">
        <f>+H493/G493</f>
        <v>39782.300000000003</v>
      </c>
      <c r="Z493" s="678">
        <f>+H493/G493</f>
        <v>39782.300000000003</v>
      </c>
      <c r="AA493" s="678">
        <f>+H493/G493</f>
        <v>39782.300000000003</v>
      </c>
      <c r="AB493" s="678">
        <f>+H493/G493</f>
        <v>39782.300000000003</v>
      </c>
      <c r="AC493" s="678"/>
      <c r="AD493" s="678"/>
      <c r="AE493" s="678"/>
      <c r="AF493" s="678"/>
      <c r="AG493" s="678"/>
      <c r="AH493" s="678"/>
      <c r="AI493" s="678"/>
      <c r="AJ493" s="678"/>
      <c r="AK493" s="658"/>
    </row>
    <row r="494" spans="2:37" s="5" customFormat="1">
      <c r="B494" s="313"/>
      <c r="C494" s="835"/>
      <c r="D494" s="17" t="s">
        <v>28</v>
      </c>
      <c r="E494" s="88">
        <f>$H$5+2+2</f>
        <v>17.25</v>
      </c>
      <c r="F494" s="84">
        <f>E491/44*1.5</f>
        <v>1356.2147727272729</v>
      </c>
      <c r="G494" s="87">
        <v>6</v>
      </c>
      <c r="H494" s="64">
        <f>+G494*F494*E494</f>
        <v>140368.22897727275</v>
      </c>
      <c r="I494" s="79"/>
      <c r="J494" s="52"/>
      <c r="K494" s="156"/>
      <c r="L494" s="383"/>
      <c r="M494" s="542"/>
      <c r="N494" s="578">
        <f t="shared" si="152"/>
        <v>0</v>
      </c>
      <c r="O494" s="678"/>
      <c r="P494" s="678"/>
      <c r="Q494" s="678"/>
      <c r="R494" s="678"/>
      <c r="S494" s="678"/>
      <c r="T494" s="678"/>
      <c r="U494" s="678"/>
      <c r="V494" s="678"/>
      <c r="W494" s="678">
        <f>+H494/G494</f>
        <v>23394.704829545459</v>
      </c>
      <c r="X494" s="678">
        <f t="shared" ref="X494:AB494" si="157">+W494</f>
        <v>23394.704829545459</v>
      </c>
      <c r="Y494" s="678">
        <f t="shared" si="157"/>
        <v>23394.704829545459</v>
      </c>
      <c r="Z494" s="678">
        <f t="shared" si="157"/>
        <v>23394.704829545459</v>
      </c>
      <c r="AA494" s="678">
        <f t="shared" si="157"/>
        <v>23394.704829545459</v>
      </c>
      <c r="AB494" s="678">
        <f t="shared" si="157"/>
        <v>23394.704829545459</v>
      </c>
      <c r="AC494" s="678"/>
      <c r="AD494" s="678"/>
      <c r="AE494" s="678"/>
      <c r="AF494" s="678"/>
      <c r="AG494" s="678"/>
      <c r="AH494" s="678"/>
      <c r="AI494" s="678"/>
      <c r="AJ494" s="678"/>
      <c r="AK494" s="658"/>
    </row>
    <row r="495" spans="2:37" s="5" customFormat="1">
      <c r="B495" s="313"/>
      <c r="C495" s="835"/>
      <c r="D495" s="17" t="s">
        <v>1</v>
      </c>
      <c r="E495" s="67" t="s">
        <v>29</v>
      </c>
      <c r="F495" s="84">
        <f>E491/5*1.5</f>
        <v>11934.690000000002</v>
      </c>
      <c r="G495" s="64">
        <f>$H$3</f>
        <v>0</v>
      </c>
      <c r="H495" s="64">
        <f>+G495*F495</f>
        <v>0</v>
      </c>
      <c r="I495" s="79"/>
      <c r="J495" s="52"/>
      <c r="K495" s="156"/>
      <c r="L495" s="383"/>
      <c r="M495" s="542"/>
      <c r="N495" s="578">
        <f t="shared" si="152"/>
        <v>0</v>
      </c>
      <c r="O495" s="678"/>
      <c r="P495" s="678"/>
      <c r="Q495" s="678"/>
      <c r="R495" s="678"/>
      <c r="S495" s="678"/>
      <c r="T495" s="678"/>
      <c r="U495" s="678"/>
      <c r="V495" s="678"/>
      <c r="W495" s="678"/>
      <c r="X495" s="678"/>
      <c r="Y495" s="678"/>
      <c r="Z495" s="678"/>
      <c r="AA495" s="678"/>
      <c r="AB495" s="678"/>
      <c r="AC495" s="678"/>
      <c r="AD495" s="678"/>
      <c r="AE495" s="678"/>
      <c r="AF495" s="678"/>
      <c r="AG495" s="678"/>
      <c r="AH495" s="678"/>
      <c r="AI495" s="678"/>
      <c r="AJ495" s="678"/>
      <c r="AK495" s="658"/>
    </row>
    <row r="496" spans="2:37" s="5" customFormat="1">
      <c r="B496" s="313"/>
      <c r="C496" s="835"/>
      <c r="D496" s="17" t="s">
        <v>4</v>
      </c>
      <c r="E496" s="67" t="s">
        <v>29</v>
      </c>
      <c r="F496" s="84">
        <f>E491/5*2</f>
        <v>15912.920000000002</v>
      </c>
      <c r="G496" s="64">
        <f>$H$4</f>
        <v>0</v>
      </c>
      <c r="H496" s="64">
        <f>+G496*F496</f>
        <v>0</v>
      </c>
      <c r="I496" s="79"/>
      <c r="J496" s="52"/>
      <c r="K496" s="156"/>
      <c r="L496" s="383"/>
      <c r="M496" s="542"/>
      <c r="N496" s="578">
        <f t="shared" si="152"/>
        <v>0</v>
      </c>
      <c r="O496" s="678"/>
      <c r="P496" s="678"/>
      <c r="Q496" s="678"/>
      <c r="R496" s="678"/>
      <c r="S496" s="678"/>
      <c r="T496" s="678"/>
      <c r="U496" s="678"/>
      <c r="V496" s="678"/>
      <c r="W496" s="678"/>
      <c r="X496" s="678"/>
      <c r="Y496" s="678"/>
      <c r="Z496" s="678"/>
      <c r="AA496" s="678"/>
      <c r="AB496" s="678"/>
      <c r="AC496" s="678"/>
      <c r="AD496" s="678"/>
      <c r="AE496" s="678"/>
      <c r="AF496" s="678"/>
      <c r="AG496" s="678"/>
      <c r="AH496" s="678"/>
      <c r="AI496" s="678"/>
      <c r="AJ496" s="678"/>
      <c r="AK496" s="658"/>
    </row>
    <row r="497" spans="2:37" s="5" customFormat="1">
      <c r="B497" s="313"/>
      <c r="C497" s="835"/>
      <c r="D497" s="17" t="s">
        <v>5</v>
      </c>
      <c r="E497" s="81" t="s">
        <v>27</v>
      </c>
      <c r="F497" s="84">
        <f>E491</f>
        <v>39782.300000000003</v>
      </c>
      <c r="G497" s="64">
        <v>0</v>
      </c>
      <c r="H497" s="64">
        <f>+G497*F497</f>
        <v>0</v>
      </c>
      <c r="I497" s="79"/>
      <c r="J497" s="52"/>
      <c r="K497" s="156"/>
      <c r="L497" s="383"/>
      <c r="M497" s="542"/>
      <c r="N497" s="578">
        <f t="shared" si="152"/>
        <v>0</v>
      </c>
      <c r="O497" s="678"/>
      <c r="P497" s="678"/>
      <c r="Q497" s="678"/>
      <c r="R497" s="678"/>
      <c r="S497" s="678"/>
      <c r="T497" s="678"/>
      <c r="U497" s="678"/>
      <c r="V497" s="678"/>
      <c r="W497" s="678"/>
      <c r="X497" s="678"/>
      <c r="Y497" s="678"/>
      <c r="Z497" s="678"/>
      <c r="AA497" s="678"/>
      <c r="AB497" s="678"/>
      <c r="AC497" s="679">
        <f>+H497</f>
        <v>0</v>
      </c>
      <c r="AD497" s="678"/>
      <c r="AE497" s="678"/>
      <c r="AF497" s="678"/>
      <c r="AG497" s="678"/>
      <c r="AH497" s="678"/>
      <c r="AI497" s="678"/>
      <c r="AJ497" s="678"/>
      <c r="AK497" s="658"/>
    </row>
    <row r="498" spans="2:37" s="5" customFormat="1">
      <c r="B498" s="313"/>
      <c r="C498" s="835"/>
      <c r="D498" s="17" t="s">
        <v>30</v>
      </c>
      <c r="E498" s="67" t="s">
        <v>16</v>
      </c>
      <c r="F498" s="101">
        <f>G492+G493+G497</f>
        <v>7</v>
      </c>
      <c r="G498" s="68" t="s">
        <v>31</v>
      </c>
      <c r="H498" s="64">
        <f>SUM(H492:H497)</f>
        <v>418844.32897727279</v>
      </c>
      <c r="I498" s="79"/>
      <c r="J498" s="52"/>
      <c r="K498" s="156"/>
      <c r="L498" s="383"/>
      <c r="M498" s="542"/>
      <c r="N498" s="578">
        <f t="shared" si="152"/>
        <v>-418844.32897727279</v>
      </c>
      <c r="O498" s="678"/>
      <c r="P498" s="678"/>
      <c r="Q498" s="678"/>
      <c r="R498" s="678"/>
      <c r="S498" s="678"/>
      <c r="T498" s="678"/>
      <c r="U498" s="678"/>
      <c r="V498" s="678"/>
      <c r="W498" s="678"/>
      <c r="X498" s="678"/>
      <c r="Y498" s="678"/>
      <c r="Z498" s="678"/>
      <c r="AA498" s="678"/>
      <c r="AB498" s="678"/>
      <c r="AC498" s="678"/>
      <c r="AD498" s="678"/>
      <c r="AE498" s="678"/>
      <c r="AF498" s="678"/>
      <c r="AG498" s="678"/>
      <c r="AH498" s="678"/>
      <c r="AI498" s="678"/>
      <c r="AJ498" s="678"/>
      <c r="AK498" s="658"/>
    </row>
    <row r="499" spans="2:37" s="5" customFormat="1">
      <c r="B499" s="313"/>
      <c r="C499" s="835"/>
      <c r="D499" s="19" t="s">
        <v>32</v>
      </c>
      <c r="E499" s="67" t="s">
        <v>16</v>
      </c>
      <c r="F499" s="84">
        <f>SUM(H492:H497)</f>
        <v>418844.32897727279</v>
      </c>
      <c r="G499" s="92">
        <f>$G$43</f>
        <v>8.3299999999999999E-2</v>
      </c>
      <c r="H499" s="64">
        <f>+G499*F499</f>
        <v>34889.73260380682</v>
      </c>
      <c r="I499" s="93"/>
      <c r="J499" s="52"/>
      <c r="K499" s="156"/>
      <c r="L499" s="383"/>
      <c r="M499" s="542"/>
      <c r="N499" s="578">
        <f t="shared" si="152"/>
        <v>0</v>
      </c>
      <c r="O499" s="679">
        <f t="shared" ref="O499:AC499" si="158">SUM(O490:O498)*$G$54</f>
        <v>0</v>
      </c>
      <c r="P499" s="679">
        <f t="shared" si="158"/>
        <v>0</v>
      </c>
      <c r="Q499" s="679">
        <f t="shared" si="158"/>
        <v>0</v>
      </c>
      <c r="R499" s="679">
        <f t="shared" si="158"/>
        <v>0</v>
      </c>
      <c r="S499" s="679">
        <f t="shared" si="158"/>
        <v>0</v>
      </c>
      <c r="T499" s="679">
        <f t="shared" si="158"/>
        <v>0</v>
      </c>
      <c r="U499" s="679">
        <f t="shared" si="158"/>
        <v>0</v>
      </c>
      <c r="V499" s="679">
        <f t="shared" si="158"/>
        <v>3313.8655900000003</v>
      </c>
      <c r="W499" s="679">
        <f t="shared" si="158"/>
        <v>5262.6445023011365</v>
      </c>
      <c r="X499" s="679">
        <f t="shared" si="158"/>
        <v>5262.6445023011365</v>
      </c>
      <c r="Y499" s="679">
        <f t="shared" si="158"/>
        <v>5262.6445023011365</v>
      </c>
      <c r="Z499" s="679">
        <f t="shared" si="158"/>
        <v>5262.6445023011365</v>
      </c>
      <c r="AA499" s="679">
        <f t="shared" si="158"/>
        <v>5262.6445023011365</v>
      </c>
      <c r="AB499" s="679">
        <f t="shared" si="158"/>
        <v>5262.6445023011365</v>
      </c>
      <c r="AC499" s="679">
        <f t="shared" si="158"/>
        <v>0</v>
      </c>
      <c r="AD499" s="678"/>
      <c r="AE499" s="678"/>
      <c r="AF499" s="678"/>
      <c r="AG499" s="678"/>
      <c r="AH499" s="678"/>
      <c r="AI499" s="678"/>
      <c r="AJ499" s="678"/>
      <c r="AK499" s="658"/>
    </row>
    <row r="500" spans="2:37" s="5" customFormat="1">
      <c r="B500" s="313"/>
      <c r="C500" s="835"/>
      <c r="D500" s="19" t="s">
        <v>33</v>
      </c>
      <c r="E500" s="84">
        <f>F499/(5*F498)</f>
        <v>11966.98082792208</v>
      </c>
      <c r="F500" s="84">
        <f>E500*(F498*7)</f>
        <v>586382.06056818191</v>
      </c>
      <c r="G500" s="95">
        <f>$G$44</f>
        <v>20</v>
      </c>
      <c r="H500" s="64">
        <f>F500/G500</f>
        <v>29319.103028409096</v>
      </c>
      <c r="I500" s="72">
        <f>SUM(H498:H500)</f>
        <v>483053.16460948868</v>
      </c>
      <c r="J500" s="52">
        <f>SUM(G492:G500)</f>
        <v>33.083300000000001</v>
      </c>
      <c r="K500" s="156"/>
      <c r="L500" s="383"/>
      <c r="M500" s="542"/>
      <c r="N500" s="578">
        <f t="shared" si="152"/>
        <v>0</v>
      </c>
      <c r="O500" s="678"/>
      <c r="P500" s="678"/>
      <c r="Q500" s="678"/>
      <c r="R500" s="678"/>
      <c r="S500" s="678"/>
      <c r="T500" s="678"/>
      <c r="U500" s="678"/>
      <c r="V500" s="678"/>
      <c r="W500" s="678"/>
      <c r="X500" s="678"/>
      <c r="Y500" s="678"/>
      <c r="Z500" s="678"/>
      <c r="AA500" s="678"/>
      <c r="AB500" s="678">
        <f>+H500</f>
        <v>29319.103028409096</v>
      </c>
      <c r="AC500" s="678"/>
      <c r="AD500" s="678"/>
      <c r="AE500" s="678"/>
      <c r="AF500" s="678"/>
      <c r="AG500" s="678"/>
      <c r="AH500" s="678"/>
      <c r="AI500" s="678"/>
      <c r="AJ500" s="678"/>
      <c r="AK500" s="658"/>
    </row>
    <row r="501" spans="2:37" s="5" customFormat="1">
      <c r="B501" s="313"/>
      <c r="C501" s="835"/>
      <c r="D501" s="96"/>
      <c r="E501" s="100"/>
      <c r="F501" s="74"/>
      <c r="G501" s="97"/>
      <c r="H501" s="78"/>
      <c r="I501" s="79"/>
      <c r="J501" s="52"/>
      <c r="K501" s="156"/>
      <c r="L501" s="383"/>
      <c r="M501" s="542"/>
      <c r="N501" s="578">
        <f t="shared" si="152"/>
        <v>0</v>
      </c>
      <c r="O501" s="678"/>
      <c r="P501" s="678"/>
      <c r="Q501" s="678"/>
      <c r="R501" s="678"/>
      <c r="S501" s="678"/>
      <c r="T501" s="678"/>
      <c r="U501" s="678"/>
      <c r="V501" s="678"/>
      <c r="W501" s="678"/>
      <c r="X501" s="678"/>
      <c r="Y501" s="678"/>
      <c r="Z501" s="678"/>
      <c r="AA501" s="678"/>
      <c r="AB501" s="678"/>
      <c r="AC501" s="678"/>
      <c r="AD501" s="678"/>
      <c r="AE501" s="678"/>
      <c r="AF501" s="678"/>
      <c r="AG501" s="678"/>
      <c r="AH501" s="678"/>
      <c r="AI501" s="678"/>
      <c r="AJ501" s="678"/>
      <c r="AK501" s="658"/>
    </row>
    <row r="502" spans="2:37" s="340" customFormat="1" ht="15" customHeight="1">
      <c r="B502" s="313"/>
      <c r="C502" s="841"/>
      <c r="D502" s="332" t="s">
        <v>69</v>
      </c>
      <c r="E502" s="333"/>
      <c r="F502" s="333">
        <f>SICA!C39</f>
        <v>33725</v>
      </c>
      <c r="G502" s="334"/>
      <c r="H502" s="335"/>
      <c r="I502" s="336"/>
      <c r="J502" s="337"/>
      <c r="K502" s="338"/>
      <c r="L502" s="390"/>
      <c r="M502" s="599"/>
      <c r="N502" s="578">
        <f t="shared" si="152"/>
        <v>0</v>
      </c>
      <c r="O502" s="678"/>
      <c r="P502" s="678"/>
      <c r="Q502" s="678"/>
      <c r="R502" s="678"/>
      <c r="S502" s="678"/>
      <c r="T502" s="678"/>
      <c r="U502" s="678"/>
      <c r="V502" s="678"/>
      <c r="W502" s="678"/>
      <c r="X502" s="678"/>
      <c r="Y502" s="678"/>
      <c r="Z502" s="678"/>
      <c r="AA502" s="678"/>
      <c r="AB502" s="678"/>
      <c r="AC502" s="678"/>
      <c r="AD502" s="678"/>
      <c r="AE502" s="685"/>
      <c r="AF502" s="685"/>
      <c r="AG502" s="685"/>
      <c r="AH502" s="685"/>
      <c r="AI502" s="685"/>
      <c r="AJ502" s="685"/>
      <c r="AK502" s="658"/>
    </row>
    <row r="503" spans="2:37" s="340" customFormat="1">
      <c r="B503" s="341"/>
      <c r="C503" s="842"/>
      <c r="D503" s="342" t="s">
        <v>0</v>
      </c>
      <c r="E503" s="333" t="s">
        <v>27</v>
      </c>
      <c r="F503" s="343">
        <f>E502</f>
        <v>0</v>
      </c>
      <c r="G503" s="344">
        <v>2</v>
      </c>
      <c r="H503" s="344">
        <f>+G503*F503</f>
        <v>0</v>
      </c>
      <c r="I503" s="339"/>
      <c r="J503" s="337"/>
      <c r="K503" s="338"/>
      <c r="L503" s="390"/>
      <c r="M503" s="599"/>
      <c r="N503" s="578">
        <f t="shared" si="152"/>
        <v>0</v>
      </c>
      <c r="O503" s="678">
        <f>+H503/G503</f>
        <v>0</v>
      </c>
      <c r="P503" s="678">
        <f t="shared" ref="P503" si="159">+O503</f>
        <v>0</v>
      </c>
      <c r="Q503" s="678">
        <f>+H503/G503</f>
        <v>0</v>
      </c>
      <c r="R503" s="678">
        <f>+H503/G503</f>
        <v>0</v>
      </c>
      <c r="S503" s="678">
        <f>+H503/G503</f>
        <v>0</v>
      </c>
      <c r="T503" s="678">
        <f>+H503/G503</f>
        <v>0</v>
      </c>
      <c r="U503" s="678">
        <f>+H503/G503</f>
        <v>0</v>
      </c>
      <c r="V503" s="678">
        <f>+H503/G503</f>
        <v>0</v>
      </c>
      <c r="W503" s="678"/>
      <c r="X503" s="678"/>
      <c r="Y503" s="678"/>
      <c r="Z503" s="678"/>
      <c r="AA503" s="678"/>
      <c r="AB503" s="678"/>
      <c r="AC503" s="678"/>
      <c r="AD503" s="678"/>
      <c r="AE503" s="685"/>
      <c r="AF503" s="685"/>
      <c r="AG503" s="685"/>
      <c r="AH503" s="685"/>
      <c r="AI503" s="685"/>
      <c r="AJ503" s="685"/>
      <c r="AK503" s="658"/>
    </row>
    <row r="504" spans="2:37" s="340" customFormat="1">
      <c r="B504" s="341"/>
      <c r="C504" s="842"/>
      <c r="D504" s="342" t="s">
        <v>3</v>
      </c>
      <c r="E504" s="333" t="s">
        <v>27</v>
      </c>
      <c r="F504" s="343">
        <f>E502</f>
        <v>0</v>
      </c>
      <c r="G504" s="344">
        <f>$F$4</f>
        <v>6</v>
      </c>
      <c r="H504" s="344">
        <f>+G504*F504</f>
        <v>0</v>
      </c>
      <c r="I504" s="339"/>
      <c r="J504" s="337"/>
      <c r="K504" s="338"/>
      <c r="L504" s="390"/>
      <c r="M504" s="599"/>
      <c r="N504" s="578">
        <f t="shared" si="152"/>
        <v>0</v>
      </c>
      <c r="O504" s="678"/>
      <c r="P504" s="678"/>
      <c r="Q504" s="678"/>
      <c r="R504" s="678"/>
      <c r="S504" s="678"/>
      <c r="T504" s="678"/>
      <c r="U504" s="678"/>
      <c r="V504" s="678"/>
      <c r="W504" s="678">
        <f>+H504/G504</f>
        <v>0</v>
      </c>
      <c r="X504" s="678">
        <f>+H504/G504</f>
        <v>0</v>
      </c>
      <c r="Y504" s="678">
        <f>+H504/G504</f>
        <v>0</v>
      </c>
      <c r="Z504" s="678">
        <f>+H504/G504</f>
        <v>0</v>
      </c>
      <c r="AA504" s="678">
        <f>+H504/G504</f>
        <v>0</v>
      </c>
      <c r="AB504" s="678">
        <f>+H504/G504</f>
        <v>0</v>
      </c>
      <c r="AC504" s="678"/>
      <c r="AD504" s="678"/>
      <c r="AE504" s="685"/>
      <c r="AF504" s="685"/>
      <c r="AG504" s="685"/>
      <c r="AH504" s="685"/>
      <c r="AI504" s="685"/>
      <c r="AJ504" s="685"/>
      <c r="AK504" s="658"/>
    </row>
    <row r="505" spans="2:37" s="340" customFormat="1">
      <c r="B505" s="341"/>
      <c r="C505" s="842"/>
      <c r="D505" s="342" t="s">
        <v>28</v>
      </c>
      <c r="E505" s="345">
        <f>$H$5</f>
        <v>13.25</v>
      </c>
      <c r="F505" s="343">
        <f>E502/44*1.5</f>
        <v>0</v>
      </c>
      <c r="G505" s="346">
        <f>$F$4</f>
        <v>6</v>
      </c>
      <c r="H505" s="344">
        <f>+G505*F505*E505</f>
        <v>0</v>
      </c>
      <c r="I505" s="339"/>
      <c r="J505" s="337"/>
      <c r="K505" s="338"/>
      <c r="L505" s="390"/>
      <c r="M505" s="599"/>
      <c r="N505" s="578">
        <f t="shared" si="152"/>
        <v>0</v>
      </c>
      <c r="O505" s="678"/>
      <c r="P505" s="678"/>
      <c r="Q505" s="678"/>
      <c r="R505" s="678"/>
      <c r="S505" s="678"/>
      <c r="T505" s="678"/>
      <c r="U505" s="678"/>
      <c r="V505" s="678"/>
      <c r="W505" s="678">
        <f>+H505/G505</f>
        <v>0</v>
      </c>
      <c r="X505" s="678">
        <f t="shared" ref="X505:AB505" si="160">+W505</f>
        <v>0</v>
      </c>
      <c r="Y505" s="678">
        <f t="shared" si="160"/>
        <v>0</v>
      </c>
      <c r="Z505" s="678">
        <f t="shared" si="160"/>
        <v>0</v>
      </c>
      <c r="AA505" s="678">
        <f t="shared" si="160"/>
        <v>0</v>
      </c>
      <c r="AB505" s="678">
        <f t="shared" si="160"/>
        <v>0</v>
      </c>
      <c r="AC505" s="678"/>
      <c r="AD505" s="678"/>
      <c r="AE505" s="685"/>
      <c r="AF505" s="685"/>
      <c r="AG505" s="685"/>
      <c r="AH505" s="685"/>
      <c r="AI505" s="685"/>
      <c r="AJ505" s="685"/>
      <c r="AK505" s="658"/>
    </row>
    <row r="506" spans="2:37" s="340" customFormat="1">
      <c r="B506" s="341"/>
      <c r="C506" s="842"/>
      <c r="D506" s="342" t="s">
        <v>1</v>
      </c>
      <c r="E506" s="347" t="s">
        <v>29</v>
      </c>
      <c r="F506" s="343">
        <f>E502/5*1.5</f>
        <v>0</v>
      </c>
      <c r="G506" s="344">
        <f>$H$3</f>
        <v>0</v>
      </c>
      <c r="H506" s="344">
        <f>+G506*F506</f>
        <v>0</v>
      </c>
      <c r="I506" s="339"/>
      <c r="J506" s="337"/>
      <c r="K506" s="338"/>
      <c r="L506" s="390"/>
      <c r="M506" s="599"/>
      <c r="N506" s="578">
        <f t="shared" si="152"/>
        <v>0</v>
      </c>
      <c r="O506" s="678"/>
      <c r="P506" s="678"/>
      <c r="Q506" s="678"/>
      <c r="R506" s="678"/>
      <c r="S506" s="678"/>
      <c r="T506" s="678"/>
      <c r="U506" s="678"/>
      <c r="V506" s="678"/>
      <c r="W506" s="678"/>
      <c r="X506" s="678"/>
      <c r="Y506" s="678"/>
      <c r="Z506" s="678"/>
      <c r="AA506" s="678"/>
      <c r="AB506" s="678"/>
      <c r="AC506" s="678"/>
      <c r="AD506" s="678"/>
      <c r="AE506" s="685"/>
      <c r="AF506" s="685"/>
      <c r="AG506" s="685"/>
      <c r="AH506" s="685"/>
      <c r="AI506" s="685"/>
      <c r="AJ506" s="685"/>
      <c r="AK506" s="658"/>
    </row>
    <row r="507" spans="2:37" s="340" customFormat="1">
      <c r="B507" s="341"/>
      <c r="C507" s="842"/>
      <c r="D507" s="342" t="s">
        <v>4</v>
      </c>
      <c r="E507" s="347" t="s">
        <v>29</v>
      </c>
      <c r="F507" s="343">
        <f>E502/5*2</f>
        <v>0</v>
      </c>
      <c r="G507" s="344">
        <f>$H$4</f>
        <v>0</v>
      </c>
      <c r="H507" s="344">
        <f>+G507*F507</f>
        <v>0</v>
      </c>
      <c r="I507" s="339"/>
      <c r="J507" s="337"/>
      <c r="K507" s="338"/>
      <c r="L507" s="390"/>
      <c r="M507" s="599"/>
      <c r="N507" s="578">
        <f t="shared" si="152"/>
        <v>0</v>
      </c>
      <c r="O507" s="678"/>
      <c r="P507" s="678"/>
      <c r="Q507" s="678"/>
      <c r="R507" s="678"/>
      <c r="S507" s="678"/>
      <c r="T507" s="678"/>
      <c r="U507" s="678"/>
      <c r="V507" s="678"/>
      <c r="W507" s="678"/>
      <c r="X507" s="678"/>
      <c r="Y507" s="678"/>
      <c r="Z507" s="678"/>
      <c r="AA507" s="678"/>
      <c r="AB507" s="678"/>
      <c r="AC507" s="678"/>
      <c r="AD507" s="678"/>
      <c r="AE507" s="685"/>
      <c r="AF507" s="685"/>
      <c r="AG507" s="685"/>
      <c r="AH507" s="685"/>
      <c r="AI507" s="685"/>
      <c r="AJ507" s="685"/>
      <c r="AK507" s="658"/>
    </row>
    <row r="508" spans="2:37" s="340" customFormat="1">
      <c r="B508" s="341"/>
      <c r="C508" s="842"/>
      <c r="D508" s="342" t="s">
        <v>5</v>
      </c>
      <c r="E508" s="333" t="s">
        <v>27</v>
      </c>
      <c r="F508" s="343">
        <f>E502</f>
        <v>0</v>
      </c>
      <c r="G508" s="344">
        <f>$F$5-5</f>
        <v>-5</v>
      </c>
      <c r="H508" s="344">
        <f>+G508*F508</f>
        <v>0</v>
      </c>
      <c r="I508" s="339"/>
      <c r="J508" s="337"/>
      <c r="K508" s="338"/>
      <c r="L508" s="390"/>
      <c r="M508" s="599"/>
      <c r="N508" s="578">
        <f t="shared" si="152"/>
        <v>0</v>
      </c>
      <c r="O508" s="678"/>
      <c r="P508" s="678"/>
      <c r="Q508" s="678"/>
      <c r="R508" s="678"/>
      <c r="S508" s="678"/>
      <c r="T508" s="678"/>
      <c r="U508" s="678"/>
      <c r="V508" s="678"/>
      <c r="W508" s="678"/>
      <c r="X508" s="678"/>
      <c r="Y508" s="678"/>
      <c r="Z508" s="678"/>
      <c r="AA508" s="678"/>
      <c r="AB508" s="678"/>
      <c r="AC508" s="679">
        <f>+H508</f>
        <v>0</v>
      </c>
      <c r="AD508" s="678"/>
      <c r="AE508" s="685"/>
      <c r="AF508" s="685"/>
      <c r="AG508" s="685"/>
      <c r="AH508" s="685"/>
      <c r="AI508" s="685"/>
      <c r="AJ508" s="685"/>
      <c r="AK508" s="658"/>
    </row>
    <row r="509" spans="2:37" s="340" customFormat="1">
      <c r="B509" s="341"/>
      <c r="C509" s="842"/>
      <c r="D509" s="342" t="s">
        <v>30</v>
      </c>
      <c r="E509" s="347" t="s">
        <v>16</v>
      </c>
      <c r="F509" s="344">
        <f>G503+G504+G508</f>
        <v>3</v>
      </c>
      <c r="G509" s="348" t="s">
        <v>31</v>
      </c>
      <c r="H509" s="344">
        <f>SUM(H503:H508)</f>
        <v>0</v>
      </c>
      <c r="I509" s="339"/>
      <c r="J509" s="337"/>
      <c r="K509" s="338"/>
      <c r="L509" s="390"/>
      <c r="M509" s="599"/>
      <c r="N509" s="578">
        <f t="shared" si="152"/>
        <v>0</v>
      </c>
      <c r="O509" s="678"/>
      <c r="P509" s="678"/>
      <c r="Q509" s="678"/>
      <c r="R509" s="678"/>
      <c r="S509" s="678"/>
      <c r="T509" s="678"/>
      <c r="U509" s="678"/>
      <c r="V509" s="678"/>
      <c r="W509" s="678"/>
      <c r="X509" s="678"/>
      <c r="Y509" s="678"/>
      <c r="Z509" s="678"/>
      <c r="AA509" s="678"/>
      <c r="AB509" s="678"/>
      <c r="AC509" s="678"/>
      <c r="AD509" s="678"/>
      <c r="AE509" s="685"/>
      <c r="AF509" s="685"/>
      <c r="AG509" s="685"/>
      <c r="AH509" s="685"/>
      <c r="AI509" s="685"/>
      <c r="AJ509" s="685"/>
      <c r="AK509" s="658"/>
    </row>
    <row r="510" spans="2:37" s="340" customFormat="1">
      <c r="B510" s="341"/>
      <c r="C510" s="842"/>
      <c r="D510" s="349" t="s">
        <v>32</v>
      </c>
      <c r="E510" s="347" t="s">
        <v>16</v>
      </c>
      <c r="F510" s="343">
        <f>SUM(H503:H508)</f>
        <v>0</v>
      </c>
      <c r="G510" s="350">
        <f>$G$43</f>
        <v>8.3299999999999999E-2</v>
      </c>
      <c r="H510" s="344">
        <f>+G510*F510</f>
        <v>0</v>
      </c>
      <c r="I510" s="351"/>
      <c r="J510" s="337"/>
      <c r="K510" s="338"/>
      <c r="L510" s="390"/>
      <c r="M510" s="599"/>
      <c r="N510" s="578">
        <f t="shared" si="152"/>
        <v>0</v>
      </c>
      <c r="O510" s="679">
        <f t="shared" ref="O510:AC510" si="161">SUM(O501:O509)*$G$54</f>
        <v>0</v>
      </c>
      <c r="P510" s="679">
        <f t="shared" si="161"/>
        <v>0</v>
      </c>
      <c r="Q510" s="679">
        <f t="shared" si="161"/>
        <v>0</v>
      </c>
      <c r="R510" s="679">
        <f t="shared" si="161"/>
        <v>0</v>
      </c>
      <c r="S510" s="679">
        <f t="shared" si="161"/>
        <v>0</v>
      </c>
      <c r="T510" s="679">
        <f t="shared" si="161"/>
        <v>0</v>
      </c>
      <c r="U510" s="679">
        <f t="shared" si="161"/>
        <v>0</v>
      </c>
      <c r="V510" s="679">
        <f t="shared" si="161"/>
        <v>0</v>
      </c>
      <c r="W510" s="679">
        <f t="shared" si="161"/>
        <v>0</v>
      </c>
      <c r="X510" s="679">
        <f t="shared" si="161"/>
        <v>0</v>
      </c>
      <c r="Y510" s="679">
        <f t="shared" si="161"/>
        <v>0</v>
      </c>
      <c r="Z510" s="679">
        <f t="shared" si="161"/>
        <v>0</v>
      </c>
      <c r="AA510" s="679">
        <f t="shared" si="161"/>
        <v>0</v>
      </c>
      <c r="AB510" s="679">
        <f t="shared" si="161"/>
        <v>0</v>
      </c>
      <c r="AC510" s="679">
        <f t="shared" si="161"/>
        <v>0</v>
      </c>
      <c r="AD510" s="678"/>
      <c r="AE510" s="685"/>
      <c r="AF510" s="685"/>
      <c r="AG510" s="685"/>
      <c r="AH510" s="685"/>
      <c r="AI510" s="685"/>
      <c r="AJ510" s="685"/>
      <c r="AK510" s="658"/>
    </row>
    <row r="511" spans="2:37" s="340" customFormat="1">
      <c r="B511" s="341"/>
      <c r="C511" s="842"/>
      <c r="D511" s="349" t="s">
        <v>350</v>
      </c>
      <c r="E511" s="343">
        <f>F510/(5*F509)</f>
        <v>0</v>
      </c>
      <c r="F511" s="343">
        <f>E511*(F509*7)</f>
        <v>0</v>
      </c>
      <c r="G511" s="353">
        <f>$G$44</f>
        <v>20</v>
      </c>
      <c r="H511" s="344">
        <f>F511/G511</f>
        <v>0</v>
      </c>
      <c r="I511" s="352">
        <f>SUM(H509:H511)</f>
        <v>0</v>
      </c>
      <c r="J511" s="337">
        <f>SUM(G503:G511)</f>
        <v>29.083300000000001</v>
      </c>
      <c r="K511" s="338"/>
      <c r="L511" s="390"/>
      <c r="M511" s="599"/>
      <c r="N511" s="578">
        <f t="shared" si="152"/>
        <v>0</v>
      </c>
      <c r="O511" s="678"/>
      <c r="P511" s="678"/>
      <c r="Q511" s="678"/>
      <c r="R511" s="678"/>
      <c r="S511" s="678"/>
      <c r="T511" s="678"/>
      <c r="U511" s="678"/>
      <c r="V511" s="678"/>
      <c r="W511" s="678"/>
      <c r="X511" s="678"/>
      <c r="Y511" s="678"/>
      <c r="Z511" s="678"/>
      <c r="AA511" s="678"/>
      <c r="AB511" s="678">
        <f>+H511</f>
        <v>0</v>
      </c>
      <c r="AC511" s="678"/>
      <c r="AD511" s="678"/>
      <c r="AE511" s="685"/>
      <c r="AF511" s="685"/>
      <c r="AG511" s="685"/>
      <c r="AH511" s="685"/>
      <c r="AI511" s="685"/>
      <c r="AJ511" s="685"/>
      <c r="AK511" s="658"/>
    </row>
    <row r="512" spans="2:37" s="326" customFormat="1">
      <c r="B512" s="327"/>
      <c r="C512" s="843"/>
      <c r="D512" s="328"/>
      <c r="E512" s="329"/>
      <c r="F512" s="330"/>
      <c r="G512" s="331"/>
      <c r="H512" s="324"/>
      <c r="I512" s="325"/>
      <c r="J512" s="322"/>
      <c r="K512" s="323"/>
      <c r="L512" s="391"/>
      <c r="M512" s="600"/>
      <c r="N512" s="578">
        <f t="shared" si="152"/>
        <v>0</v>
      </c>
      <c r="O512" s="678"/>
      <c r="P512" s="678"/>
      <c r="Q512" s="678"/>
      <c r="R512" s="678"/>
      <c r="S512" s="678"/>
      <c r="T512" s="678"/>
      <c r="U512" s="678"/>
      <c r="V512" s="678"/>
      <c r="W512" s="678"/>
      <c r="X512" s="678"/>
      <c r="Y512" s="678"/>
      <c r="Z512" s="678"/>
      <c r="AA512" s="678"/>
      <c r="AB512" s="678"/>
      <c r="AC512" s="678"/>
      <c r="AD512" s="678"/>
      <c r="AE512" s="686"/>
      <c r="AF512" s="686"/>
      <c r="AG512" s="686"/>
      <c r="AH512" s="686"/>
      <c r="AI512" s="686"/>
      <c r="AJ512" s="686"/>
      <c r="AK512" s="658"/>
    </row>
    <row r="513" spans="2:37" s="5" customFormat="1" ht="15" customHeight="1">
      <c r="B513" s="317">
        <v>42</v>
      </c>
      <c r="C513" s="835" t="s">
        <v>904</v>
      </c>
      <c r="D513" s="80" t="s">
        <v>70</v>
      </c>
      <c r="E513" s="81">
        <v>57232.2</v>
      </c>
      <c r="F513" s="74"/>
      <c r="G513" s="75"/>
      <c r="H513" s="82"/>
      <c r="I513" s="83"/>
      <c r="J513" s="52"/>
      <c r="K513" s="156"/>
      <c r="L513" s="383"/>
      <c r="M513" s="542"/>
      <c r="N513" s="578">
        <f t="shared" si="152"/>
        <v>0</v>
      </c>
      <c r="O513" s="678"/>
      <c r="P513" s="678"/>
      <c r="Q513" s="678"/>
      <c r="R513" s="678"/>
      <c r="S513" s="678"/>
      <c r="T513" s="678"/>
      <c r="U513" s="678"/>
      <c r="V513" s="678"/>
      <c r="W513" s="678"/>
      <c r="X513" s="678"/>
      <c r="Y513" s="678"/>
      <c r="Z513" s="678"/>
      <c r="AA513" s="678"/>
      <c r="AB513" s="678"/>
      <c r="AC513" s="678"/>
      <c r="AD513" s="678"/>
      <c r="AE513" s="678"/>
      <c r="AF513" s="678"/>
      <c r="AG513" s="678"/>
      <c r="AH513" s="678"/>
      <c r="AI513" s="678"/>
      <c r="AJ513" s="678"/>
      <c r="AK513" s="658"/>
    </row>
    <row r="514" spans="2:37" s="5" customFormat="1">
      <c r="B514" s="313"/>
      <c r="C514" s="835"/>
      <c r="D514" s="17" t="s">
        <v>0</v>
      </c>
      <c r="E514" s="81" t="s">
        <v>27</v>
      </c>
      <c r="F514" s="84">
        <f>E513</f>
        <v>57232.2</v>
      </c>
      <c r="G514" s="99">
        <v>1</v>
      </c>
      <c r="H514" s="64">
        <f>+G514*F514</f>
        <v>57232.2</v>
      </c>
      <c r="I514" s="79"/>
      <c r="J514" s="52"/>
      <c r="K514" s="156"/>
      <c r="L514" s="383"/>
      <c r="M514" s="542"/>
      <c r="N514" s="578">
        <f t="shared" si="152"/>
        <v>0</v>
      </c>
      <c r="O514" s="678"/>
      <c r="P514" s="678"/>
      <c r="Q514" s="678"/>
      <c r="R514" s="678"/>
      <c r="S514" s="678"/>
      <c r="T514" s="678"/>
      <c r="U514" s="678"/>
      <c r="V514" s="678">
        <f>+H514/G514</f>
        <v>57232.2</v>
      </c>
      <c r="W514" s="678"/>
      <c r="X514" s="678"/>
      <c r="Y514" s="678"/>
      <c r="Z514" s="678"/>
      <c r="AA514" s="678"/>
      <c r="AB514" s="678"/>
      <c r="AC514" s="678"/>
      <c r="AD514" s="678"/>
      <c r="AE514" s="678"/>
      <c r="AF514" s="678"/>
      <c r="AG514" s="678"/>
      <c r="AH514" s="678"/>
      <c r="AI514" s="678"/>
      <c r="AJ514" s="678"/>
      <c r="AK514" s="658"/>
    </row>
    <row r="515" spans="2:37" s="5" customFormat="1">
      <c r="B515" s="313"/>
      <c r="C515" s="835"/>
      <c r="D515" s="17" t="s">
        <v>3</v>
      </c>
      <c r="E515" s="81" t="s">
        <v>27</v>
      </c>
      <c r="F515" s="84">
        <f>E513</f>
        <v>57232.2</v>
      </c>
      <c r="G515" s="64">
        <v>6</v>
      </c>
      <c r="H515" s="64">
        <f>+G515*F515</f>
        <v>343393.19999999995</v>
      </c>
      <c r="I515" s="79"/>
      <c r="J515" s="52"/>
      <c r="K515" s="156"/>
      <c r="L515" s="383"/>
      <c r="M515" s="542"/>
      <c r="N515" s="578">
        <f t="shared" si="152"/>
        <v>0</v>
      </c>
      <c r="O515" s="678"/>
      <c r="P515" s="678"/>
      <c r="Q515" s="678"/>
      <c r="R515" s="678"/>
      <c r="S515" s="678"/>
      <c r="T515" s="678"/>
      <c r="U515" s="678"/>
      <c r="V515" s="678"/>
      <c r="W515" s="678">
        <f>+H515/G515</f>
        <v>57232.19999999999</v>
      </c>
      <c r="X515" s="678">
        <f>+H515/G515</f>
        <v>57232.19999999999</v>
      </c>
      <c r="Y515" s="678">
        <f>+H515/G515</f>
        <v>57232.19999999999</v>
      </c>
      <c r="Z515" s="678">
        <f>+H515/G515</f>
        <v>57232.19999999999</v>
      </c>
      <c r="AA515" s="678">
        <f>+H515/G515</f>
        <v>57232.19999999999</v>
      </c>
      <c r="AB515" s="678">
        <f>+H515/G515</f>
        <v>57232.19999999999</v>
      </c>
      <c r="AC515" s="678"/>
      <c r="AD515" s="678"/>
      <c r="AE515" s="678"/>
      <c r="AF515" s="678"/>
      <c r="AG515" s="678"/>
      <c r="AH515" s="678"/>
      <c r="AI515" s="678"/>
      <c r="AJ515" s="678"/>
      <c r="AK515" s="658"/>
    </row>
    <row r="516" spans="2:37" s="5" customFormat="1">
      <c r="B516" s="313"/>
      <c r="C516" s="835"/>
      <c r="D516" s="17" t="s">
        <v>28</v>
      </c>
      <c r="E516" s="88">
        <f>$H$5+2+2</f>
        <v>17.25</v>
      </c>
      <c r="F516" s="84">
        <f>E513/44*1.5</f>
        <v>1951.0977272727273</v>
      </c>
      <c r="G516" s="87">
        <v>6</v>
      </c>
      <c r="H516" s="64">
        <f>+G516*F516*E516</f>
        <v>201938.61477272731</v>
      </c>
      <c r="I516" s="79"/>
      <c r="J516" s="52"/>
      <c r="K516" s="156"/>
      <c r="L516" s="383"/>
      <c r="M516" s="542"/>
      <c r="N516" s="578">
        <f t="shared" si="152"/>
        <v>0</v>
      </c>
      <c r="O516" s="678"/>
      <c r="P516" s="678"/>
      <c r="Q516" s="678"/>
      <c r="R516" s="678"/>
      <c r="S516" s="678"/>
      <c r="T516" s="678"/>
      <c r="U516" s="678"/>
      <c r="V516" s="678"/>
      <c r="W516" s="678">
        <f>+H516/G516</f>
        <v>33656.435795454548</v>
      </c>
      <c r="X516" s="678">
        <f t="shared" ref="X516:AB516" si="162">+W516</f>
        <v>33656.435795454548</v>
      </c>
      <c r="Y516" s="678">
        <f t="shared" si="162"/>
        <v>33656.435795454548</v>
      </c>
      <c r="Z516" s="678">
        <f t="shared" si="162"/>
        <v>33656.435795454548</v>
      </c>
      <c r="AA516" s="678">
        <f t="shared" si="162"/>
        <v>33656.435795454548</v>
      </c>
      <c r="AB516" s="678">
        <f t="shared" si="162"/>
        <v>33656.435795454548</v>
      </c>
      <c r="AC516" s="678"/>
      <c r="AD516" s="678"/>
      <c r="AE516" s="678"/>
      <c r="AF516" s="678"/>
      <c r="AG516" s="678"/>
      <c r="AH516" s="678"/>
      <c r="AI516" s="678"/>
      <c r="AJ516" s="678"/>
      <c r="AK516" s="658"/>
    </row>
    <row r="517" spans="2:37" s="5" customFormat="1">
      <c r="B517" s="313"/>
      <c r="C517" s="835"/>
      <c r="D517" s="17" t="s">
        <v>1</v>
      </c>
      <c r="E517" s="67" t="s">
        <v>29</v>
      </c>
      <c r="F517" s="84">
        <f>E513/5*1.5</f>
        <v>17169.659999999996</v>
      </c>
      <c r="G517" s="64">
        <f>$H$3</f>
        <v>0</v>
      </c>
      <c r="H517" s="64">
        <f>+G517*F517</f>
        <v>0</v>
      </c>
      <c r="I517" s="79"/>
      <c r="J517" s="52"/>
      <c r="K517" s="156"/>
      <c r="L517" s="383"/>
      <c r="M517" s="542"/>
      <c r="N517" s="578">
        <f t="shared" si="152"/>
        <v>0</v>
      </c>
      <c r="O517" s="678"/>
      <c r="P517" s="678"/>
      <c r="Q517" s="678"/>
      <c r="R517" s="678"/>
      <c r="S517" s="678"/>
      <c r="T517" s="678"/>
      <c r="U517" s="678"/>
      <c r="V517" s="678"/>
      <c r="W517" s="678"/>
      <c r="X517" s="678"/>
      <c r="Y517" s="678"/>
      <c r="Z517" s="678"/>
      <c r="AA517" s="678"/>
      <c r="AB517" s="678"/>
      <c r="AC517" s="678"/>
      <c r="AD517" s="678"/>
      <c r="AE517" s="678"/>
      <c r="AF517" s="678"/>
      <c r="AG517" s="678"/>
      <c r="AH517" s="678"/>
      <c r="AI517" s="678"/>
      <c r="AJ517" s="678"/>
      <c r="AK517" s="658"/>
    </row>
    <row r="518" spans="2:37" s="5" customFormat="1">
      <c r="B518" s="313"/>
      <c r="C518" s="835"/>
      <c r="D518" s="17" t="s">
        <v>4</v>
      </c>
      <c r="E518" s="67" t="s">
        <v>29</v>
      </c>
      <c r="F518" s="84">
        <f>E513/5*2</f>
        <v>22892.879999999997</v>
      </c>
      <c r="G518" s="64">
        <f>$H$4</f>
        <v>0</v>
      </c>
      <c r="H518" s="64">
        <f>+G518*F518</f>
        <v>0</v>
      </c>
      <c r="I518" s="79"/>
      <c r="J518" s="52"/>
      <c r="K518" s="156"/>
      <c r="L518" s="383"/>
      <c r="M518" s="542"/>
      <c r="N518" s="578">
        <f t="shared" si="152"/>
        <v>0</v>
      </c>
      <c r="O518" s="678"/>
      <c r="P518" s="678"/>
      <c r="Q518" s="678"/>
      <c r="R518" s="678"/>
      <c r="S518" s="678"/>
      <c r="T518" s="678"/>
      <c r="U518" s="678"/>
      <c r="V518" s="678"/>
      <c r="W518" s="678"/>
      <c r="X518" s="678"/>
      <c r="Y518" s="678"/>
      <c r="Z518" s="678"/>
      <c r="AA518" s="678"/>
      <c r="AB518" s="678"/>
      <c r="AC518" s="678"/>
      <c r="AD518" s="678"/>
      <c r="AE518" s="678"/>
      <c r="AF518" s="678"/>
      <c r="AG518" s="678"/>
      <c r="AH518" s="678"/>
      <c r="AI518" s="678"/>
      <c r="AJ518" s="678"/>
      <c r="AK518" s="658"/>
    </row>
    <row r="519" spans="2:37" s="5" customFormat="1">
      <c r="B519" s="313"/>
      <c r="C519" s="835"/>
      <c r="D519" s="17" t="s">
        <v>5</v>
      </c>
      <c r="E519" s="81" t="s">
        <v>27</v>
      </c>
      <c r="F519" s="84">
        <f>E513</f>
        <v>57232.2</v>
      </c>
      <c r="G519" s="64">
        <f>$F$5-$F$5</f>
        <v>0</v>
      </c>
      <c r="H519" s="64">
        <f>+G519*F519</f>
        <v>0</v>
      </c>
      <c r="I519" s="79"/>
      <c r="J519" s="52"/>
      <c r="K519" s="156"/>
      <c r="L519" s="383"/>
      <c r="M519" s="542"/>
      <c r="N519" s="578">
        <f t="shared" si="152"/>
        <v>0</v>
      </c>
      <c r="O519" s="678"/>
      <c r="P519" s="678"/>
      <c r="Q519" s="678"/>
      <c r="R519" s="678"/>
      <c r="S519" s="678"/>
      <c r="T519" s="678"/>
      <c r="U519" s="678"/>
      <c r="V519" s="678"/>
      <c r="W519" s="678"/>
      <c r="X519" s="678"/>
      <c r="Y519" s="678"/>
      <c r="Z519" s="678"/>
      <c r="AA519" s="678"/>
      <c r="AB519" s="678"/>
      <c r="AC519" s="679">
        <f>+H519</f>
        <v>0</v>
      </c>
      <c r="AD519" s="678"/>
      <c r="AE519" s="678"/>
      <c r="AF519" s="678"/>
      <c r="AG519" s="678"/>
      <c r="AH519" s="678"/>
      <c r="AI519" s="678"/>
      <c r="AJ519" s="678"/>
      <c r="AK519" s="658"/>
    </row>
    <row r="520" spans="2:37" s="5" customFormat="1">
      <c r="B520" s="313"/>
      <c r="C520" s="835"/>
      <c r="D520" s="17" t="s">
        <v>30</v>
      </c>
      <c r="E520" s="67" t="s">
        <v>16</v>
      </c>
      <c r="F520" s="101">
        <f>G514+G515+G519</f>
        <v>7</v>
      </c>
      <c r="G520" s="68" t="s">
        <v>31</v>
      </c>
      <c r="H520" s="64">
        <f>SUM(H514:H519)</f>
        <v>602564.01477272727</v>
      </c>
      <c r="I520" s="79"/>
      <c r="J520" s="52"/>
      <c r="K520" s="156"/>
      <c r="L520" s="383"/>
      <c r="M520" s="542"/>
      <c r="N520" s="578">
        <f t="shared" si="152"/>
        <v>-602564.01477272727</v>
      </c>
      <c r="O520" s="678"/>
      <c r="P520" s="678"/>
      <c r="Q520" s="678"/>
      <c r="R520" s="678"/>
      <c r="S520" s="678"/>
      <c r="T520" s="678"/>
      <c r="U520" s="678"/>
      <c r="V520" s="678"/>
      <c r="W520" s="678"/>
      <c r="X520" s="678"/>
      <c r="Y520" s="678"/>
      <c r="Z520" s="678"/>
      <c r="AA520" s="678"/>
      <c r="AB520" s="678"/>
      <c r="AC520" s="678"/>
      <c r="AD520" s="678"/>
      <c r="AE520" s="678"/>
      <c r="AF520" s="678"/>
      <c r="AG520" s="678"/>
      <c r="AH520" s="678"/>
      <c r="AI520" s="678"/>
      <c r="AJ520" s="678"/>
      <c r="AK520" s="658"/>
    </row>
    <row r="521" spans="2:37" s="5" customFormat="1">
      <c r="B521" s="313"/>
      <c r="C521" s="835"/>
      <c r="D521" s="19" t="s">
        <v>32</v>
      </c>
      <c r="E521" s="67" t="s">
        <v>16</v>
      </c>
      <c r="F521" s="84">
        <f>SUM(H514:H519)</f>
        <v>602564.01477272727</v>
      </c>
      <c r="G521" s="92">
        <f>$G$43</f>
        <v>8.3299999999999999E-2</v>
      </c>
      <c r="H521" s="64">
        <f>+G521*F521</f>
        <v>50193.582430568182</v>
      </c>
      <c r="I521" s="93"/>
      <c r="J521" s="52"/>
      <c r="K521" s="156"/>
      <c r="L521" s="383"/>
      <c r="M521" s="542"/>
      <c r="N521" s="578">
        <f t="shared" si="152"/>
        <v>0</v>
      </c>
      <c r="O521" s="679">
        <f t="shared" ref="O521:AC521" si="163">SUM(O512:O520)*$G$54</f>
        <v>0</v>
      </c>
      <c r="P521" s="679">
        <f t="shared" si="163"/>
        <v>0</v>
      </c>
      <c r="Q521" s="679">
        <f t="shared" si="163"/>
        <v>0</v>
      </c>
      <c r="R521" s="679">
        <f t="shared" si="163"/>
        <v>0</v>
      </c>
      <c r="S521" s="679">
        <f t="shared" si="163"/>
        <v>0</v>
      </c>
      <c r="T521" s="679">
        <f t="shared" si="163"/>
        <v>0</v>
      </c>
      <c r="U521" s="679">
        <f t="shared" si="163"/>
        <v>0</v>
      </c>
      <c r="V521" s="679">
        <f t="shared" si="163"/>
        <v>4767.4422599999998</v>
      </c>
      <c r="W521" s="679">
        <f t="shared" si="163"/>
        <v>7571.023361761363</v>
      </c>
      <c r="X521" s="679">
        <f t="shared" si="163"/>
        <v>7571.023361761363</v>
      </c>
      <c r="Y521" s="679">
        <f t="shared" si="163"/>
        <v>7571.023361761363</v>
      </c>
      <c r="Z521" s="679">
        <f t="shared" si="163"/>
        <v>7571.023361761363</v>
      </c>
      <c r="AA521" s="679">
        <f t="shared" si="163"/>
        <v>7571.023361761363</v>
      </c>
      <c r="AB521" s="679">
        <f t="shared" si="163"/>
        <v>7571.023361761363</v>
      </c>
      <c r="AC521" s="679">
        <f t="shared" si="163"/>
        <v>0</v>
      </c>
      <c r="AD521" s="678"/>
      <c r="AE521" s="678"/>
      <c r="AF521" s="678"/>
      <c r="AG521" s="678"/>
      <c r="AH521" s="678"/>
      <c r="AI521" s="678"/>
      <c r="AJ521" s="678"/>
      <c r="AK521" s="658"/>
    </row>
    <row r="522" spans="2:37" s="5" customFormat="1">
      <c r="B522" s="313"/>
      <c r="C522" s="835"/>
      <c r="D522" s="19" t="s">
        <v>33</v>
      </c>
      <c r="E522" s="84">
        <f>F521/(5*F520)</f>
        <v>17216.114707792207</v>
      </c>
      <c r="F522" s="84">
        <f>E522*(F520*7)</f>
        <v>843589.62068181811</v>
      </c>
      <c r="G522" s="95">
        <f>$G$44</f>
        <v>20</v>
      </c>
      <c r="H522" s="64">
        <f>F522/G522</f>
        <v>42179.481034090903</v>
      </c>
      <c r="I522" s="72">
        <f>SUM(H520:H522)</f>
        <v>694937.0782373863</v>
      </c>
      <c r="J522" s="52">
        <f>SUM(G514:G522)</f>
        <v>33.083300000000001</v>
      </c>
      <c r="K522" s="156"/>
      <c r="L522" s="383"/>
      <c r="M522" s="542"/>
      <c r="N522" s="578">
        <f t="shared" si="152"/>
        <v>0</v>
      </c>
      <c r="O522" s="678"/>
      <c r="P522" s="678"/>
      <c r="Q522" s="678"/>
      <c r="R522" s="678"/>
      <c r="S522" s="678"/>
      <c r="T522" s="678"/>
      <c r="U522" s="678"/>
      <c r="V522" s="678"/>
      <c r="W522" s="678"/>
      <c r="X522" s="678"/>
      <c r="Y522" s="678"/>
      <c r="Z522" s="678"/>
      <c r="AA522" s="678"/>
      <c r="AB522" s="678">
        <f>+H522</f>
        <v>42179.481034090903</v>
      </c>
      <c r="AC522" s="678"/>
      <c r="AD522" s="678"/>
      <c r="AE522" s="678"/>
      <c r="AF522" s="678"/>
      <c r="AG522" s="678"/>
      <c r="AH522" s="678"/>
      <c r="AI522" s="678"/>
      <c r="AJ522" s="678"/>
      <c r="AK522" s="658"/>
    </row>
    <row r="523" spans="2:37" s="5" customFormat="1">
      <c r="B523" s="313"/>
      <c r="C523" s="835"/>
      <c r="D523" s="96"/>
      <c r="E523" s="9"/>
      <c r="F523" s="74"/>
      <c r="G523" s="97"/>
      <c r="H523" s="78"/>
      <c r="I523" s="79"/>
      <c r="J523" s="52"/>
      <c r="K523" s="156"/>
      <c r="L523" s="383"/>
      <c r="M523" s="542"/>
      <c r="N523" s="578">
        <f t="shared" si="152"/>
        <v>0</v>
      </c>
      <c r="O523" s="678"/>
      <c r="P523" s="678"/>
      <c r="Q523" s="678"/>
      <c r="R523" s="678"/>
      <c r="S523" s="678"/>
      <c r="T523" s="678"/>
      <c r="U523" s="678"/>
      <c r="V523" s="678"/>
      <c r="W523" s="678"/>
      <c r="X523" s="678"/>
      <c r="Y523" s="678"/>
      <c r="Z523" s="678"/>
      <c r="AA523" s="678"/>
      <c r="AB523" s="678"/>
      <c r="AC523" s="678"/>
      <c r="AD523" s="678"/>
      <c r="AE523" s="678"/>
      <c r="AF523" s="678"/>
      <c r="AG523" s="678"/>
      <c r="AH523" s="678"/>
      <c r="AI523" s="678"/>
      <c r="AJ523" s="678"/>
      <c r="AK523" s="658"/>
    </row>
    <row r="524" spans="2:37" s="5" customFormat="1" ht="15" customHeight="1">
      <c r="B524" s="317">
        <v>43</v>
      </c>
      <c r="C524" s="835" t="s">
        <v>905</v>
      </c>
      <c r="D524" s="80" t="s">
        <v>71</v>
      </c>
      <c r="E524" s="81">
        <v>49772.05</v>
      </c>
      <c r="F524" s="74"/>
      <c r="G524" s="75"/>
      <c r="H524" s="82"/>
      <c r="I524" s="83"/>
      <c r="J524" s="52"/>
      <c r="K524" s="156"/>
      <c r="L524" s="383"/>
      <c r="M524" s="542"/>
      <c r="N524" s="578">
        <f t="shared" si="152"/>
        <v>0</v>
      </c>
      <c r="O524" s="678"/>
      <c r="P524" s="678"/>
      <c r="Q524" s="678"/>
      <c r="R524" s="678"/>
      <c r="S524" s="678"/>
      <c r="T524" s="678"/>
      <c r="U524" s="678"/>
      <c r="V524" s="678"/>
      <c r="W524" s="678"/>
      <c r="X524" s="678"/>
      <c r="Y524" s="678"/>
      <c r="Z524" s="678"/>
      <c r="AA524" s="678"/>
      <c r="AB524" s="678"/>
      <c r="AC524" s="678"/>
      <c r="AD524" s="678"/>
      <c r="AE524" s="678"/>
      <c r="AF524" s="678"/>
      <c r="AG524" s="678"/>
      <c r="AH524" s="678"/>
      <c r="AI524" s="678"/>
      <c r="AJ524" s="678"/>
      <c r="AK524" s="658"/>
    </row>
    <row r="525" spans="2:37" s="5" customFormat="1">
      <c r="B525" s="313"/>
      <c r="C525" s="835"/>
      <c r="D525" s="17" t="s">
        <v>0</v>
      </c>
      <c r="E525" s="81" t="s">
        <v>27</v>
      </c>
      <c r="F525" s="84">
        <f>E524</f>
        <v>49772.05</v>
      </c>
      <c r="G525" s="99">
        <v>1</v>
      </c>
      <c r="H525" s="64">
        <f>+G525*F525</f>
        <v>49772.05</v>
      </c>
      <c r="I525" s="79"/>
      <c r="J525" s="52"/>
      <c r="K525" s="156"/>
      <c r="L525" s="383"/>
      <c r="M525" s="542"/>
      <c r="N525" s="578">
        <f t="shared" si="152"/>
        <v>0</v>
      </c>
      <c r="O525" s="678"/>
      <c r="P525" s="678"/>
      <c r="Q525" s="678"/>
      <c r="R525" s="678"/>
      <c r="S525" s="678"/>
      <c r="T525" s="678"/>
      <c r="U525" s="678"/>
      <c r="V525" s="678">
        <f>+H525/G525</f>
        <v>49772.05</v>
      </c>
      <c r="W525" s="678"/>
      <c r="X525" s="678"/>
      <c r="Y525" s="678"/>
      <c r="Z525" s="678"/>
      <c r="AA525" s="678"/>
      <c r="AB525" s="678"/>
      <c r="AC525" s="678"/>
      <c r="AD525" s="678"/>
      <c r="AE525" s="678"/>
      <c r="AF525" s="678"/>
      <c r="AG525" s="678"/>
      <c r="AH525" s="678"/>
      <c r="AI525" s="678"/>
      <c r="AJ525" s="678"/>
      <c r="AK525" s="658"/>
    </row>
    <row r="526" spans="2:37" s="5" customFormat="1">
      <c r="B526" s="313"/>
      <c r="C526" s="835"/>
      <c r="D526" s="17" t="s">
        <v>3</v>
      </c>
      <c r="E526" s="81" t="s">
        <v>27</v>
      </c>
      <c r="F526" s="84">
        <f>E524</f>
        <v>49772.05</v>
      </c>
      <c r="G526" s="64">
        <v>6</v>
      </c>
      <c r="H526" s="64">
        <f>+G526*F526</f>
        <v>298632.30000000005</v>
      </c>
      <c r="I526" s="79"/>
      <c r="J526" s="52"/>
      <c r="K526" s="156"/>
      <c r="L526" s="383"/>
      <c r="M526" s="542"/>
      <c r="N526" s="578">
        <f t="shared" si="152"/>
        <v>0</v>
      </c>
      <c r="O526" s="678"/>
      <c r="P526" s="678"/>
      <c r="Q526" s="678"/>
      <c r="R526" s="678"/>
      <c r="S526" s="678"/>
      <c r="T526" s="678"/>
      <c r="U526" s="678"/>
      <c r="V526" s="678"/>
      <c r="W526" s="678">
        <f>+H526/G526</f>
        <v>49772.05000000001</v>
      </c>
      <c r="X526" s="678">
        <f>+H526/G526</f>
        <v>49772.05000000001</v>
      </c>
      <c r="Y526" s="678">
        <f>+H526/G526</f>
        <v>49772.05000000001</v>
      </c>
      <c r="Z526" s="678">
        <f>+H526/G526</f>
        <v>49772.05000000001</v>
      </c>
      <c r="AA526" s="678">
        <f>+H526/G526</f>
        <v>49772.05000000001</v>
      </c>
      <c r="AB526" s="678">
        <f>+H526/G526</f>
        <v>49772.05000000001</v>
      </c>
      <c r="AC526" s="678"/>
      <c r="AD526" s="678"/>
      <c r="AE526" s="678"/>
      <c r="AF526" s="678"/>
      <c r="AG526" s="678"/>
      <c r="AH526" s="678"/>
      <c r="AI526" s="678"/>
      <c r="AJ526" s="678"/>
      <c r="AK526" s="658"/>
    </row>
    <row r="527" spans="2:37" s="5" customFormat="1">
      <c r="B527" s="313"/>
      <c r="C527" s="835"/>
      <c r="D527" s="17" t="s">
        <v>28</v>
      </c>
      <c r="E527" s="88">
        <f>$H$5+2+2</f>
        <v>17.25</v>
      </c>
      <c r="F527" s="84">
        <f>E524/44*1.5</f>
        <v>1696.7744318181817</v>
      </c>
      <c r="G527" s="87">
        <v>6</v>
      </c>
      <c r="H527" s="64">
        <f>+G527*F527*E527</f>
        <v>175616.15369318181</v>
      </c>
      <c r="I527" s="79"/>
      <c r="J527" s="52"/>
      <c r="K527" s="156"/>
      <c r="L527" s="383"/>
      <c r="M527" s="542"/>
      <c r="N527" s="578">
        <f t="shared" si="152"/>
        <v>0</v>
      </c>
      <c r="O527" s="678"/>
      <c r="P527" s="678"/>
      <c r="Q527" s="678"/>
      <c r="R527" s="678"/>
      <c r="S527" s="678"/>
      <c r="T527" s="678"/>
      <c r="U527" s="678"/>
      <c r="V527" s="678"/>
      <c r="W527" s="678">
        <f>+H527/G527</f>
        <v>29269.358948863635</v>
      </c>
      <c r="X527" s="678">
        <f t="shared" ref="X527:AB527" si="164">+W527</f>
        <v>29269.358948863635</v>
      </c>
      <c r="Y527" s="678">
        <f t="shared" si="164"/>
        <v>29269.358948863635</v>
      </c>
      <c r="Z527" s="678">
        <f t="shared" si="164"/>
        <v>29269.358948863635</v>
      </c>
      <c r="AA527" s="678">
        <f t="shared" si="164"/>
        <v>29269.358948863635</v>
      </c>
      <c r="AB527" s="678">
        <f t="shared" si="164"/>
        <v>29269.358948863635</v>
      </c>
      <c r="AC527" s="678"/>
      <c r="AD527" s="678"/>
      <c r="AE527" s="678"/>
      <c r="AF527" s="678"/>
      <c r="AG527" s="678"/>
      <c r="AH527" s="678"/>
      <c r="AI527" s="678"/>
      <c r="AJ527" s="678"/>
      <c r="AK527" s="658"/>
    </row>
    <row r="528" spans="2:37" s="5" customFormat="1">
      <c r="B528" s="313"/>
      <c r="C528" s="835"/>
      <c r="D528" s="17" t="s">
        <v>1</v>
      </c>
      <c r="E528" s="67" t="s">
        <v>29</v>
      </c>
      <c r="F528" s="84">
        <f>E524/5*1.5</f>
        <v>14931.615</v>
      </c>
      <c r="G528" s="64">
        <f>$H$3</f>
        <v>0</v>
      </c>
      <c r="H528" s="64">
        <f>+G528*F528</f>
        <v>0</v>
      </c>
      <c r="I528" s="79"/>
      <c r="J528" s="52"/>
      <c r="K528" s="156"/>
      <c r="L528" s="383"/>
      <c r="M528" s="542"/>
      <c r="N528" s="578">
        <f t="shared" si="152"/>
        <v>0</v>
      </c>
      <c r="O528" s="678"/>
      <c r="P528" s="678"/>
      <c r="Q528" s="678"/>
      <c r="R528" s="678"/>
      <c r="S528" s="678"/>
      <c r="T528" s="678"/>
      <c r="U528" s="678"/>
      <c r="V528" s="678"/>
      <c r="W528" s="678"/>
      <c r="X528" s="678"/>
      <c r="Y528" s="678"/>
      <c r="Z528" s="678"/>
      <c r="AA528" s="678"/>
      <c r="AB528" s="678"/>
      <c r="AC528" s="678"/>
      <c r="AD528" s="678"/>
      <c r="AE528" s="678"/>
      <c r="AF528" s="678"/>
      <c r="AG528" s="678"/>
      <c r="AH528" s="678"/>
      <c r="AI528" s="678"/>
      <c r="AJ528" s="678"/>
      <c r="AK528" s="658"/>
    </row>
    <row r="529" spans="2:37" s="5" customFormat="1">
      <c r="B529" s="313"/>
      <c r="C529" s="835"/>
      <c r="D529" s="17" t="s">
        <v>4</v>
      </c>
      <c r="E529" s="67" t="s">
        <v>29</v>
      </c>
      <c r="F529" s="84">
        <f>E524/5*2</f>
        <v>19908.82</v>
      </c>
      <c r="G529" s="64">
        <f>$H$4</f>
        <v>0</v>
      </c>
      <c r="H529" s="64">
        <f>+G529*F529</f>
        <v>0</v>
      </c>
      <c r="I529" s="79"/>
      <c r="J529" s="52"/>
      <c r="K529" s="156"/>
      <c r="L529" s="383"/>
      <c r="M529" s="542"/>
      <c r="N529" s="578">
        <f t="shared" si="152"/>
        <v>0</v>
      </c>
      <c r="O529" s="678"/>
      <c r="P529" s="678"/>
      <c r="Q529" s="678"/>
      <c r="R529" s="678"/>
      <c r="S529" s="678"/>
      <c r="T529" s="678"/>
      <c r="U529" s="678"/>
      <c r="V529" s="678"/>
      <c r="W529" s="678"/>
      <c r="X529" s="678"/>
      <c r="Y529" s="678"/>
      <c r="Z529" s="678"/>
      <c r="AA529" s="678"/>
      <c r="AB529" s="678"/>
      <c r="AC529" s="678"/>
      <c r="AD529" s="678"/>
      <c r="AE529" s="678"/>
      <c r="AF529" s="678"/>
      <c r="AG529" s="678"/>
      <c r="AH529" s="678"/>
      <c r="AI529" s="678"/>
      <c r="AJ529" s="678"/>
      <c r="AK529" s="658"/>
    </row>
    <row r="530" spans="2:37" s="5" customFormat="1">
      <c r="B530" s="313"/>
      <c r="C530" s="835"/>
      <c r="D530" s="17" t="s">
        <v>5</v>
      </c>
      <c r="E530" s="81" t="s">
        <v>27</v>
      </c>
      <c r="F530" s="84">
        <f>E524</f>
        <v>49772.05</v>
      </c>
      <c r="G530" s="64">
        <f>$F$5-$F$5</f>
        <v>0</v>
      </c>
      <c r="H530" s="64">
        <f>+G530*F530</f>
        <v>0</v>
      </c>
      <c r="I530" s="79"/>
      <c r="J530" s="52"/>
      <c r="K530" s="156"/>
      <c r="L530" s="383"/>
      <c r="M530" s="542"/>
      <c r="N530" s="578">
        <f t="shared" si="152"/>
        <v>0</v>
      </c>
      <c r="O530" s="678"/>
      <c r="P530" s="678"/>
      <c r="Q530" s="678"/>
      <c r="R530" s="678"/>
      <c r="S530" s="678"/>
      <c r="T530" s="678"/>
      <c r="U530" s="678"/>
      <c r="V530" s="678"/>
      <c r="W530" s="678"/>
      <c r="X530" s="678"/>
      <c r="Y530" s="678"/>
      <c r="Z530" s="678"/>
      <c r="AA530" s="678"/>
      <c r="AB530" s="678"/>
      <c r="AC530" s="679">
        <f>+H530</f>
        <v>0</v>
      </c>
      <c r="AD530" s="678"/>
      <c r="AE530" s="678"/>
      <c r="AF530" s="678"/>
      <c r="AG530" s="678"/>
      <c r="AH530" s="678"/>
      <c r="AI530" s="678"/>
      <c r="AJ530" s="678"/>
      <c r="AK530" s="658"/>
    </row>
    <row r="531" spans="2:37" s="5" customFormat="1">
      <c r="B531" s="313"/>
      <c r="C531" s="835"/>
      <c r="D531" s="17" t="s">
        <v>30</v>
      </c>
      <c r="E531" s="67" t="s">
        <v>16</v>
      </c>
      <c r="F531" s="101">
        <f>G525+G526+G530</f>
        <v>7</v>
      </c>
      <c r="G531" s="68" t="s">
        <v>31</v>
      </c>
      <c r="H531" s="64">
        <f>SUM(H525:H530)</f>
        <v>524020.50369318185</v>
      </c>
      <c r="I531" s="79"/>
      <c r="J531" s="52"/>
      <c r="K531" s="156"/>
      <c r="L531" s="383"/>
      <c r="M531" s="542"/>
      <c r="N531" s="578">
        <f t="shared" si="152"/>
        <v>-524020.50369318185</v>
      </c>
      <c r="O531" s="678"/>
      <c r="P531" s="678"/>
      <c r="Q531" s="678"/>
      <c r="R531" s="678"/>
      <c r="S531" s="678"/>
      <c r="T531" s="678"/>
      <c r="U531" s="678"/>
      <c r="V531" s="678"/>
      <c r="W531" s="678"/>
      <c r="X531" s="678"/>
      <c r="Y531" s="678"/>
      <c r="Z531" s="678"/>
      <c r="AA531" s="678"/>
      <c r="AB531" s="678"/>
      <c r="AC531" s="678"/>
      <c r="AD531" s="678"/>
      <c r="AE531" s="678"/>
      <c r="AF531" s="678"/>
      <c r="AG531" s="678"/>
      <c r="AH531" s="678"/>
      <c r="AI531" s="678"/>
      <c r="AJ531" s="678"/>
      <c r="AK531" s="658"/>
    </row>
    <row r="532" spans="2:37" s="5" customFormat="1">
      <c r="B532" s="313"/>
      <c r="C532" s="835"/>
      <c r="D532" s="19" t="s">
        <v>32</v>
      </c>
      <c r="E532" s="67" t="s">
        <v>16</v>
      </c>
      <c r="F532" s="84">
        <f>SUM(H525:H530)</f>
        <v>524020.50369318185</v>
      </c>
      <c r="G532" s="92">
        <f>$G$43</f>
        <v>8.3299999999999999E-2</v>
      </c>
      <c r="H532" s="64">
        <f>+G532*F532</f>
        <v>43650.907957642048</v>
      </c>
      <c r="I532" s="93"/>
      <c r="J532" s="52"/>
      <c r="K532" s="156"/>
      <c r="L532" s="383"/>
      <c r="M532" s="542"/>
      <c r="N532" s="578">
        <f t="shared" si="152"/>
        <v>0</v>
      </c>
      <c r="O532" s="679">
        <f t="shared" ref="O532:AC532" si="165">SUM(O523:O531)*$G$54</f>
        <v>0</v>
      </c>
      <c r="P532" s="679">
        <f t="shared" si="165"/>
        <v>0</v>
      </c>
      <c r="Q532" s="679">
        <f t="shared" si="165"/>
        <v>0</v>
      </c>
      <c r="R532" s="679">
        <f t="shared" si="165"/>
        <v>0</v>
      </c>
      <c r="S532" s="679">
        <f t="shared" si="165"/>
        <v>0</v>
      </c>
      <c r="T532" s="679">
        <f t="shared" si="165"/>
        <v>0</v>
      </c>
      <c r="U532" s="679">
        <f t="shared" si="165"/>
        <v>0</v>
      </c>
      <c r="V532" s="679">
        <f t="shared" si="165"/>
        <v>4146.0117650000002</v>
      </c>
      <c r="W532" s="679">
        <f t="shared" si="165"/>
        <v>6584.1493654403421</v>
      </c>
      <c r="X532" s="679">
        <f t="shared" si="165"/>
        <v>6584.1493654403421</v>
      </c>
      <c r="Y532" s="679">
        <f t="shared" si="165"/>
        <v>6584.1493654403421</v>
      </c>
      <c r="Z532" s="679">
        <f t="shared" si="165"/>
        <v>6584.1493654403421</v>
      </c>
      <c r="AA532" s="679">
        <f t="shared" si="165"/>
        <v>6584.1493654403421</v>
      </c>
      <c r="AB532" s="679">
        <f t="shared" si="165"/>
        <v>6584.1493654403421</v>
      </c>
      <c r="AC532" s="679">
        <f t="shared" si="165"/>
        <v>0</v>
      </c>
      <c r="AD532" s="678"/>
      <c r="AE532" s="678"/>
      <c r="AF532" s="678"/>
      <c r="AG532" s="678"/>
      <c r="AH532" s="678"/>
      <c r="AI532" s="678"/>
      <c r="AJ532" s="678"/>
      <c r="AK532" s="658"/>
    </row>
    <row r="533" spans="2:37" s="5" customFormat="1">
      <c r="B533" s="313"/>
      <c r="C533" s="835"/>
      <c r="D533" s="19" t="s">
        <v>33</v>
      </c>
      <c r="E533" s="84">
        <f>F532/(5*F531)</f>
        <v>14972.014391233766</v>
      </c>
      <c r="F533" s="84">
        <f>E533*(F531*7)</f>
        <v>733628.70517045457</v>
      </c>
      <c r="G533" s="95">
        <f>$G$44</f>
        <v>20</v>
      </c>
      <c r="H533" s="64">
        <f>F533/G533</f>
        <v>36681.435258522732</v>
      </c>
      <c r="I533" s="72">
        <f>SUM(H531:H533)</f>
        <v>604352.84690934664</v>
      </c>
      <c r="J533" s="52">
        <f>SUM(G525:G533)</f>
        <v>33.083300000000001</v>
      </c>
      <c r="K533" s="156"/>
      <c r="L533" s="383"/>
      <c r="M533" s="542"/>
      <c r="N533" s="578">
        <f t="shared" si="152"/>
        <v>0</v>
      </c>
      <c r="O533" s="678"/>
      <c r="P533" s="678"/>
      <c r="Q533" s="678"/>
      <c r="R533" s="678"/>
      <c r="S533" s="678"/>
      <c r="T533" s="678"/>
      <c r="U533" s="678"/>
      <c r="V533" s="678"/>
      <c r="W533" s="678"/>
      <c r="X533" s="678"/>
      <c r="Y533" s="678"/>
      <c r="Z533" s="678"/>
      <c r="AA533" s="678"/>
      <c r="AB533" s="678">
        <f>+H533</f>
        <v>36681.435258522732</v>
      </c>
      <c r="AC533" s="678"/>
      <c r="AD533" s="678"/>
      <c r="AE533" s="678"/>
      <c r="AF533" s="678"/>
      <c r="AG533" s="678"/>
      <c r="AH533" s="678"/>
      <c r="AI533" s="678"/>
      <c r="AJ533" s="678"/>
      <c r="AK533" s="658"/>
    </row>
    <row r="534" spans="2:37" s="5" customFormat="1">
      <c r="B534" s="313"/>
      <c r="C534" s="835"/>
      <c r="D534" s="96"/>
      <c r="E534" s="9"/>
      <c r="F534" s="74"/>
      <c r="G534" s="97"/>
      <c r="H534" s="78"/>
      <c r="I534" s="79"/>
      <c r="J534" s="52"/>
      <c r="K534" s="156"/>
      <c r="L534" s="383"/>
      <c r="M534" s="542"/>
      <c r="N534" s="578">
        <f t="shared" si="152"/>
        <v>0</v>
      </c>
      <c r="O534" s="678"/>
      <c r="P534" s="678"/>
      <c r="Q534" s="678"/>
      <c r="R534" s="678"/>
      <c r="S534" s="678"/>
      <c r="T534" s="678"/>
      <c r="U534" s="678"/>
      <c r="V534" s="678"/>
      <c r="W534" s="678"/>
      <c r="X534" s="678"/>
      <c r="Y534" s="678"/>
      <c r="Z534" s="678"/>
      <c r="AA534" s="678"/>
      <c r="AB534" s="678"/>
      <c r="AC534" s="678"/>
      <c r="AD534" s="678"/>
      <c r="AE534" s="678"/>
      <c r="AF534" s="678"/>
      <c r="AG534" s="678"/>
      <c r="AH534" s="678"/>
      <c r="AI534" s="678"/>
      <c r="AJ534" s="678"/>
      <c r="AK534" s="658"/>
    </row>
    <row r="535" spans="2:37" s="5" customFormat="1" ht="15" customHeight="1">
      <c r="B535" s="317">
        <v>44</v>
      </c>
      <c r="C535" s="835" t="s">
        <v>906</v>
      </c>
      <c r="D535" s="80" t="s">
        <v>72</v>
      </c>
      <c r="E535" s="81">
        <v>37353.449999999997</v>
      </c>
      <c r="F535" s="74"/>
      <c r="G535" s="75"/>
      <c r="H535" s="82"/>
      <c r="I535" s="83"/>
      <c r="J535" s="52"/>
      <c r="K535" s="156"/>
      <c r="L535" s="383"/>
      <c r="M535" s="542"/>
      <c r="N535" s="578">
        <f t="shared" si="152"/>
        <v>0</v>
      </c>
      <c r="O535" s="678"/>
      <c r="P535" s="678"/>
      <c r="Q535" s="678"/>
      <c r="R535" s="678"/>
      <c r="S535" s="678"/>
      <c r="T535" s="678"/>
      <c r="U535" s="678"/>
      <c r="V535" s="678"/>
      <c r="W535" s="678"/>
      <c r="X535" s="678"/>
      <c r="Y535" s="678"/>
      <c r="Z535" s="678"/>
      <c r="AA535" s="678"/>
      <c r="AB535" s="678"/>
      <c r="AC535" s="678"/>
      <c r="AD535" s="678"/>
      <c r="AE535" s="678"/>
      <c r="AF535" s="678"/>
      <c r="AG535" s="678"/>
      <c r="AH535" s="678"/>
      <c r="AI535" s="678"/>
      <c r="AJ535" s="678"/>
      <c r="AK535" s="658"/>
    </row>
    <row r="536" spans="2:37" s="5" customFormat="1">
      <c r="B536" s="313"/>
      <c r="C536" s="835"/>
      <c r="D536" s="17" t="s">
        <v>0</v>
      </c>
      <c r="E536" s="81" t="s">
        <v>27</v>
      </c>
      <c r="F536" s="84">
        <f>E535</f>
        <v>37353.449999999997</v>
      </c>
      <c r="G536" s="64">
        <f>$F$3-F3</f>
        <v>0</v>
      </c>
      <c r="H536" s="64">
        <f>+G536*F536</f>
        <v>0</v>
      </c>
      <c r="I536" s="79"/>
      <c r="J536" s="52"/>
      <c r="K536" s="156"/>
      <c r="L536" s="383"/>
      <c r="M536" s="542"/>
      <c r="N536" s="578">
        <f t="shared" ref="N536:N599" si="166">SUM(O536:AL536)-H536</f>
        <v>0</v>
      </c>
      <c r="O536" s="678"/>
      <c r="P536" s="678"/>
      <c r="Q536" s="678"/>
      <c r="R536" s="678"/>
      <c r="S536" s="678"/>
      <c r="T536" s="678"/>
      <c r="U536" s="678"/>
      <c r="V536" s="678"/>
      <c r="W536" s="678"/>
      <c r="X536" s="678"/>
      <c r="Y536" s="678"/>
      <c r="Z536" s="678"/>
      <c r="AA536" s="678"/>
      <c r="AB536" s="678"/>
      <c r="AC536" s="678"/>
      <c r="AD536" s="678"/>
      <c r="AE536" s="678"/>
      <c r="AF536" s="678"/>
      <c r="AG536" s="678"/>
      <c r="AH536" s="678"/>
      <c r="AI536" s="678"/>
      <c r="AJ536" s="678"/>
      <c r="AK536" s="658"/>
    </row>
    <row r="537" spans="2:37" s="5" customFormat="1">
      <c r="B537" s="313"/>
      <c r="C537" s="835"/>
      <c r="D537" s="17" t="s">
        <v>3</v>
      </c>
      <c r="E537" s="81" t="s">
        <v>27</v>
      </c>
      <c r="F537" s="84">
        <f>E535</f>
        <v>37353.449999999997</v>
      </c>
      <c r="G537" s="65">
        <v>6</v>
      </c>
      <c r="H537" s="64">
        <f>+G537*F537</f>
        <v>224120.69999999998</v>
      </c>
      <c r="I537" s="79"/>
      <c r="J537" s="52"/>
      <c r="K537" s="156"/>
      <c r="L537" s="383"/>
      <c r="M537" s="542"/>
      <c r="N537" s="578">
        <f t="shared" si="166"/>
        <v>0</v>
      </c>
      <c r="O537" s="678"/>
      <c r="P537" s="678"/>
      <c r="Q537" s="678"/>
      <c r="R537" s="678"/>
      <c r="S537" s="678"/>
      <c r="T537" s="678"/>
      <c r="U537" s="678"/>
      <c r="V537" s="678"/>
      <c r="W537" s="678">
        <f>+H537/G537</f>
        <v>37353.449999999997</v>
      </c>
      <c r="X537" s="678">
        <f>+H537/G537</f>
        <v>37353.449999999997</v>
      </c>
      <c r="Y537" s="678">
        <f>+H537/G537</f>
        <v>37353.449999999997</v>
      </c>
      <c r="Z537" s="678">
        <f>+H537/G537</f>
        <v>37353.449999999997</v>
      </c>
      <c r="AA537" s="678">
        <f>+H537/G537</f>
        <v>37353.449999999997</v>
      </c>
      <c r="AB537" s="678">
        <f>+H537/G537</f>
        <v>37353.449999999997</v>
      </c>
      <c r="AC537" s="678"/>
      <c r="AD537" s="678"/>
      <c r="AE537" s="678"/>
      <c r="AF537" s="678"/>
      <c r="AG537" s="678"/>
      <c r="AH537" s="678"/>
      <c r="AI537" s="678"/>
      <c r="AJ537" s="678"/>
      <c r="AK537" s="658"/>
    </row>
    <row r="538" spans="2:37" s="5" customFormat="1">
      <c r="B538" s="313"/>
      <c r="C538" s="835"/>
      <c r="D538" s="17" t="s">
        <v>28</v>
      </c>
      <c r="E538" s="88">
        <f>$H$5+2+2</f>
        <v>17.25</v>
      </c>
      <c r="F538" s="84">
        <f>E535/44*1.5</f>
        <v>1273.4130681818181</v>
      </c>
      <c r="G538" s="87">
        <v>6</v>
      </c>
      <c r="H538" s="64">
        <f>+G538*F538*E538</f>
        <v>131798.25255681819</v>
      </c>
      <c r="I538" s="79"/>
      <c r="J538" s="52"/>
      <c r="K538" s="156"/>
      <c r="L538" s="383"/>
      <c r="M538" s="542"/>
      <c r="N538" s="578">
        <f t="shared" si="166"/>
        <v>0</v>
      </c>
      <c r="O538" s="678"/>
      <c r="P538" s="678"/>
      <c r="Q538" s="678"/>
      <c r="R538" s="678"/>
      <c r="S538" s="678"/>
      <c r="T538" s="678"/>
      <c r="U538" s="678"/>
      <c r="V538" s="678"/>
      <c r="W538" s="678">
        <f>+H538/G538</f>
        <v>21966.375426136365</v>
      </c>
      <c r="X538" s="678">
        <f t="shared" ref="X538:AB538" si="167">+W538</f>
        <v>21966.375426136365</v>
      </c>
      <c r="Y538" s="678">
        <f t="shared" si="167"/>
        <v>21966.375426136365</v>
      </c>
      <c r="Z538" s="678">
        <f t="shared" si="167"/>
        <v>21966.375426136365</v>
      </c>
      <c r="AA538" s="678">
        <f t="shared" si="167"/>
        <v>21966.375426136365</v>
      </c>
      <c r="AB538" s="678">
        <f t="shared" si="167"/>
        <v>21966.375426136365</v>
      </c>
      <c r="AC538" s="678"/>
      <c r="AD538" s="678"/>
      <c r="AE538" s="678"/>
      <c r="AF538" s="678"/>
      <c r="AG538" s="678"/>
      <c r="AH538" s="678"/>
      <c r="AI538" s="678"/>
      <c r="AJ538" s="678"/>
      <c r="AK538" s="658"/>
    </row>
    <row r="539" spans="2:37" s="5" customFormat="1">
      <c r="B539" s="313"/>
      <c r="C539" s="835"/>
      <c r="D539" s="17" t="s">
        <v>1</v>
      </c>
      <c r="E539" s="67" t="s">
        <v>29</v>
      </c>
      <c r="F539" s="84">
        <f>E535/5*1.5</f>
        <v>11206.035</v>
      </c>
      <c r="G539" s="64">
        <f>$H$3</f>
        <v>0</v>
      </c>
      <c r="H539" s="64">
        <f>+G539*F539</f>
        <v>0</v>
      </c>
      <c r="I539" s="79"/>
      <c r="J539" s="52"/>
      <c r="K539" s="156"/>
      <c r="L539" s="383"/>
      <c r="M539" s="542"/>
      <c r="N539" s="578">
        <f t="shared" si="166"/>
        <v>0</v>
      </c>
      <c r="O539" s="678"/>
      <c r="P539" s="678"/>
      <c r="Q539" s="678"/>
      <c r="R539" s="678"/>
      <c r="S539" s="678"/>
      <c r="T539" s="678"/>
      <c r="U539" s="678"/>
      <c r="V539" s="678"/>
      <c r="W539" s="678"/>
      <c r="X539" s="678"/>
      <c r="Y539" s="678"/>
      <c r="Z539" s="678"/>
      <c r="AA539" s="678"/>
      <c r="AB539" s="678"/>
      <c r="AC539" s="678"/>
      <c r="AD539" s="678"/>
      <c r="AE539" s="678"/>
      <c r="AF539" s="678"/>
      <c r="AG539" s="678"/>
      <c r="AH539" s="678"/>
      <c r="AI539" s="678"/>
      <c r="AJ539" s="678"/>
      <c r="AK539" s="658"/>
    </row>
    <row r="540" spans="2:37" s="5" customFormat="1">
      <c r="B540" s="313"/>
      <c r="C540" s="835"/>
      <c r="D540" s="17" t="s">
        <v>4</v>
      </c>
      <c r="E540" s="67" t="s">
        <v>29</v>
      </c>
      <c r="F540" s="84">
        <f>E535/5*2</f>
        <v>14941.38</v>
      </c>
      <c r="G540" s="64">
        <f>$H$4</f>
        <v>0</v>
      </c>
      <c r="H540" s="64">
        <f>+G540*F540</f>
        <v>0</v>
      </c>
      <c r="I540" s="79"/>
      <c r="J540" s="52"/>
      <c r="K540" s="156"/>
      <c r="L540" s="383"/>
      <c r="M540" s="542"/>
      <c r="N540" s="578">
        <f t="shared" si="166"/>
        <v>0</v>
      </c>
      <c r="O540" s="678"/>
      <c r="P540" s="678"/>
      <c r="Q540" s="678"/>
      <c r="R540" s="678"/>
      <c r="S540" s="678"/>
      <c r="T540" s="678"/>
      <c r="U540" s="678"/>
      <c r="V540" s="678"/>
      <c r="W540" s="678"/>
      <c r="X540" s="678"/>
      <c r="Y540" s="678"/>
      <c r="Z540" s="678"/>
      <c r="AA540" s="678"/>
      <c r="AB540" s="678"/>
      <c r="AC540" s="678"/>
      <c r="AD540" s="678"/>
      <c r="AE540" s="678"/>
      <c r="AF540" s="678"/>
      <c r="AG540" s="678"/>
      <c r="AH540" s="678"/>
      <c r="AI540" s="678"/>
      <c r="AJ540" s="678"/>
      <c r="AK540" s="658"/>
    </row>
    <row r="541" spans="2:37" s="5" customFormat="1">
      <c r="B541" s="313"/>
      <c r="C541" s="835"/>
      <c r="D541" s="17" t="s">
        <v>5</v>
      </c>
      <c r="E541" s="81" t="s">
        <v>27</v>
      </c>
      <c r="F541" s="84">
        <f>E535</f>
        <v>37353.449999999997</v>
      </c>
      <c r="G541" s="64">
        <f>$F$5-$F$5</f>
        <v>0</v>
      </c>
      <c r="H541" s="64">
        <f>+G541*F541</f>
        <v>0</v>
      </c>
      <c r="I541" s="79"/>
      <c r="J541" s="52"/>
      <c r="K541" s="156"/>
      <c r="L541" s="383"/>
      <c r="M541" s="542"/>
      <c r="N541" s="578">
        <f t="shared" si="166"/>
        <v>0</v>
      </c>
      <c r="O541" s="678"/>
      <c r="P541" s="678"/>
      <c r="Q541" s="678"/>
      <c r="R541" s="678"/>
      <c r="S541" s="678"/>
      <c r="T541" s="678"/>
      <c r="U541" s="678"/>
      <c r="V541" s="678"/>
      <c r="W541" s="678"/>
      <c r="X541" s="678"/>
      <c r="Y541" s="678"/>
      <c r="Z541" s="678"/>
      <c r="AA541" s="678"/>
      <c r="AB541" s="678"/>
      <c r="AC541" s="679">
        <f>+H541</f>
        <v>0</v>
      </c>
      <c r="AD541" s="678"/>
      <c r="AE541" s="678"/>
      <c r="AF541" s="678"/>
      <c r="AG541" s="678"/>
      <c r="AH541" s="678"/>
      <c r="AI541" s="678"/>
      <c r="AJ541" s="678"/>
      <c r="AK541" s="658"/>
    </row>
    <row r="542" spans="2:37" s="5" customFormat="1">
      <c r="B542" s="313"/>
      <c r="C542" s="835"/>
      <c r="D542" s="17" t="s">
        <v>30</v>
      </c>
      <c r="E542" s="67" t="s">
        <v>16</v>
      </c>
      <c r="F542" s="101">
        <f>G536+G537+G541</f>
        <v>6</v>
      </c>
      <c r="G542" s="68" t="s">
        <v>31</v>
      </c>
      <c r="H542" s="64">
        <f>SUM(H536:H541)</f>
        <v>355918.95255681814</v>
      </c>
      <c r="I542" s="79"/>
      <c r="J542" s="52"/>
      <c r="K542" s="156"/>
      <c r="L542" s="383"/>
      <c r="M542" s="542"/>
      <c r="N542" s="578">
        <f t="shared" si="166"/>
        <v>-355918.95255681814</v>
      </c>
      <c r="O542" s="678"/>
      <c r="P542" s="678"/>
      <c r="Q542" s="678"/>
      <c r="R542" s="678"/>
      <c r="S542" s="678"/>
      <c r="T542" s="678"/>
      <c r="U542" s="678"/>
      <c r="V542" s="678"/>
      <c r="W542" s="678"/>
      <c r="X542" s="678"/>
      <c r="Y542" s="678"/>
      <c r="Z542" s="678"/>
      <c r="AA542" s="678"/>
      <c r="AB542" s="678"/>
      <c r="AC542" s="678"/>
      <c r="AD542" s="678"/>
      <c r="AE542" s="678"/>
      <c r="AF542" s="678"/>
      <c r="AG542" s="678"/>
      <c r="AH542" s="678"/>
      <c r="AI542" s="678"/>
      <c r="AJ542" s="678"/>
      <c r="AK542" s="658"/>
    </row>
    <row r="543" spans="2:37" s="5" customFormat="1">
      <c r="B543" s="313"/>
      <c r="C543" s="835"/>
      <c r="D543" s="19" t="s">
        <v>32</v>
      </c>
      <c r="E543" s="67" t="s">
        <v>16</v>
      </c>
      <c r="F543" s="84">
        <f>SUM(H536:H541)</f>
        <v>355918.95255681814</v>
      </c>
      <c r="G543" s="92">
        <f>$G$43</f>
        <v>8.3299999999999999E-2</v>
      </c>
      <c r="H543" s="64">
        <f>+G543*F543</f>
        <v>29648.04874798295</v>
      </c>
      <c r="I543" s="93"/>
      <c r="J543" s="52"/>
      <c r="K543" s="156"/>
      <c r="L543" s="383"/>
      <c r="M543" s="542"/>
      <c r="N543" s="578">
        <f t="shared" si="166"/>
        <v>0</v>
      </c>
      <c r="O543" s="679">
        <f t="shared" ref="O543:AC543" si="168">SUM(O534:O542)*$G$54</f>
        <v>0</v>
      </c>
      <c r="P543" s="679">
        <f t="shared" si="168"/>
        <v>0</v>
      </c>
      <c r="Q543" s="679">
        <f t="shared" si="168"/>
        <v>0</v>
      </c>
      <c r="R543" s="679">
        <f t="shared" si="168"/>
        <v>0</v>
      </c>
      <c r="S543" s="679">
        <f t="shared" si="168"/>
        <v>0</v>
      </c>
      <c r="T543" s="679">
        <f t="shared" si="168"/>
        <v>0</v>
      </c>
      <c r="U543" s="679">
        <f t="shared" si="168"/>
        <v>0</v>
      </c>
      <c r="V543" s="679">
        <f t="shared" si="168"/>
        <v>0</v>
      </c>
      <c r="W543" s="679">
        <f t="shared" si="168"/>
        <v>4941.3414579971586</v>
      </c>
      <c r="X543" s="679">
        <f t="shared" si="168"/>
        <v>4941.3414579971586</v>
      </c>
      <c r="Y543" s="679">
        <f t="shared" si="168"/>
        <v>4941.3414579971586</v>
      </c>
      <c r="Z543" s="679">
        <f t="shared" si="168"/>
        <v>4941.3414579971586</v>
      </c>
      <c r="AA543" s="679">
        <f t="shared" si="168"/>
        <v>4941.3414579971586</v>
      </c>
      <c r="AB543" s="679">
        <f t="shared" si="168"/>
        <v>4941.3414579971586</v>
      </c>
      <c r="AC543" s="679">
        <f t="shared" si="168"/>
        <v>0</v>
      </c>
      <c r="AD543" s="678"/>
      <c r="AE543" s="678"/>
      <c r="AF543" s="678"/>
      <c r="AG543" s="678"/>
      <c r="AH543" s="678"/>
      <c r="AI543" s="678"/>
      <c r="AJ543" s="678"/>
      <c r="AK543" s="658"/>
    </row>
    <row r="544" spans="2:37" s="5" customFormat="1">
      <c r="B544" s="313"/>
      <c r="C544" s="835"/>
      <c r="D544" s="19" t="s">
        <v>33</v>
      </c>
      <c r="E544" s="84">
        <f>F543/(5*F542)</f>
        <v>11863.965085227272</v>
      </c>
      <c r="F544" s="84">
        <f>E544*(F542*7)</f>
        <v>498286.53357954539</v>
      </c>
      <c r="G544" s="95">
        <f>$G$44</f>
        <v>20</v>
      </c>
      <c r="H544" s="64">
        <f>F544/G544</f>
        <v>24914.326678977268</v>
      </c>
      <c r="I544" s="72">
        <f>SUM(H542:H544)</f>
        <v>410481.32798377838</v>
      </c>
      <c r="J544" s="52">
        <f>SUM(G536:G544)</f>
        <v>32.083300000000001</v>
      </c>
      <c r="K544" s="156"/>
      <c r="L544" s="383"/>
      <c r="M544" s="542"/>
      <c r="N544" s="578">
        <f t="shared" si="166"/>
        <v>0</v>
      </c>
      <c r="O544" s="678"/>
      <c r="P544" s="678"/>
      <c r="Q544" s="678"/>
      <c r="R544" s="678"/>
      <c r="S544" s="678"/>
      <c r="T544" s="678"/>
      <c r="U544" s="678"/>
      <c r="V544" s="678"/>
      <c r="W544" s="678"/>
      <c r="X544" s="678"/>
      <c r="Y544" s="678"/>
      <c r="Z544" s="678"/>
      <c r="AA544" s="678"/>
      <c r="AB544" s="678">
        <f>+H544</f>
        <v>24914.326678977268</v>
      </c>
      <c r="AC544" s="678"/>
      <c r="AD544" s="678"/>
      <c r="AE544" s="678"/>
      <c r="AF544" s="678"/>
      <c r="AG544" s="678"/>
      <c r="AH544" s="678"/>
      <c r="AI544" s="678"/>
      <c r="AJ544" s="678"/>
      <c r="AK544" s="658"/>
    </row>
    <row r="545" spans="2:37" s="5" customFormat="1">
      <c r="B545" s="313"/>
      <c r="C545" s="835"/>
      <c r="D545" s="96"/>
      <c r="E545" s="9"/>
      <c r="F545" s="74"/>
      <c r="G545" s="97"/>
      <c r="H545" s="78"/>
      <c r="I545" s="79"/>
      <c r="J545" s="52"/>
      <c r="K545" s="156"/>
      <c r="L545" s="383"/>
      <c r="M545" s="542"/>
      <c r="N545" s="578">
        <f t="shared" si="166"/>
        <v>0</v>
      </c>
      <c r="O545" s="678"/>
      <c r="P545" s="678"/>
      <c r="Q545" s="678"/>
      <c r="R545" s="678"/>
      <c r="S545" s="678"/>
      <c r="T545" s="678"/>
      <c r="U545" s="678"/>
      <c r="V545" s="678"/>
      <c r="W545" s="678"/>
      <c r="X545" s="678"/>
      <c r="Y545" s="678"/>
      <c r="Z545" s="678"/>
      <c r="AA545" s="678"/>
      <c r="AB545" s="678"/>
      <c r="AC545" s="678"/>
      <c r="AD545" s="678"/>
      <c r="AE545" s="678"/>
      <c r="AF545" s="678"/>
      <c r="AG545" s="678"/>
      <c r="AH545" s="678"/>
      <c r="AI545" s="678"/>
      <c r="AJ545" s="678"/>
      <c r="AK545" s="658"/>
    </row>
    <row r="546" spans="2:37" s="5" customFormat="1" ht="15" customHeight="1">
      <c r="B546" s="317">
        <v>45</v>
      </c>
      <c r="C546" s="835" t="s">
        <v>907</v>
      </c>
      <c r="D546" s="80" t="s">
        <v>279</v>
      </c>
      <c r="E546" s="81">
        <v>72180.399999999994</v>
      </c>
      <c r="F546" s="74"/>
      <c r="G546" s="75"/>
      <c r="H546" s="82"/>
      <c r="I546" s="83"/>
      <c r="J546" s="52"/>
      <c r="K546" s="156"/>
      <c r="L546" s="383"/>
      <c r="M546" s="542"/>
      <c r="N546" s="578">
        <f t="shared" si="166"/>
        <v>0</v>
      </c>
      <c r="O546" s="678"/>
      <c r="P546" s="678"/>
      <c r="Q546" s="678"/>
      <c r="R546" s="678"/>
      <c r="S546" s="678"/>
      <c r="T546" s="678"/>
      <c r="U546" s="678"/>
      <c r="V546" s="678"/>
      <c r="W546" s="678"/>
      <c r="X546" s="678"/>
      <c r="Y546" s="678"/>
      <c r="Z546" s="678"/>
      <c r="AA546" s="678"/>
      <c r="AB546" s="678"/>
      <c r="AC546" s="678"/>
      <c r="AD546" s="678"/>
      <c r="AE546" s="678"/>
      <c r="AF546" s="678"/>
      <c r="AG546" s="678"/>
      <c r="AH546" s="678"/>
      <c r="AI546" s="678"/>
      <c r="AJ546" s="678"/>
      <c r="AK546" s="658"/>
    </row>
    <row r="547" spans="2:37" s="5" customFormat="1">
      <c r="B547" s="313"/>
      <c r="C547" s="835"/>
      <c r="D547" s="17" t="s">
        <v>322</v>
      </c>
      <c r="E547" s="81" t="s">
        <v>27</v>
      </c>
      <c r="F547" s="84">
        <f>E546</f>
        <v>72180.399999999994</v>
      </c>
      <c r="G547" s="64">
        <v>1</v>
      </c>
      <c r="H547" s="64">
        <f>+G547*F547</f>
        <v>72180.399999999994</v>
      </c>
      <c r="I547" s="79"/>
      <c r="J547" s="52"/>
      <c r="K547" s="156"/>
      <c r="L547" s="383"/>
      <c r="M547" s="542"/>
      <c r="N547" s="578">
        <f t="shared" si="166"/>
        <v>0</v>
      </c>
      <c r="O547" s="678"/>
      <c r="P547" s="678"/>
      <c r="Q547" s="678"/>
      <c r="R547" s="678"/>
      <c r="S547" s="678"/>
      <c r="T547" s="678"/>
      <c r="U547" s="678"/>
      <c r="V547" s="678">
        <f>+H547/G547</f>
        <v>72180.399999999994</v>
      </c>
      <c r="W547" s="678"/>
      <c r="X547" s="678"/>
      <c r="Y547" s="678"/>
      <c r="Z547" s="678"/>
      <c r="AA547" s="678"/>
      <c r="AB547" s="678"/>
      <c r="AC547" s="678"/>
      <c r="AD547" s="678"/>
      <c r="AE547" s="678"/>
      <c r="AF547" s="678"/>
      <c r="AG547" s="678"/>
      <c r="AH547" s="678"/>
      <c r="AI547" s="678"/>
      <c r="AJ547" s="678"/>
      <c r="AK547" s="658"/>
    </row>
    <row r="548" spans="2:37" s="5" customFormat="1">
      <c r="B548" s="313"/>
      <c r="C548" s="835"/>
      <c r="D548" s="17" t="s">
        <v>3</v>
      </c>
      <c r="E548" s="81" t="s">
        <v>27</v>
      </c>
      <c r="F548" s="84">
        <f>E546</f>
        <v>72180.399999999994</v>
      </c>
      <c r="G548" s="64">
        <v>6</v>
      </c>
      <c r="H548" s="64">
        <f>+G548*F548</f>
        <v>433082.39999999997</v>
      </c>
      <c r="I548" s="79"/>
      <c r="J548" s="52"/>
      <c r="K548" s="156"/>
      <c r="L548" s="383"/>
      <c r="M548" s="542"/>
      <c r="N548" s="578">
        <f t="shared" si="166"/>
        <v>0</v>
      </c>
      <c r="O548" s="678"/>
      <c r="P548" s="678"/>
      <c r="Q548" s="678"/>
      <c r="R548" s="678"/>
      <c r="S548" s="678"/>
      <c r="T548" s="678"/>
      <c r="U548" s="678"/>
      <c r="V548" s="678"/>
      <c r="W548" s="678">
        <f>+H548/G548</f>
        <v>72180.399999999994</v>
      </c>
      <c r="X548" s="678">
        <f>+H548/G548</f>
        <v>72180.399999999994</v>
      </c>
      <c r="Y548" s="678">
        <f>+H548/G548</f>
        <v>72180.399999999994</v>
      </c>
      <c r="Z548" s="678">
        <f>+H548/G548</f>
        <v>72180.399999999994</v>
      </c>
      <c r="AA548" s="678">
        <f>+H548/G548</f>
        <v>72180.399999999994</v>
      </c>
      <c r="AB548" s="678">
        <f>+H548/G548</f>
        <v>72180.399999999994</v>
      </c>
      <c r="AC548" s="678"/>
      <c r="AD548" s="678"/>
      <c r="AE548" s="678"/>
      <c r="AF548" s="678"/>
      <c r="AG548" s="678"/>
      <c r="AH548" s="678"/>
      <c r="AI548" s="678"/>
      <c r="AJ548" s="678"/>
      <c r="AK548" s="658"/>
    </row>
    <row r="549" spans="2:37" s="5" customFormat="1">
      <c r="B549" s="313"/>
      <c r="C549" s="835"/>
      <c r="D549" s="17" t="s">
        <v>28</v>
      </c>
      <c r="E549" s="88">
        <f>$H$5+2+2</f>
        <v>17.25</v>
      </c>
      <c r="F549" s="84">
        <f>E546/44*1.5</f>
        <v>2460.6954545454541</v>
      </c>
      <c r="G549" s="87">
        <v>6</v>
      </c>
      <c r="H549" s="64">
        <f>+G549*F549*E549</f>
        <v>254681.97954545452</v>
      </c>
      <c r="I549" s="79"/>
      <c r="J549" s="52"/>
      <c r="K549" s="156"/>
      <c r="L549" s="383"/>
      <c r="M549" s="542"/>
      <c r="N549" s="578">
        <f t="shared" si="166"/>
        <v>0</v>
      </c>
      <c r="O549" s="678"/>
      <c r="P549" s="678"/>
      <c r="Q549" s="678"/>
      <c r="R549" s="678"/>
      <c r="S549" s="678"/>
      <c r="T549" s="678"/>
      <c r="U549" s="678"/>
      <c r="V549" s="678"/>
      <c r="W549" s="678">
        <f>+H549/G549</f>
        <v>42446.99659090909</v>
      </c>
      <c r="X549" s="678">
        <f t="shared" ref="X549:AB549" si="169">+W549</f>
        <v>42446.99659090909</v>
      </c>
      <c r="Y549" s="678">
        <f t="shared" si="169"/>
        <v>42446.99659090909</v>
      </c>
      <c r="Z549" s="678">
        <f t="shared" si="169"/>
        <v>42446.99659090909</v>
      </c>
      <c r="AA549" s="678">
        <f t="shared" si="169"/>
        <v>42446.99659090909</v>
      </c>
      <c r="AB549" s="678">
        <f t="shared" si="169"/>
        <v>42446.99659090909</v>
      </c>
      <c r="AC549" s="678"/>
      <c r="AD549" s="678"/>
      <c r="AE549" s="678"/>
      <c r="AF549" s="678"/>
      <c r="AG549" s="678"/>
      <c r="AH549" s="678"/>
      <c r="AI549" s="678"/>
      <c r="AJ549" s="678"/>
      <c r="AK549" s="658"/>
    </row>
    <row r="550" spans="2:37" s="5" customFormat="1">
      <c r="B550" s="313"/>
      <c r="C550" s="835"/>
      <c r="D550" s="17" t="s">
        <v>1</v>
      </c>
      <c r="E550" s="81" t="s">
        <v>60</v>
      </c>
      <c r="F550" s="84">
        <f>E546/5*1.5</f>
        <v>21654.119999999995</v>
      </c>
      <c r="G550" s="64">
        <f>$H$3</f>
        <v>0</v>
      </c>
      <c r="H550" s="64">
        <f>+G550*F550</f>
        <v>0</v>
      </c>
      <c r="I550" s="79"/>
      <c r="J550" s="52"/>
      <c r="K550" s="156"/>
      <c r="L550" s="383"/>
      <c r="M550" s="542"/>
      <c r="N550" s="578">
        <f t="shared" si="166"/>
        <v>0</v>
      </c>
      <c r="O550" s="678"/>
      <c r="P550" s="678"/>
      <c r="Q550" s="678"/>
      <c r="R550" s="678"/>
      <c r="S550" s="678"/>
      <c r="T550" s="678"/>
      <c r="U550" s="678"/>
      <c r="V550" s="678"/>
      <c r="W550" s="678"/>
      <c r="X550" s="678"/>
      <c r="Y550" s="678"/>
      <c r="Z550" s="678"/>
      <c r="AA550" s="678"/>
      <c r="AB550" s="678"/>
      <c r="AC550" s="678"/>
      <c r="AD550" s="678"/>
      <c r="AE550" s="678"/>
      <c r="AF550" s="678"/>
      <c r="AG550" s="678"/>
      <c r="AH550" s="678"/>
      <c r="AI550" s="678"/>
      <c r="AJ550" s="678"/>
      <c r="AK550" s="658"/>
    </row>
    <row r="551" spans="2:37" s="5" customFormat="1">
      <c r="B551" s="313"/>
      <c r="C551" s="835"/>
      <c r="D551" s="17" t="s">
        <v>4</v>
      </c>
      <c r="E551" s="81" t="s">
        <v>60</v>
      </c>
      <c r="F551" s="84">
        <f>E546/5*2</f>
        <v>28872.159999999996</v>
      </c>
      <c r="G551" s="64">
        <f>$H$4</f>
        <v>0</v>
      </c>
      <c r="H551" s="64">
        <f>+G551*F551</f>
        <v>0</v>
      </c>
      <c r="I551" s="79"/>
      <c r="J551" s="52"/>
      <c r="K551" s="156"/>
      <c r="L551" s="383"/>
      <c r="M551" s="542"/>
      <c r="N551" s="578">
        <f t="shared" si="166"/>
        <v>0</v>
      </c>
      <c r="O551" s="678"/>
      <c r="P551" s="678"/>
      <c r="Q551" s="678"/>
      <c r="R551" s="678"/>
      <c r="S551" s="678"/>
      <c r="T551" s="678"/>
      <c r="U551" s="678"/>
      <c r="V551" s="678"/>
      <c r="W551" s="678"/>
      <c r="X551" s="678"/>
      <c r="Y551" s="678"/>
      <c r="Z551" s="678"/>
      <c r="AA551" s="678"/>
      <c r="AB551" s="678"/>
      <c r="AC551" s="678"/>
      <c r="AD551" s="678"/>
      <c r="AE551" s="678"/>
      <c r="AF551" s="678"/>
      <c r="AG551" s="678"/>
      <c r="AH551" s="678"/>
      <c r="AI551" s="678"/>
      <c r="AJ551" s="678"/>
      <c r="AK551" s="658"/>
    </row>
    <row r="552" spans="2:37" s="5" customFormat="1">
      <c r="B552" s="313"/>
      <c r="C552" s="835"/>
      <c r="D552" s="17" t="s">
        <v>5</v>
      </c>
      <c r="E552" s="81" t="s">
        <v>27</v>
      </c>
      <c r="F552" s="84">
        <f>E546</f>
        <v>72180.399999999994</v>
      </c>
      <c r="G552" s="64">
        <f>$F$5-F5</f>
        <v>0</v>
      </c>
      <c r="H552" s="64">
        <f>+G552*F552</f>
        <v>0</v>
      </c>
      <c r="I552" s="79"/>
      <c r="J552" s="52"/>
      <c r="K552" s="156"/>
      <c r="L552" s="383"/>
      <c r="M552" s="542"/>
      <c r="N552" s="578">
        <f t="shared" si="166"/>
        <v>0</v>
      </c>
      <c r="O552" s="678"/>
      <c r="P552" s="678"/>
      <c r="Q552" s="678"/>
      <c r="R552" s="678"/>
      <c r="S552" s="678"/>
      <c r="T552" s="678"/>
      <c r="U552" s="678"/>
      <c r="V552" s="678"/>
      <c r="W552" s="678"/>
      <c r="X552" s="678"/>
      <c r="Y552" s="678"/>
      <c r="Z552" s="678"/>
      <c r="AA552" s="678"/>
      <c r="AB552" s="678"/>
      <c r="AC552" s="679">
        <f>+H552</f>
        <v>0</v>
      </c>
      <c r="AD552" s="678"/>
      <c r="AE552" s="678"/>
      <c r="AF552" s="678"/>
      <c r="AG552" s="678"/>
      <c r="AH552" s="678"/>
      <c r="AI552" s="678"/>
      <c r="AJ552" s="678"/>
      <c r="AK552" s="658"/>
    </row>
    <row r="553" spans="2:37" s="5" customFormat="1">
      <c r="B553" s="313"/>
      <c r="C553" s="835"/>
      <c r="D553" s="17" t="s">
        <v>30</v>
      </c>
      <c r="E553" s="67" t="s">
        <v>16</v>
      </c>
      <c r="F553" s="64">
        <f>G547+G548+G552</f>
        <v>7</v>
      </c>
      <c r="G553" s="68" t="s">
        <v>31</v>
      </c>
      <c r="H553" s="64">
        <f>SUM(H547:H552)</f>
        <v>759944.77954545442</v>
      </c>
      <c r="I553" s="79"/>
      <c r="J553" s="52"/>
      <c r="K553" s="156"/>
      <c r="L553" s="383"/>
      <c r="M553" s="542"/>
      <c r="N553" s="578">
        <f t="shared" si="166"/>
        <v>-759944.77954545442</v>
      </c>
      <c r="O553" s="678"/>
      <c r="P553" s="678"/>
      <c r="Q553" s="678"/>
      <c r="R553" s="678"/>
      <c r="S553" s="678"/>
      <c r="T553" s="678"/>
      <c r="U553" s="678"/>
      <c r="V553" s="678"/>
      <c r="W553" s="678"/>
      <c r="X553" s="678"/>
      <c r="Y553" s="678"/>
      <c r="Z553" s="678"/>
      <c r="AA553" s="678"/>
      <c r="AB553" s="678"/>
      <c r="AC553" s="678"/>
      <c r="AD553" s="678"/>
      <c r="AE553" s="678"/>
      <c r="AF553" s="678"/>
      <c r="AG553" s="678"/>
      <c r="AH553" s="678"/>
      <c r="AI553" s="678"/>
      <c r="AJ553" s="678"/>
      <c r="AK553" s="658"/>
    </row>
    <row r="554" spans="2:37" s="5" customFormat="1">
      <c r="B554" s="313"/>
      <c r="C554" s="835"/>
      <c r="D554" s="19" t="s">
        <v>32</v>
      </c>
      <c r="E554" s="67" t="s">
        <v>16</v>
      </c>
      <c r="F554" s="84">
        <f>SUM(H547:H552)</f>
        <v>759944.77954545442</v>
      </c>
      <c r="G554" s="92">
        <f>$G$43</f>
        <v>8.3299999999999999E-2</v>
      </c>
      <c r="H554" s="64">
        <f>+G554*F554</f>
        <v>63303.400136136355</v>
      </c>
      <c r="I554" s="93"/>
      <c r="J554" s="52"/>
      <c r="K554" s="156"/>
      <c r="L554" s="383"/>
      <c r="M554" s="542"/>
      <c r="N554" s="578">
        <f t="shared" si="166"/>
        <v>0</v>
      </c>
      <c r="O554" s="679">
        <f t="shared" ref="O554:AC554" si="170">SUM(O545:O553)*$G$54</f>
        <v>0</v>
      </c>
      <c r="P554" s="679">
        <f t="shared" si="170"/>
        <v>0</v>
      </c>
      <c r="Q554" s="679">
        <f t="shared" si="170"/>
        <v>0</v>
      </c>
      <c r="R554" s="679">
        <f t="shared" si="170"/>
        <v>0</v>
      </c>
      <c r="S554" s="679">
        <f t="shared" si="170"/>
        <v>0</v>
      </c>
      <c r="T554" s="679">
        <f t="shared" si="170"/>
        <v>0</v>
      </c>
      <c r="U554" s="679">
        <f t="shared" si="170"/>
        <v>0</v>
      </c>
      <c r="V554" s="679">
        <f t="shared" si="170"/>
        <v>6012.6273199999996</v>
      </c>
      <c r="W554" s="679">
        <f t="shared" si="170"/>
        <v>9548.4621360227266</v>
      </c>
      <c r="X554" s="679">
        <f t="shared" si="170"/>
        <v>9548.4621360227266</v>
      </c>
      <c r="Y554" s="679">
        <f t="shared" si="170"/>
        <v>9548.4621360227266</v>
      </c>
      <c r="Z554" s="679">
        <f t="shared" si="170"/>
        <v>9548.4621360227266</v>
      </c>
      <c r="AA554" s="679">
        <f t="shared" si="170"/>
        <v>9548.4621360227266</v>
      </c>
      <c r="AB554" s="679">
        <f t="shared" si="170"/>
        <v>9548.4621360227266</v>
      </c>
      <c r="AC554" s="679">
        <f t="shared" si="170"/>
        <v>0</v>
      </c>
      <c r="AD554" s="678"/>
      <c r="AE554" s="678"/>
      <c r="AF554" s="678"/>
      <c r="AG554" s="678"/>
      <c r="AH554" s="678"/>
      <c r="AI554" s="678"/>
      <c r="AJ554" s="678"/>
      <c r="AK554" s="658"/>
    </row>
    <row r="555" spans="2:37" s="5" customFormat="1">
      <c r="B555" s="313"/>
      <c r="C555" s="835"/>
      <c r="D555" s="19" t="s">
        <v>33</v>
      </c>
      <c r="E555" s="84">
        <f>F554/(5*F553)</f>
        <v>21712.707987012982</v>
      </c>
      <c r="F555" s="84">
        <f>E555*(F553*7)</f>
        <v>1063922.6913636362</v>
      </c>
      <c r="G555" s="95">
        <f>$G$44</f>
        <v>20</v>
      </c>
      <c r="H555" s="64">
        <f>F555/G555</f>
        <v>53196.134568181806</v>
      </c>
      <c r="I555" s="72">
        <f>SUM(H553:H555)</f>
        <v>876444.31424977258</v>
      </c>
      <c r="J555" s="52">
        <f>SUM(G547:G555)</f>
        <v>33.083300000000001</v>
      </c>
      <c r="K555" s="156"/>
      <c r="L555" s="383"/>
      <c r="M555" s="542"/>
      <c r="N555" s="578">
        <f t="shared" si="166"/>
        <v>0</v>
      </c>
      <c r="O555" s="678"/>
      <c r="P555" s="678"/>
      <c r="Q555" s="678"/>
      <c r="R555" s="678"/>
      <c r="S555" s="678"/>
      <c r="T555" s="678"/>
      <c r="U555" s="678"/>
      <c r="V555" s="678"/>
      <c r="W555" s="678"/>
      <c r="X555" s="678"/>
      <c r="Y555" s="678"/>
      <c r="Z555" s="678"/>
      <c r="AA555" s="678"/>
      <c r="AB555" s="678">
        <f>+H555</f>
        <v>53196.134568181806</v>
      </c>
      <c r="AC555" s="678"/>
      <c r="AD555" s="678"/>
      <c r="AE555" s="678"/>
      <c r="AF555" s="678"/>
      <c r="AG555" s="678"/>
      <c r="AH555" s="678"/>
      <c r="AI555" s="678"/>
      <c r="AJ555" s="678"/>
      <c r="AK555" s="658"/>
    </row>
    <row r="556" spans="2:37" s="5" customFormat="1">
      <c r="B556" s="313"/>
      <c r="C556" s="835"/>
      <c r="D556" s="96"/>
      <c r="E556" s="9"/>
      <c r="F556" s="74"/>
      <c r="G556" s="97"/>
      <c r="H556" s="78"/>
      <c r="I556" s="79"/>
      <c r="J556" s="52"/>
      <c r="K556" s="156"/>
      <c r="L556" s="383"/>
      <c r="M556" s="542"/>
      <c r="N556" s="578">
        <f t="shared" si="166"/>
        <v>0</v>
      </c>
      <c r="O556" s="678"/>
      <c r="P556" s="678"/>
      <c r="Q556" s="678"/>
      <c r="R556" s="678"/>
      <c r="S556" s="678"/>
      <c r="T556" s="678"/>
      <c r="U556" s="678"/>
      <c r="V556" s="678"/>
      <c r="W556" s="678"/>
      <c r="X556" s="678"/>
      <c r="Y556" s="678"/>
      <c r="Z556" s="678"/>
      <c r="AA556" s="678"/>
      <c r="AB556" s="678"/>
      <c r="AC556" s="678"/>
      <c r="AD556" s="678"/>
      <c r="AE556" s="678"/>
      <c r="AF556" s="678"/>
      <c r="AG556" s="678"/>
      <c r="AH556" s="678"/>
      <c r="AI556" s="678"/>
      <c r="AJ556" s="678"/>
      <c r="AK556" s="658"/>
    </row>
    <row r="557" spans="2:37" s="5" customFormat="1" ht="15" customHeight="1">
      <c r="B557" s="317">
        <v>46</v>
      </c>
      <c r="C557" s="835" t="s">
        <v>908</v>
      </c>
      <c r="D557" s="80" t="s">
        <v>343</v>
      </c>
      <c r="E557" s="81">
        <v>57232.2</v>
      </c>
      <c r="F557" s="74"/>
      <c r="G557" s="75"/>
      <c r="H557" s="82"/>
      <c r="I557" s="83"/>
      <c r="J557" s="52"/>
      <c r="K557" s="156"/>
      <c r="L557" s="383"/>
      <c r="M557" s="542"/>
      <c r="N557" s="578">
        <f t="shared" si="166"/>
        <v>0</v>
      </c>
      <c r="O557" s="678"/>
      <c r="P557" s="678"/>
      <c r="Q557" s="678"/>
      <c r="R557" s="678"/>
      <c r="S557" s="678"/>
      <c r="T557" s="678"/>
      <c r="U557" s="678"/>
      <c r="V557" s="678"/>
      <c r="W557" s="678"/>
      <c r="X557" s="678"/>
      <c r="Y557" s="678"/>
      <c r="Z557" s="678"/>
      <c r="AA557" s="678"/>
      <c r="AB557" s="678"/>
      <c r="AC557" s="678"/>
      <c r="AD557" s="678"/>
      <c r="AE557" s="678"/>
      <c r="AF557" s="678"/>
      <c r="AG557" s="678"/>
      <c r="AH557" s="678"/>
      <c r="AI557" s="678"/>
      <c r="AJ557" s="678"/>
      <c r="AK557" s="658"/>
    </row>
    <row r="558" spans="2:37" s="5" customFormat="1">
      <c r="B558" s="313"/>
      <c r="C558" s="835"/>
      <c r="D558" s="17" t="s">
        <v>0</v>
      </c>
      <c r="E558" s="81" t="s">
        <v>27</v>
      </c>
      <c r="F558" s="84">
        <f>E557</f>
        <v>57232.2</v>
      </c>
      <c r="G558" s="64">
        <v>0</v>
      </c>
      <c r="H558" s="64">
        <f>+G558*F558</f>
        <v>0</v>
      </c>
      <c r="I558" s="79"/>
      <c r="J558" s="52"/>
      <c r="K558" s="156"/>
      <c r="L558" s="383"/>
      <c r="M558" s="542"/>
      <c r="N558" s="578">
        <f t="shared" si="166"/>
        <v>0</v>
      </c>
      <c r="O558" s="678"/>
      <c r="P558" s="678"/>
      <c r="Q558" s="678"/>
      <c r="R558" s="678"/>
      <c r="S558" s="678"/>
      <c r="T558" s="678"/>
      <c r="U558" s="678"/>
      <c r="V558" s="678"/>
      <c r="W558" s="678"/>
      <c r="X558" s="678"/>
      <c r="Y558" s="678"/>
      <c r="Z558" s="678"/>
      <c r="AA558" s="678"/>
      <c r="AB558" s="678"/>
      <c r="AC558" s="678"/>
      <c r="AD558" s="678"/>
      <c r="AE558" s="678"/>
      <c r="AF558" s="678"/>
      <c r="AG558" s="678"/>
      <c r="AH558" s="678"/>
      <c r="AI558" s="678"/>
      <c r="AJ558" s="678"/>
      <c r="AK558" s="658"/>
    </row>
    <row r="559" spans="2:37" s="5" customFormat="1">
      <c r="B559" s="313"/>
      <c r="C559" s="835"/>
      <c r="D559" s="17" t="s">
        <v>3</v>
      </c>
      <c r="E559" s="81" t="s">
        <v>27</v>
      </c>
      <c r="F559" s="84">
        <f>E557</f>
        <v>57232.2</v>
      </c>
      <c r="G559" s="64">
        <v>6</v>
      </c>
      <c r="H559" s="64">
        <f>+G559*F559</f>
        <v>343393.19999999995</v>
      </c>
      <c r="I559" s="79"/>
      <c r="J559" s="52"/>
      <c r="K559" s="156"/>
      <c r="L559" s="383"/>
      <c r="M559" s="542"/>
      <c r="N559" s="578">
        <f t="shared" si="166"/>
        <v>0</v>
      </c>
      <c r="O559" s="678"/>
      <c r="P559" s="678"/>
      <c r="Q559" s="678"/>
      <c r="R559" s="678"/>
      <c r="S559" s="678"/>
      <c r="T559" s="678"/>
      <c r="U559" s="678"/>
      <c r="V559" s="678"/>
      <c r="W559" s="678">
        <f>+H559/G559</f>
        <v>57232.19999999999</v>
      </c>
      <c r="X559" s="678">
        <f>+H559/G559</f>
        <v>57232.19999999999</v>
      </c>
      <c r="Y559" s="678">
        <f>+H559/G559</f>
        <v>57232.19999999999</v>
      </c>
      <c r="Z559" s="678">
        <f>+H559/G559</f>
        <v>57232.19999999999</v>
      </c>
      <c r="AA559" s="678">
        <f>+H559/G559</f>
        <v>57232.19999999999</v>
      </c>
      <c r="AB559" s="678">
        <f>+H559/G559</f>
        <v>57232.19999999999</v>
      </c>
      <c r="AC559" s="678"/>
      <c r="AD559" s="678"/>
      <c r="AE559" s="678"/>
      <c r="AF559" s="678"/>
      <c r="AG559" s="678"/>
      <c r="AH559" s="678"/>
      <c r="AI559" s="678"/>
      <c r="AJ559" s="678"/>
      <c r="AK559" s="658"/>
    </row>
    <row r="560" spans="2:37" s="5" customFormat="1">
      <c r="B560" s="313"/>
      <c r="C560" s="835"/>
      <c r="D560" s="17" t="s">
        <v>28</v>
      </c>
      <c r="E560" s="88">
        <f>$H$5+2+2</f>
        <v>17.25</v>
      </c>
      <c r="F560" s="84">
        <f>E557/44*1.5</f>
        <v>1951.0977272727273</v>
      </c>
      <c r="G560" s="87">
        <v>6</v>
      </c>
      <c r="H560" s="64">
        <f>+G560*F560*E560</f>
        <v>201938.61477272731</v>
      </c>
      <c r="I560" s="79"/>
      <c r="J560" s="52"/>
      <c r="K560" s="156"/>
      <c r="L560" s="383"/>
      <c r="M560" s="542"/>
      <c r="N560" s="578">
        <f t="shared" si="166"/>
        <v>0</v>
      </c>
      <c r="O560" s="678"/>
      <c r="P560" s="678"/>
      <c r="Q560" s="678"/>
      <c r="R560" s="678"/>
      <c r="S560" s="678"/>
      <c r="T560" s="678"/>
      <c r="U560" s="678"/>
      <c r="V560" s="678"/>
      <c r="W560" s="678">
        <f>+H560/G560</f>
        <v>33656.435795454548</v>
      </c>
      <c r="X560" s="678">
        <f t="shared" ref="X560:AB560" si="171">+W560</f>
        <v>33656.435795454548</v>
      </c>
      <c r="Y560" s="678">
        <f t="shared" si="171"/>
        <v>33656.435795454548</v>
      </c>
      <c r="Z560" s="678">
        <f t="shared" si="171"/>
        <v>33656.435795454548</v>
      </c>
      <c r="AA560" s="678">
        <f t="shared" si="171"/>
        <v>33656.435795454548</v>
      </c>
      <c r="AB560" s="678">
        <f t="shared" si="171"/>
        <v>33656.435795454548</v>
      </c>
      <c r="AC560" s="678"/>
      <c r="AD560" s="678"/>
      <c r="AE560" s="678"/>
      <c r="AF560" s="678"/>
      <c r="AG560" s="678"/>
      <c r="AH560" s="678"/>
      <c r="AI560" s="678"/>
      <c r="AJ560" s="678"/>
      <c r="AK560" s="658"/>
    </row>
    <row r="561" spans="2:37" s="5" customFormat="1">
      <c r="B561" s="313"/>
      <c r="C561" s="835"/>
      <c r="D561" s="17" t="s">
        <v>1</v>
      </c>
      <c r="E561" s="67" t="s">
        <v>29</v>
      </c>
      <c r="F561" s="84">
        <f>E557/5*1.5</f>
        <v>17169.659999999996</v>
      </c>
      <c r="G561" s="64">
        <f>$H$3</f>
        <v>0</v>
      </c>
      <c r="H561" s="64">
        <f>+G561*F561</f>
        <v>0</v>
      </c>
      <c r="I561" s="79"/>
      <c r="J561" s="52"/>
      <c r="K561" s="156"/>
      <c r="L561" s="383"/>
      <c r="M561" s="542"/>
      <c r="N561" s="578">
        <f t="shared" si="166"/>
        <v>0</v>
      </c>
      <c r="O561" s="678"/>
      <c r="P561" s="678"/>
      <c r="Q561" s="678"/>
      <c r="R561" s="678"/>
      <c r="S561" s="678"/>
      <c r="T561" s="678"/>
      <c r="U561" s="678"/>
      <c r="V561" s="678"/>
      <c r="W561" s="678"/>
      <c r="X561" s="678"/>
      <c r="Y561" s="678"/>
      <c r="Z561" s="678"/>
      <c r="AA561" s="678"/>
      <c r="AB561" s="678"/>
      <c r="AC561" s="678"/>
      <c r="AD561" s="678"/>
      <c r="AE561" s="678"/>
      <c r="AF561" s="678"/>
      <c r="AG561" s="678"/>
      <c r="AH561" s="678"/>
      <c r="AI561" s="678"/>
      <c r="AJ561" s="678"/>
      <c r="AK561" s="658"/>
    </row>
    <row r="562" spans="2:37" s="5" customFormat="1">
      <c r="B562" s="313"/>
      <c r="C562" s="835"/>
      <c r="D562" s="17" t="s">
        <v>4</v>
      </c>
      <c r="E562" s="67" t="s">
        <v>29</v>
      </c>
      <c r="F562" s="84">
        <f>E557/5*2</f>
        <v>22892.879999999997</v>
      </c>
      <c r="G562" s="64">
        <f>$H$4</f>
        <v>0</v>
      </c>
      <c r="H562" s="64">
        <f>+G562*F562</f>
        <v>0</v>
      </c>
      <c r="I562" s="79"/>
      <c r="J562" s="52"/>
      <c r="K562" s="156"/>
      <c r="L562" s="383"/>
      <c r="M562" s="542"/>
      <c r="N562" s="578">
        <f t="shared" si="166"/>
        <v>0</v>
      </c>
      <c r="O562" s="678"/>
      <c r="P562" s="678"/>
      <c r="Q562" s="678"/>
      <c r="R562" s="678"/>
      <c r="S562" s="678"/>
      <c r="T562" s="678"/>
      <c r="U562" s="678"/>
      <c r="V562" s="678"/>
      <c r="W562" s="678"/>
      <c r="X562" s="678"/>
      <c r="Y562" s="678"/>
      <c r="Z562" s="678"/>
      <c r="AA562" s="678"/>
      <c r="AB562" s="678"/>
      <c r="AC562" s="678"/>
      <c r="AD562" s="678"/>
      <c r="AE562" s="678"/>
      <c r="AF562" s="678"/>
      <c r="AG562" s="678"/>
      <c r="AH562" s="678"/>
      <c r="AI562" s="678"/>
      <c r="AJ562" s="678"/>
      <c r="AK562" s="658"/>
    </row>
    <row r="563" spans="2:37" s="5" customFormat="1">
      <c r="B563" s="313"/>
      <c r="C563" s="835"/>
      <c r="D563" s="17" t="s">
        <v>5</v>
      </c>
      <c r="E563" s="81" t="s">
        <v>27</v>
      </c>
      <c r="F563" s="84">
        <f>E557</f>
        <v>57232.2</v>
      </c>
      <c r="G563" s="64">
        <f>$F$5-$F$5</f>
        <v>0</v>
      </c>
      <c r="H563" s="64">
        <f>+G563*F563</f>
        <v>0</v>
      </c>
      <c r="I563" s="79"/>
      <c r="J563" s="52"/>
      <c r="K563" s="156"/>
      <c r="L563" s="383"/>
      <c r="M563" s="542"/>
      <c r="N563" s="578">
        <f t="shared" si="166"/>
        <v>0</v>
      </c>
      <c r="O563" s="678"/>
      <c r="P563" s="678"/>
      <c r="Q563" s="678"/>
      <c r="R563" s="678"/>
      <c r="S563" s="678"/>
      <c r="T563" s="678"/>
      <c r="U563" s="678"/>
      <c r="V563" s="678"/>
      <c r="W563" s="678"/>
      <c r="X563" s="678"/>
      <c r="Y563" s="678"/>
      <c r="Z563" s="678"/>
      <c r="AA563" s="678"/>
      <c r="AB563" s="678"/>
      <c r="AC563" s="679">
        <f>+H563</f>
        <v>0</v>
      </c>
      <c r="AD563" s="678"/>
      <c r="AE563" s="678"/>
      <c r="AF563" s="678"/>
      <c r="AG563" s="678"/>
      <c r="AH563" s="678"/>
      <c r="AI563" s="678"/>
      <c r="AJ563" s="678"/>
      <c r="AK563" s="658"/>
    </row>
    <row r="564" spans="2:37" s="5" customFormat="1">
      <c r="B564" s="313"/>
      <c r="C564" s="835"/>
      <c r="D564" s="17" t="s">
        <v>30</v>
      </c>
      <c r="E564" s="67" t="s">
        <v>16</v>
      </c>
      <c r="F564" s="64">
        <f>G558+G559+G563</f>
        <v>6</v>
      </c>
      <c r="G564" s="68" t="s">
        <v>31</v>
      </c>
      <c r="H564" s="64">
        <f>SUM(H558:H563)</f>
        <v>545331.8147727272</v>
      </c>
      <c r="I564" s="79"/>
      <c r="J564" s="52"/>
      <c r="K564" s="156"/>
      <c r="L564" s="383"/>
      <c r="M564" s="542"/>
      <c r="N564" s="578">
        <f t="shared" si="166"/>
        <v>-545331.8147727272</v>
      </c>
      <c r="O564" s="678"/>
      <c r="P564" s="678"/>
      <c r="Q564" s="678"/>
      <c r="R564" s="678"/>
      <c r="S564" s="678"/>
      <c r="T564" s="678"/>
      <c r="U564" s="678"/>
      <c r="V564" s="678"/>
      <c r="W564" s="678"/>
      <c r="X564" s="678"/>
      <c r="Y564" s="678"/>
      <c r="Z564" s="678"/>
      <c r="AA564" s="678"/>
      <c r="AB564" s="678"/>
      <c r="AC564" s="678"/>
      <c r="AD564" s="678"/>
      <c r="AE564" s="678"/>
      <c r="AF564" s="678"/>
      <c r="AG564" s="678"/>
      <c r="AH564" s="678"/>
      <c r="AI564" s="678"/>
      <c r="AJ564" s="678"/>
      <c r="AK564" s="658"/>
    </row>
    <row r="565" spans="2:37" s="5" customFormat="1">
      <c r="B565" s="313"/>
      <c r="C565" s="835"/>
      <c r="D565" s="19" t="s">
        <v>32</v>
      </c>
      <c r="E565" s="67" t="s">
        <v>16</v>
      </c>
      <c r="F565" s="84">
        <f>SUM(H558:H563)</f>
        <v>545331.8147727272</v>
      </c>
      <c r="G565" s="92">
        <f>$G$43</f>
        <v>8.3299999999999999E-2</v>
      </c>
      <c r="H565" s="64">
        <f>+G565*F565</f>
        <v>45426.140170568178</v>
      </c>
      <c r="I565" s="93"/>
      <c r="J565" s="52"/>
      <c r="K565" s="156"/>
      <c r="L565" s="383"/>
      <c r="M565" s="542"/>
      <c r="N565" s="578">
        <f t="shared" si="166"/>
        <v>0</v>
      </c>
      <c r="O565" s="679">
        <f t="shared" ref="O565:AC565" si="172">SUM(O556:O564)*$G$54</f>
        <v>0</v>
      </c>
      <c r="P565" s="679">
        <f t="shared" si="172"/>
        <v>0</v>
      </c>
      <c r="Q565" s="679">
        <f t="shared" si="172"/>
        <v>0</v>
      </c>
      <c r="R565" s="679">
        <f t="shared" si="172"/>
        <v>0</v>
      </c>
      <c r="S565" s="679">
        <f t="shared" si="172"/>
        <v>0</v>
      </c>
      <c r="T565" s="679">
        <f t="shared" si="172"/>
        <v>0</v>
      </c>
      <c r="U565" s="679">
        <f t="shared" si="172"/>
        <v>0</v>
      </c>
      <c r="V565" s="679">
        <f t="shared" si="172"/>
        <v>0</v>
      </c>
      <c r="W565" s="679">
        <f t="shared" si="172"/>
        <v>7571.023361761363</v>
      </c>
      <c r="X565" s="679">
        <f t="shared" si="172"/>
        <v>7571.023361761363</v>
      </c>
      <c r="Y565" s="679">
        <f t="shared" si="172"/>
        <v>7571.023361761363</v>
      </c>
      <c r="Z565" s="679">
        <f t="shared" si="172"/>
        <v>7571.023361761363</v>
      </c>
      <c r="AA565" s="679">
        <f t="shared" si="172"/>
        <v>7571.023361761363</v>
      </c>
      <c r="AB565" s="679">
        <f t="shared" si="172"/>
        <v>7571.023361761363</v>
      </c>
      <c r="AC565" s="679">
        <f t="shared" si="172"/>
        <v>0</v>
      </c>
      <c r="AD565" s="678"/>
      <c r="AE565" s="678"/>
      <c r="AF565" s="678"/>
      <c r="AG565" s="678"/>
      <c r="AH565" s="678"/>
      <c r="AI565" s="678"/>
      <c r="AJ565" s="678"/>
      <c r="AK565" s="658"/>
    </row>
    <row r="566" spans="2:37" s="5" customFormat="1">
      <c r="B566" s="313"/>
      <c r="C566" s="835"/>
      <c r="D566" s="19" t="s">
        <v>33</v>
      </c>
      <c r="E566" s="84">
        <f>F565/(5*F564)</f>
        <v>18177.727159090908</v>
      </c>
      <c r="F566" s="84">
        <f>E566*(F564*7)</f>
        <v>763464.54068181815</v>
      </c>
      <c r="G566" s="95">
        <f>$G$44</f>
        <v>20</v>
      </c>
      <c r="H566" s="64">
        <f>F566/G566</f>
        <v>38173.227034090909</v>
      </c>
      <c r="I566" s="72">
        <f>SUM(H564:H566)</f>
        <v>628931.18197738624</v>
      </c>
      <c r="J566" s="52">
        <f>SUM(G558:G566)</f>
        <v>32.083300000000001</v>
      </c>
      <c r="K566" s="156"/>
      <c r="L566" s="383"/>
      <c r="M566" s="542"/>
      <c r="N566" s="578">
        <f t="shared" si="166"/>
        <v>0</v>
      </c>
      <c r="O566" s="678"/>
      <c r="P566" s="678"/>
      <c r="Q566" s="678"/>
      <c r="R566" s="678"/>
      <c r="S566" s="678"/>
      <c r="T566" s="678"/>
      <c r="U566" s="678"/>
      <c r="V566" s="678"/>
      <c r="W566" s="678"/>
      <c r="X566" s="678"/>
      <c r="Y566" s="678"/>
      <c r="Z566" s="678"/>
      <c r="AA566" s="678"/>
      <c r="AB566" s="678">
        <f>+H566</f>
        <v>38173.227034090909</v>
      </c>
      <c r="AC566" s="678"/>
      <c r="AD566" s="678"/>
      <c r="AE566" s="678"/>
      <c r="AF566" s="678"/>
      <c r="AG566" s="678"/>
      <c r="AH566" s="678"/>
      <c r="AI566" s="678"/>
      <c r="AJ566" s="678"/>
      <c r="AK566" s="658"/>
    </row>
    <row r="567" spans="2:37" s="5" customFormat="1">
      <c r="B567" s="313"/>
      <c r="C567" s="835"/>
      <c r="D567" s="96"/>
      <c r="E567" s="9"/>
      <c r="F567" s="74"/>
      <c r="G567" s="97"/>
      <c r="H567" s="78"/>
      <c r="I567" s="79"/>
      <c r="J567" s="52"/>
      <c r="K567" s="156"/>
      <c r="L567" s="383"/>
      <c r="M567" s="542"/>
      <c r="N567" s="578">
        <f t="shared" si="166"/>
        <v>0</v>
      </c>
      <c r="O567" s="678"/>
      <c r="P567" s="678"/>
      <c r="Q567" s="678"/>
      <c r="R567" s="678"/>
      <c r="S567" s="678"/>
      <c r="T567" s="678"/>
      <c r="U567" s="678"/>
      <c r="V567" s="678"/>
      <c r="W567" s="678"/>
      <c r="X567" s="678"/>
      <c r="Y567" s="678"/>
      <c r="Z567" s="678"/>
      <c r="AA567" s="678"/>
      <c r="AB567" s="678"/>
      <c r="AC567" s="678"/>
      <c r="AD567" s="678"/>
      <c r="AE567" s="678"/>
      <c r="AF567" s="678"/>
      <c r="AG567" s="678"/>
      <c r="AH567" s="678"/>
      <c r="AI567" s="678"/>
      <c r="AJ567" s="678"/>
      <c r="AK567" s="658"/>
    </row>
    <row r="568" spans="2:37" s="5" customFormat="1" ht="15" customHeight="1">
      <c r="B568" s="317">
        <v>47</v>
      </c>
      <c r="C568" s="835" t="s">
        <v>909</v>
      </c>
      <c r="D568" s="80" t="s">
        <v>73</v>
      </c>
      <c r="E568" s="81">
        <v>72180.399999999994</v>
      </c>
      <c r="F568" s="74"/>
      <c r="G568" s="75"/>
      <c r="H568" s="82"/>
      <c r="I568" s="83"/>
      <c r="J568" s="52"/>
      <c r="K568" s="156"/>
      <c r="L568" s="383"/>
      <c r="M568" s="542"/>
      <c r="N568" s="578">
        <f t="shared" si="166"/>
        <v>0</v>
      </c>
      <c r="O568" s="678"/>
      <c r="P568" s="678"/>
      <c r="Q568" s="678"/>
      <c r="R568" s="678"/>
      <c r="S568" s="678"/>
      <c r="T568" s="678"/>
      <c r="U568" s="678"/>
      <c r="V568" s="678"/>
      <c r="W568" s="678"/>
      <c r="X568" s="678"/>
      <c r="Y568" s="678"/>
      <c r="Z568" s="678"/>
      <c r="AA568" s="678"/>
      <c r="AB568" s="678"/>
      <c r="AC568" s="678"/>
      <c r="AD568" s="678"/>
      <c r="AE568" s="678"/>
      <c r="AF568" s="678"/>
      <c r="AG568" s="678"/>
      <c r="AH568" s="678"/>
      <c r="AI568" s="678"/>
      <c r="AJ568" s="678"/>
      <c r="AK568" s="658"/>
    </row>
    <row r="569" spans="2:37" s="5" customFormat="1">
      <c r="B569" s="313"/>
      <c r="C569" s="835"/>
      <c r="D569" s="17" t="s">
        <v>0</v>
      </c>
      <c r="E569" s="81" t="s">
        <v>27</v>
      </c>
      <c r="F569" s="84">
        <f>E568</f>
        <v>72180.399999999994</v>
      </c>
      <c r="G569" s="64">
        <f>$F$3-6</f>
        <v>0</v>
      </c>
      <c r="H569" s="64">
        <f>+G569*F569</f>
        <v>0</v>
      </c>
      <c r="I569" s="79"/>
      <c r="J569" s="52"/>
      <c r="K569" s="156"/>
      <c r="L569" s="383"/>
      <c r="M569" s="542"/>
      <c r="N569" s="578">
        <f t="shared" si="166"/>
        <v>0</v>
      </c>
      <c r="O569" s="678"/>
      <c r="P569" s="678"/>
      <c r="Q569" s="678"/>
      <c r="R569" s="678"/>
      <c r="S569" s="678"/>
      <c r="T569" s="678"/>
      <c r="U569" s="678"/>
      <c r="V569" s="678"/>
      <c r="W569" s="678"/>
      <c r="X569" s="678"/>
      <c r="Y569" s="678"/>
      <c r="Z569" s="678"/>
      <c r="AA569" s="678"/>
      <c r="AB569" s="678"/>
      <c r="AC569" s="678"/>
      <c r="AD569" s="678"/>
      <c r="AE569" s="678"/>
      <c r="AF569" s="678"/>
      <c r="AG569" s="678"/>
      <c r="AH569" s="678"/>
      <c r="AI569" s="678"/>
      <c r="AJ569" s="678"/>
      <c r="AK569" s="658"/>
    </row>
    <row r="570" spans="2:37" s="5" customFormat="1">
      <c r="B570" s="313"/>
      <c r="C570" s="835"/>
      <c r="D570" s="17" t="s">
        <v>3</v>
      </c>
      <c r="E570" s="81" t="s">
        <v>27</v>
      </c>
      <c r="F570" s="84">
        <f>E568</f>
        <v>72180.399999999994</v>
      </c>
      <c r="G570" s="64">
        <v>0</v>
      </c>
      <c r="H570" s="64">
        <f>+G570*F570</f>
        <v>0</v>
      </c>
      <c r="I570" s="79"/>
      <c r="J570" s="52"/>
      <c r="K570" s="156"/>
      <c r="L570" s="383"/>
      <c r="M570" s="542"/>
      <c r="N570" s="578">
        <f t="shared" si="166"/>
        <v>0</v>
      </c>
      <c r="O570" s="678"/>
      <c r="P570" s="678"/>
      <c r="Q570" s="678"/>
      <c r="R570" s="678"/>
      <c r="S570" s="678"/>
      <c r="T570" s="678"/>
      <c r="U570" s="678"/>
      <c r="V570" s="678"/>
      <c r="W570" s="678"/>
      <c r="X570" s="678"/>
      <c r="Y570" s="678"/>
      <c r="Z570" s="678"/>
      <c r="AA570" s="678"/>
      <c r="AB570" s="678"/>
      <c r="AC570" s="678"/>
      <c r="AD570" s="678"/>
      <c r="AE570" s="678"/>
      <c r="AF570" s="678"/>
      <c r="AG570" s="678"/>
      <c r="AH570" s="678"/>
      <c r="AI570" s="678"/>
      <c r="AJ570" s="678"/>
      <c r="AK570" s="658"/>
    </row>
    <row r="571" spans="2:37" s="5" customFormat="1">
      <c r="B571" s="313"/>
      <c r="C571" s="835"/>
      <c r="D571" s="17" t="s">
        <v>28</v>
      </c>
      <c r="E571" s="88">
        <f>$H$5-H5</f>
        <v>0</v>
      </c>
      <c r="F571" s="84">
        <f>E568/44*1.5</f>
        <v>2460.6954545454541</v>
      </c>
      <c r="G571" s="87">
        <v>0</v>
      </c>
      <c r="H571" s="64">
        <f>+G571*F571*E571</f>
        <v>0</v>
      </c>
      <c r="I571" s="79"/>
      <c r="J571" s="52"/>
      <c r="K571" s="156"/>
      <c r="L571" s="383"/>
      <c r="M571" s="542"/>
      <c r="N571" s="578">
        <f t="shared" si="166"/>
        <v>0</v>
      </c>
      <c r="O571" s="678"/>
      <c r="P571" s="678"/>
      <c r="Q571" s="678"/>
      <c r="R571" s="678"/>
      <c r="S571" s="678"/>
      <c r="T571" s="678"/>
      <c r="U571" s="678"/>
      <c r="V571" s="678"/>
      <c r="W571" s="678"/>
      <c r="X571" s="678"/>
      <c r="Y571" s="678"/>
      <c r="Z571" s="678"/>
      <c r="AA571" s="678"/>
      <c r="AB571" s="678"/>
      <c r="AC571" s="678"/>
      <c r="AD571" s="678"/>
      <c r="AE571" s="678"/>
      <c r="AF571" s="678"/>
      <c r="AG571" s="678"/>
      <c r="AH571" s="678"/>
      <c r="AI571" s="678"/>
      <c r="AJ571" s="678"/>
      <c r="AK571" s="658"/>
    </row>
    <row r="572" spans="2:37" s="5" customFormat="1">
      <c r="B572" s="313"/>
      <c r="C572" s="835"/>
      <c r="D572" s="17" t="s">
        <v>1</v>
      </c>
      <c r="E572" s="67" t="s">
        <v>29</v>
      </c>
      <c r="F572" s="84">
        <f>E568/5*1.5</f>
        <v>21654.119999999995</v>
      </c>
      <c r="G572" s="64">
        <f>$H$3</f>
        <v>0</v>
      </c>
      <c r="H572" s="64">
        <f>+G572*F572</f>
        <v>0</v>
      </c>
      <c r="I572" s="79"/>
      <c r="J572" s="52"/>
      <c r="K572" s="156"/>
      <c r="L572" s="383"/>
      <c r="M572" s="542"/>
      <c r="N572" s="578">
        <f t="shared" si="166"/>
        <v>0</v>
      </c>
      <c r="O572" s="678"/>
      <c r="P572" s="678"/>
      <c r="Q572" s="678"/>
      <c r="R572" s="678"/>
      <c r="S572" s="678"/>
      <c r="T572" s="678"/>
      <c r="U572" s="678"/>
      <c r="V572" s="678"/>
      <c r="W572" s="678"/>
      <c r="X572" s="678"/>
      <c r="Y572" s="678"/>
      <c r="Z572" s="678"/>
      <c r="AA572" s="678"/>
      <c r="AB572" s="678"/>
      <c r="AC572" s="678"/>
      <c r="AD572" s="678"/>
      <c r="AE572" s="678"/>
      <c r="AF572" s="678"/>
      <c r="AG572" s="678"/>
      <c r="AH572" s="678"/>
      <c r="AI572" s="678"/>
      <c r="AJ572" s="678"/>
      <c r="AK572" s="658"/>
    </row>
    <row r="573" spans="2:37" s="5" customFormat="1">
      <c r="B573" s="313"/>
      <c r="C573" s="835"/>
      <c r="D573" s="17" t="s">
        <v>4</v>
      </c>
      <c r="E573" s="67" t="s">
        <v>29</v>
      </c>
      <c r="F573" s="84">
        <f>E568/5*2</f>
        <v>28872.159999999996</v>
      </c>
      <c r="G573" s="64">
        <f>$H$4</f>
        <v>0</v>
      </c>
      <c r="H573" s="64">
        <f>+G573*F573</f>
        <v>0</v>
      </c>
      <c r="I573" s="79"/>
      <c r="J573" s="52"/>
      <c r="K573" s="156"/>
      <c r="L573" s="383"/>
      <c r="M573" s="542"/>
      <c r="N573" s="578">
        <f t="shared" si="166"/>
        <v>0</v>
      </c>
      <c r="O573" s="678"/>
      <c r="P573" s="678"/>
      <c r="Q573" s="678"/>
      <c r="R573" s="678"/>
      <c r="S573" s="678"/>
      <c r="T573" s="678"/>
      <c r="U573" s="678"/>
      <c r="V573" s="678"/>
      <c r="W573" s="678"/>
      <c r="X573" s="678"/>
      <c r="Y573" s="678"/>
      <c r="Z573" s="678"/>
      <c r="AA573" s="678"/>
      <c r="AB573" s="678"/>
      <c r="AC573" s="678"/>
      <c r="AD573" s="678"/>
      <c r="AE573" s="678"/>
      <c r="AF573" s="678"/>
      <c r="AG573" s="678"/>
      <c r="AH573" s="678"/>
      <c r="AI573" s="678"/>
      <c r="AJ573" s="678"/>
      <c r="AK573" s="658"/>
    </row>
    <row r="574" spans="2:37" s="5" customFormat="1">
      <c r="B574" s="313"/>
      <c r="C574" s="835"/>
      <c r="D574" s="17" t="s">
        <v>5</v>
      </c>
      <c r="E574" s="81" t="s">
        <v>27</v>
      </c>
      <c r="F574" s="84">
        <f>E568</f>
        <v>72180.399999999994</v>
      </c>
      <c r="G574" s="64">
        <v>7</v>
      </c>
      <c r="H574" s="64">
        <f>+G574*F574</f>
        <v>505262.79999999993</v>
      </c>
      <c r="I574" s="79"/>
      <c r="J574" s="52"/>
      <c r="K574" s="156"/>
      <c r="L574" s="383"/>
      <c r="M574" s="542"/>
      <c r="N574" s="578">
        <f t="shared" si="166"/>
        <v>0</v>
      </c>
      <c r="O574" s="678"/>
      <c r="P574" s="678"/>
      <c r="Q574" s="678"/>
      <c r="R574" s="678"/>
      <c r="S574" s="678"/>
      <c r="T574" s="678"/>
      <c r="U574" s="678"/>
      <c r="V574" s="678"/>
      <c r="W574" s="678"/>
      <c r="X574" s="678"/>
      <c r="Y574" s="678"/>
      <c r="Z574" s="678"/>
      <c r="AA574" s="678"/>
      <c r="AB574" s="678"/>
      <c r="AC574" s="679">
        <f>+H574</f>
        <v>505262.79999999993</v>
      </c>
      <c r="AD574" s="678"/>
      <c r="AE574" s="678"/>
      <c r="AF574" s="678"/>
      <c r="AG574" s="678"/>
      <c r="AH574" s="678"/>
      <c r="AI574" s="678"/>
      <c r="AJ574" s="678"/>
      <c r="AK574" s="658"/>
    </row>
    <row r="575" spans="2:37" s="5" customFormat="1">
      <c r="B575" s="313"/>
      <c r="C575" s="835"/>
      <c r="D575" s="17" t="s">
        <v>30</v>
      </c>
      <c r="E575" s="67" t="s">
        <v>16</v>
      </c>
      <c r="F575" s="64">
        <f>G569+G570+G574</f>
        <v>7</v>
      </c>
      <c r="G575" s="68" t="s">
        <v>31</v>
      </c>
      <c r="H575" s="64">
        <f>SUM(H569:H574)</f>
        <v>505262.79999999993</v>
      </c>
      <c r="I575" s="79"/>
      <c r="J575" s="52"/>
      <c r="K575" s="156"/>
      <c r="L575" s="383"/>
      <c r="M575" s="542"/>
      <c r="N575" s="578">
        <f t="shared" si="166"/>
        <v>-505262.79999999993</v>
      </c>
      <c r="O575" s="678"/>
      <c r="P575" s="678"/>
      <c r="Q575" s="678"/>
      <c r="R575" s="678"/>
      <c r="S575" s="678"/>
      <c r="T575" s="678"/>
      <c r="U575" s="678"/>
      <c r="V575" s="678"/>
      <c r="W575" s="678"/>
      <c r="X575" s="678"/>
      <c r="Y575" s="678"/>
      <c r="Z575" s="678"/>
      <c r="AA575" s="678"/>
      <c r="AB575" s="678"/>
      <c r="AC575" s="678"/>
      <c r="AD575" s="678"/>
      <c r="AE575" s="678"/>
      <c r="AF575" s="678"/>
      <c r="AG575" s="678"/>
      <c r="AH575" s="678"/>
      <c r="AI575" s="678"/>
      <c r="AJ575" s="678"/>
      <c r="AK575" s="658"/>
    </row>
    <row r="576" spans="2:37" s="5" customFormat="1">
      <c r="B576" s="313"/>
      <c r="C576" s="835"/>
      <c r="D576" s="19" t="s">
        <v>32</v>
      </c>
      <c r="E576" s="67" t="s">
        <v>16</v>
      </c>
      <c r="F576" s="84">
        <f>SUM(H569:H574)</f>
        <v>505262.79999999993</v>
      </c>
      <c r="G576" s="92">
        <f>$G$43</f>
        <v>8.3299999999999999E-2</v>
      </c>
      <c r="H576" s="64">
        <f>+G576*F576</f>
        <v>42088.391239999997</v>
      </c>
      <c r="I576" s="93"/>
      <c r="J576" s="52"/>
      <c r="K576" s="156"/>
      <c r="L576" s="383"/>
      <c r="M576" s="542"/>
      <c r="N576" s="578">
        <f t="shared" si="166"/>
        <v>0</v>
      </c>
      <c r="O576" s="679">
        <f t="shared" ref="O576:AC576" si="173">SUM(O567:O575)*$G$54</f>
        <v>0</v>
      </c>
      <c r="P576" s="679">
        <f t="shared" si="173"/>
        <v>0</v>
      </c>
      <c r="Q576" s="679">
        <f t="shared" si="173"/>
        <v>0</v>
      </c>
      <c r="R576" s="679">
        <f t="shared" si="173"/>
        <v>0</v>
      </c>
      <c r="S576" s="679">
        <f t="shared" si="173"/>
        <v>0</v>
      </c>
      <c r="T576" s="679">
        <f t="shared" si="173"/>
        <v>0</v>
      </c>
      <c r="U576" s="679">
        <f t="shared" si="173"/>
        <v>0</v>
      </c>
      <c r="V576" s="679">
        <f t="shared" si="173"/>
        <v>0</v>
      </c>
      <c r="W576" s="679">
        <f t="shared" si="173"/>
        <v>0</v>
      </c>
      <c r="X576" s="679">
        <f t="shared" si="173"/>
        <v>0</v>
      </c>
      <c r="Y576" s="679">
        <f t="shared" si="173"/>
        <v>0</v>
      </c>
      <c r="Z576" s="679">
        <f t="shared" si="173"/>
        <v>0</v>
      </c>
      <c r="AA576" s="679">
        <f t="shared" si="173"/>
        <v>0</v>
      </c>
      <c r="AB576" s="679">
        <f t="shared" si="173"/>
        <v>0</v>
      </c>
      <c r="AC576" s="679">
        <f t="shared" si="173"/>
        <v>42088.391239999997</v>
      </c>
      <c r="AD576" s="678"/>
      <c r="AE576" s="678"/>
      <c r="AF576" s="678"/>
      <c r="AG576" s="678"/>
      <c r="AH576" s="678"/>
      <c r="AI576" s="678"/>
      <c r="AJ576" s="678"/>
      <c r="AK576" s="658"/>
    </row>
    <row r="577" spans="2:37" s="5" customFormat="1">
      <c r="B577" s="313"/>
      <c r="C577" s="835"/>
      <c r="D577" s="19" t="s">
        <v>33</v>
      </c>
      <c r="E577" s="84">
        <f>F576/(5*F575)</f>
        <v>14436.079999999998</v>
      </c>
      <c r="F577" s="84">
        <f>E577*(F575*7)</f>
        <v>707367.91999999993</v>
      </c>
      <c r="G577" s="95">
        <f>$G$44</f>
        <v>20</v>
      </c>
      <c r="H577" s="64">
        <f>F577/G577</f>
        <v>35368.395999999993</v>
      </c>
      <c r="I577" s="72">
        <f>SUM(H575:H577)</f>
        <v>582719.58723999991</v>
      </c>
      <c r="J577" s="52">
        <f>SUM(G569:G577)</f>
        <v>27.083300000000001</v>
      </c>
      <c r="K577" s="156"/>
      <c r="L577" s="383"/>
      <c r="M577" s="542"/>
      <c r="N577" s="578">
        <f t="shared" si="166"/>
        <v>0</v>
      </c>
      <c r="O577" s="678"/>
      <c r="P577" s="678"/>
      <c r="Q577" s="678"/>
      <c r="R577" s="678"/>
      <c r="S577" s="678"/>
      <c r="T577" s="678"/>
      <c r="U577" s="678"/>
      <c r="V577" s="678"/>
      <c r="W577" s="678"/>
      <c r="X577" s="678"/>
      <c r="Y577" s="678"/>
      <c r="Z577" s="678"/>
      <c r="AA577" s="678"/>
      <c r="AB577" s="678">
        <f>+H577</f>
        <v>35368.395999999993</v>
      </c>
      <c r="AC577" s="678"/>
      <c r="AD577" s="678"/>
      <c r="AE577" s="678"/>
      <c r="AF577" s="678"/>
      <c r="AG577" s="678"/>
      <c r="AH577" s="678"/>
      <c r="AI577" s="678"/>
      <c r="AJ577" s="678"/>
      <c r="AK577" s="658"/>
    </row>
    <row r="578" spans="2:37" s="5" customFormat="1">
      <c r="B578" s="313"/>
      <c r="C578" s="835"/>
      <c r="D578" s="96"/>
      <c r="E578" s="9"/>
      <c r="F578" s="74"/>
      <c r="G578" s="97"/>
      <c r="H578" s="78"/>
      <c r="I578" s="79"/>
      <c r="J578" s="52"/>
      <c r="K578" s="156"/>
      <c r="L578" s="383"/>
      <c r="M578" s="542"/>
      <c r="N578" s="578">
        <f t="shared" si="166"/>
        <v>0</v>
      </c>
      <c r="O578" s="678"/>
      <c r="P578" s="678"/>
      <c r="Q578" s="678"/>
      <c r="R578" s="678"/>
      <c r="S578" s="678"/>
      <c r="T578" s="678"/>
      <c r="U578" s="678"/>
      <c r="V578" s="678"/>
      <c r="W578" s="678"/>
      <c r="X578" s="678"/>
      <c r="Y578" s="678"/>
      <c r="Z578" s="678"/>
      <c r="AA578" s="678"/>
      <c r="AB578" s="678"/>
      <c r="AC578" s="678"/>
      <c r="AD578" s="678"/>
      <c r="AE578" s="678"/>
      <c r="AF578" s="678"/>
      <c r="AG578" s="678"/>
      <c r="AH578" s="678"/>
      <c r="AI578" s="678"/>
      <c r="AJ578" s="678"/>
      <c r="AK578" s="658"/>
    </row>
    <row r="579" spans="2:37" s="5" customFormat="1" ht="15" customHeight="1">
      <c r="B579" s="317">
        <v>48</v>
      </c>
      <c r="C579" s="835" t="s">
        <v>910</v>
      </c>
      <c r="D579" s="80" t="s">
        <v>222</v>
      </c>
      <c r="E579" s="81">
        <v>57232.2</v>
      </c>
      <c r="F579" s="74"/>
      <c r="G579" s="75"/>
      <c r="H579" s="82"/>
      <c r="I579" s="83"/>
      <c r="J579" s="52"/>
      <c r="K579" s="156"/>
      <c r="L579" s="383"/>
      <c r="M579" s="542"/>
      <c r="N579" s="578">
        <f t="shared" si="166"/>
        <v>0</v>
      </c>
      <c r="O579" s="678"/>
      <c r="P579" s="678"/>
      <c r="Q579" s="678"/>
      <c r="R579" s="678"/>
      <c r="S579" s="678"/>
      <c r="T579" s="678"/>
      <c r="U579" s="678"/>
      <c r="V579" s="678"/>
      <c r="W579" s="678"/>
      <c r="X579" s="678"/>
      <c r="Y579" s="678"/>
      <c r="Z579" s="678"/>
      <c r="AA579" s="678"/>
      <c r="AB579" s="678"/>
      <c r="AC579" s="678"/>
      <c r="AD579" s="678"/>
      <c r="AE579" s="678"/>
      <c r="AF579" s="678"/>
      <c r="AG579" s="678"/>
      <c r="AH579" s="678"/>
      <c r="AI579" s="678"/>
      <c r="AJ579" s="678"/>
      <c r="AK579" s="658"/>
    </row>
    <row r="580" spans="2:37" s="5" customFormat="1">
      <c r="B580" s="313"/>
      <c r="C580" s="835"/>
      <c r="D580" s="17" t="s">
        <v>0</v>
      </c>
      <c r="E580" s="81" t="s">
        <v>27</v>
      </c>
      <c r="F580" s="84">
        <f>E579</f>
        <v>57232.2</v>
      </c>
      <c r="G580" s="64">
        <f>$F$3-6</f>
        <v>0</v>
      </c>
      <c r="H580" s="64">
        <f>+G580*F580</f>
        <v>0</v>
      </c>
      <c r="I580" s="79"/>
      <c r="J580" s="52"/>
      <c r="K580" s="156"/>
      <c r="L580" s="383"/>
      <c r="M580" s="542"/>
      <c r="N580" s="578">
        <f t="shared" si="166"/>
        <v>0</v>
      </c>
      <c r="O580" s="678"/>
      <c r="P580" s="678"/>
      <c r="Q580" s="678"/>
      <c r="R580" s="678"/>
      <c r="S580" s="678"/>
      <c r="T580" s="678"/>
      <c r="U580" s="678"/>
      <c r="V580" s="678"/>
      <c r="W580" s="678"/>
      <c r="X580" s="678"/>
      <c r="Y580" s="678"/>
      <c r="Z580" s="678"/>
      <c r="AA580" s="678"/>
      <c r="AB580" s="678"/>
      <c r="AC580" s="678"/>
      <c r="AD580" s="678"/>
      <c r="AE580" s="678"/>
      <c r="AF580" s="678"/>
      <c r="AG580" s="678"/>
      <c r="AH580" s="678"/>
      <c r="AI580" s="678"/>
      <c r="AJ580" s="678"/>
      <c r="AK580" s="658"/>
    </row>
    <row r="581" spans="2:37" s="5" customFormat="1">
      <c r="B581" s="313"/>
      <c r="C581" s="835"/>
      <c r="D581" s="17" t="s">
        <v>3</v>
      </c>
      <c r="E581" s="81" t="s">
        <v>27</v>
      </c>
      <c r="F581" s="84">
        <f>E579</f>
        <v>57232.2</v>
      </c>
      <c r="G581" s="64">
        <v>0</v>
      </c>
      <c r="H581" s="64">
        <f>+G581*F581</f>
        <v>0</v>
      </c>
      <c r="I581" s="79"/>
      <c r="J581" s="52"/>
      <c r="K581" s="156"/>
      <c r="L581" s="383"/>
      <c r="M581" s="542"/>
      <c r="N581" s="578">
        <f t="shared" si="166"/>
        <v>0</v>
      </c>
      <c r="O581" s="678"/>
      <c r="P581" s="678"/>
      <c r="Q581" s="678"/>
      <c r="R581" s="678"/>
      <c r="S581" s="678"/>
      <c r="T581" s="678"/>
      <c r="U581" s="678"/>
      <c r="V581" s="678"/>
      <c r="W581" s="678"/>
      <c r="X581" s="678"/>
      <c r="Y581" s="678"/>
      <c r="Z581" s="678"/>
      <c r="AA581" s="678"/>
      <c r="AB581" s="678"/>
      <c r="AC581" s="678"/>
      <c r="AD581" s="678"/>
      <c r="AE581" s="678"/>
      <c r="AF581" s="678"/>
      <c r="AG581" s="678"/>
      <c r="AH581" s="678"/>
      <c r="AI581" s="678"/>
      <c r="AJ581" s="678"/>
      <c r="AK581" s="658"/>
    </row>
    <row r="582" spans="2:37" s="5" customFormat="1">
      <c r="B582" s="313"/>
      <c r="C582" s="835"/>
      <c r="D582" s="17" t="s">
        <v>28</v>
      </c>
      <c r="E582" s="88">
        <f>$H$5</f>
        <v>13.25</v>
      </c>
      <c r="F582" s="84">
        <f>E579/44*1.5</f>
        <v>1951.0977272727273</v>
      </c>
      <c r="G582" s="87"/>
      <c r="H582" s="64">
        <f>+G582*F582*E582</f>
        <v>0</v>
      </c>
      <c r="I582" s="79"/>
      <c r="J582" s="52"/>
      <c r="K582" s="156"/>
      <c r="L582" s="383"/>
      <c r="M582" s="542"/>
      <c r="N582" s="578">
        <f t="shared" si="166"/>
        <v>0</v>
      </c>
      <c r="O582" s="678"/>
      <c r="P582" s="678"/>
      <c r="Q582" s="678"/>
      <c r="R582" s="678"/>
      <c r="S582" s="678"/>
      <c r="T582" s="678"/>
      <c r="U582" s="678"/>
      <c r="V582" s="678"/>
      <c r="W582" s="678"/>
      <c r="X582" s="678"/>
      <c r="Y582" s="678"/>
      <c r="Z582" s="678"/>
      <c r="AA582" s="678"/>
      <c r="AB582" s="678"/>
      <c r="AC582" s="678"/>
      <c r="AD582" s="678"/>
      <c r="AE582" s="678"/>
      <c r="AF582" s="678"/>
      <c r="AG582" s="678"/>
      <c r="AH582" s="678"/>
      <c r="AI582" s="678"/>
      <c r="AJ582" s="678"/>
      <c r="AK582" s="658"/>
    </row>
    <row r="583" spans="2:37" s="5" customFormat="1">
      <c r="B583" s="313"/>
      <c r="C583" s="835"/>
      <c r="D583" s="17" t="s">
        <v>1</v>
      </c>
      <c r="E583" s="67" t="s">
        <v>29</v>
      </c>
      <c r="F583" s="84">
        <f>E579/5*1.5</f>
        <v>17169.659999999996</v>
      </c>
      <c r="G583" s="64">
        <f>$H$3</f>
        <v>0</v>
      </c>
      <c r="H583" s="64">
        <f>+G583*F583</f>
        <v>0</v>
      </c>
      <c r="I583" s="79"/>
      <c r="J583" s="52"/>
      <c r="K583" s="156"/>
      <c r="L583" s="383"/>
      <c r="M583" s="542"/>
      <c r="N583" s="578">
        <f t="shared" si="166"/>
        <v>0</v>
      </c>
      <c r="O583" s="678"/>
      <c r="P583" s="678"/>
      <c r="Q583" s="678"/>
      <c r="R583" s="678"/>
      <c r="S583" s="678"/>
      <c r="T583" s="678"/>
      <c r="U583" s="678"/>
      <c r="V583" s="678"/>
      <c r="W583" s="678"/>
      <c r="X583" s="678"/>
      <c r="Y583" s="678"/>
      <c r="Z583" s="678"/>
      <c r="AA583" s="678"/>
      <c r="AB583" s="678"/>
      <c r="AC583" s="678"/>
      <c r="AD583" s="678"/>
      <c r="AE583" s="678"/>
      <c r="AF583" s="678"/>
      <c r="AG583" s="678"/>
      <c r="AH583" s="678"/>
      <c r="AI583" s="678"/>
      <c r="AJ583" s="678"/>
      <c r="AK583" s="658"/>
    </row>
    <row r="584" spans="2:37" s="5" customFormat="1">
      <c r="B584" s="313"/>
      <c r="C584" s="835"/>
      <c r="D584" s="17" t="s">
        <v>4</v>
      </c>
      <c r="E584" s="67" t="s">
        <v>29</v>
      </c>
      <c r="F584" s="84">
        <f>E579/5*2</f>
        <v>22892.879999999997</v>
      </c>
      <c r="G584" s="64">
        <f>$H$4</f>
        <v>0</v>
      </c>
      <c r="H584" s="64">
        <f>+G584*F584</f>
        <v>0</v>
      </c>
      <c r="I584" s="79"/>
      <c r="J584" s="52"/>
      <c r="K584" s="156"/>
      <c r="L584" s="383"/>
      <c r="M584" s="542"/>
      <c r="N584" s="578">
        <f t="shared" si="166"/>
        <v>0</v>
      </c>
      <c r="O584" s="678"/>
      <c r="P584" s="678"/>
      <c r="Q584" s="678"/>
      <c r="R584" s="678"/>
      <c r="S584" s="678"/>
      <c r="T584" s="678"/>
      <c r="U584" s="678"/>
      <c r="V584" s="678"/>
      <c r="W584" s="678"/>
      <c r="X584" s="678"/>
      <c r="Y584" s="678"/>
      <c r="Z584" s="678"/>
      <c r="AA584" s="678"/>
      <c r="AB584" s="678"/>
      <c r="AC584" s="678"/>
      <c r="AD584" s="678"/>
      <c r="AE584" s="678"/>
      <c r="AF584" s="678"/>
      <c r="AG584" s="678"/>
      <c r="AH584" s="678"/>
      <c r="AI584" s="678"/>
      <c r="AJ584" s="678"/>
      <c r="AK584" s="658"/>
    </row>
    <row r="585" spans="2:37" s="5" customFormat="1" ht="12" customHeight="1">
      <c r="B585" s="313"/>
      <c r="C585" s="835"/>
      <c r="D585" s="17" t="s">
        <v>5</v>
      </c>
      <c r="E585" s="81" t="s">
        <v>27</v>
      </c>
      <c r="F585" s="84">
        <f>E579</f>
        <v>57232.2</v>
      </c>
      <c r="G585" s="64">
        <v>6</v>
      </c>
      <c r="H585" s="64">
        <f>+G585*F585</f>
        <v>343393.19999999995</v>
      </c>
      <c r="I585" s="79"/>
      <c r="J585" s="52"/>
      <c r="K585" s="156"/>
      <c r="L585" s="383"/>
      <c r="M585" s="542"/>
      <c r="N585" s="578">
        <f t="shared" si="166"/>
        <v>0</v>
      </c>
      <c r="O585" s="678"/>
      <c r="P585" s="678"/>
      <c r="Q585" s="678"/>
      <c r="R585" s="678"/>
      <c r="S585" s="678"/>
      <c r="T585" s="678"/>
      <c r="U585" s="678"/>
      <c r="V585" s="678"/>
      <c r="W585" s="678"/>
      <c r="X585" s="678"/>
      <c r="Y585" s="678"/>
      <c r="Z585" s="678"/>
      <c r="AA585" s="678"/>
      <c r="AB585" s="678"/>
      <c r="AC585" s="679"/>
      <c r="AD585" s="678"/>
      <c r="AE585" s="678">
        <f>+H585/6</f>
        <v>57232.19999999999</v>
      </c>
      <c r="AF585" s="678">
        <v>57232.19999999999</v>
      </c>
      <c r="AG585" s="678">
        <v>57232.19999999999</v>
      </c>
      <c r="AH585" s="678">
        <v>57232.19999999999</v>
      </c>
      <c r="AI585" s="678">
        <v>57232.19999999999</v>
      </c>
      <c r="AJ585" s="678">
        <v>57232.19999999999</v>
      </c>
      <c r="AK585" s="658"/>
    </row>
    <row r="586" spans="2:37" s="5" customFormat="1">
      <c r="B586" s="313"/>
      <c r="C586" s="835"/>
      <c r="D586" s="17" t="s">
        <v>30</v>
      </c>
      <c r="E586" s="67" t="s">
        <v>16</v>
      </c>
      <c r="F586" s="64">
        <f>G580+G581+G585</f>
        <v>6</v>
      </c>
      <c r="G586" s="68" t="s">
        <v>31</v>
      </c>
      <c r="H586" s="64">
        <f>SUM(H580:H585)</f>
        <v>343393.19999999995</v>
      </c>
      <c r="I586" s="79"/>
      <c r="J586" s="52"/>
      <c r="K586" s="156"/>
      <c r="L586" s="383"/>
      <c r="M586" s="542"/>
      <c r="N586" s="578">
        <f t="shared" si="166"/>
        <v>-343393.19999999995</v>
      </c>
      <c r="O586" s="678"/>
      <c r="P586" s="678"/>
      <c r="Q586" s="678"/>
      <c r="R586" s="678"/>
      <c r="S586" s="678"/>
      <c r="T586" s="678"/>
      <c r="U586" s="678"/>
      <c r="V586" s="678"/>
      <c r="W586" s="678"/>
      <c r="X586" s="678"/>
      <c r="Y586" s="678"/>
      <c r="Z586" s="678"/>
      <c r="AA586" s="678"/>
      <c r="AB586" s="678"/>
      <c r="AC586" s="678"/>
      <c r="AD586" s="678"/>
      <c r="AE586" s="678"/>
      <c r="AF586" s="678"/>
      <c r="AG586" s="678"/>
      <c r="AH586" s="678"/>
      <c r="AI586" s="678"/>
      <c r="AJ586" s="678"/>
      <c r="AK586" s="658"/>
    </row>
    <row r="587" spans="2:37" s="5" customFormat="1">
      <c r="B587" s="313"/>
      <c r="C587" s="835"/>
      <c r="D587" s="19" t="s">
        <v>32</v>
      </c>
      <c r="E587" s="67" t="s">
        <v>16</v>
      </c>
      <c r="F587" s="84">
        <f>SUM(H580:H585)</f>
        <v>343393.19999999995</v>
      </c>
      <c r="G587" s="92">
        <f>$G$43</f>
        <v>8.3299999999999999E-2</v>
      </c>
      <c r="H587" s="64">
        <f>+G587*F587</f>
        <v>28604.653559999995</v>
      </c>
      <c r="I587" s="93"/>
      <c r="J587" s="52"/>
      <c r="K587" s="156"/>
      <c r="L587" s="383"/>
      <c r="M587" s="542"/>
      <c r="N587" s="578">
        <f t="shared" si="166"/>
        <v>0</v>
      </c>
      <c r="O587" s="679">
        <f t="shared" ref="O587:AC587" si="174">SUM(O578:O586)*$G$54</f>
        <v>0</v>
      </c>
      <c r="P587" s="679">
        <f t="shared" si="174"/>
        <v>0</v>
      </c>
      <c r="Q587" s="679">
        <f t="shared" si="174"/>
        <v>0</v>
      </c>
      <c r="R587" s="679">
        <f t="shared" si="174"/>
        <v>0</v>
      </c>
      <c r="S587" s="679">
        <f t="shared" si="174"/>
        <v>0</v>
      </c>
      <c r="T587" s="679">
        <f t="shared" si="174"/>
        <v>0</v>
      </c>
      <c r="U587" s="679">
        <f t="shared" si="174"/>
        <v>0</v>
      </c>
      <c r="V587" s="679">
        <f t="shared" si="174"/>
        <v>0</v>
      </c>
      <c r="W587" s="679">
        <f t="shared" si="174"/>
        <v>0</v>
      </c>
      <c r="X587" s="679">
        <f t="shared" si="174"/>
        <v>0</v>
      </c>
      <c r="Y587" s="679">
        <f t="shared" si="174"/>
        <v>0</v>
      </c>
      <c r="Z587" s="679">
        <f t="shared" si="174"/>
        <v>0</v>
      </c>
      <c r="AA587" s="679">
        <f t="shared" si="174"/>
        <v>0</v>
      </c>
      <c r="AB587" s="679">
        <f t="shared" si="174"/>
        <v>0</v>
      </c>
      <c r="AC587" s="679">
        <f t="shared" si="174"/>
        <v>0</v>
      </c>
      <c r="AD587" s="678"/>
      <c r="AE587" s="678">
        <f>SUM(AE585:AE586)*$G$587</f>
        <v>4767.4422599999989</v>
      </c>
      <c r="AF587" s="678">
        <f t="shared" ref="AF587:AJ587" si="175">SUM(AF585:AF586)*$G$587</f>
        <v>4767.4422599999989</v>
      </c>
      <c r="AG587" s="678">
        <f t="shared" si="175"/>
        <v>4767.4422599999989</v>
      </c>
      <c r="AH587" s="678">
        <f t="shared" si="175"/>
        <v>4767.4422599999989</v>
      </c>
      <c r="AI587" s="678">
        <f t="shared" si="175"/>
        <v>4767.4422599999989</v>
      </c>
      <c r="AJ587" s="678">
        <f t="shared" si="175"/>
        <v>4767.4422599999989</v>
      </c>
      <c r="AK587" s="658"/>
    </row>
    <row r="588" spans="2:37" s="5" customFormat="1">
      <c r="B588" s="313"/>
      <c r="C588" s="835"/>
      <c r="D588" s="19" t="s">
        <v>33</v>
      </c>
      <c r="E588" s="84">
        <f>F587/(5*F586)</f>
        <v>11446.439999999999</v>
      </c>
      <c r="F588" s="84">
        <f>E588*(F586*7)</f>
        <v>480750.47999999992</v>
      </c>
      <c r="G588" s="95">
        <f>$G$44</f>
        <v>20</v>
      </c>
      <c r="H588" s="64">
        <f>F588/G588</f>
        <v>24037.523999999998</v>
      </c>
      <c r="I588" s="72">
        <f>SUM(H586:H588)</f>
        <v>396035.37755999994</v>
      </c>
      <c r="J588" s="52">
        <f>SUM(G580:G588)</f>
        <v>26.083300000000001</v>
      </c>
      <c r="K588" s="156"/>
      <c r="L588" s="383"/>
      <c r="M588" s="542"/>
      <c r="N588" s="578">
        <f t="shared" si="166"/>
        <v>0</v>
      </c>
      <c r="O588" s="678"/>
      <c r="P588" s="678"/>
      <c r="Q588" s="678"/>
      <c r="R588" s="678"/>
      <c r="S588" s="678"/>
      <c r="T588" s="678"/>
      <c r="U588" s="678"/>
      <c r="V588" s="678"/>
      <c r="W588" s="678"/>
      <c r="X588" s="678"/>
      <c r="Y588" s="678"/>
      <c r="Z588" s="678"/>
      <c r="AA588" s="678"/>
      <c r="AB588" s="678">
        <f>+H588</f>
        <v>24037.523999999998</v>
      </c>
      <c r="AC588" s="678"/>
      <c r="AD588" s="678"/>
      <c r="AE588" s="678"/>
      <c r="AF588" s="678"/>
      <c r="AG588" s="678"/>
      <c r="AH588" s="678"/>
      <c r="AI588" s="678"/>
      <c r="AJ588" s="678"/>
      <c r="AK588" s="658"/>
    </row>
    <row r="589" spans="2:37" s="5" customFormat="1">
      <c r="B589" s="313"/>
      <c r="C589" s="835"/>
      <c r="D589" s="96"/>
      <c r="E589" s="9"/>
      <c r="F589" s="74"/>
      <c r="G589" s="97"/>
      <c r="H589" s="78"/>
      <c r="I589" s="79"/>
      <c r="J589" s="52"/>
      <c r="K589" s="156"/>
      <c r="L589" s="383"/>
      <c r="M589" s="542"/>
      <c r="N589" s="578">
        <f t="shared" si="166"/>
        <v>0</v>
      </c>
      <c r="O589" s="678"/>
      <c r="P589" s="678"/>
      <c r="Q589" s="678"/>
      <c r="R589" s="678"/>
      <c r="S589" s="678"/>
      <c r="T589" s="678"/>
      <c r="U589" s="678"/>
      <c r="V589" s="678"/>
      <c r="W589" s="678"/>
      <c r="X589" s="678"/>
      <c r="Y589" s="678"/>
      <c r="Z589" s="678"/>
      <c r="AA589" s="678"/>
      <c r="AB589" s="678"/>
      <c r="AC589" s="678"/>
      <c r="AD589" s="678"/>
      <c r="AE589" s="678"/>
      <c r="AF589" s="678"/>
      <c r="AG589" s="678"/>
      <c r="AH589" s="678"/>
      <c r="AI589" s="678"/>
      <c r="AJ589" s="678"/>
      <c r="AK589" s="658"/>
    </row>
    <row r="590" spans="2:37" s="5" customFormat="1" ht="15" customHeight="1">
      <c r="B590" s="317">
        <v>49</v>
      </c>
      <c r="C590" s="835" t="s">
        <v>911</v>
      </c>
      <c r="D590" s="80" t="s">
        <v>74</v>
      </c>
      <c r="E590" s="81">
        <v>84572.65</v>
      </c>
      <c r="F590" s="74"/>
      <c r="G590" s="75"/>
      <c r="H590" s="82"/>
      <c r="I590" s="83"/>
      <c r="J590" s="52"/>
      <c r="K590" s="156"/>
      <c r="L590" s="383"/>
      <c r="M590" s="542"/>
      <c r="N590" s="578">
        <f t="shared" si="166"/>
        <v>0</v>
      </c>
      <c r="O590" s="678"/>
      <c r="P590" s="678"/>
      <c r="Q590" s="678"/>
      <c r="R590" s="678"/>
      <c r="S590" s="678"/>
      <c r="T590" s="678"/>
      <c r="U590" s="678"/>
      <c r="V590" s="678"/>
      <c r="W590" s="678"/>
      <c r="X590" s="678"/>
      <c r="Y590" s="678"/>
      <c r="Z590" s="678"/>
      <c r="AA590" s="678"/>
      <c r="AB590" s="678"/>
      <c r="AC590" s="678"/>
      <c r="AD590" s="678"/>
      <c r="AE590" s="678"/>
      <c r="AF590" s="678"/>
      <c r="AG590" s="678"/>
      <c r="AH590" s="678"/>
      <c r="AI590" s="678"/>
      <c r="AJ590" s="678"/>
      <c r="AK590" s="658"/>
    </row>
    <row r="591" spans="2:37" s="5" customFormat="1">
      <c r="B591" s="313"/>
      <c r="C591" s="835"/>
      <c r="D591" s="17" t="s">
        <v>0</v>
      </c>
      <c r="E591" s="81" t="s">
        <v>27</v>
      </c>
      <c r="F591" s="84">
        <f>E590</f>
        <v>84572.65</v>
      </c>
      <c r="G591" s="64">
        <f>$F$3-F3</f>
        <v>0</v>
      </c>
      <c r="H591" s="64">
        <f>+G591*F591</f>
        <v>0</v>
      </c>
      <c r="I591" s="79"/>
      <c r="J591" s="52"/>
      <c r="K591" s="156"/>
      <c r="L591" s="383"/>
      <c r="M591" s="542"/>
      <c r="N591" s="578">
        <f t="shared" si="166"/>
        <v>0</v>
      </c>
      <c r="O591" s="678"/>
      <c r="P591" s="678"/>
      <c r="Q591" s="678"/>
      <c r="R591" s="678"/>
      <c r="S591" s="678"/>
      <c r="T591" s="678"/>
      <c r="U591" s="678"/>
      <c r="V591" s="678"/>
      <c r="W591" s="678"/>
      <c r="X591" s="678"/>
      <c r="Y591" s="678"/>
      <c r="Z591" s="678"/>
      <c r="AA591" s="678"/>
      <c r="AB591" s="678"/>
      <c r="AC591" s="678"/>
      <c r="AD591" s="678"/>
      <c r="AE591" s="678"/>
      <c r="AF591" s="678"/>
      <c r="AG591" s="678"/>
      <c r="AH591" s="678"/>
      <c r="AI591" s="678"/>
      <c r="AJ591" s="678"/>
      <c r="AK591" s="658"/>
    </row>
    <row r="592" spans="2:37" s="5" customFormat="1">
      <c r="B592" s="313"/>
      <c r="C592" s="835"/>
      <c r="D592" s="17" t="s">
        <v>3</v>
      </c>
      <c r="E592" s="81" t="s">
        <v>27</v>
      </c>
      <c r="F592" s="84">
        <f>E590</f>
        <v>84572.65</v>
      </c>
      <c r="G592" s="64">
        <v>4</v>
      </c>
      <c r="H592" s="64">
        <f>+G592*F592</f>
        <v>338290.6</v>
      </c>
      <c r="I592" s="79"/>
      <c r="J592" s="52"/>
      <c r="K592" s="156"/>
      <c r="L592" s="383"/>
      <c r="M592" s="542"/>
      <c r="N592" s="578">
        <f t="shared" si="166"/>
        <v>0</v>
      </c>
      <c r="O592" s="678"/>
      <c r="P592" s="678"/>
      <c r="Q592" s="678"/>
      <c r="R592" s="678"/>
      <c r="S592" s="678"/>
      <c r="T592" s="678"/>
      <c r="U592" s="678"/>
      <c r="V592" s="678"/>
      <c r="W592" s="678"/>
      <c r="X592" s="678"/>
      <c r="Y592" s="678">
        <f>+H592/G592</f>
        <v>84572.65</v>
      </c>
      <c r="Z592" s="678">
        <f>+Y592</f>
        <v>84572.65</v>
      </c>
      <c r="AA592" s="678">
        <f>+Z592</f>
        <v>84572.65</v>
      </c>
      <c r="AB592" s="678">
        <f>+AA592</f>
        <v>84572.65</v>
      </c>
      <c r="AC592" s="678"/>
      <c r="AD592" s="678"/>
      <c r="AE592" s="678"/>
      <c r="AF592" s="678"/>
      <c r="AG592" s="678"/>
      <c r="AH592" s="678"/>
      <c r="AI592" s="678"/>
      <c r="AJ592" s="678"/>
      <c r="AK592" s="658"/>
    </row>
    <row r="593" spans="2:37" s="5" customFormat="1">
      <c r="B593" s="313"/>
      <c r="C593" s="835"/>
      <c r="D593" s="17" t="s">
        <v>28</v>
      </c>
      <c r="E593" s="88">
        <f>$H$5-H5</f>
        <v>0</v>
      </c>
      <c r="F593" s="84">
        <f>E590/44*1.5</f>
        <v>2883.1585227272726</v>
      </c>
      <c r="G593" s="87">
        <f>$F$4-F4</f>
        <v>0</v>
      </c>
      <c r="H593" s="64">
        <f>+G593*F593*E593</f>
        <v>0</v>
      </c>
      <c r="I593" s="79"/>
      <c r="J593" s="52"/>
      <c r="K593" s="156"/>
      <c r="L593" s="383"/>
      <c r="M593" s="542"/>
      <c r="N593" s="578">
        <f t="shared" si="166"/>
        <v>0</v>
      </c>
      <c r="O593" s="678"/>
      <c r="P593" s="678"/>
      <c r="Q593" s="678"/>
      <c r="R593" s="678"/>
      <c r="S593" s="678"/>
      <c r="T593" s="678"/>
      <c r="U593" s="678"/>
      <c r="V593" s="678"/>
      <c r="W593" s="678"/>
      <c r="X593" s="678"/>
      <c r="Y593" s="678"/>
      <c r="Z593" s="678"/>
      <c r="AA593" s="678"/>
      <c r="AB593" s="678"/>
      <c r="AC593" s="678"/>
      <c r="AD593" s="678"/>
      <c r="AE593" s="678"/>
      <c r="AF593" s="678"/>
      <c r="AG593" s="678"/>
      <c r="AH593" s="678"/>
      <c r="AI593" s="678"/>
      <c r="AJ593" s="678"/>
      <c r="AK593" s="658"/>
    </row>
    <row r="594" spans="2:37" s="5" customFormat="1">
      <c r="B594" s="313"/>
      <c r="C594" s="835"/>
      <c r="D594" s="17" t="s">
        <v>1</v>
      </c>
      <c r="E594" s="81" t="s">
        <v>60</v>
      </c>
      <c r="F594" s="84">
        <f>E590/5*1.5</f>
        <v>25371.794999999998</v>
      </c>
      <c r="G594" s="64">
        <f>$H$3</f>
        <v>0</v>
      </c>
      <c r="H594" s="64">
        <f>+G594*F594</f>
        <v>0</v>
      </c>
      <c r="I594" s="79"/>
      <c r="J594" s="52"/>
      <c r="K594" s="156"/>
      <c r="L594" s="383"/>
      <c r="M594" s="542"/>
      <c r="N594" s="578">
        <f t="shared" si="166"/>
        <v>0</v>
      </c>
      <c r="O594" s="678"/>
      <c r="P594" s="678"/>
      <c r="Q594" s="678"/>
      <c r="R594" s="678"/>
      <c r="S594" s="678"/>
      <c r="T594" s="678"/>
      <c r="U594" s="678"/>
      <c r="V594" s="678"/>
      <c r="W594" s="678"/>
      <c r="X594" s="678"/>
      <c r="Y594" s="678"/>
      <c r="Z594" s="678"/>
      <c r="AA594" s="678"/>
      <c r="AB594" s="678"/>
      <c r="AC594" s="678"/>
      <c r="AD594" s="678"/>
      <c r="AE594" s="678"/>
      <c r="AF594" s="678"/>
      <c r="AG594" s="678"/>
      <c r="AH594" s="678"/>
      <c r="AI594" s="678"/>
      <c r="AJ594" s="678"/>
      <c r="AK594" s="658"/>
    </row>
    <row r="595" spans="2:37" s="5" customFormat="1">
      <c r="B595" s="313"/>
      <c r="C595" s="835"/>
      <c r="D595" s="17" t="s">
        <v>4</v>
      </c>
      <c r="E595" s="81" t="s">
        <v>60</v>
      </c>
      <c r="F595" s="84">
        <f>E590/5*2</f>
        <v>33829.06</v>
      </c>
      <c r="G595" s="64">
        <f>$H$4</f>
        <v>0</v>
      </c>
      <c r="H595" s="64">
        <f>+G595*F595</f>
        <v>0</v>
      </c>
      <c r="I595" s="79"/>
      <c r="J595" s="52"/>
      <c r="K595" s="156"/>
      <c r="L595" s="383"/>
      <c r="M595" s="542"/>
      <c r="N595" s="578">
        <f t="shared" si="166"/>
        <v>0</v>
      </c>
      <c r="O595" s="678"/>
      <c r="P595" s="678"/>
      <c r="Q595" s="678"/>
      <c r="R595" s="678"/>
      <c r="S595" s="678"/>
      <c r="T595" s="678"/>
      <c r="U595" s="678"/>
      <c r="V595" s="678"/>
      <c r="W595" s="678"/>
      <c r="X595" s="678"/>
      <c r="Y595" s="678"/>
      <c r="Z595" s="678"/>
      <c r="AA595" s="678"/>
      <c r="AB595" s="678"/>
      <c r="AC595" s="678"/>
      <c r="AD595" s="678"/>
      <c r="AE595" s="678"/>
      <c r="AF595" s="678"/>
      <c r="AG595" s="678"/>
      <c r="AH595" s="678"/>
      <c r="AI595" s="678"/>
      <c r="AJ595" s="678"/>
      <c r="AK595" s="658"/>
    </row>
    <row r="596" spans="2:37" s="5" customFormat="1">
      <c r="B596" s="313"/>
      <c r="C596" s="835"/>
      <c r="D596" s="17" t="s">
        <v>5</v>
      </c>
      <c r="E596" s="81" t="s">
        <v>27</v>
      </c>
      <c r="F596" s="84">
        <f>E590</f>
        <v>84572.65</v>
      </c>
      <c r="G596" s="64">
        <v>12</v>
      </c>
      <c r="H596" s="64">
        <f>+G596*F596</f>
        <v>1014871.7999999999</v>
      </c>
      <c r="I596" s="79"/>
      <c r="J596" s="52"/>
      <c r="K596" s="156"/>
      <c r="L596" s="383"/>
      <c r="M596" s="542"/>
      <c r="N596" s="578">
        <f t="shared" si="166"/>
        <v>0</v>
      </c>
      <c r="O596" s="678"/>
      <c r="P596" s="678"/>
      <c r="Q596" s="678"/>
      <c r="R596" s="678"/>
      <c r="S596" s="678"/>
      <c r="T596" s="678"/>
      <c r="U596" s="678"/>
      <c r="V596" s="678"/>
      <c r="W596" s="678"/>
      <c r="X596" s="678"/>
      <c r="Y596" s="678">
        <f>+Y592</f>
        <v>84572.65</v>
      </c>
      <c r="Z596" s="678">
        <f t="shared" ref="Z596:AB596" si="176">+Z592</f>
        <v>84572.65</v>
      </c>
      <c r="AA596" s="678">
        <f t="shared" si="176"/>
        <v>84572.65</v>
      </c>
      <c r="AB596" s="678">
        <f t="shared" si="176"/>
        <v>84572.65</v>
      </c>
      <c r="AC596" s="679">
        <f>+H596/G596</f>
        <v>84572.65</v>
      </c>
      <c r="AD596" s="678">
        <v>84572.65</v>
      </c>
      <c r="AE596" s="678">
        <v>84572.65</v>
      </c>
      <c r="AF596" s="678">
        <v>84572.65</v>
      </c>
      <c r="AG596" s="678">
        <v>84572.65</v>
      </c>
      <c r="AH596" s="678">
        <v>84572.65</v>
      </c>
      <c r="AI596" s="678">
        <v>84572.65</v>
      </c>
      <c r="AJ596" s="678">
        <v>84572.65</v>
      </c>
      <c r="AK596" s="658"/>
    </row>
    <row r="597" spans="2:37" s="5" customFormat="1">
      <c r="B597" s="313"/>
      <c r="C597" s="835"/>
      <c r="D597" s="17" t="s">
        <v>30</v>
      </c>
      <c r="E597" s="67" t="s">
        <v>16</v>
      </c>
      <c r="F597" s="64">
        <f>G591+G592+G596</f>
        <v>16</v>
      </c>
      <c r="G597" s="68" t="s">
        <v>31</v>
      </c>
      <c r="H597" s="64">
        <f>SUM(H591:H596)</f>
        <v>1353162.4</v>
      </c>
      <c r="I597" s="79"/>
      <c r="J597" s="52"/>
      <c r="K597" s="156"/>
      <c r="L597" s="383"/>
      <c r="M597" s="542"/>
      <c r="N597" s="578">
        <f t="shared" si="166"/>
        <v>-1353162.4</v>
      </c>
      <c r="O597" s="678"/>
      <c r="P597" s="678"/>
      <c r="Q597" s="678"/>
      <c r="R597" s="678"/>
      <c r="S597" s="678"/>
      <c r="T597" s="678"/>
      <c r="U597" s="678"/>
      <c r="V597" s="678"/>
      <c r="W597" s="678"/>
      <c r="X597" s="678"/>
      <c r="Y597" s="678"/>
      <c r="Z597" s="678"/>
      <c r="AA597" s="678"/>
      <c r="AB597" s="678"/>
      <c r="AC597" s="678"/>
      <c r="AD597" s="678"/>
      <c r="AE597" s="678"/>
      <c r="AF597" s="678"/>
      <c r="AG597" s="678"/>
      <c r="AH597" s="678"/>
      <c r="AI597" s="678"/>
      <c r="AJ597" s="678"/>
      <c r="AK597" s="658"/>
    </row>
    <row r="598" spans="2:37" s="5" customFormat="1">
      <c r="B598" s="313"/>
      <c r="C598" s="835"/>
      <c r="D598" s="19" t="s">
        <v>32</v>
      </c>
      <c r="E598" s="67" t="s">
        <v>16</v>
      </c>
      <c r="F598" s="84">
        <f>SUM(H591:H596)</f>
        <v>1353162.4</v>
      </c>
      <c r="G598" s="92">
        <f>$G$43</f>
        <v>8.3299999999999999E-2</v>
      </c>
      <c r="H598" s="64">
        <f>+G598*F598</f>
        <v>112718.42791999999</v>
      </c>
      <c r="I598" s="93"/>
      <c r="J598" s="52"/>
      <c r="K598" s="156"/>
      <c r="L598" s="383"/>
      <c r="M598" s="542"/>
      <c r="N598" s="578">
        <f t="shared" si="166"/>
        <v>0</v>
      </c>
      <c r="O598" s="679"/>
      <c r="P598" s="679"/>
      <c r="Q598" s="679"/>
      <c r="R598" s="679"/>
      <c r="S598" s="679"/>
      <c r="T598" s="679"/>
      <c r="U598" s="679"/>
      <c r="V598" s="679"/>
      <c r="W598" s="679"/>
      <c r="X598" s="679"/>
      <c r="Y598" s="679">
        <f>SUM(Y591:Y597)*$G$598</f>
        <v>14089.803489999998</v>
      </c>
      <c r="Z598" s="679">
        <f t="shared" ref="Z598:AJ598" si="177">SUM(Z591:Z597)*$G$598</f>
        <v>14089.803489999998</v>
      </c>
      <c r="AA598" s="679">
        <f t="shared" si="177"/>
        <v>14089.803489999998</v>
      </c>
      <c r="AB598" s="679">
        <f t="shared" si="177"/>
        <v>14089.803489999998</v>
      </c>
      <c r="AC598" s="679">
        <f t="shared" si="177"/>
        <v>7044.9017449999992</v>
      </c>
      <c r="AD598" s="679">
        <f t="shared" si="177"/>
        <v>7044.9017449999992</v>
      </c>
      <c r="AE598" s="679">
        <f t="shared" si="177"/>
        <v>7044.9017449999992</v>
      </c>
      <c r="AF598" s="679">
        <f t="shared" si="177"/>
        <v>7044.9017449999992</v>
      </c>
      <c r="AG598" s="679">
        <f t="shared" si="177"/>
        <v>7044.9017449999992</v>
      </c>
      <c r="AH598" s="679">
        <f t="shared" si="177"/>
        <v>7044.9017449999992</v>
      </c>
      <c r="AI598" s="679">
        <f t="shared" si="177"/>
        <v>7044.9017449999992</v>
      </c>
      <c r="AJ598" s="679">
        <f t="shared" si="177"/>
        <v>7044.9017449999992</v>
      </c>
      <c r="AK598" s="658"/>
    </row>
    <row r="599" spans="2:37" s="5" customFormat="1">
      <c r="B599" s="313"/>
      <c r="C599" s="835"/>
      <c r="D599" s="19" t="s">
        <v>33</v>
      </c>
      <c r="E599" s="84">
        <f>F598/(5*F597)</f>
        <v>16914.53</v>
      </c>
      <c r="F599" s="84">
        <f>E599*(F597*7)</f>
        <v>1894427.3599999999</v>
      </c>
      <c r="G599" s="95">
        <f>$G$44</f>
        <v>20</v>
      </c>
      <c r="H599" s="64">
        <f>F599/G599</f>
        <v>94721.367999999988</v>
      </c>
      <c r="I599" s="72">
        <f>SUM(H597:H599)</f>
        <v>1560602.1959199999</v>
      </c>
      <c r="J599" s="52">
        <f>SUM(G591:G599)</f>
        <v>36.083300000000001</v>
      </c>
      <c r="K599" s="156"/>
      <c r="L599" s="383"/>
      <c r="M599" s="542"/>
      <c r="N599" s="578">
        <f t="shared" si="166"/>
        <v>0</v>
      </c>
      <c r="O599" s="678"/>
      <c r="P599" s="678"/>
      <c r="Q599" s="678"/>
      <c r="R599" s="678"/>
      <c r="S599" s="678"/>
      <c r="T599" s="678"/>
      <c r="U599" s="678"/>
      <c r="V599" s="678"/>
      <c r="W599" s="678"/>
      <c r="X599" s="678"/>
      <c r="Y599" s="678"/>
      <c r="Z599" s="678"/>
      <c r="AA599" s="678"/>
      <c r="AB599" s="678"/>
      <c r="AC599" s="678"/>
      <c r="AD599" s="678"/>
      <c r="AE599" s="678"/>
      <c r="AF599" s="678"/>
      <c r="AG599" s="678"/>
      <c r="AH599" s="678"/>
      <c r="AI599" s="678"/>
      <c r="AJ599" s="678">
        <f>+H599</f>
        <v>94721.367999999988</v>
      </c>
      <c r="AK599" s="658"/>
    </row>
    <row r="600" spans="2:37" s="5" customFormat="1">
      <c r="B600" s="313"/>
      <c r="C600" s="835"/>
      <c r="D600" s="96"/>
      <c r="E600" s="9"/>
      <c r="F600" s="74"/>
      <c r="G600" s="97"/>
      <c r="H600" s="78"/>
      <c r="I600" s="79"/>
      <c r="J600" s="52"/>
      <c r="K600" s="156"/>
      <c r="L600" s="383"/>
      <c r="M600" s="542"/>
      <c r="N600" s="578">
        <f t="shared" ref="N600:N622" si="178">SUM(O600:AL600)-H600</f>
        <v>0</v>
      </c>
      <c r="O600" s="678"/>
      <c r="P600" s="678"/>
      <c r="Q600" s="678"/>
      <c r="R600" s="678"/>
      <c r="S600" s="678"/>
      <c r="T600" s="678"/>
      <c r="U600" s="678"/>
      <c r="V600" s="678"/>
      <c r="W600" s="678"/>
      <c r="X600" s="678"/>
      <c r="Y600" s="678"/>
      <c r="Z600" s="678"/>
      <c r="AA600" s="678"/>
      <c r="AB600" s="678"/>
      <c r="AC600" s="678"/>
      <c r="AD600" s="678"/>
      <c r="AE600" s="678"/>
      <c r="AF600" s="678"/>
      <c r="AG600" s="678"/>
      <c r="AH600" s="678"/>
      <c r="AI600" s="678"/>
      <c r="AJ600" s="678"/>
      <c r="AK600" s="658"/>
    </row>
    <row r="601" spans="2:37" s="5" customFormat="1" ht="15" customHeight="1">
      <c r="B601" s="317">
        <v>50</v>
      </c>
      <c r="C601" s="835" t="s">
        <v>912</v>
      </c>
      <c r="D601" s="80" t="s">
        <v>75</v>
      </c>
      <c r="E601" s="81">
        <v>58025.8</v>
      </c>
      <c r="F601" s="74"/>
      <c r="G601" s="75"/>
      <c r="H601" s="82"/>
      <c r="I601" s="83"/>
      <c r="J601" s="52"/>
      <c r="K601" s="156"/>
      <c r="L601" s="383"/>
      <c r="M601" s="542"/>
      <c r="N601" s="578">
        <f t="shared" si="178"/>
        <v>0</v>
      </c>
      <c r="O601" s="678"/>
      <c r="P601" s="678"/>
      <c r="Q601" s="678"/>
      <c r="R601" s="678"/>
      <c r="S601" s="678"/>
      <c r="T601" s="678"/>
      <c r="U601" s="678"/>
      <c r="V601" s="678"/>
      <c r="W601" s="678"/>
      <c r="X601" s="678"/>
      <c r="Y601" s="678"/>
      <c r="Z601" s="678"/>
      <c r="AA601" s="678"/>
      <c r="AB601" s="678"/>
      <c r="AC601" s="678"/>
      <c r="AD601" s="678"/>
      <c r="AE601" s="678"/>
      <c r="AF601" s="678"/>
      <c r="AG601" s="678"/>
      <c r="AH601" s="678"/>
      <c r="AI601" s="678"/>
      <c r="AJ601" s="678"/>
      <c r="AK601" s="658"/>
    </row>
    <row r="602" spans="2:37" s="5" customFormat="1">
      <c r="B602" s="313"/>
      <c r="C602" s="835"/>
      <c r="D602" s="17" t="s">
        <v>0</v>
      </c>
      <c r="E602" s="81" t="s">
        <v>27</v>
      </c>
      <c r="F602" s="84">
        <f>E601</f>
        <v>58025.8</v>
      </c>
      <c r="G602" s="64">
        <f>$F$3-6</f>
        <v>0</v>
      </c>
      <c r="H602" s="64">
        <f>+G602*F602</f>
        <v>0</v>
      </c>
      <c r="I602" s="79"/>
      <c r="J602" s="52"/>
      <c r="K602" s="156"/>
      <c r="L602" s="383"/>
      <c r="M602" s="542"/>
      <c r="N602" s="578">
        <f t="shared" si="178"/>
        <v>0</v>
      </c>
      <c r="O602" s="678"/>
      <c r="P602" s="678"/>
      <c r="Q602" s="678"/>
      <c r="R602" s="678"/>
      <c r="S602" s="678"/>
      <c r="T602" s="678"/>
      <c r="U602" s="678"/>
      <c r="V602" s="678"/>
      <c r="W602" s="678"/>
      <c r="X602" s="678"/>
      <c r="Y602" s="678"/>
      <c r="Z602" s="678"/>
      <c r="AA602" s="678"/>
      <c r="AB602" s="678"/>
      <c r="AC602" s="678"/>
      <c r="AD602" s="678"/>
      <c r="AE602" s="678"/>
      <c r="AF602" s="678"/>
      <c r="AG602" s="678"/>
      <c r="AH602" s="678"/>
      <c r="AI602" s="678"/>
      <c r="AJ602" s="678"/>
      <c r="AK602" s="658"/>
    </row>
    <row r="603" spans="2:37" s="5" customFormat="1">
      <c r="B603" s="313"/>
      <c r="C603" s="835"/>
      <c r="D603" s="17" t="s">
        <v>3</v>
      </c>
      <c r="E603" s="81" t="s">
        <v>27</v>
      </c>
      <c r="F603" s="84">
        <f>E601</f>
        <v>58025.8</v>
      </c>
      <c r="G603" s="64">
        <v>6</v>
      </c>
      <c r="H603" s="64">
        <f>+G603*F603</f>
        <v>348154.80000000005</v>
      </c>
      <c r="I603" s="79"/>
      <c r="J603" s="52"/>
      <c r="K603" s="156"/>
      <c r="L603" s="383"/>
      <c r="M603" s="542"/>
      <c r="N603" s="578">
        <f t="shared" si="178"/>
        <v>0</v>
      </c>
      <c r="O603" s="678"/>
      <c r="P603" s="678"/>
      <c r="Q603" s="678"/>
      <c r="R603" s="678"/>
      <c r="S603" s="678"/>
      <c r="T603" s="678"/>
      <c r="U603" s="678"/>
      <c r="V603" s="678"/>
      <c r="W603" s="678">
        <f>+H603/G603</f>
        <v>58025.80000000001</v>
      </c>
      <c r="X603" s="678">
        <v>58025.80000000001</v>
      </c>
      <c r="Y603" s="678">
        <v>58025.80000000001</v>
      </c>
      <c r="Z603" s="678">
        <v>58025.80000000001</v>
      </c>
      <c r="AA603" s="678">
        <v>58025.80000000001</v>
      </c>
      <c r="AB603" s="678">
        <v>58025.80000000001</v>
      </c>
      <c r="AC603" s="678"/>
      <c r="AD603" s="678"/>
      <c r="AE603" s="678"/>
      <c r="AF603" s="678"/>
      <c r="AG603" s="678"/>
      <c r="AH603" s="678"/>
      <c r="AI603" s="678"/>
      <c r="AJ603" s="678"/>
      <c r="AK603" s="658"/>
    </row>
    <row r="604" spans="2:37" s="5" customFormat="1">
      <c r="B604" s="313"/>
      <c r="C604" s="835"/>
      <c r="D604" s="17" t="s">
        <v>28</v>
      </c>
      <c r="E604" s="88">
        <f>$H$5-H5</f>
        <v>0</v>
      </c>
      <c r="F604" s="84">
        <f>E601/44*1.5</f>
        <v>1978.1522727272727</v>
      </c>
      <c r="G604" s="87">
        <f>$F$4-$F$4</f>
        <v>0</v>
      </c>
      <c r="H604" s="64">
        <f>+G604*F604*E604</f>
        <v>0</v>
      </c>
      <c r="I604" s="79"/>
      <c r="J604" s="52"/>
      <c r="K604" s="156"/>
      <c r="L604" s="383"/>
      <c r="M604" s="542"/>
      <c r="N604" s="578">
        <f t="shared" si="178"/>
        <v>0</v>
      </c>
      <c r="O604" s="678"/>
      <c r="P604" s="678"/>
      <c r="Q604" s="678"/>
      <c r="R604" s="678"/>
      <c r="S604" s="678"/>
      <c r="T604" s="678"/>
      <c r="U604" s="678"/>
      <c r="V604" s="678"/>
      <c r="W604" s="678"/>
      <c r="X604" s="678"/>
      <c r="Y604" s="678"/>
      <c r="Z604" s="678"/>
      <c r="AA604" s="678"/>
      <c r="AB604" s="678"/>
      <c r="AC604" s="678"/>
      <c r="AD604" s="678"/>
      <c r="AE604" s="678"/>
      <c r="AF604" s="678"/>
      <c r="AG604" s="678"/>
      <c r="AH604" s="678"/>
      <c r="AI604" s="678"/>
      <c r="AJ604" s="678"/>
      <c r="AK604" s="658"/>
    </row>
    <row r="605" spans="2:37" s="5" customFormat="1">
      <c r="B605" s="313"/>
      <c r="C605" s="835"/>
      <c r="D605" s="17" t="s">
        <v>1</v>
      </c>
      <c r="E605" s="81" t="s">
        <v>60</v>
      </c>
      <c r="F605" s="84">
        <f>E601/5*1.5</f>
        <v>17407.739999999998</v>
      </c>
      <c r="G605" s="64">
        <f>$H$3</f>
        <v>0</v>
      </c>
      <c r="H605" s="64">
        <f>+G605*F605</f>
        <v>0</v>
      </c>
      <c r="I605" s="79"/>
      <c r="J605" s="52"/>
      <c r="K605" s="156"/>
      <c r="L605" s="383"/>
      <c r="M605" s="542"/>
      <c r="N605" s="578">
        <f t="shared" si="178"/>
        <v>0</v>
      </c>
      <c r="O605" s="678"/>
      <c r="P605" s="678"/>
      <c r="Q605" s="678"/>
      <c r="R605" s="678"/>
      <c r="S605" s="678"/>
      <c r="T605" s="678"/>
      <c r="U605" s="678"/>
      <c r="V605" s="678"/>
      <c r="W605" s="678"/>
      <c r="X605" s="678"/>
      <c r="Y605" s="678"/>
      <c r="Z605" s="678"/>
      <c r="AA605" s="678"/>
      <c r="AB605" s="678"/>
      <c r="AC605" s="678"/>
      <c r="AD605" s="678"/>
      <c r="AE605" s="678"/>
      <c r="AF605" s="678"/>
      <c r="AG605" s="678"/>
      <c r="AH605" s="678"/>
      <c r="AI605" s="678"/>
      <c r="AJ605" s="678"/>
      <c r="AK605" s="658"/>
    </row>
    <row r="606" spans="2:37" s="5" customFormat="1">
      <c r="B606" s="313"/>
      <c r="C606" s="835"/>
      <c r="D606" s="17" t="s">
        <v>4</v>
      </c>
      <c r="E606" s="81" t="s">
        <v>60</v>
      </c>
      <c r="F606" s="84">
        <f>E601/5*2</f>
        <v>23210.32</v>
      </c>
      <c r="G606" s="64">
        <f>$H$4</f>
        <v>0</v>
      </c>
      <c r="H606" s="64">
        <f>+G606*F606</f>
        <v>0</v>
      </c>
      <c r="I606" s="79"/>
      <c r="J606" s="52"/>
      <c r="K606" s="156"/>
      <c r="L606" s="383"/>
      <c r="M606" s="542"/>
      <c r="N606" s="578">
        <f t="shared" si="178"/>
        <v>0</v>
      </c>
      <c r="O606" s="678"/>
      <c r="P606" s="678"/>
      <c r="Q606" s="678"/>
      <c r="R606" s="678"/>
      <c r="S606" s="678"/>
      <c r="T606" s="678"/>
      <c r="U606" s="678"/>
      <c r="V606" s="678"/>
      <c r="W606" s="678"/>
      <c r="X606" s="678"/>
      <c r="Y606" s="678"/>
      <c r="Z606" s="678"/>
      <c r="AA606" s="678"/>
      <c r="AB606" s="678"/>
      <c r="AC606" s="678"/>
      <c r="AD606" s="678"/>
      <c r="AE606" s="678"/>
      <c r="AF606" s="678"/>
      <c r="AG606" s="678"/>
      <c r="AH606" s="678"/>
      <c r="AI606" s="678"/>
      <c r="AJ606" s="678"/>
      <c r="AK606" s="658"/>
    </row>
    <row r="607" spans="2:37" s="5" customFormat="1">
      <c r="B607" s="313"/>
      <c r="C607" s="835"/>
      <c r="D607" s="17" t="s">
        <v>5</v>
      </c>
      <c r="E607" s="81" t="s">
        <v>27</v>
      </c>
      <c r="F607" s="84">
        <f>E601</f>
        <v>58025.8</v>
      </c>
      <c r="G607" s="64">
        <v>8</v>
      </c>
      <c r="H607" s="64">
        <f>+G607*F607</f>
        <v>464206.4</v>
      </c>
      <c r="I607" s="79"/>
      <c r="J607" s="52"/>
      <c r="K607" s="156"/>
      <c r="L607" s="383"/>
      <c r="M607" s="542"/>
      <c r="N607" s="578">
        <f t="shared" si="178"/>
        <v>0</v>
      </c>
      <c r="O607" s="678"/>
      <c r="P607" s="678"/>
      <c r="Q607" s="678"/>
      <c r="R607" s="678"/>
      <c r="S607" s="678"/>
      <c r="T607" s="678"/>
      <c r="U607" s="678"/>
      <c r="V607" s="678"/>
      <c r="W607" s="678"/>
      <c r="X607" s="678"/>
      <c r="Y607" s="678"/>
      <c r="Z607" s="678"/>
      <c r="AA607" s="678"/>
      <c r="AB607" s="678"/>
      <c r="AC607" s="679">
        <f>+H607/G607</f>
        <v>58025.8</v>
      </c>
      <c r="AD607" s="678">
        <v>58025.8</v>
      </c>
      <c r="AE607" s="678">
        <v>58025.8</v>
      </c>
      <c r="AF607" s="678">
        <v>58025.8</v>
      </c>
      <c r="AG607" s="678">
        <v>58025.8</v>
      </c>
      <c r="AH607" s="678">
        <v>58025.8</v>
      </c>
      <c r="AI607" s="678">
        <v>58025.8</v>
      </c>
      <c r="AJ607" s="678">
        <v>58025.8</v>
      </c>
      <c r="AK607" s="658"/>
    </row>
    <row r="608" spans="2:37" s="5" customFormat="1">
      <c r="B608" s="313"/>
      <c r="C608" s="835"/>
      <c r="D608" s="17" t="s">
        <v>30</v>
      </c>
      <c r="E608" s="67" t="s">
        <v>16</v>
      </c>
      <c r="F608" s="64">
        <f>G602+G603+G607</f>
        <v>14</v>
      </c>
      <c r="G608" s="68" t="s">
        <v>31</v>
      </c>
      <c r="H608" s="64">
        <f>SUM(H602:H607)</f>
        <v>812361.20000000007</v>
      </c>
      <c r="I608" s="79"/>
      <c r="J608" s="52"/>
      <c r="K608" s="156"/>
      <c r="L608" s="383"/>
      <c r="M608" s="542"/>
      <c r="N608" s="578">
        <f t="shared" si="178"/>
        <v>-812361.20000000007</v>
      </c>
      <c r="O608" s="678"/>
      <c r="P608" s="678"/>
      <c r="Q608" s="678"/>
      <c r="R608" s="678"/>
      <c r="S608" s="678"/>
      <c r="T608" s="678"/>
      <c r="U608" s="678"/>
      <c r="V608" s="678"/>
      <c r="W608" s="678"/>
      <c r="X608" s="678"/>
      <c r="Y608" s="678"/>
      <c r="Z608" s="678"/>
      <c r="AA608" s="678"/>
      <c r="AB608" s="678"/>
      <c r="AC608" s="678"/>
      <c r="AD608" s="678"/>
      <c r="AE608" s="678"/>
      <c r="AF608" s="678"/>
      <c r="AG608" s="678"/>
      <c r="AH608" s="678"/>
      <c r="AI608" s="678"/>
      <c r="AJ608" s="678"/>
      <c r="AK608" s="658"/>
    </row>
    <row r="609" spans="1:37" s="5" customFormat="1">
      <c r="B609" s="313"/>
      <c r="C609" s="835"/>
      <c r="D609" s="19" t="s">
        <v>32</v>
      </c>
      <c r="E609" s="67" t="s">
        <v>16</v>
      </c>
      <c r="F609" s="84">
        <f>SUM(H602:H607)</f>
        <v>812361.20000000007</v>
      </c>
      <c r="G609" s="92">
        <f>$G$43</f>
        <v>8.3299999999999999E-2</v>
      </c>
      <c r="H609" s="64">
        <f>+G609*F609</f>
        <v>67669.68796000001</v>
      </c>
      <c r="I609" s="93"/>
      <c r="J609" s="52"/>
      <c r="K609" s="156"/>
      <c r="L609" s="383"/>
      <c r="M609" s="542"/>
      <c r="N609" s="578">
        <f t="shared" si="178"/>
        <v>0</v>
      </c>
      <c r="O609" s="679"/>
      <c r="P609" s="679"/>
      <c r="Q609" s="679"/>
      <c r="R609" s="679"/>
      <c r="S609" s="679"/>
      <c r="T609" s="679"/>
      <c r="U609" s="679"/>
      <c r="V609" s="679"/>
      <c r="W609" s="679">
        <f>SUM(W603:W608)*$G$609</f>
        <v>4833.549140000001</v>
      </c>
      <c r="X609" s="679">
        <f t="shared" ref="X609:AJ609" si="179">SUM(X603:X608)*$G$609</f>
        <v>4833.549140000001</v>
      </c>
      <c r="Y609" s="679">
        <f t="shared" si="179"/>
        <v>4833.549140000001</v>
      </c>
      <c r="Z609" s="679">
        <f t="shared" si="179"/>
        <v>4833.549140000001</v>
      </c>
      <c r="AA609" s="679">
        <f t="shared" si="179"/>
        <v>4833.549140000001</v>
      </c>
      <c r="AB609" s="679">
        <f t="shared" si="179"/>
        <v>4833.549140000001</v>
      </c>
      <c r="AC609" s="679">
        <f t="shared" si="179"/>
        <v>4833.5491400000001</v>
      </c>
      <c r="AD609" s="679">
        <f t="shared" si="179"/>
        <v>4833.5491400000001</v>
      </c>
      <c r="AE609" s="679">
        <f t="shared" si="179"/>
        <v>4833.5491400000001</v>
      </c>
      <c r="AF609" s="679">
        <f t="shared" si="179"/>
        <v>4833.5491400000001</v>
      </c>
      <c r="AG609" s="679">
        <f t="shared" si="179"/>
        <v>4833.5491400000001</v>
      </c>
      <c r="AH609" s="679">
        <f t="shared" si="179"/>
        <v>4833.5491400000001</v>
      </c>
      <c r="AI609" s="679">
        <f t="shared" si="179"/>
        <v>4833.5491400000001</v>
      </c>
      <c r="AJ609" s="679">
        <f t="shared" si="179"/>
        <v>4833.5491400000001</v>
      </c>
      <c r="AK609" s="658"/>
    </row>
    <row r="610" spans="1:37" s="5" customFormat="1">
      <c r="B610" s="313"/>
      <c r="C610" s="835"/>
      <c r="D610" s="19" t="s">
        <v>33</v>
      </c>
      <c r="E610" s="84">
        <f>F609/(5*F608)</f>
        <v>11605.160000000002</v>
      </c>
      <c r="F610" s="84">
        <f>E610*(F608*7)</f>
        <v>1137305.6800000002</v>
      </c>
      <c r="G610" s="95">
        <f>$G$44</f>
        <v>20</v>
      </c>
      <c r="H610" s="64">
        <f>F610/G610</f>
        <v>56865.284000000007</v>
      </c>
      <c r="I610" s="72">
        <f>SUM(H608:H610)</f>
        <v>936896.17196000007</v>
      </c>
      <c r="J610" s="52">
        <f>SUM(G602:G610)</f>
        <v>34.083300000000001</v>
      </c>
      <c r="K610" s="156"/>
      <c r="L610" s="383"/>
      <c r="M610" s="542"/>
      <c r="N610" s="578">
        <f t="shared" si="178"/>
        <v>0</v>
      </c>
      <c r="O610" s="678"/>
      <c r="P610" s="678"/>
      <c r="Q610" s="678"/>
      <c r="R610" s="678"/>
      <c r="S610" s="678"/>
      <c r="T610" s="678"/>
      <c r="U610" s="678"/>
      <c r="V610" s="678"/>
      <c r="W610" s="678"/>
      <c r="X610" s="678"/>
      <c r="Y610" s="678"/>
      <c r="Z610" s="678"/>
      <c r="AA610" s="678"/>
      <c r="AB610" s="678"/>
      <c r="AC610" s="678"/>
      <c r="AD610" s="678"/>
      <c r="AE610" s="678"/>
      <c r="AF610" s="678"/>
      <c r="AG610" s="678"/>
      <c r="AH610" s="678"/>
      <c r="AI610" s="678"/>
      <c r="AJ610" s="678">
        <f>+H610</f>
        <v>56865.284000000007</v>
      </c>
      <c r="AK610" s="658"/>
    </row>
    <row r="611" spans="1:37" s="5" customFormat="1">
      <c r="B611" s="313"/>
      <c r="C611" s="835"/>
      <c r="D611" s="96"/>
      <c r="E611" s="9"/>
      <c r="F611" s="74"/>
      <c r="G611" s="97"/>
      <c r="H611" s="78"/>
      <c r="I611" s="79"/>
      <c r="J611" s="52"/>
      <c r="K611" s="156"/>
      <c r="L611" s="383"/>
      <c r="M611" s="542"/>
      <c r="N611" s="578">
        <f t="shared" si="178"/>
        <v>0</v>
      </c>
      <c r="O611" s="678"/>
      <c r="P611" s="678"/>
      <c r="Q611" s="678"/>
      <c r="R611" s="678"/>
      <c r="S611" s="678"/>
      <c r="T611" s="678"/>
      <c r="U611" s="678"/>
      <c r="V611" s="678"/>
      <c r="W611" s="678"/>
      <c r="X611" s="678"/>
      <c r="Y611" s="678"/>
      <c r="Z611" s="678"/>
      <c r="AA611" s="678"/>
      <c r="AB611" s="678"/>
      <c r="AC611" s="678"/>
      <c r="AD611" s="678"/>
      <c r="AE611" s="678"/>
      <c r="AF611" s="678"/>
      <c r="AG611" s="678"/>
      <c r="AH611" s="678"/>
      <c r="AI611" s="678"/>
      <c r="AJ611" s="678"/>
      <c r="AK611" s="658"/>
    </row>
    <row r="612" spans="1:37" s="5" customFormat="1" ht="15" customHeight="1">
      <c r="B612" s="317">
        <v>51</v>
      </c>
      <c r="C612" s="835" t="s">
        <v>913</v>
      </c>
      <c r="D612" s="80" t="s">
        <v>280</v>
      </c>
      <c r="E612" s="81">
        <v>20301.900000000001</v>
      </c>
      <c r="F612" s="84">
        <f>E612*3</f>
        <v>60905.700000000004</v>
      </c>
      <c r="G612" s="75"/>
      <c r="H612" s="82"/>
      <c r="I612" s="83"/>
      <c r="J612" s="52"/>
      <c r="K612" s="156"/>
      <c r="L612" s="383"/>
      <c r="M612" s="542"/>
      <c r="N612" s="578">
        <f t="shared" si="178"/>
        <v>0</v>
      </c>
      <c r="O612" s="678"/>
      <c r="P612" s="678"/>
      <c r="Q612" s="678"/>
      <c r="R612" s="678"/>
      <c r="S612" s="678"/>
      <c r="T612" s="678"/>
      <c r="U612" s="678"/>
      <c r="V612" s="678"/>
      <c r="W612" s="678"/>
      <c r="X612" s="678"/>
      <c r="Y612" s="678"/>
      <c r="Z612" s="678"/>
      <c r="AA612" s="678"/>
      <c r="AB612" s="678"/>
      <c r="AC612" s="678"/>
      <c r="AD612" s="678"/>
      <c r="AE612" s="678"/>
      <c r="AF612" s="678"/>
      <c r="AG612" s="678"/>
      <c r="AH612" s="678"/>
      <c r="AI612" s="678"/>
      <c r="AJ612" s="678"/>
      <c r="AK612" s="658"/>
    </row>
    <row r="613" spans="1:37" s="5" customFormat="1">
      <c r="B613" s="313" t="s">
        <v>427</v>
      </c>
      <c r="C613" s="835" t="s">
        <v>914</v>
      </c>
      <c r="D613" s="17" t="s">
        <v>0</v>
      </c>
      <c r="E613" s="81" t="s">
        <v>27</v>
      </c>
      <c r="F613" s="84">
        <f>F612</f>
        <v>60905.700000000004</v>
      </c>
      <c r="G613" s="64">
        <v>8</v>
      </c>
      <c r="H613" s="64">
        <f>+G613*F613</f>
        <v>487245.60000000003</v>
      </c>
      <c r="I613" s="79"/>
      <c r="J613" s="52"/>
      <c r="K613" s="156"/>
      <c r="L613" s="383"/>
      <c r="M613" s="542"/>
      <c r="N613" s="578">
        <f t="shared" si="178"/>
        <v>0</v>
      </c>
      <c r="O613" s="678">
        <f>+H613/G613</f>
        <v>60905.700000000004</v>
      </c>
      <c r="P613" s="678">
        <v>60905.700000000004</v>
      </c>
      <c r="Q613" s="678">
        <v>60905.700000000004</v>
      </c>
      <c r="R613" s="678">
        <v>60905.700000000004</v>
      </c>
      <c r="S613" s="678">
        <v>60905.700000000004</v>
      </c>
      <c r="T613" s="678">
        <v>60905.700000000004</v>
      </c>
      <c r="U613" s="678">
        <v>60905.700000000004</v>
      </c>
      <c r="V613" s="678">
        <v>60905.700000000004</v>
      </c>
      <c r="W613" s="678"/>
      <c r="X613" s="678"/>
      <c r="Y613" s="678"/>
      <c r="Z613" s="678"/>
      <c r="AA613" s="678"/>
      <c r="AB613" s="678"/>
      <c r="AC613" s="678"/>
      <c r="AD613" s="678"/>
      <c r="AE613" s="678"/>
      <c r="AF613" s="678"/>
      <c r="AG613" s="678"/>
      <c r="AH613" s="678"/>
      <c r="AI613" s="678"/>
      <c r="AJ613" s="678"/>
      <c r="AK613" s="658"/>
    </row>
    <row r="614" spans="1:37" s="5" customFormat="1">
      <c r="B614" s="313"/>
      <c r="C614" s="835" t="s">
        <v>915</v>
      </c>
      <c r="D614" s="17" t="s">
        <v>3</v>
      </c>
      <c r="E614" s="81" t="s">
        <v>27</v>
      </c>
      <c r="F614" s="84">
        <f>F612</f>
        <v>60905.700000000004</v>
      </c>
      <c r="G614" s="64">
        <v>12</v>
      </c>
      <c r="H614" s="64">
        <f>+G614*F614</f>
        <v>730868.4</v>
      </c>
      <c r="I614" s="79"/>
      <c r="J614" s="52"/>
      <c r="K614" s="156"/>
      <c r="L614" s="383"/>
      <c r="M614" s="542"/>
      <c r="N614" s="578">
        <f t="shared" si="178"/>
        <v>0</v>
      </c>
      <c r="O614" s="678"/>
      <c r="P614" s="678"/>
      <c r="Q614" s="678"/>
      <c r="R614" s="678"/>
      <c r="S614" s="678"/>
      <c r="T614" s="678"/>
      <c r="U614" s="678"/>
      <c r="V614" s="678"/>
      <c r="W614" s="678">
        <f>+H614/6</f>
        <v>121811.40000000001</v>
      </c>
      <c r="X614" s="678">
        <v>121811.40000000001</v>
      </c>
      <c r="Y614" s="678">
        <v>121811.40000000001</v>
      </c>
      <c r="Z614" s="678">
        <v>121811.40000000001</v>
      </c>
      <c r="AA614" s="678">
        <v>121811.40000000001</v>
      </c>
      <c r="AB614" s="678">
        <v>121811.40000000001</v>
      </c>
      <c r="AC614" s="678"/>
      <c r="AD614" s="678"/>
      <c r="AE614" s="678"/>
      <c r="AF614" s="678"/>
      <c r="AG614" s="678"/>
      <c r="AH614" s="678"/>
      <c r="AI614" s="678"/>
      <c r="AJ614" s="678"/>
      <c r="AK614" s="658"/>
    </row>
    <row r="615" spans="1:37" s="5" customFormat="1">
      <c r="B615" s="313"/>
      <c r="C615" s="835"/>
      <c r="D615" s="17" t="s">
        <v>28</v>
      </c>
      <c r="E615" s="88">
        <f>$H$5+2</f>
        <v>15.25</v>
      </c>
      <c r="F615" s="84">
        <f>F612/44*1.5</f>
        <v>2076.3306818181818</v>
      </c>
      <c r="G615" s="87">
        <v>12</v>
      </c>
      <c r="H615" s="64">
        <f>+G615*F615*E615</f>
        <v>379968.51477272727</v>
      </c>
      <c r="I615" s="79"/>
      <c r="J615" s="52"/>
      <c r="K615" s="156"/>
      <c r="L615" s="383"/>
      <c r="M615" s="542"/>
      <c r="N615" s="578">
        <f t="shared" si="178"/>
        <v>0</v>
      </c>
      <c r="O615" s="678"/>
      <c r="P615" s="678"/>
      <c r="Q615" s="678"/>
      <c r="R615" s="678"/>
      <c r="S615" s="678"/>
      <c r="T615" s="678"/>
      <c r="U615" s="678"/>
      <c r="V615" s="678"/>
      <c r="W615" s="678">
        <f>+H615/6</f>
        <v>63328.085795454543</v>
      </c>
      <c r="X615" s="678">
        <v>63328.085795454543</v>
      </c>
      <c r="Y615" s="678">
        <v>63328.085795454543</v>
      </c>
      <c r="Z615" s="678">
        <v>63328.085795454543</v>
      </c>
      <c r="AA615" s="678">
        <v>63328.085795454543</v>
      </c>
      <c r="AB615" s="678">
        <v>63328.085795454543</v>
      </c>
      <c r="AC615" s="678"/>
      <c r="AD615" s="678"/>
      <c r="AE615" s="678"/>
      <c r="AF615" s="678"/>
      <c r="AG615" s="678"/>
      <c r="AH615" s="678"/>
      <c r="AI615" s="678"/>
      <c r="AJ615" s="678"/>
      <c r="AK615" s="658"/>
    </row>
    <row r="616" spans="1:37" s="5" customFormat="1">
      <c r="B616" s="313"/>
      <c r="C616" s="835"/>
      <c r="D616" s="17" t="s">
        <v>1</v>
      </c>
      <c r="E616" s="81" t="s">
        <v>60</v>
      </c>
      <c r="F616" s="84">
        <f>F612/5*1.5</f>
        <v>18271.710000000003</v>
      </c>
      <c r="G616" s="64">
        <f>$H$3</f>
        <v>0</v>
      </c>
      <c r="H616" s="64">
        <f>+G616*F616</f>
        <v>0</v>
      </c>
      <c r="I616" s="79"/>
      <c r="J616" s="52"/>
      <c r="K616" s="156"/>
      <c r="L616" s="383"/>
      <c r="M616" s="542"/>
      <c r="N616" s="578">
        <f t="shared" si="178"/>
        <v>0</v>
      </c>
      <c r="O616" s="678"/>
      <c r="P616" s="678"/>
      <c r="Q616" s="678"/>
      <c r="R616" s="678"/>
      <c r="S616" s="678"/>
      <c r="T616" s="678"/>
      <c r="U616" s="678"/>
      <c r="V616" s="678"/>
      <c r="W616" s="678"/>
      <c r="X616" s="678"/>
      <c r="Y616" s="678"/>
      <c r="Z616" s="678"/>
      <c r="AA616" s="678"/>
      <c r="AB616" s="678"/>
      <c r="AC616" s="678"/>
      <c r="AD616" s="678"/>
      <c r="AE616" s="678"/>
      <c r="AF616" s="678"/>
      <c r="AG616" s="678"/>
      <c r="AH616" s="678"/>
      <c r="AI616" s="678"/>
      <c r="AJ616" s="678"/>
      <c r="AK616" s="658"/>
    </row>
    <row r="617" spans="1:37" s="5" customFormat="1">
      <c r="B617" s="313"/>
      <c r="C617" s="835"/>
      <c r="D617" s="17" t="s">
        <v>4</v>
      </c>
      <c r="E617" s="81" t="s">
        <v>60</v>
      </c>
      <c r="F617" s="84">
        <f>F612/5*2</f>
        <v>24362.280000000002</v>
      </c>
      <c r="G617" s="64">
        <f>$H$4</f>
        <v>0</v>
      </c>
      <c r="H617" s="64">
        <f>+G617*F617</f>
        <v>0</v>
      </c>
      <c r="I617" s="79"/>
      <c r="J617" s="52"/>
      <c r="K617" s="156"/>
      <c r="L617" s="383"/>
      <c r="M617" s="542"/>
      <c r="N617" s="578">
        <f t="shared" si="178"/>
        <v>0</v>
      </c>
      <c r="O617" s="678"/>
      <c r="P617" s="678"/>
      <c r="Q617" s="678"/>
      <c r="R617" s="678"/>
      <c r="S617" s="678"/>
      <c r="T617" s="678"/>
      <c r="U617" s="678"/>
      <c r="V617" s="678"/>
      <c r="W617" s="678"/>
      <c r="X617" s="678"/>
      <c r="Y617" s="678"/>
      <c r="Z617" s="678"/>
      <c r="AA617" s="678"/>
      <c r="AB617" s="678"/>
      <c r="AC617" s="678"/>
      <c r="AD617" s="678"/>
      <c r="AE617" s="678"/>
      <c r="AF617" s="678"/>
      <c r="AG617" s="678"/>
      <c r="AH617" s="678"/>
      <c r="AI617" s="678"/>
      <c r="AJ617" s="678"/>
      <c r="AK617" s="658"/>
    </row>
    <row r="618" spans="1:37" s="5" customFormat="1">
      <c r="B618" s="313"/>
      <c r="C618" s="835"/>
      <c r="D618" s="17" t="s">
        <v>5</v>
      </c>
      <c r="E618" s="81" t="s">
        <v>27</v>
      </c>
      <c r="F618" s="84">
        <f>F612</f>
        <v>60905.700000000004</v>
      </c>
      <c r="G618" s="64">
        <f>$F$5-$F$5</f>
        <v>0</v>
      </c>
      <c r="H618" s="64">
        <f>+G618*F618</f>
        <v>0</v>
      </c>
      <c r="I618" s="79"/>
      <c r="J618" s="52"/>
      <c r="K618" s="156"/>
      <c r="L618" s="383"/>
      <c r="M618" s="542"/>
      <c r="N618" s="578">
        <f t="shared" si="178"/>
        <v>0</v>
      </c>
      <c r="O618" s="678"/>
      <c r="P618" s="678"/>
      <c r="Q618" s="678"/>
      <c r="R618" s="678"/>
      <c r="S618" s="678"/>
      <c r="T618" s="678"/>
      <c r="U618" s="678"/>
      <c r="V618" s="678"/>
      <c r="W618" s="678"/>
      <c r="X618" s="678"/>
      <c r="Y618" s="678"/>
      <c r="Z618" s="678"/>
      <c r="AA618" s="678"/>
      <c r="AB618" s="678"/>
      <c r="AC618" s="679">
        <f>+H618</f>
        <v>0</v>
      </c>
      <c r="AD618" s="678"/>
      <c r="AE618" s="678"/>
      <c r="AF618" s="678"/>
      <c r="AG618" s="678"/>
      <c r="AH618" s="678"/>
      <c r="AI618" s="678"/>
      <c r="AJ618" s="678"/>
      <c r="AK618" s="658"/>
    </row>
    <row r="619" spans="1:37" s="5" customFormat="1">
      <c r="B619" s="313"/>
      <c r="C619" s="835"/>
      <c r="D619" s="17" t="s">
        <v>30</v>
      </c>
      <c r="E619" s="67" t="s">
        <v>16</v>
      </c>
      <c r="F619" s="64">
        <f>G613+G614+G618</f>
        <v>20</v>
      </c>
      <c r="G619" s="68" t="s">
        <v>31</v>
      </c>
      <c r="H619" s="64">
        <f>SUM(H613:H618)</f>
        <v>1598082.5147727272</v>
      </c>
      <c r="I619" s="79"/>
      <c r="J619" s="52"/>
      <c r="K619" s="156"/>
      <c r="L619" s="383"/>
      <c r="M619" s="542"/>
      <c r="N619" s="578">
        <f t="shared" si="178"/>
        <v>-1598082.5147727272</v>
      </c>
      <c r="O619" s="678"/>
      <c r="P619" s="678"/>
      <c r="Q619" s="678"/>
      <c r="R619" s="678"/>
      <c r="S619" s="678"/>
      <c r="T619" s="678"/>
      <c r="U619" s="678"/>
      <c r="V619" s="678"/>
      <c r="W619" s="678"/>
      <c r="X619" s="678"/>
      <c r="Y619" s="678"/>
      <c r="Z619" s="678"/>
      <c r="AA619" s="678"/>
      <c r="AB619" s="678"/>
      <c r="AC619" s="678"/>
      <c r="AD619" s="678"/>
      <c r="AE619" s="678"/>
      <c r="AF619" s="678"/>
      <c r="AG619" s="678"/>
      <c r="AH619" s="678"/>
      <c r="AI619" s="678"/>
      <c r="AJ619" s="678"/>
      <c r="AK619" s="658"/>
    </row>
    <row r="620" spans="1:37" s="5" customFormat="1">
      <c r="B620" s="313"/>
      <c r="C620" s="835"/>
      <c r="D620" s="19" t="s">
        <v>32</v>
      </c>
      <c r="E620" s="67" t="s">
        <v>16</v>
      </c>
      <c r="F620" s="84">
        <f>SUM(H613:H618)</f>
        <v>1598082.5147727272</v>
      </c>
      <c r="G620" s="92">
        <f>$G$43</f>
        <v>8.3299999999999999E-2</v>
      </c>
      <c r="H620" s="64">
        <f>+G620*F620</f>
        <v>133120.27348056817</v>
      </c>
      <c r="I620" s="93"/>
      <c r="J620" s="52"/>
      <c r="K620" s="156"/>
      <c r="L620" s="383"/>
      <c r="M620" s="542"/>
      <c r="N620" s="578">
        <f t="shared" si="178"/>
        <v>0</v>
      </c>
      <c r="O620" s="679">
        <f t="shared" ref="O620:T620" si="180">SUM(O613:O619)*$G$620</f>
        <v>5073.44481</v>
      </c>
      <c r="P620" s="679">
        <f t="shared" si="180"/>
        <v>5073.44481</v>
      </c>
      <c r="Q620" s="679">
        <f t="shared" si="180"/>
        <v>5073.44481</v>
      </c>
      <c r="R620" s="679">
        <f t="shared" si="180"/>
        <v>5073.44481</v>
      </c>
      <c r="S620" s="679">
        <f t="shared" si="180"/>
        <v>5073.44481</v>
      </c>
      <c r="T620" s="679">
        <f t="shared" si="180"/>
        <v>5073.44481</v>
      </c>
      <c r="U620" s="679">
        <f>SUM(U613:U619)*$G$620</f>
        <v>5073.44481</v>
      </c>
      <c r="V620" s="679">
        <f t="shared" ref="V620:AB620" si="181">SUM(V613:V619)*$G$620</f>
        <v>5073.44481</v>
      </c>
      <c r="W620" s="679">
        <f t="shared" si="181"/>
        <v>15422.119166761364</v>
      </c>
      <c r="X620" s="679">
        <f t="shared" si="181"/>
        <v>15422.119166761364</v>
      </c>
      <c r="Y620" s="679">
        <f t="shared" si="181"/>
        <v>15422.119166761364</v>
      </c>
      <c r="Z620" s="679">
        <f t="shared" si="181"/>
        <v>15422.119166761364</v>
      </c>
      <c r="AA620" s="679">
        <f t="shared" si="181"/>
        <v>15422.119166761364</v>
      </c>
      <c r="AB620" s="679">
        <f t="shared" si="181"/>
        <v>15422.119166761364</v>
      </c>
      <c r="AC620" s="679">
        <f t="shared" ref="AC620" si="182">SUM(AC611:AC619)*$G$54</f>
        <v>0</v>
      </c>
      <c r="AD620" s="678"/>
      <c r="AE620" s="678"/>
      <c r="AF620" s="678"/>
      <c r="AG620" s="678"/>
      <c r="AH620" s="678"/>
      <c r="AI620" s="678"/>
      <c r="AJ620" s="678"/>
      <c r="AK620" s="658"/>
    </row>
    <row r="621" spans="1:37" s="5" customFormat="1">
      <c r="B621" s="313"/>
      <c r="C621" s="835"/>
      <c r="D621" s="19" t="s">
        <v>33</v>
      </c>
      <c r="E621" s="84">
        <f>F620/(5*F619)</f>
        <v>15980.825147727272</v>
      </c>
      <c r="F621" s="84">
        <f>E621*(F619*7)</f>
        <v>2237315.520681818</v>
      </c>
      <c r="G621" s="95">
        <f>$G$44</f>
        <v>20</v>
      </c>
      <c r="H621" s="64">
        <f>F621/G621</f>
        <v>111865.7760340909</v>
      </c>
      <c r="I621" s="72">
        <f>SUM(H619:H621)</f>
        <v>1843068.5642873861</v>
      </c>
      <c r="J621" s="52">
        <f>SUM(G613:G621)</f>
        <v>52.083300000000001</v>
      </c>
      <c r="K621" s="156"/>
      <c r="L621" s="383"/>
      <c r="M621" s="542"/>
      <c r="N621" s="578">
        <f t="shared" si="178"/>
        <v>0</v>
      </c>
      <c r="O621" s="678"/>
      <c r="P621" s="678"/>
      <c r="Q621" s="678"/>
      <c r="R621" s="678"/>
      <c r="S621" s="678"/>
      <c r="T621" s="678"/>
      <c r="U621" s="678"/>
      <c r="V621" s="678"/>
      <c r="W621" s="678"/>
      <c r="X621" s="678"/>
      <c r="Y621" s="678"/>
      <c r="Z621" s="678"/>
      <c r="AA621" s="678"/>
      <c r="AB621" s="678">
        <f>+H621</f>
        <v>111865.7760340909</v>
      </c>
      <c r="AC621" s="678"/>
      <c r="AD621" s="678"/>
      <c r="AE621" s="678"/>
      <c r="AF621" s="678"/>
      <c r="AG621" s="678"/>
      <c r="AH621" s="678"/>
      <c r="AI621" s="678"/>
      <c r="AJ621" s="678"/>
      <c r="AK621" s="658"/>
    </row>
    <row r="622" spans="1:37" s="48" customFormat="1" ht="15" customHeight="1">
      <c r="A622" s="45"/>
      <c r="B622" s="314"/>
      <c r="C622" s="844"/>
      <c r="D622" s="184"/>
      <c r="E622" s="71"/>
      <c r="F622" s="906" t="s">
        <v>76</v>
      </c>
      <c r="G622" s="906"/>
      <c r="H622" s="195">
        <f>H347+H158+H64+H65+H66+H319+H320+H321+H330+H331+H332+H398+H399+H400+H409+H410+H411+H443+H444+H445+H454+H455+H456+H42+H43+H44+H53+H54+H55+H75+H76+H77+H87+H88+H89+H98+H99+H100+H109+H110+H111+H120+H121+H122+H131+H132+H133+H142+H143+H144+H153+H154+H155+H165+H166+H167+H176+H177+H178+H187+H188+H189+H198+H199+H200+H209+H210+H211+H220+H221+H222+H231+H232+H233+H242+H243+H244+H253+H254+H255+H275+H276+H277+H286+H287+H288+H297+H298+H299+H308+H309+H310+H342+H343+H344+H354+H355+H356+H365+H366+H367+H376+H377+H378+H387+H388+H389+H421+H422+H423+H432+H433+H434+H465+H466+H467+H476+H477+H478+H487+H488+H489+H498+H499+H500+H509+H510+H511+H520+H521+H522+H531+H532+H533+H542+H543+H544+H553+H554+H555+H566+H565+H564+H577+H576+H575+H586+H587+H588+H597+H598+H599+H608+H609+H610+H619+H620+H621</f>
        <v>43419640.511914</v>
      </c>
      <c r="I622" s="472">
        <f>SUM(I34:I621)</f>
        <v>44263215.554688171</v>
      </c>
      <c r="J622" s="52"/>
      <c r="K622" s="156"/>
      <c r="L622" s="383"/>
      <c r="M622" s="593"/>
      <c r="N622" s="578">
        <f t="shared" si="178"/>
        <v>-43419640.511914</v>
      </c>
      <c r="O622" s="678"/>
      <c r="P622" s="678"/>
      <c r="Q622" s="678"/>
      <c r="R622" s="678"/>
      <c r="S622" s="678"/>
      <c r="T622" s="678"/>
      <c r="U622" s="678"/>
      <c r="V622" s="678"/>
      <c r="W622" s="678"/>
      <c r="X622" s="678"/>
      <c r="Y622" s="678"/>
      <c r="Z622" s="678"/>
      <c r="AA622" s="678"/>
      <c r="AB622" s="678"/>
      <c r="AC622" s="678"/>
      <c r="AD622" s="678"/>
      <c r="AE622" s="676"/>
      <c r="AF622" s="676"/>
      <c r="AG622" s="676"/>
      <c r="AH622" s="676"/>
      <c r="AI622" s="676"/>
      <c r="AJ622" s="676"/>
      <c r="AK622" s="658"/>
    </row>
    <row r="623" spans="1:37" s="543" customFormat="1" ht="30" customHeight="1">
      <c r="B623" s="610"/>
      <c r="C623" s="845"/>
      <c r="D623" s="611"/>
      <c r="G623" s="612"/>
      <c r="H623" s="613"/>
      <c r="I623" s="614"/>
      <c r="J623" s="614"/>
      <c r="K623" s="540"/>
      <c r="L623" s="541"/>
      <c r="M623" s="596"/>
      <c r="N623" s="701"/>
      <c r="O623" s="687"/>
      <c r="P623" s="687"/>
      <c r="Q623" s="687"/>
      <c r="R623" s="687"/>
      <c r="S623" s="687"/>
      <c r="T623" s="687"/>
      <c r="U623" s="687"/>
      <c r="V623" s="687"/>
      <c r="W623" s="687"/>
      <c r="X623" s="687"/>
      <c r="Y623" s="687"/>
      <c r="Z623" s="687"/>
      <c r="AA623" s="687"/>
      <c r="AB623" s="687"/>
      <c r="AC623" s="687"/>
      <c r="AD623" s="687"/>
      <c r="AE623" s="687"/>
      <c r="AF623" s="687"/>
      <c r="AG623" s="687"/>
      <c r="AH623" s="687"/>
      <c r="AI623" s="687"/>
      <c r="AJ623" s="687"/>
      <c r="AK623" s="658"/>
    </row>
    <row r="624" spans="1:37" s="543" customFormat="1" ht="14">
      <c r="B624" s="610"/>
      <c r="C624" s="845"/>
      <c r="D624" s="611"/>
      <c r="G624" s="612"/>
      <c r="H624" s="613"/>
      <c r="I624" s="614"/>
      <c r="J624" s="614"/>
      <c r="K624" s="540"/>
      <c r="L624" s="541"/>
      <c r="M624" s="601"/>
      <c r="N624" s="701"/>
      <c r="O624" s="687"/>
      <c r="P624" s="687"/>
      <c r="Q624" s="687"/>
      <c r="R624" s="687"/>
      <c r="S624" s="687"/>
      <c r="T624" s="687"/>
      <c r="U624" s="687"/>
      <c r="V624" s="687"/>
      <c r="W624" s="687"/>
      <c r="X624" s="687"/>
      <c r="Y624" s="687"/>
      <c r="Z624" s="687"/>
      <c r="AA624" s="687"/>
      <c r="AB624" s="687"/>
      <c r="AC624" s="687"/>
      <c r="AD624" s="687"/>
      <c r="AE624" s="687"/>
      <c r="AF624" s="687"/>
      <c r="AG624" s="687"/>
      <c r="AH624" s="687"/>
      <c r="AI624" s="687"/>
      <c r="AJ624" s="687"/>
      <c r="AK624" s="658"/>
    </row>
    <row r="625" spans="1:37" s="48" customFormat="1" ht="15" customHeight="1">
      <c r="A625" s="45"/>
      <c r="B625" s="312"/>
      <c r="C625" s="834"/>
      <c r="D625" s="33" t="s">
        <v>430</v>
      </c>
      <c r="E625" s="56" t="s">
        <v>13</v>
      </c>
      <c r="F625" s="57" t="s">
        <v>14</v>
      </c>
      <c r="G625" s="58" t="s">
        <v>15</v>
      </c>
      <c r="H625" s="192" t="s">
        <v>8</v>
      </c>
      <c r="I625" s="59"/>
      <c r="J625" s="292"/>
      <c r="K625" s="156"/>
      <c r="L625" s="383"/>
      <c r="M625" s="593"/>
      <c r="N625" s="701"/>
      <c r="O625" s="676"/>
      <c r="P625" s="676"/>
      <c r="Q625" s="676"/>
      <c r="R625" s="676"/>
      <c r="S625" s="676"/>
      <c r="T625" s="676"/>
      <c r="U625" s="676"/>
      <c r="V625" s="676"/>
      <c r="W625" s="676"/>
      <c r="X625" s="676"/>
      <c r="Y625" s="676"/>
      <c r="Z625" s="676"/>
      <c r="AA625" s="676"/>
      <c r="AB625" s="676"/>
      <c r="AC625" s="676"/>
      <c r="AD625" s="676"/>
      <c r="AE625" s="676"/>
      <c r="AF625" s="676"/>
      <c r="AG625" s="676"/>
      <c r="AH625" s="676"/>
      <c r="AI625" s="676"/>
      <c r="AJ625" s="676"/>
      <c r="AK625" s="658"/>
    </row>
    <row r="626" spans="1:37" s="104" customFormat="1" ht="15" customHeight="1">
      <c r="B626" s="313"/>
      <c r="C626" s="838"/>
      <c r="D626" s="105" t="s">
        <v>77</v>
      </c>
      <c r="G626" s="107"/>
      <c r="H626" s="108"/>
      <c r="I626" s="659">
        <v>0.33</v>
      </c>
      <c r="J626" s="296"/>
      <c r="K626" s="156"/>
      <c r="L626" s="383"/>
      <c r="M626" s="542"/>
      <c r="N626" s="701"/>
      <c r="O626" s="688"/>
      <c r="P626" s="688"/>
      <c r="Q626" s="688"/>
      <c r="R626" s="688"/>
      <c r="S626" s="688"/>
      <c r="T626" s="688"/>
      <c r="U626" s="688"/>
      <c r="V626" s="688"/>
      <c r="W626" s="688"/>
      <c r="X626" s="688"/>
      <c r="Y626" s="688"/>
      <c r="Z626" s="688"/>
      <c r="AA626" s="688"/>
      <c r="AB626" s="688"/>
      <c r="AC626" s="688"/>
      <c r="AD626" s="688"/>
      <c r="AE626" s="688"/>
      <c r="AF626" s="688"/>
      <c r="AG626" s="688"/>
      <c r="AH626" s="688"/>
      <c r="AI626" s="688"/>
      <c r="AJ626" s="688"/>
      <c r="AK626" s="658"/>
    </row>
    <row r="627" spans="1:37" s="5" customFormat="1">
      <c r="B627" s="313"/>
      <c r="C627" s="835" t="s">
        <v>916</v>
      </c>
      <c r="D627" s="446" t="s">
        <v>473</v>
      </c>
      <c r="E627" s="443" t="s">
        <v>16</v>
      </c>
      <c r="F627" s="444">
        <v>1500000</v>
      </c>
      <c r="G627" s="419"/>
      <c r="H627" s="416"/>
      <c r="I627" s="445"/>
      <c r="J627" s="52"/>
      <c r="K627" s="156"/>
      <c r="L627" s="421">
        <f>110000-(1000000/205)</f>
        <v>105121.95121951219</v>
      </c>
      <c r="M627" s="542"/>
      <c r="N627" s="701"/>
      <c r="O627" s="678"/>
      <c r="P627" s="678"/>
      <c r="Q627" s="678"/>
      <c r="R627" s="678"/>
      <c r="S627" s="678"/>
      <c r="T627" s="678"/>
      <c r="U627" s="678"/>
      <c r="V627" s="678"/>
      <c r="W627" s="678"/>
      <c r="X627" s="678"/>
      <c r="Y627" s="678"/>
      <c r="Z627" s="678"/>
      <c r="AA627" s="678"/>
      <c r="AB627" s="678"/>
      <c r="AC627" s="678"/>
      <c r="AD627" s="678"/>
      <c r="AE627" s="678"/>
      <c r="AF627" s="678"/>
      <c r="AG627" s="678"/>
      <c r="AH627" s="678"/>
      <c r="AI627" s="678"/>
      <c r="AJ627" s="678"/>
      <c r="AK627" s="658"/>
    </row>
    <row r="628" spans="1:37" s="5" customFormat="1">
      <c r="B628" s="313"/>
      <c r="C628" s="835" t="s">
        <v>917</v>
      </c>
      <c r="D628" s="446" t="s">
        <v>474</v>
      </c>
      <c r="E628" s="443"/>
      <c r="F628" s="444">
        <v>1500000</v>
      </c>
      <c r="G628" s="419"/>
      <c r="H628" s="416"/>
      <c r="I628" s="445"/>
      <c r="J628" s="52"/>
      <c r="K628" s="156"/>
      <c r="L628" s="421">
        <f>80000-(1000000/205)</f>
        <v>75121.951219512193</v>
      </c>
      <c r="M628" s="542"/>
      <c r="N628" s="701"/>
      <c r="O628" s="678"/>
      <c r="P628" s="678"/>
      <c r="Q628" s="678"/>
      <c r="R628" s="678"/>
      <c r="S628" s="678"/>
      <c r="T628" s="678"/>
      <c r="U628" s="678"/>
      <c r="V628" s="678"/>
      <c r="W628" s="678"/>
      <c r="X628" s="678"/>
      <c r="Y628" s="678"/>
      <c r="Z628" s="678"/>
      <c r="AA628" s="678"/>
      <c r="AB628" s="678"/>
      <c r="AC628" s="678"/>
      <c r="AD628" s="678"/>
      <c r="AE628" s="678"/>
      <c r="AF628" s="678"/>
      <c r="AG628" s="678"/>
      <c r="AH628" s="678"/>
      <c r="AI628" s="678"/>
      <c r="AJ628" s="678"/>
      <c r="AK628" s="658"/>
    </row>
    <row r="629" spans="1:37" s="5" customFormat="1">
      <c r="B629" s="313"/>
      <c r="C629" s="835" t="s">
        <v>918</v>
      </c>
      <c r="D629" s="254" t="s">
        <v>420</v>
      </c>
      <c r="E629" s="67"/>
      <c r="F629" s="84">
        <v>1000000</v>
      </c>
      <c r="G629" s="110"/>
      <c r="H629" s="64">
        <f>SUM(F627:F629)</f>
        <v>4000000</v>
      </c>
      <c r="I629" s="79"/>
      <c r="J629" s="52"/>
      <c r="K629" s="156"/>
      <c r="L629" s="383"/>
      <c r="M629" s="542"/>
      <c r="N629" s="701"/>
      <c r="O629" s="678"/>
      <c r="P629" s="678"/>
      <c r="Q629" s="678"/>
      <c r="R629" s="678"/>
      <c r="S629" s="678"/>
      <c r="T629" s="678"/>
      <c r="U629" s="678"/>
      <c r="V629" s="678"/>
      <c r="W629" s="678"/>
      <c r="X629" s="678"/>
      <c r="Y629" s="678"/>
      <c r="Z629" s="678"/>
      <c r="AA629" s="678"/>
      <c r="AB629" s="678"/>
      <c r="AC629" s="678"/>
      <c r="AD629" s="678"/>
      <c r="AE629" s="678"/>
      <c r="AF629" s="678"/>
      <c r="AG629" s="678"/>
      <c r="AH629" s="678"/>
      <c r="AI629" s="678"/>
      <c r="AJ629" s="678"/>
      <c r="AK629" s="658"/>
    </row>
    <row r="630" spans="1:37" s="5" customFormat="1">
      <c r="B630" s="313"/>
      <c r="C630" s="837"/>
      <c r="D630" s="417" t="s">
        <v>467</v>
      </c>
      <c r="E630" s="418"/>
      <c r="F630" s="416"/>
      <c r="G630" s="419"/>
      <c r="H630" s="416">
        <v>1000000</v>
      </c>
      <c r="I630" s="79"/>
      <c r="J630" s="52"/>
      <c r="K630" s="156"/>
      <c r="L630" s="383"/>
      <c r="M630" s="542"/>
      <c r="N630" s="701"/>
      <c r="O630" s="678"/>
      <c r="P630" s="678"/>
      <c r="Q630" s="678"/>
      <c r="R630" s="678"/>
      <c r="S630" s="678"/>
      <c r="T630" s="678"/>
      <c r="U630" s="678"/>
      <c r="V630" s="678"/>
      <c r="W630" s="678"/>
      <c r="X630" s="678"/>
      <c r="Y630" s="678"/>
      <c r="Z630" s="678"/>
      <c r="AA630" s="678"/>
      <c r="AB630" s="678"/>
      <c r="AC630" s="678"/>
      <c r="AD630" s="678"/>
      <c r="AE630" s="678"/>
      <c r="AF630" s="678"/>
      <c r="AG630" s="678"/>
      <c r="AH630" s="678"/>
      <c r="AI630" s="678"/>
      <c r="AJ630" s="678"/>
      <c r="AK630" s="658"/>
    </row>
    <row r="631" spans="1:37" s="5" customFormat="1">
      <c r="B631" s="313"/>
      <c r="C631" s="835"/>
      <c r="D631" s="17" t="s">
        <v>78</v>
      </c>
      <c r="E631" s="67" t="s">
        <v>16</v>
      </c>
      <c r="F631" s="64">
        <v>8</v>
      </c>
      <c r="G631" s="68" t="s">
        <v>31</v>
      </c>
      <c r="H631" s="64">
        <f>F631</f>
        <v>8</v>
      </c>
      <c r="I631" s="79"/>
      <c r="J631" s="52"/>
      <c r="K631" s="156"/>
      <c r="L631" s="383"/>
      <c r="M631" s="542"/>
      <c r="N631" s="701"/>
      <c r="O631" s="678"/>
      <c r="P631" s="678"/>
      <c r="Q631" s="678"/>
      <c r="R631" s="678"/>
      <c r="S631" s="678"/>
      <c r="T631" s="678"/>
      <c r="U631" s="678"/>
      <c r="V631" s="678"/>
      <c r="W631" s="678"/>
      <c r="X631" s="678"/>
      <c r="Y631" s="678"/>
      <c r="Z631" s="678"/>
      <c r="AA631" s="678"/>
      <c r="AB631" s="678"/>
      <c r="AC631" s="678"/>
      <c r="AD631" s="678"/>
      <c r="AE631" s="678"/>
      <c r="AF631" s="678"/>
      <c r="AG631" s="678"/>
      <c r="AH631" s="678"/>
      <c r="AI631" s="678"/>
      <c r="AJ631" s="678"/>
      <c r="AK631" s="658"/>
    </row>
    <row r="632" spans="1:37" s="5" customFormat="1">
      <c r="B632" s="313"/>
      <c r="C632" s="837"/>
      <c r="D632" s="19" t="s">
        <v>32</v>
      </c>
      <c r="E632" s="67" t="s">
        <v>16</v>
      </c>
      <c r="F632" s="84">
        <f>SUM(F627:F629)</f>
        <v>4000000</v>
      </c>
      <c r="G632" s="92">
        <f>$G$43</f>
        <v>8.3299999999999999E-2</v>
      </c>
      <c r="H632" s="64">
        <f>+G632*F632</f>
        <v>333200</v>
      </c>
      <c r="I632" s="79"/>
      <c r="J632" s="52"/>
      <c r="K632" s="156"/>
      <c r="L632" s="383"/>
      <c r="M632" s="542"/>
      <c r="N632" s="701"/>
      <c r="O632" s="678"/>
      <c r="P632" s="678"/>
      <c r="Q632" s="678"/>
      <c r="R632" s="678"/>
      <c r="S632" s="678"/>
      <c r="T632" s="678"/>
      <c r="U632" s="678"/>
      <c r="V632" s="678"/>
      <c r="W632" s="678"/>
      <c r="X632" s="678"/>
      <c r="Y632" s="678"/>
      <c r="Z632" s="678"/>
      <c r="AA632" s="678"/>
      <c r="AB632" s="678"/>
      <c r="AC632" s="678"/>
      <c r="AD632" s="678"/>
      <c r="AE632" s="678"/>
      <c r="AF632" s="678"/>
      <c r="AG632" s="678"/>
      <c r="AH632" s="678"/>
      <c r="AI632" s="678"/>
      <c r="AJ632" s="678"/>
      <c r="AK632" s="658"/>
    </row>
    <row r="633" spans="1:37" s="5" customFormat="1">
      <c r="B633" s="313"/>
      <c r="C633" s="837"/>
      <c r="D633" s="103" t="s">
        <v>33</v>
      </c>
      <c r="E633" s="84">
        <f>F632/(5*F631)</f>
        <v>100000</v>
      </c>
      <c r="F633" s="84">
        <f>E633*(F631*7)</f>
        <v>5600000</v>
      </c>
      <c r="G633" s="95">
        <v>20</v>
      </c>
      <c r="H633" s="64">
        <f>F633/G633</f>
        <v>280000</v>
      </c>
      <c r="I633" s="72">
        <f>SUM(H629:H633)</f>
        <v>5613208</v>
      </c>
      <c r="J633" s="52">
        <v>30</v>
      </c>
      <c r="K633" s="156"/>
      <c r="L633" s="383"/>
      <c r="M633" s="542"/>
      <c r="N633" s="701">
        <f t="shared" ref="N633:N671" si="183">SUM(O633:AJ633)-I633</f>
        <v>0</v>
      </c>
      <c r="O633" s="678"/>
      <c r="P633" s="678"/>
      <c r="Q633" s="678"/>
      <c r="R633" s="678"/>
      <c r="S633" s="678"/>
      <c r="T633" s="678"/>
      <c r="U633" s="678">
        <f t="shared" ref="U633:U648" si="184">+I633*$I$626</f>
        <v>1852358.6400000001</v>
      </c>
      <c r="V633" s="678"/>
      <c r="W633" s="678"/>
      <c r="X633" s="678">
        <f>+U633</f>
        <v>1852358.6400000001</v>
      </c>
      <c r="Y633" s="678"/>
      <c r="Z633" s="678"/>
      <c r="AA633" s="678">
        <f t="shared" ref="AA633:AA648" si="185">+I633-U633-X633</f>
        <v>1908490.7199999997</v>
      </c>
      <c r="AB633" s="678"/>
      <c r="AC633" s="678"/>
      <c r="AD633" s="678"/>
      <c r="AE633" s="678"/>
      <c r="AF633" s="678"/>
      <c r="AG633" s="678"/>
      <c r="AH633" s="678"/>
      <c r="AI633" s="678"/>
      <c r="AJ633" s="678"/>
      <c r="AK633" s="658"/>
    </row>
    <row r="634" spans="1:37" s="104" customFormat="1" ht="15" customHeight="1">
      <c r="B634" s="313"/>
      <c r="C634" s="835" t="s">
        <v>919</v>
      </c>
      <c r="D634" s="105" t="s">
        <v>79</v>
      </c>
      <c r="E634" s="107"/>
      <c r="F634" s="107"/>
      <c r="G634" s="107"/>
      <c r="H634" s="107"/>
      <c r="I634" s="109"/>
      <c r="J634" s="296"/>
      <c r="K634" s="156"/>
      <c r="L634" s="383"/>
      <c r="M634" s="542"/>
      <c r="N634" s="701">
        <f t="shared" si="183"/>
        <v>0</v>
      </c>
      <c r="O634" s="688"/>
      <c r="P634" s="688"/>
      <c r="Q634" s="688"/>
      <c r="R634" s="688"/>
      <c r="S634" s="688"/>
      <c r="T634" s="688"/>
      <c r="U634" s="678">
        <f t="shared" si="184"/>
        <v>0</v>
      </c>
      <c r="V634" s="678"/>
      <c r="W634" s="678"/>
      <c r="X634" s="678">
        <f t="shared" ref="X634:X648" si="186">+U634</f>
        <v>0</v>
      </c>
      <c r="Y634" s="678"/>
      <c r="Z634" s="678"/>
      <c r="AA634" s="678">
        <f t="shared" si="185"/>
        <v>0</v>
      </c>
      <c r="AB634" s="688"/>
      <c r="AC634" s="688"/>
      <c r="AD634" s="688"/>
      <c r="AE634" s="688"/>
      <c r="AF634" s="688"/>
      <c r="AG634" s="688"/>
      <c r="AH634" s="688"/>
      <c r="AI634" s="688"/>
      <c r="AJ634" s="688"/>
      <c r="AK634" s="658"/>
    </row>
    <row r="635" spans="1:37" s="5" customFormat="1">
      <c r="B635" s="313"/>
      <c r="C635" s="837"/>
      <c r="D635" s="17" t="s">
        <v>281</v>
      </c>
      <c r="E635" s="67" t="s">
        <v>16</v>
      </c>
      <c r="F635" s="64">
        <v>1000000</v>
      </c>
      <c r="G635" s="110">
        <v>1</v>
      </c>
      <c r="H635" s="64"/>
      <c r="I635" s="79"/>
      <c r="J635" s="52"/>
      <c r="K635" s="156"/>
      <c r="L635" s="383"/>
      <c r="M635" s="542"/>
      <c r="N635" s="701">
        <f t="shared" si="183"/>
        <v>0</v>
      </c>
      <c r="O635" s="678"/>
      <c r="P635" s="678"/>
      <c r="Q635" s="678"/>
      <c r="R635" s="678"/>
      <c r="S635" s="678"/>
      <c r="T635" s="678"/>
      <c r="U635" s="678">
        <f t="shared" si="184"/>
        <v>0</v>
      </c>
      <c r="V635" s="678"/>
      <c r="W635" s="678"/>
      <c r="X635" s="678">
        <f t="shared" si="186"/>
        <v>0</v>
      </c>
      <c r="Y635" s="678"/>
      <c r="Z635" s="678"/>
      <c r="AA635" s="678">
        <f t="shared" si="185"/>
        <v>0</v>
      </c>
      <c r="AB635" s="678"/>
      <c r="AC635" s="678"/>
      <c r="AD635" s="678"/>
      <c r="AE635" s="678"/>
      <c r="AF635" s="678"/>
      <c r="AG635" s="678"/>
      <c r="AH635" s="678"/>
      <c r="AI635" s="678"/>
      <c r="AJ635" s="678"/>
      <c r="AK635" s="658"/>
    </row>
    <row r="636" spans="1:37" s="5" customFormat="1">
      <c r="B636" s="313"/>
      <c r="C636" s="837"/>
      <c r="D636" s="17"/>
      <c r="E636" s="67"/>
      <c r="F636" s="64"/>
      <c r="G636" s="110"/>
      <c r="H636" s="64"/>
      <c r="I636" s="79"/>
      <c r="J636" s="52"/>
      <c r="K636" s="156"/>
      <c r="L636" s="383"/>
      <c r="M636" s="542"/>
      <c r="N636" s="701">
        <f t="shared" si="183"/>
        <v>0</v>
      </c>
      <c r="O636" s="678"/>
      <c r="P636" s="678"/>
      <c r="Q636" s="678"/>
      <c r="R636" s="678"/>
      <c r="S636" s="678"/>
      <c r="T636" s="678"/>
      <c r="U636" s="678">
        <f t="shared" si="184"/>
        <v>0</v>
      </c>
      <c r="V636" s="678"/>
      <c r="W636" s="678"/>
      <c r="X636" s="678">
        <f t="shared" si="186"/>
        <v>0</v>
      </c>
      <c r="Y636" s="678"/>
      <c r="Z636" s="678"/>
      <c r="AA636" s="678">
        <f t="shared" si="185"/>
        <v>0</v>
      </c>
      <c r="AB636" s="678"/>
      <c r="AC636" s="678"/>
      <c r="AD636" s="678"/>
      <c r="AE636" s="678"/>
      <c r="AF636" s="678"/>
      <c r="AG636" s="678"/>
      <c r="AH636" s="678"/>
      <c r="AI636" s="678"/>
      <c r="AJ636" s="678"/>
      <c r="AK636" s="658"/>
    </row>
    <row r="637" spans="1:37" s="5" customFormat="1">
      <c r="B637" s="313"/>
      <c r="C637" s="837"/>
      <c r="D637" s="17"/>
      <c r="E637" s="67"/>
      <c r="F637" s="64"/>
      <c r="G637" s="110"/>
      <c r="H637" s="64"/>
      <c r="I637" s="79"/>
      <c r="J637" s="52"/>
      <c r="K637" s="156"/>
      <c r="L637" s="383"/>
      <c r="M637" s="542"/>
      <c r="N637" s="701">
        <f t="shared" si="183"/>
        <v>0</v>
      </c>
      <c r="O637" s="678"/>
      <c r="P637" s="678"/>
      <c r="Q637" s="678"/>
      <c r="R637" s="678"/>
      <c r="S637" s="678"/>
      <c r="T637" s="678"/>
      <c r="U637" s="678">
        <f t="shared" si="184"/>
        <v>0</v>
      </c>
      <c r="V637" s="678"/>
      <c r="W637" s="678"/>
      <c r="X637" s="678">
        <f t="shared" si="186"/>
        <v>0</v>
      </c>
      <c r="Y637" s="678"/>
      <c r="Z637" s="678"/>
      <c r="AA637" s="678">
        <f t="shared" si="185"/>
        <v>0</v>
      </c>
      <c r="AB637" s="678"/>
      <c r="AC637" s="678"/>
      <c r="AD637" s="678"/>
      <c r="AE637" s="678"/>
      <c r="AF637" s="678"/>
      <c r="AG637" s="678"/>
      <c r="AH637" s="678"/>
      <c r="AI637" s="678"/>
      <c r="AJ637" s="678"/>
      <c r="AK637" s="658"/>
    </row>
    <row r="638" spans="1:37" s="5" customFormat="1">
      <c r="B638" s="313"/>
      <c r="C638" s="835"/>
      <c r="D638" s="17" t="s">
        <v>78</v>
      </c>
      <c r="E638" s="67" t="s">
        <v>16</v>
      </c>
      <c r="F638" s="64">
        <v>8</v>
      </c>
      <c r="G638" s="68" t="s">
        <v>31</v>
      </c>
      <c r="H638" s="64">
        <v>1000000</v>
      </c>
      <c r="I638" s="79"/>
      <c r="J638" s="52"/>
      <c r="K638" s="156"/>
      <c r="L638" s="383"/>
      <c r="M638" s="542"/>
      <c r="N638" s="701">
        <f t="shared" si="183"/>
        <v>0</v>
      </c>
      <c r="O638" s="678"/>
      <c r="P638" s="678"/>
      <c r="Q638" s="678"/>
      <c r="R638" s="678"/>
      <c r="S638" s="678"/>
      <c r="T638" s="678"/>
      <c r="U638" s="678">
        <f t="shared" si="184"/>
        <v>0</v>
      </c>
      <c r="V638" s="678"/>
      <c r="W638" s="678"/>
      <c r="X638" s="678">
        <f t="shared" si="186"/>
        <v>0</v>
      </c>
      <c r="Y638" s="678"/>
      <c r="Z638" s="678"/>
      <c r="AA638" s="678">
        <f t="shared" si="185"/>
        <v>0</v>
      </c>
      <c r="AB638" s="678"/>
      <c r="AC638" s="678"/>
      <c r="AD638" s="678"/>
      <c r="AE638" s="678"/>
      <c r="AF638" s="678"/>
      <c r="AG638" s="678"/>
      <c r="AH638" s="678"/>
      <c r="AI638" s="678"/>
      <c r="AJ638" s="678"/>
      <c r="AK638" s="658"/>
    </row>
    <row r="639" spans="1:37" s="5" customFormat="1">
      <c r="B639" s="313"/>
      <c r="C639" s="837"/>
      <c r="D639" s="19" t="s">
        <v>32</v>
      </c>
      <c r="E639" s="67" t="s">
        <v>16</v>
      </c>
      <c r="F639" s="84">
        <v>1000000</v>
      </c>
      <c r="G639" s="92">
        <v>8.3299999999999999E-2</v>
      </c>
      <c r="H639" s="64">
        <v>83300</v>
      </c>
      <c r="I639" s="79"/>
      <c r="J639" s="52"/>
      <c r="K639" s="156"/>
      <c r="L639" s="383"/>
      <c r="M639" s="542"/>
      <c r="N639" s="701">
        <f t="shared" si="183"/>
        <v>0</v>
      </c>
      <c r="O639" s="678"/>
      <c r="P639" s="678"/>
      <c r="Q639" s="678"/>
      <c r="R639" s="678"/>
      <c r="S639" s="678"/>
      <c r="T639" s="678"/>
      <c r="U639" s="678">
        <f t="shared" si="184"/>
        <v>0</v>
      </c>
      <c r="V639" s="678"/>
      <c r="W639" s="678"/>
      <c r="X639" s="678">
        <f t="shared" si="186"/>
        <v>0</v>
      </c>
      <c r="Y639" s="678"/>
      <c r="Z639" s="678"/>
      <c r="AA639" s="678">
        <f t="shared" si="185"/>
        <v>0</v>
      </c>
      <c r="AB639" s="678"/>
      <c r="AC639" s="678"/>
      <c r="AD639" s="678"/>
      <c r="AE639" s="678"/>
      <c r="AF639" s="678"/>
      <c r="AG639" s="678"/>
      <c r="AH639" s="678"/>
      <c r="AI639" s="678"/>
      <c r="AJ639" s="678"/>
      <c r="AK639" s="658"/>
    </row>
    <row r="640" spans="1:37" s="5" customFormat="1">
      <c r="B640" s="313"/>
      <c r="C640" s="846"/>
      <c r="D640" s="103" t="s">
        <v>840</v>
      </c>
      <c r="E640" s="84">
        <v>25000</v>
      </c>
      <c r="F640" s="84">
        <v>1400000</v>
      </c>
      <c r="G640" s="95">
        <v>20</v>
      </c>
      <c r="H640" s="64">
        <v>70000</v>
      </c>
      <c r="I640" s="72">
        <v>1153300</v>
      </c>
      <c r="J640" s="52">
        <v>10</v>
      </c>
      <c r="K640" s="156"/>
      <c r="L640" s="383"/>
      <c r="M640" s="542"/>
      <c r="N640" s="701">
        <f t="shared" si="183"/>
        <v>0</v>
      </c>
      <c r="O640" s="678"/>
      <c r="P640" s="678"/>
      <c r="Q640" s="678"/>
      <c r="R640" s="678"/>
      <c r="S640" s="678"/>
      <c r="T640" s="678"/>
      <c r="U640" s="678">
        <f t="shared" si="184"/>
        <v>380589</v>
      </c>
      <c r="V640" s="678"/>
      <c r="W640" s="678"/>
      <c r="X640" s="678">
        <f t="shared" si="186"/>
        <v>380589</v>
      </c>
      <c r="Y640" s="678"/>
      <c r="Z640" s="678"/>
      <c r="AA640" s="678">
        <f t="shared" si="185"/>
        <v>392122</v>
      </c>
      <c r="AB640" s="678"/>
      <c r="AC640" s="678"/>
      <c r="AD640" s="678"/>
      <c r="AE640" s="678"/>
      <c r="AF640" s="678"/>
      <c r="AG640" s="678"/>
      <c r="AH640" s="678"/>
      <c r="AI640" s="678"/>
      <c r="AJ640" s="678"/>
      <c r="AK640" s="658"/>
    </row>
    <row r="641" spans="2:37" s="104" customFormat="1" ht="15" customHeight="1">
      <c r="B641" s="313"/>
      <c r="C641" s="835" t="s">
        <v>920</v>
      </c>
      <c r="D641" s="105" t="s">
        <v>418</v>
      </c>
      <c r="E641" s="107"/>
      <c r="F641" s="107"/>
      <c r="G641" s="107"/>
      <c r="H641" s="107"/>
      <c r="I641" s="109"/>
      <c r="J641" s="782"/>
      <c r="K641" s="156"/>
      <c r="L641" s="383"/>
      <c r="M641" s="542"/>
      <c r="N641" s="701">
        <f t="shared" si="183"/>
        <v>0</v>
      </c>
      <c r="O641" s="688"/>
      <c r="P641" s="688"/>
      <c r="Q641" s="688"/>
      <c r="R641" s="688"/>
      <c r="S641" s="688"/>
      <c r="T641" s="688"/>
      <c r="U641" s="678">
        <f t="shared" si="184"/>
        <v>0</v>
      </c>
      <c r="V641" s="678"/>
      <c r="W641" s="678"/>
      <c r="X641" s="678">
        <f t="shared" si="186"/>
        <v>0</v>
      </c>
      <c r="Y641" s="678"/>
      <c r="Z641" s="678"/>
      <c r="AA641" s="678">
        <f t="shared" si="185"/>
        <v>0</v>
      </c>
      <c r="AB641" s="688"/>
      <c r="AC641" s="688"/>
      <c r="AD641" s="688"/>
      <c r="AE641" s="688"/>
      <c r="AF641" s="688"/>
      <c r="AG641" s="688"/>
      <c r="AH641" s="688"/>
      <c r="AI641" s="688"/>
      <c r="AJ641" s="688"/>
      <c r="AK641" s="658"/>
    </row>
    <row r="642" spans="2:37" s="5" customFormat="1">
      <c r="B642" s="313"/>
      <c r="C642" s="837"/>
      <c r="D642" s="783" t="s">
        <v>419</v>
      </c>
      <c r="E642" s="67" t="s">
        <v>16</v>
      </c>
      <c r="F642" s="784">
        <v>1251000</v>
      </c>
      <c r="G642" s="785">
        <v>1</v>
      </c>
      <c r="H642" s="784"/>
      <c r="I642" s="786"/>
      <c r="J642" s="787"/>
      <c r="K642" s="156"/>
      <c r="L642" s="383"/>
      <c r="M642" s="542"/>
      <c r="N642" s="701">
        <f t="shared" si="183"/>
        <v>0</v>
      </c>
      <c r="O642" s="678"/>
      <c r="P642" s="678"/>
      <c r="Q642" s="678"/>
      <c r="R642" s="678"/>
      <c r="S642" s="678"/>
      <c r="T642" s="678"/>
      <c r="U642" s="678">
        <f t="shared" si="184"/>
        <v>0</v>
      </c>
      <c r="V642" s="678"/>
      <c r="W642" s="678"/>
      <c r="X642" s="678">
        <f t="shared" si="186"/>
        <v>0</v>
      </c>
      <c r="Y642" s="678"/>
      <c r="Z642" s="678"/>
      <c r="AA642" s="678">
        <f t="shared" si="185"/>
        <v>0</v>
      </c>
      <c r="AB642" s="678"/>
      <c r="AC642" s="678"/>
      <c r="AD642" s="678"/>
      <c r="AE642" s="678"/>
      <c r="AF642" s="678"/>
      <c r="AG642" s="678"/>
      <c r="AH642" s="678"/>
      <c r="AI642" s="678"/>
      <c r="AJ642" s="678"/>
      <c r="AK642" s="658"/>
    </row>
    <row r="643" spans="2:37" s="5" customFormat="1">
      <c r="B643" s="313"/>
      <c r="C643" s="837"/>
      <c r="D643" s="783"/>
      <c r="E643" s="67"/>
      <c r="F643" s="784"/>
      <c r="G643" s="785"/>
      <c r="H643" s="784"/>
      <c r="I643" s="786"/>
      <c r="J643" s="787"/>
      <c r="K643" s="156"/>
      <c r="L643" s="383"/>
      <c r="M643" s="542"/>
      <c r="N643" s="701">
        <f t="shared" si="183"/>
        <v>0</v>
      </c>
      <c r="O643" s="678"/>
      <c r="P643" s="678"/>
      <c r="Q643" s="678"/>
      <c r="R643" s="678"/>
      <c r="S643" s="678"/>
      <c r="T643" s="678"/>
      <c r="U643" s="678">
        <f t="shared" si="184"/>
        <v>0</v>
      </c>
      <c r="V643" s="678"/>
      <c r="W643" s="678"/>
      <c r="X643" s="678">
        <f t="shared" si="186"/>
        <v>0</v>
      </c>
      <c r="Y643" s="678"/>
      <c r="Z643" s="678"/>
      <c r="AA643" s="678">
        <f t="shared" si="185"/>
        <v>0</v>
      </c>
      <c r="AB643" s="678"/>
      <c r="AC643" s="678"/>
      <c r="AD643" s="678"/>
      <c r="AE643" s="678"/>
      <c r="AF643" s="678"/>
      <c r="AG643" s="678"/>
      <c r="AH643" s="678"/>
      <c r="AI643" s="678"/>
      <c r="AJ643" s="678"/>
      <c r="AK643" s="658"/>
    </row>
    <row r="644" spans="2:37" s="5" customFormat="1">
      <c r="B644" s="313"/>
      <c r="C644" s="837"/>
      <c r="D644" s="783"/>
      <c r="E644" s="67"/>
      <c r="F644" s="784"/>
      <c r="G644" s="785"/>
      <c r="H644" s="784"/>
      <c r="I644" s="786"/>
      <c r="J644" s="787"/>
      <c r="K644" s="156"/>
      <c r="L644" s="383"/>
      <c r="M644" s="542"/>
      <c r="N644" s="701">
        <f t="shared" si="183"/>
        <v>0</v>
      </c>
      <c r="O644" s="678"/>
      <c r="P644" s="678"/>
      <c r="Q644" s="678"/>
      <c r="R644" s="678"/>
      <c r="S644" s="678"/>
      <c r="T644" s="678"/>
      <c r="U644" s="678">
        <f t="shared" si="184"/>
        <v>0</v>
      </c>
      <c r="V644" s="678"/>
      <c r="W644" s="678"/>
      <c r="X644" s="678">
        <f t="shared" si="186"/>
        <v>0</v>
      </c>
      <c r="Y644" s="678"/>
      <c r="Z644" s="678"/>
      <c r="AA644" s="678">
        <f t="shared" si="185"/>
        <v>0</v>
      </c>
      <c r="AB644" s="678"/>
      <c r="AC644" s="678"/>
      <c r="AD644" s="678"/>
      <c r="AE644" s="678"/>
      <c r="AF644" s="678"/>
      <c r="AG644" s="678"/>
      <c r="AH644" s="678"/>
      <c r="AI644" s="678"/>
      <c r="AJ644" s="678"/>
      <c r="AK644" s="658"/>
    </row>
    <row r="645" spans="2:37" s="5" customFormat="1">
      <c r="B645" s="313"/>
      <c r="C645" s="835"/>
      <c r="D645" s="783" t="s">
        <v>78</v>
      </c>
      <c r="E645" s="67" t="s">
        <v>16</v>
      </c>
      <c r="F645" s="784">
        <v>8</v>
      </c>
      <c r="G645" s="788" t="s">
        <v>31</v>
      </c>
      <c r="H645" s="784">
        <f>SUM(F642:F644)*G642</f>
        <v>1251000</v>
      </c>
      <c r="I645" s="786"/>
      <c r="J645" s="787"/>
      <c r="K645" s="156"/>
      <c r="L645" s="383"/>
      <c r="M645" s="542"/>
      <c r="N645" s="701">
        <f t="shared" si="183"/>
        <v>0</v>
      </c>
      <c r="O645" s="678"/>
      <c r="P645" s="678"/>
      <c r="Q645" s="678"/>
      <c r="R645" s="678"/>
      <c r="S645" s="678"/>
      <c r="T645" s="678"/>
      <c r="U645" s="678">
        <f t="shared" si="184"/>
        <v>0</v>
      </c>
      <c r="V645" s="678"/>
      <c r="W645" s="678"/>
      <c r="X645" s="678">
        <f t="shared" si="186"/>
        <v>0</v>
      </c>
      <c r="Y645" s="678"/>
      <c r="Z645" s="678"/>
      <c r="AA645" s="678">
        <f t="shared" si="185"/>
        <v>0</v>
      </c>
      <c r="AB645" s="678"/>
      <c r="AC645" s="678"/>
      <c r="AD645" s="678"/>
      <c r="AE645" s="678"/>
      <c r="AF645" s="678"/>
      <c r="AG645" s="678"/>
      <c r="AH645" s="678"/>
      <c r="AI645" s="678"/>
      <c r="AJ645" s="678"/>
      <c r="AK645" s="658"/>
    </row>
    <row r="646" spans="2:37" s="5" customFormat="1">
      <c r="B646" s="313"/>
      <c r="C646" s="837"/>
      <c r="D646" s="789" t="s">
        <v>32</v>
      </c>
      <c r="E646" s="67" t="s">
        <v>16</v>
      </c>
      <c r="F646" s="790">
        <f>H645</f>
        <v>1251000</v>
      </c>
      <c r="G646" s="791">
        <f>$G$43</f>
        <v>8.3299999999999999E-2</v>
      </c>
      <c r="H646" s="784">
        <f>+G646*F646</f>
        <v>104208.3</v>
      </c>
      <c r="I646" s="786"/>
      <c r="J646" s="787"/>
      <c r="K646" s="156"/>
      <c r="L646" s="383"/>
      <c r="M646" s="542"/>
      <c r="N646" s="701">
        <f t="shared" si="183"/>
        <v>0</v>
      </c>
      <c r="O646" s="678"/>
      <c r="P646" s="678"/>
      <c r="Q646" s="678"/>
      <c r="R646" s="678"/>
      <c r="S646" s="678"/>
      <c r="T646" s="678"/>
      <c r="U646" s="678">
        <f t="shared" si="184"/>
        <v>0</v>
      </c>
      <c r="V646" s="678"/>
      <c r="W646" s="678"/>
      <c r="X646" s="678">
        <f t="shared" si="186"/>
        <v>0</v>
      </c>
      <c r="Y646" s="678"/>
      <c r="Z646" s="678"/>
      <c r="AA646" s="678">
        <f t="shared" si="185"/>
        <v>0</v>
      </c>
      <c r="AB646" s="678"/>
      <c r="AC646" s="678"/>
      <c r="AD646" s="678"/>
      <c r="AE646" s="678"/>
      <c r="AF646" s="678"/>
      <c r="AG646" s="678"/>
      <c r="AH646" s="678"/>
      <c r="AI646" s="678"/>
      <c r="AJ646" s="678"/>
      <c r="AK646" s="658"/>
    </row>
    <row r="647" spans="2:37" s="5" customFormat="1">
      <c r="B647" s="313"/>
      <c r="C647" s="846"/>
      <c r="D647" s="792" t="s">
        <v>840</v>
      </c>
      <c r="E647" s="790">
        <f>F646/(5*F645)</f>
        <v>31275</v>
      </c>
      <c r="F647" s="790">
        <f>E647*(F645*7)</f>
        <v>1751400</v>
      </c>
      <c r="G647" s="793">
        <v>20</v>
      </c>
      <c r="H647" s="784">
        <f>F647/G647</f>
        <v>87570</v>
      </c>
      <c r="I647" s="794">
        <f>SUM(H645:H647)</f>
        <v>1442778.3</v>
      </c>
      <c r="J647" s="787">
        <v>10</v>
      </c>
      <c r="K647" s="156"/>
      <c r="L647" s="383"/>
      <c r="M647" s="542"/>
      <c r="N647" s="701">
        <f t="shared" si="183"/>
        <v>0</v>
      </c>
      <c r="O647" s="678"/>
      <c r="P647" s="678"/>
      <c r="Q647" s="678"/>
      <c r="R647" s="678"/>
      <c r="S647" s="678"/>
      <c r="T647" s="678"/>
      <c r="U647" s="678">
        <f t="shared" si="184"/>
        <v>476116.83900000004</v>
      </c>
      <c r="V647" s="678"/>
      <c r="W647" s="678"/>
      <c r="X647" s="678">
        <f t="shared" si="186"/>
        <v>476116.83900000004</v>
      </c>
      <c r="Y647" s="678"/>
      <c r="Z647" s="678"/>
      <c r="AA647" s="678">
        <f t="shared" si="185"/>
        <v>490544.62199999997</v>
      </c>
      <c r="AB647" s="678"/>
      <c r="AC647" s="678"/>
      <c r="AD647" s="678"/>
      <c r="AE647" s="678"/>
      <c r="AF647" s="678"/>
      <c r="AG647" s="678"/>
      <c r="AH647" s="678"/>
      <c r="AI647" s="678"/>
      <c r="AJ647" s="678"/>
      <c r="AK647" s="658"/>
    </row>
    <row r="648" spans="2:37" s="5" customFormat="1">
      <c r="B648" s="313"/>
      <c r="C648" s="846"/>
      <c r="D648" s="117"/>
      <c r="E648" s="379"/>
      <c r="F648" s="380"/>
      <c r="G648" s="381"/>
      <c r="H648" s="137"/>
      <c r="I648" s="126"/>
      <c r="J648" s="52"/>
      <c r="K648" s="156"/>
      <c r="L648" s="383"/>
      <c r="M648" s="542"/>
      <c r="N648" s="701">
        <f t="shared" si="183"/>
        <v>0</v>
      </c>
      <c r="O648" s="678"/>
      <c r="P648" s="678"/>
      <c r="Q648" s="678"/>
      <c r="R648" s="678"/>
      <c r="S648" s="678"/>
      <c r="T648" s="678"/>
      <c r="U648" s="678">
        <f t="shared" si="184"/>
        <v>0</v>
      </c>
      <c r="V648" s="678"/>
      <c r="W648" s="678"/>
      <c r="X648" s="678">
        <f t="shared" si="186"/>
        <v>0</v>
      </c>
      <c r="Y648" s="678"/>
      <c r="Z648" s="678"/>
      <c r="AA648" s="678">
        <f t="shared" si="185"/>
        <v>0</v>
      </c>
      <c r="AB648" s="678"/>
      <c r="AC648" s="678"/>
      <c r="AD648" s="678"/>
      <c r="AE648" s="678"/>
      <c r="AF648" s="678"/>
      <c r="AG648" s="678"/>
      <c r="AH648" s="678"/>
      <c r="AI648" s="678"/>
      <c r="AJ648" s="678"/>
      <c r="AK648" s="658"/>
    </row>
    <row r="649" spans="2:37" s="104" customFormat="1" ht="15" customHeight="1">
      <c r="B649" s="313"/>
      <c r="C649" s="835" t="s">
        <v>921</v>
      </c>
      <c r="D649" s="105" t="s">
        <v>277</v>
      </c>
      <c r="E649" s="106"/>
      <c r="F649" s="107" t="s">
        <v>654</v>
      </c>
      <c r="G649" s="107"/>
      <c r="H649" s="108"/>
      <c r="I649" s="109"/>
      <c r="J649" s="296"/>
      <c r="K649" s="156"/>
      <c r="L649" s="383"/>
      <c r="M649" s="542"/>
      <c r="N649" s="701"/>
      <c r="O649" s="688"/>
      <c r="P649" s="688"/>
      <c r="Q649" s="688"/>
      <c r="R649" s="688"/>
      <c r="S649" s="688"/>
      <c r="T649" s="688"/>
      <c r="U649" s="688"/>
      <c r="V649" s="688"/>
      <c r="W649" s="688"/>
      <c r="X649" s="688"/>
      <c r="Y649" s="688"/>
      <c r="Z649" s="688"/>
      <c r="AA649" s="688"/>
      <c r="AB649" s="688"/>
      <c r="AC649" s="688"/>
      <c r="AD649" s="688"/>
      <c r="AE649" s="688"/>
      <c r="AF649" s="688"/>
      <c r="AG649" s="688"/>
      <c r="AH649" s="688"/>
      <c r="AI649" s="688"/>
      <c r="AJ649" s="688"/>
      <c r="AK649" s="658"/>
    </row>
    <row r="650" spans="2:37" s="5" customFormat="1">
      <c r="B650" s="313"/>
      <c r="C650" s="837"/>
      <c r="D650" s="17" t="s">
        <v>431</v>
      </c>
      <c r="E650" s="67" t="s">
        <v>60</v>
      </c>
      <c r="F650" s="64">
        <v>25346</v>
      </c>
      <c r="G650" s="64">
        <f>F650*60</f>
        <v>1520760</v>
      </c>
      <c r="H650" s="64"/>
      <c r="I650" s="79"/>
      <c r="J650" s="52"/>
      <c r="K650" s="156"/>
      <c r="L650" s="383"/>
      <c r="M650" s="542"/>
      <c r="N650" s="701"/>
      <c r="O650" s="678"/>
      <c r="P650" s="678"/>
      <c r="Q650" s="678"/>
      <c r="R650" s="678"/>
      <c r="S650" s="678"/>
      <c r="T650" s="678"/>
      <c r="U650" s="678"/>
      <c r="V650" s="678"/>
      <c r="W650" s="678"/>
      <c r="X650" s="678"/>
      <c r="Y650" s="678"/>
      <c r="Z650" s="678"/>
      <c r="AA650" s="678"/>
      <c r="AB650" s="678"/>
      <c r="AC650" s="678"/>
      <c r="AD650" s="678"/>
      <c r="AE650" s="678"/>
      <c r="AF650" s="678"/>
      <c r="AG650" s="678"/>
      <c r="AH650" s="678"/>
      <c r="AI650" s="678"/>
      <c r="AJ650" s="678"/>
      <c r="AK650" s="658"/>
    </row>
    <row r="651" spans="2:37" s="5" customFormat="1">
      <c r="B651" s="313"/>
      <c r="C651" s="837"/>
      <c r="D651" s="17" t="s">
        <v>417</v>
      </c>
      <c r="E651" s="67" t="s">
        <v>60</v>
      </c>
      <c r="F651" s="64">
        <v>21121</v>
      </c>
      <c r="G651" s="64">
        <f>F651*29</f>
        <v>612509</v>
      </c>
      <c r="H651" s="64"/>
      <c r="I651" s="79"/>
      <c r="J651" s="52"/>
      <c r="K651" s="156"/>
      <c r="L651" s="383"/>
      <c r="M651" s="542"/>
      <c r="N651" s="701"/>
      <c r="O651" s="678"/>
      <c r="P651" s="678"/>
      <c r="Q651" s="678"/>
      <c r="R651" s="678"/>
      <c r="S651" s="678"/>
      <c r="T651" s="678"/>
      <c r="U651" s="678"/>
      <c r="V651" s="678"/>
      <c r="W651" s="678"/>
      <c r="X651" s="678"/>
      <c r="Y651" s="678"/>
      <c r="Z651" s="678"/>
      <c r="AA651" s="678"/>
      <c r="AB651" s="678"/>
      <c r="AC651" s="678"/>
      <c r="AD651" s="678"/>
      <c r="AE651" s="678"/>
      <c r="AF651" s="678"/>
      <c r="AG651" s="678"/>
      <c r="AH651" s="678"/>
      <c r="AI651" s="678"/>
      <c r="AJ651" s="678"/>
      <c r="AK651" s="658"/>
    </row>
    <row r="652" spans="2:37" s="5" customFormat="1">
      <c r="B652" s="313"/>
      <c r="C652" s="837"/>
      <c r="D652" s="17"/>
      <c r="E652" s="100"/>
      <c r="F652" s="75"/>
      <c r="G652" s="90"/>
      <c r="H652" s="64"/>
      <c r="I652" s="79"/>
      <c r="J652" s="52"/>
      <c r="K652" s="156"/>
      <c r="L652" s="383"/>
      <c r="M652" s="542"/>
      <c r="N652" s="701"/>
      <c r="O652" s="678"/>
      <c r="P652" s="678"/>
      <c r="Q652" s="678"/>
      <c r="R652" s="678"/>
      <c r="S652" s="678"/>
      <c r="T652" s="678"/>
      <c r="U652" s="678"/>
      <c r="V652" s="678"/>
      <c r="W652" s="678"/>
      <c r="X652" s="678"/>
      <c r="Y652" s="678"/>
      <c r="Z652" s="678"/>
      <c r="AA652" s="678"/>
      <c r="AB652" s="678"/>
      <c r="AC652" s="678"/>
      <c r="AD652" s="678"/>
      <c r="AE652" s="678"/>
      <c r="AF652" s="678"/>
      <c r="AG652" s="678"/>
      <c r="AH652" s="678"/>
      <c r="AI652" s="678"/>
      <c r="AJ652" s="678"/>
      <c r="AK652" s="658"/>
    </row>
    <row r="653" spans="2:37" s="5" customFormat="1">
      <c r="B653" s="313"/>
      <c r="C653" s="835"/>
      <c r="D653" s="113"/>
      <c r="G653" s="163" t="s">
        <v>80</v>
      </c>
      <c r="H653" s="64">
        <f>SUM(G650:G651)</f>
        <v>2133269</v>
      </c>
      <c r="I653" s="79"/>
      <c r="J653" s="52"/>
      <c r="K653" s="156"/>
      <c r="L653" s="383"/>
      <c r="M653" s="542"/>
      <c r="N653" s="701"/>
      <c r="O653" s="678"/>
      <c r="P653" s="678"/>
      <c r="Q653" s="678"/>
      <c r="R653" s="678"/>
      <c r="S653" s="678"/>
      <c r="T653" s="678"/>
      <c r="U653" s="678"/>
      <c r="V653" s="678"/>
      <c r="W653" s="678"/>
      <c r="X653" s="678"/>
      <c r="Y653" s="678"/>
      <c r="Z653" s="678"/>
      <c r="AA653" s="678"/>
      <c r="AB653" s="678"/>
      <c r="AC653" s="678"/>
      <c r="AD653" s="678"/>
      <c r="AE653" s="678"/>
      <c r="AF653" s="678"/>
      <c r="AG653" s="678"/>
      <c r="AH653" s="678"/>
      <c r="AI653" s="678"/>
      <c r="AJ653" s="678"/>
      <c r="AK653" s="658"/>
    </row>
    <row r="654" spans="2:37" s="5" customFormat="1">
      <c r="B654" s="313"/>
      <c r="C654" s="835"/>
      <c r="D654" s="17" t="s">
        <v>81</v>
      </c>
      <c r="E654" s="115">
        <v>0.15</v>
      </c>
      <c r="F654" s="64">
        <f>H653</f>
        <v>2133269</v>
      </c>
      <c r="G654" s="110">
        <v>1</v>
      </c>
      <c r="H654" s="64">
        <f>+G654*F654*E654</f>
        <v>319990.34999999998</v>
      </c>
      <c r="I654" s="79"/>
      <c r="J654" s="52"/>
      <c r="K654" s="156"/>
      <c r="L654" s="383"/>
      <c r="M654" s="542"/>
      <c r="N654" s="701"/>
      <c r="O654" s="678"/>
      <c r="P654" s="678"/>
      <c r="Q654" s="678"/>
      <c r="R654" s="678"/>
      <c r="S654" s="678"/>
      <c r="T654" s="678"/>
      <c r="U654" s="678"/>
      <c r="V654" s="678"/>
      <c r="W654" s="678"/>
      <c r="X654" s="678"/>
      <c r="Y654" s="678"/>
      <c r="Z654" s="678"/>
      <c r="AA654" s="678"/>
      <c r="AB654" s="678"/>
      <c r="AC654" s="678"/>
      <c r="AD654" s="678"/>
      <c r="AE654" s="678"/>
      <c r="AF654" s="678"/>
      <c r="AG654" s="678"/>
      <c r="AH654" s="678"/>
      <c r="AI654" s="678"/>
      <c r="AJ654" s="678"/>
      <c r="AK654" s="658"/>
    </row>
    <row r="655" spans="2:37" s="5" customFormat="1">
      <c r="B655" s="313"/>
      <c r="C655" s="835"/>
      <c r="D655" s="17" t="s">
        <v>82</v>
      </c>
      <c r="E655" s="116">
        <v>0.1</v>
      </c>
      <c r="F655" s="64">
        <f>H653</f>
        <v>2133269</v>
      </c>
      <c r="G655" s="110">
        <v>1</v>
      </c>
      <c r="H655" s="64">
        <f>+G655*F655*E655</f>
        <v>213326.90000000002</v>
      </c>
      <c r="I655" s="79"/>
      <c r="J655" s="52"/>
      <c r="K655" s="156"/>
      <c r="L655" s="383"/>
      <c r="M655" s="542"/>
      <c r="N655" s="701"/>
      <c r="O655" s="678"/>
      <c r="P655" s="678"/>
      <c r="Q655" s="678"/>
      <c r="R655" s="678"/>
      <c r="S655" s="678"/>
      <c r="T655" s="678"/>
      <c r="U655" s="678"/>
      <c r="V655" s="678"/>
      <c r="W655" s="678"/>
      <c r="X655" s="678"/>
      <c r="Y655" s="678"/>
      <c r="Z655" s="678"/>
      <c r="AA655" s="678"/>
      <c r="AB655" s="678"/>
      <c r="AC655" s="678"/>
      <c r="AD655" s="678"/>
      <c r="AE655" s="678"/>
      <c r="AF655" s="678"/>
      <c r="AG655" s="678"/>
      <c r="AH655" s="678"/>
      <c r="AI655" s="678"/>
      <c r="AJ655" s="678"/>
      <c r="AK655" s="658"/>
    </row>
    <row r="656" spans="2:37" s="5" customFormat="1">
      <c r="B656" s="313"/>
      <c r="C656" s="846"/>
      <c r="D656" s="173" t="s">
        <v>32</v>
      </c>
      <c r="E656" s="67" t="s">
        <v>16</v>
      </c>
      <c r="F656" s="84">
        <f>H653+H654+H655</f>
        <v>2666586.25</v>
      </c>
      <c r="G656" s="92">
        <f>$G$43</f>
        <v>8.3299999999999999E-2</v>
      </c>
      <c r="H656" s="64">
        <f>+G656*F656</f>
        <v>222126.63462500001</v>
      </c>
      <c r="I656" s="72">
        <f>SUM(H653:H656)</f>
        <v>2888712.8846249999</v>
      </c>
      <c r="J656" s="52">
        <v>40</v>
      </c>
      <c r="K656" s="156"/>
      <c r="L656" s="383"/>
      <c r="M656" s="542"/>
      <c r="N656" s="701">
        <f>SUM(O656:AJ656)-I656</f>
        <v>0</v>
      </c>
      <c r="O656" s="678">
        <f>SUM(O624:O655)*$G$656</f>
        <v>0</v>
      </c>
      <c r="P656" s="678">
        <f t="shared" ref="P656:AJ656" si="187">SUM(P624:P655)*$G$656</f>
        <v>0</v>
      </c>
      <c r="Q656" s="678">
        <f t="shared" si="187"/>
        <v>0</v>
      </c>
      <c r="R656" s="678">
        <f t="shared" si="187"/>
        <v>0</v>
      </c>
      <c r="S656" s="678">
        <f t="shared" si="187"/>
        <v>0</v>
      </c>
      <c r="T656" s="678">
        <f t="shared" si="187"/>
        <v>0</v>
      </c>
      <c r="U656" s="678">
        <f>+I656/3</f>
        <v>962904.29487500002</v>
      </c>
      <c r="V656" s="678">
        <f t="shared" si="187"/>
        <v>0</v>
      </c>
      <c r="W656" s="678">
        <f t="shared" si="187"/>
        <v>0</v>
      </c>
      <c r="X656" s="678">
        <f>+U656</f>
        <v>962904.29487500002</v>
      </c>
      <c r="Y656" s="678">
        <f t="shared" si="187"/>
        <v>0</v>
      </c>
      <c r="Z656" s="678">
        <f t="shared" si="187"/>
        <v>0</v>
      </c>
      <c r="AA656" s="678">
        <f>+X656</f>
        <v>962904.29487500002</v>
      </c>
      <c r="AB656" s="678">
        <f t="shared" si="187"/>
        <v>0</v>
      </c>
      <c r="AC656" s="678">
        <f t="shared" si="187"/>
        <v>0</v>
      </c>
      <c r="AD656" s="678">
        <f t="shared" si="187"/>
        <v>0</v>
      </c>
      <c r="AE656" s="678">
        <f t="shared" si="187"/>
        <v>0</v>
      </c>
      <c r="AF656" s="678">
        <f t="shared" si="187"/>
        <v>0</v>
      </c>
      <c r="AG656" s="678">
        <f t="shared" si="187"/>
        <v>0</v>
      </c>
      <c r="AH656" s="678">
        <f t="shared" si="187"/>
        <v>0</v>
      </c>
      <c r="AI656" s="678">
        <f t="shared" si="187"/>
        <v>0</v>
      </c>
      <c r="AJ656" s="678">
        <f t="shared" si="187"/>
        <v>0</v>
      </c>
      <c r="AK656" s="658"/>
    </row>
    <row r="657" spans="1:37" s="548" customFormat="1" ht="14.25" customHeight="1">
      <c r="B657" s="533"/>
      <c r="C657" s="835" t="s">
        <v>922</v>
      </c>
      <c r="D657" s="615" t="s">
        <v>432</v>
      </c>
      <c r="E657" s="616"/>
      <c r="F657" s="617"/>
      <c r="G657" s="617"/>
      <c r="H657" s="618"/>
      <c r="I657" s="619"/>
      <c r="J657" s="555"/>
      <c r="K657" s="540"/>
      <c r="L657" s="541"/>
      <c r="M657" s="542"/>
      <c r="N657" s="701">
        <f t="shared" ref="N657:N670" si="188">SUM(O657:AJ657)-H657</f>
        <v>0</v>
      </c>
      <c r="O657" s="689"/>
      <c r="P657" s="689"/>
      <c r="Q657" s="689"/>
      <c r="R657" s="689"/>
      <c r="S657" s="689"/>
      <c r="T657" s="689"/>
      <c r="U657" s="689"/>
      <c r="V657" s="689"/>
      <c r="W657" s="689"/>
      <c r="X657" s="689"/>
      <c r="Y657" s="689"/>
      <c r="Z657" s="689"/>
      <c r="AA657" s="689"/>
      <c r="AB657" s="689"/>
      <c r="AC657" s="689"/>
      <c r="AD657" s="689"/>
      <c r="AE657" s="689"/>
      <c r="AF657" s="689"/>
      <c r="AG657" s="689"/>
      <c r="AH657" s="689"/>
      <c r="AI657" s="689"/>
      <c r="AJ657" s="689"/>
      <c r="AK657" s="658"/>
    </row>
    <row r="658" spans="1:37" s="532" customFormat="1">
      <c r="B658" s="533"/>
      <c r="C658" s="847"/>
      <c r="D658" s="620" t="s">
        <v>269</v>
      </c>
      <c r="E658" s="616"/>
      <c r="F658" s="617"/>
      <c r="G658" s="617"/>
      <c r="H658" s="618"/>
      <c r="I658" s="569"/>
      <c r="J658" s="547"/>
      <c r="K658" s="540"/>
      <c r="L658" s="541"/>
      <c r="M658" s="542"/>
      <c r="N658" s="701">
        <f t="shared" si="188"/>
        <v>0</v>
      </c>
      <c r="O658" s="690"/>
      <c r="P658" s="690"/>
      <c r="Q658" s="690"/>
      <c r="R658" s="690"/>
      <c r="S658" s="690"/>
      <c r="T658" s="690"/>
      <c r="U658" s="690"/>
      <c r="V658" s="690"/>
      <c r="W658" s="690"/>
      <c r="X658" s="690"/>
      <c r="Y658" s="690"/>
      <c r="Z658" s="690"/>
      <c r="AA658" s="690"/>
      <c r="AB658" s="690"/>
      <c r="AC658" s="690"/>
      <c r="AD658" s="690"/>
      <c r="AE658" s="690"/>
      <c r="AF658" s="690"/>
      <c r="AG658" s="690"/>
      <c r="AH658" s="690"/>
      <c r="AI658" s="690"/>
      <c r="AJ658" s="690"/>
      <c r="AK658" s="658"/>
    </row>
    <row r="659" spans="1:37" s="532" customFormat="1">
      <c r="B659" s="533"/>
      <c r="C659" s="847"/>
      <c r="D659" s="621"/>
      <c r="E659" s="622" t="s">
        <v>84</v>
      </c>
      <c r="F659" s="537">
        <f>+SUTEP!D5</f>
        <v>5836.25</v>
      </c>
      <c r="G659" s="623">
        <v>320</v>
      </c>
      <c r="H659" s="537">
        <f>+F659*G659</f>
        <v>1867600</v>
      </c>
      <c r="I659" s="569"/>
      <c r="J659" s="547"/>
      <c r="K659" s="540"/>
      <c r="L659" s="541"/>
      <c r="M659" s="542"/>
      <c r="N659" s="701">
        <f t="shared" si="188"/>
        <v>0</v>
      </c>
      <c r="O659" s="690"/>
      <c r="P659" s="690"/>
      <c r="Q659" s="690"/>
      <c r="R659" s="690"/>
      <c r="S659" s="690"/>
      <c r="T659" s="690"/>
      <c r="U659" s="690"/>
      <c r="V659" s="690"/>
      <c r="W659" s="690">
        <f>+H659/6</f>
        <v>311266.66666666669</v>
      </c>
      <c r="X659" s="690">
        <v>311266.66666666669</v>
      </c>
      <c r="Y659" s="690">
        <v>311266.66666666669</v>
      </c>
      <c r="Z659" s="690">
        <v>311266.66666666669</v>
      </c>
      <c r="AA659" s="690">
        <v>311266.66666666669</v>
      </c>
      <c r="AB659" s="690">
        <v>311266.66666666669</v>
      </c>
      <c r="AC659" s="690"/>
      <c r="AD659" s="690"/>
      <c r="AE659" s="690"/>
      <c r="AF659" s="690"/>
      <c r="AG659" s="690"/>
      <c r="AH659" s="690"/>
      <c r="AI659" s="690"/>
      <c r="AJ659" s="690"/>
      <c r="AK659" s="658"/>
    </row>
    <row r="660" spans="1:37" s="532" customFormat="1">
      <c r="B660" s="533"/>
      <c r="C660" s="847"/>
      <c r="D660" s="621" t="s">
        <v>313</v>
      </c>
      <c r="E660" s="622" t="s">
        <v>86</v>
      </c>
      <c r="F660" s="537">
        <f>+SUTEP!D11</f>
        <v>1823.75</v>
      </c>
      <c r="G660" s="623">
        <v>6</v>
      </c>
      <c r="H660" s="537">
        <f>+F660*G660</f>
        <v>10942.5</v>
      </c>
      <c r="I660" s="569"/>
      <c r="J660" s="547"/>
      <c r="K660" s="540"/>
      <c r="L660" s="541"/>
      <c r="M660" s="542"/>
      <c r="N660" s="701">
        <f t="shared" si="188"/>
        <v>0</v>
      </c>
      <c r="O660" s="690"/>
      <c r="P660" s="690"/>
      <c r="Q660" s="690"/>
      <c r="R660" s="690"/>
      <c r="S660" s="690"/>
      <c r="T660" s="690"/>
      <c r="U660" s="690"/>
      <c r="V660" s="690"/>
      <c r="W660" s="690">
        <f t="shared" ref="W660:W667" si="189">+H660/6</f>
        <v>1823.75</v>
      </c>
      <c r="X660" s="690">
        <v>1823.75</v>
      </c>
      <c r="Y660" s="690">
        <v>1823.75</v>
      </c>
      <c r="Z660" s="690">
        <v>1823.75</v>
      </c>
      <c r="AA660" s="690">
        <v>1823.75</v>
      </c>
      <c r="AB660" s="690">
        <v>1823.75</v>
      </c>
      <c r="AC660" s="690"/>
      <c r="AD660" s="690"/>
      <c r="AE660" s="690"/>
      <c r="AF660" s="690"/>
      <c r="AG660" s="690"/>
      <c r="AH660" s="690"/>
      <c r="AI660" s="690"/>
      <c r="AJ660" s="690"/>
      <c r="AK660" s="658"/>
    </row>
    <row r="661" spans="1:37" s="532" customFormat="1">
      <c r="B661" s="533"/>
      <c r="C661" s="847"/>
      <c r="D661" s="620" t="s">
        <v>83</v>
      </c>
      <c r="E661" s="616"/>
      <c r="F661" s="617"/>
      <c r="G661" s="617"/>
      <c r="H661" s="618"/>
      <c r="I661" s="569"/>
      <c r="J661" s="547"/>
      <c r="K661" s="540"/>
      <c r="L661" s="541"/>
      <c r="M661" s="542"/>
      <c r="N661" s="701">
        <f t="shared" si="188"/>
        <v>0</v>
      </c>
      <c r="O661" s="690"/>
      <c r="P661" s="690"/>
      <c r="Q661" s="690"/>
      <c r="R661" s="690"/>
      <c r="S661" s="690"/>
      <c r="T661" s="690"/>
      <c r="U661" s="690"/>
      <c r="V661" s="690"/>
      <c r="W661" s="690">
        <f t="shared" si="189"/>
        <v>0</v>
      </c>
      <c r="X661" s="690">
        <v>0</v>
      </c>
      <c r="Y661" s="690">
        <v>0</v>
      </c>
      <c r="Z661" s="690">
        <v>0</v>
      </c>
      <c r="AA661" s="690">
        <v>0</v>
      </c>
      <c r="AB661" s="690">
        <v>0</v>
      </c>
      <c r="AC661" s="690"/>
      <c r="AD661" s="690"/>
      <c r="AE661" s="690"/>
      <c r="AF661" s="690"/>
      <c r="AG661" s="690"/>
      <c r="AH661" s="690"/>
      <c r="AI661" s="690"/>
      <c r="AJ661" s="690"/>
      <c r="AK661" s="658"/>
    </row>
    <row r="662" spans="1:37" s="532" customFormat="1">
      <c r="B662" s="533"/>
      <c r="C662" s="847"/>
      <c r="D662" s="621"/>
      <c r="E662" s="622" t="s">
        <v>84</v>
      </c>
      <c r="F662" s="537">
        <f>+SUTEP!D10</f>
        <v>9723.75</v>
      </c>
      <c r="G662" s="537">
        <v>80</v>
      </c>
      <c r="H662" s="537">
        <f>+F662*G662</f>
        <v>777900</v>
      </c>
      <c r="I662" s="569"/>
      <c r="J662" s="547"/>
      <c r="K662" s="540"/>
      <c r="L662" s="541"/>
      <c r="M662" s="542"/>
      <c r="N662" s="701">
        <f t="shared" si="188"/>
        <v>0</v>
      </c>
      <c r="O662" s="690"/>
      <c r="P662" s="690"/>
      <c r="Q662" s="690"/>
      <c r="R662" s="690"/>
      <c r="S662" s="690"/>
      <c r="T662" s="690"/>
      <c r="U662" s="690"/>
      <c r="V662" s="690"/>
      <c r="W662" s="690">
        <f t="shared" si="189"/>
        <v>129650</v>
      </c>
      <c r="X662" s="690">
        <v>129650</v>
      </c>
      <c r="Y662" s="690">
        <v>129650</v>
      </c>
      <c r="Z662" s="690">
        <v>129650</v>
      </c>
      <c r="AA662" s="690">
        <v>129650</v>
      </c>
      <c r="AB662" s="690">
        <v>129650</v>
      </c>
      <c r="AC662" s="690"/>
      <c r="AD662" s="690"/>
      <c r="AE662" s="690"/>
      <c r="AF662" s="690"/>
      <c r="AG662" s="690"/>
      <c r="AH662" s="690"/>
      <c r="AI662" s="690"/>
      <c r="AJ662" s="690"/>
      <c r="AK662" s="658"/>
    </row>
    <row r="663" spans="1:37" s="532" customFormat="1">
      <c r="B663" s="533"/>
      <c r="C663" s="847"/>
      <c r="D663" s="621" t="s">
        <v>85</v>
      </c>
      <c r="E663" s="622" t="s">
        <v>86</v>
      </c>
      <c r="F663" s="537">
        <f>+SUTEP!D11</f>
        <v>1823.75</v>
      </c>
      <c r="G663" s="623">
        <f>G662*3</f>
        <v>240</v>
      </c>
      <c r="H663" s="537">
        <f>+F663*G663</f>
        <v>437700</v>
      </c>
      <c r="I663" s="569"/>
      <c r="J663" s="547"/>
      <c r="K663" s="540"/>
      <c r="L663" s="541"/>
      <c r="M663" s="542"/>
      <c r="N663" s="701">
        <f t="shared" si="188"/>
        <v>0</v>
      </c>
      <c r="O663" s="690"/>
      <c r="P663" s="690"/>
      <c r="Q663" s="690"/>
      <c r="R663" s="690"/>
      <c r="S663" s="690"/>
      <c r="T663" s="690"/>
      <c r="U663" s="690"/>
      <c r="V663" s="690"/>
      <c r="W663" s="690">
        <f t="shared" si="189"/>
        <v>72950</v>
      </c>
      <c r="X663" s="690">
        <v>72950</v>
      </c>
      <c r="Y663" s="690">
        <v>72950</v>
      </c>
      <c r="Z663" s="690">
        <v>72950</v>
      </c>
      <c r="AA663" s="690">
        <v>72950</v>
      </c>
      <c r="AB663" s="690">
        <v>72950</v>
      </c>
      <c r="AC663" s="690"/>
      <c r="AD663" s="690"/>
      <c r="AE663" s="690"/>
      <c r="AF663" s="690"/>
      <c r="AG663" s="690"/>
      <c r="AH663" s="690"/>
      <c r="AI663" s="690"/>
      <c r="AJ663" s="690"/>
      <c r="AK663" s="658"/>
    </row>
    <row r="664" spans="1:37" s="532" customFormat="1">
      <c r="B664" s="533"/>
      <c r="C664" s="847"/>
      <c r="D664" s="620"/>
      <c r="E664" s="616"/>
      <c r="F664" s="617"/>
      <c r="G664" s="617"/>
      <c r="H664" s="618"/>
      <c r="I664" s="569"/>
      <c r="J664" s="547"/>
      <c r="K664" s="540"/>
      <c r="L664" s="541"/>
      <c r="M664" s="542"/>
      <c r="N664" s="701">
        <f t="shared" si="188"/>
        <v>0</v>
      </c>
      <c r="O664" s="690"/>
      <c r="P664" s="690"/>
      <c r="Q664" s="690"/>
      <c r="R664" s="690"/>
      <c r="S664" s="690"/>
      <c r="T664" s="690"/>
      <c r="U664" s="690"/>
      <c r="V664" s="690"/>
      <c r="W664" s="690">
        <f t="shared" si="189"/>
        <v>0</v>
      </c>
      <c r="X664" s="690">
        <v>0</v>
      </c>
      <c r="Y664" s="690">
        <v>0</v>
      </c>
      <c r="Z664" s="690">
        <v>0</v>
      </c>
      <c r="AA664" s="690">
        <v>0</v>
      </c>
      <c r="AB664" s="690">
        <v>0</v>
      </c>
      <c r="AC664" s="690"/>
      <c r="AD664" s="690"/>
      <c r="AE664" s="690"/>
      <c r="AF664" s="690"/>
      <c r="AG664" s="690"/>
      <c r="AH664" s="690"/>
      <c r="AI664" s="690"/>
      <c r="AJ664" s="690"/>
      <c r="AK664" s="658"/>
    </row>
    <row r="665" spans="1:37" s="532" customFormat="1">
      <c r="B665" s="533"/>
      <c r="C665" s="847"/>
      <c r="D665" s="621"/>
      <c r="E665" s="622"/>
      <c r="F665" s="537"/>
      <c r="G665" s="537"/>
      <c r="H665" s="537"/>
      <c r="I665" s="569"/>
      <c r="J665" s="547"/>
      <c r="K665" s="540"/>
      <c r="L665" s="541"/>
      <c r="M665" s="542"/>
      <c r="N665" s="701">
        <f t="shared" si="188"/>
        <v>0</v>
      </c>
      <c r="O665" s="690"/>
      <c r="P665" s="690"/>
      <c r="Q665" s="690"/>
      <c r="R665" s="690"/>
      <c r="S665" s="690"/>
      <c r="T665" s="690"/>
      <c r="U665" s="690"/>
      <c r="V665" s="690"/>
      <c r="W665" s="690">
        <f t="shared" si="189"/>
        <v>0</v>
      </c>
      <c r="X665" s="690">
        <v>0</v>
      </c>
      <c r="Y665" s="690">
        <v>0</v>
      </c>
      <c r="Z665" s="690">
        <v>0</v>
      </c>
      <c r="AA665" s="690">
        <v>0</v>
      </c>
      <c r="AB665" s="690">
        <v>0</v>
      </c>
      <c r="AC665" s="690"/>
      <c r="AD665" s="690"/>
      <c r="AE665" s="690"/>
      <c r="AF665" s="690"/>
      <c r="AG665" s="690"/>
      <c r="AH665" s="690"/>
      <c r="AI665" s="690"/>
      <c r="AJ665" s="690"/>
      <c r="AK665" s="658"/>
    </row>
    <row r="666" spans="1:37" s="532" customFormat="1">
      <c r="B666" s="533"/>
      <c r="C666" s="847"/>
      <c r="D666" s="621"/>
      <c r="E666" s="622"/>
      <c r="F666" s="537"/>
      <c r="G666" s="623"/>
      <c r="H666" s="537">
        <f>+F666*G666</f>
        <v>0</v>
      </c>
      <c r="I666" s="569"/>
      <c r="J666" s="547"/>
      <c r="K666" s="540"/>
      <c r="L666" s="541"/>
      <c r="M666" s="542"/>
      <c r="N666" s="701">
        <f t="shared" si="188"/>
        <v>0</v>
      </c>
      <c r="O666" s="690"/>
      <c r="P666" s="690"/>
      <c r="Q666" s="690"/>
      <c r="R666" s="690"/>
      <c r="S666" s="690"/>
      <c r="T666" s="690"/>
      <c r="U666" s="690"/>
      <c r="V666" s="690"/>
      <c r="W666" s="690">
        <f t="shared" si="189"/>
        <v>0</v>
      </c>
      <c r="X666" s="690">
        <v>0</v>
      </c>
      <c r="Y666" s="690">
        <v>0</v>
      </c>
      <c r="Z666" s="690">
        <v>0</v>
      </c>
      <c r="AA666" s="690">
        <v>0</v>
      </c>
      <c r="AB666" s="690">
        <v>0</v>
      </c>
      <c r="AC666" s="690"/>
      <c r="AD666" s="690"/>
      <c r="AE666" s="690"/>
      <c r="AF666" s="690"/>
      <c r="AG666" s="690"/>
      <c r="AH666" s="690"/>
      <c r="AI666" s="690"/>
      <c r="AJ666" s="690"/>
      <c r="AK666" s="658"/>
    </row>
    <row r="667" spans="1:37" s="532" customFormat="1">
      <c r="B667" s="533"/>
      <c r="C667" s="847"/>
      <c r="D667" s="620" t="s">
        <v>87</v>
      </c>
      <c r="E667" s="616"/>
      <c r="F667" s="617"/>
      <c r="G667" s="617"/>
      <c r="H667" s="618"/>
      <c r="I667" s="569"/>
      <c r="J667" s="547"/>
      <c r="K667" s="540"/>
      <c r="L667" s="541"/>
      <c r="M667" s="542"/>
      <c r="N667" s="701">
        <f t="shared" si="188"/>
        <v>0</v>
      </c>
      <c r="O667" s="690"/>
      <c r="P667" s="690"/>
      <c r="Q667" s="690"/>
      <c r="R667" s="690"/>
      <c r="S667" s="690"/>
      <c r="T667" s="690"/>
      <c r="U667" s="690"/>
      <c r="V667" s="690"/>
      <c r="W667" s="690">
        <f t="shared" si="189"/>
        <v>0</v>
      </c>
      <c r="X667" s="690">
        <v>0</v>
      </c>
      <c r="Y667" s="690">
        <v>0</v>
      </c>
      <c r="Z667" s="690">
        <v>0</v>
      </c>
      <c r="AA667" s="690">
        <v>0</v>
      </c>
      <c r="AB667" s="690">
        <v>0</v>
      </c>
      <c r="AC667" s="690"/>
      <c r="AD667" s="690"/>
      <c r="AE667" s="690"/>
      <c r="AF667" s="690"/>
      <c r="AG667" s="690"/>
      <c r="AH667" s="690"/>
      <c r="AI667" s="690"/>
      <c r="AJ667" s="690"/>
      <c r="AK667" s="658"/>
    </row>
    <row r="668" spans="1:37" s="532" customFormat="1">
      <c r="B668" s="533"/>
      <c r="C668" s="847"/>
      <c r="D668" s="621" t="s">
        <v>336</v>
      </c>
      <c r="E668" s="622" t="s">
        <v>29</v>
      </c>
      <c r="F668" s="537">
        <f>+SUTEP!D17</f>
        <v>11493.75</v>
      </c>
      <c r="G668" s="537">
        <v>20</v>
      </c>
      <c r="H668" s="537">
        <f>+F668*G668</f>
        <v>229875</v>
      </c>
      <c r="I668" s="569"/>
      <c r="J668" s="547"/>
      <c r="K668" s="540"/>
      <c r="L668" s="541"/>
      <c r="M668" s="542"/>
      <c r="N668" s="701">
        <f t="shared" si="188"/>
        <v>0</v>
      </c>
      <c r="O668" s="690"/>
      <c r="P668" s="690"/>
      <c r="Q668" s="690"/>
      <c r="R668" s="690"/>
      <c r="S668" s="690"/>
      <c r="T668" s="690"/>
      <c r="U668" s="690"/>
      <c r="V668" s="690"/>
      <c r="W668" s="690">
        <f>+H668/6</f>
        <v>38312.5</v>
      </c>
      <c r="X668" s="690">
        <v>38312.5</v>
      </c>
      <c r="Y668" s="690">
        <v>38312.5</v>
      </c>
      <c r="Z668" s="690">
        <v>38312.5</v>
      </c>
      <c r="AA668" s="690">
        <v>38312.5</v>
      </c>
      <c r="AB668" s="690">
        <v>38312.5</v>
      </c>
      <c r="AC668" s="690"/>
      <c r="AD668" s="690"/>
      <c r="AE668" s="690"/>
      <c r="AF668" s="690"/>
      <c r="AG668" s="690"/>
      <c r="AH668" s="690"/>
      <c r="AI668" s="690"/>
      <c r="AJ668" s="690"/>
      <c r="AK668" s="658"/>
    </row>
    <row r="669" spans="1:37" s="532" customFormat="1">
      <c r="B669" s="533"/>
      <c r="C669" s="847"/>
      <c r="D669" s="621" t="s">
        <v>88</v>
      </c>
      <c r="E669" s="622" t="s">
        <v>86</v>
      </c>
      <c r="F669" s="537">
        <f>+SUTEP!D19</f>
        <v>2873.75</v>
      </c>
      <c r="G669" s="623">
        <f>G668*3</f>
        <v>60</v>
      </c>
      <c r="H669" s="537">
        <f>+F669*G669</f>
        <v>172425</v>
      </c>
      <c r="I669" s="624"/>
      <c r="J669" s="547"/>
      <c r="K669" s="540"/>
      <c r="L669" s="541"/>
      <c r="M669" s="542"/>
      <c r="N669" s="701">
        <f t="shared" si="188"/>
        <v>0</v>
      </c>
      <c r="O669" s="690"/>
      <c r="P669" s="690"/>
      <c r="Q669" s="690"/>
      <c r="R669" s="690"/>
      <c r="S669" s="690"/>
      <c r="T669" s="690"/>
      <c r="U669" s="690"/>
      <c r="V669" s="690"/>
      <c r="W669" s="690">
        <f>+H669/6</f>
        <v>28737.5</v>
      </c>
      <c r="X669" s="690">
        <v>28737.5</v>
      </c>
      <c r="Y669" s="690">
        <v>28737.5</v>
      </c>
      <c r="Z669" s="690">
        <v>28737.5</v>
      </c>
      <c r="AA669" s="690">
        <v>28737.5</v>
      </c>
      <c r="AB669" s="690">
        <v>28737.5</v>
      </c>
      <c r="AC669" s="690"/>
      <c r="AD669" s="690"/>
      <c r="AE669" s="690"/>
      <c r="AF669" s="690"/>
      <c r="AG669" s="690"/>
      <c r="AH669" s="690"/>
      <c r="AI669" s="690"/>
      <c r="AJ669" s="690"/>
      <c r="AK669" s="658"/>
    </row>
    <row r="670" spans="1:37" s="532" customFormat="1">
      <c r="B670" s="533"/>
      <c r="C670" s="847"/>
      <c r="D670" s="625"/>
      <c r="E670" s="626"/>
      <c r="F670" s="537"/>
      <c r="G670" s="623"/>
      <c r="H670" s="575"/>
      <c r="I670" s="546">
        <f>SUM(H659:H670)</f>
        <v>3496442.5</v>
      </c>
      <c r="J670" s="547">
        <v>120</v>
      </c>
      <c r="K670" s="540"/>
      <c r="L670" s="541"/>
      <c r="M670" s="542"/>
      <c r="N670" s="701">
        <f t="shared" si="188"/>
        <v>0</v>
      </c>
      <c r="O670" s="690"/>
      <c r="P670" s="690"/>
      <c r="Q670" s="690"/>
      <c r="R670" s="690"/>
      <c r="S670" s="690"/>
      <c r="T670" s="690"/>
      <c r="U670" s="690"/>
      <c r="V670" s="690"/>
      <c r="W670" s="690"/>
      <c r="X670" s="690"/>
      <c r="Y670" s="690"/>
      <c r="Z670" s="690"/>
      <c r="AA670" s="690"/>
      <c r="AB670" s="690"/>
      <c r="AC670" s="690"/>
      <c r="AD670" s="690"/>
      <c r="AE670" s="690"/>
      <c r="AF670" s="690"/>
      <c r="AG670" s="690"/>
      <c r="AH670" s="690"/>
      <c r="AI670" s="690"/>
      <c r="AJ670" s="690"/>
      <c r="AK670" s="658"/>
    </row>
    <row r="671" spans="1:37" s="104" customFormat="1" ht="15" customHeight="1" thickBot="1">
      <c r="B671" s="313"/>
      <c r="C671" s="848"/>
      <c r="D671" s="174" t="s">
        <v>89</v>
      </c>
      <c r="E671" s="120"/>
      <c r="F671" s="91"/>
      <c r="G671" s="121"/>
      <c r="H671" s="64"/>
      <c r="I671" s="94"/>
      <c r="J671" s="52"/>
      <c r="K671" s="156"/>
      <c r="L671" s="383"/>
      <c r="M671" s="542"/>
      <c r="N671" s="701">
        <f t="shared" si="183"/>
        <v>0</v>
      </c>
      <c r="O671" s="688"/>
      <c r="P671" s="688"/>
      <c r="Q671" s="688"/>
      <c r="R671" s="688"/>
      <c r="S671" s="688"/>
      <c r="T671" s="688"/>
      <c r="U671" s="688"/>
      <c r="V671" s="688"/>
      <c r="W671" s="688"/>
      <c r="X671" s="688"/>
      <c r="Y671" s="688"/>
      <c r="Z671" s="688"/>
      <c r="AA671" s="688"/>
      <c r="AB671" s="688"/>
      <c r="AC671" s="688"/>
      <c r="AD671" s="688"/>
      <c r="AE671" s="688"/>
      <c r="AF671" s="688"/>
      <c r="AG671" s="688"/>
      <c r="AH671" s="688"/>
      <c r="AI671" s="688"/>
      <c r="AJ671" s="688"/>
      <c r="AK671" s="658"/>
    </row>
    <row r="672" spans="1:37" s="636" customFormat="1" ht="15" customHeight="1" thickBot="1">
      <c r="A672" s="627"/>
      <c r="B672" s="628"/>
      <c r="C672" s="849"/>
      <c r="D672" s="629"/>
      <c r="E672" s="630"/>
      <c r="F672" s="911" t="s">
        <v>90</v>
      </c>
      <c r="G672" s="911" t="s">
        <v>10</v>
      </c>
      <c r="H672" s="631"/>
      <c r="I672" s="632">
        <f>SUM(I626:I670)</f>
        <v>14594442.014625</v>
      </c>
      <c r="J672" s="633"/>
      <c r="K672" s="634"/>
      <c r="L672" s="635"/>
      <c r="M672" s="602">
        <f>+N627+N628</f>
        <v>0</v>
      </c>
      <c r="N672" s="701"/>
      <c r="O672" s="691"/>
      <c r="P672" s="691"/>
      <c r="Q672" s="691"/>
      <c r="R672" s="691"/>
      <c r="S672" s="691"/>
      <c r="T672" s="691"/>
      <c r="U672" s="691"/>
      <c r="V672" s="691"/>
      <c r="W672" s="691"/>
      <c r="X672" s="691"/>
      <c r="Y672" s="691"/>
      <c r="Z672" s="691"/>
      <c r="AA672" s="691"/>
      <c r="AB672" s="691"/>
      <c r="AC672" s="691"/>
      <c r="AD672" s="691"/>
      <c r="AE672" s="691"/>
      <c r="AF672" s="691"/>
      <c r="AG672" s="691"/>
      <c r="AH672" s="691"/>
      <c r="AI672" s="691"/>
      <c r="AJ672" s="691"/>
      <c r="AK672" s="658"/>
    </row>
    <row r="673" spans="1:37" s="543" customFormat="1" ht="12.75" customHeight="1">
      <c r="B673" s="610"/>
      <c r="C673" s="845"/>
      <c r="D673" s="611"/>
      <c r="E673" s="637"/>
      <c r="F673" s="638"/>
      <c r="G673" s="612"/>
      <c r="H673" s="613"/>
      <c r="I673" s="614"/>
      <c r="J673" s="614"/>
      <c r="K673" s="540"/>
      <c r="L673" s="541"/>
      <c r="M673" s="596"/>
      <c r="N673" s="701">
        <f>SUM(O673:AJ673)-I673</f>
        <v>0</v>
      </c>
      <c r="O673" s="687"/>
      <c r="P673" s="687"/>
      <c r="Q673" s="687"/>
      <c r="R673" s="687"/>
      <c r="S673" s="687"/>
      <c r="T673" s="687"/>
      <c r="U673" s="687"/>
      <c r="V673" s="687"/>
      <c r="W673" s="687"/>
      <c r="X673" s="687"/>
      <c r="Y673" s="687"/>
      <c r="Z673" s="687"/>
      <c r="AA673" s="687"/>
      <c r="AB673" s="687"/>
      <c r="AC673" s="687"/>
      <c r="AD673" s="687"/>
      <c r="AE673" s="687"/>
      <c r="AF673" s="687"/>
      <c r="AG673" s="687"/>
      <c r="AH673" s="687"/>
      <c r="AI673" s="687"/>
      <c r="AJ673" s="687"/>
      <c r="AK673" s="658"/>
    </row>
    <row r="674" spans="1:37" s="543" customFormat="1" ht="30" customHeight="1">
      <c r="B674" s="610"/>
      <c r="C674" s="845"/>
      <c r="D674" s="611"/>
      <c r="E674" s="637"/>
      <c r="F674" s="638"/>
      <c r="G674" s="612"/>
      <c r="H674" s="613"/>
      <c r="I674" s="614"/>
      <c r="J674" s="614"/>
      <c r="K674" s="634"/>
      <c r="L674" s="635"/>
      <c r="M674" s="596"/>
      <c r="N674" s="701">
        <f>SUM(O674:AJ674)-I674</f>
        <v>0</v>
      </c>
      <c r="O674" s="687"/>
      <c r="P674" s="687"/>
      <c r="Q674" s="687"/>
      <c r="R674" s="687"/>
      <c r="S674" s="687"/>
      <c r="T674" s="687"/>
      <c r="U674" s="687"/>
      <c r="V674" s="687"/>
      <c r="W674" s="687"/>
      <c r="X674" s="687"/>
      <c r="Y674" s="687"/>
      <c r="Z674" s="687"/>
      <c r="AA674" s="687"/>
      <c r="AB674" s="687"/>
      <c r="AC674" s="687"/>
      <c r="AD674" s="687"/>
      <c r="AE674" s="687"/>
      <c r="AF674" s="687"/>
      <c r="AG674" s="687"/>
      <c r="AH674" s="687"/>
      <c r="AI674" s="687"/>
      <c r="AJ674" s="687"/>
      <c r="AK674" s="658"/>
    </row>
    <row r="675" spans="1:37" s="48" customFormat="1" ht="15" customHeight="1">
      <c r="A675" s="45"/>
      <c r="B675" s="312"/>
      <c r="C675" s="834"/>
      <c r="D675" s="33" t="s">
        <v>91</v>
      </c>
      <c r="E675" s="56" t="s">
        <v>13</v>
      </c>
      <c r="F675" s="57" t="s">
        <v>14</v>
      </c>
      <c r="G675" s="58" t="s">
        <v>15</v>
      </c>
      <c r="H675" s="192" t="s">
        <v>8</v>
      </c>
      <c r="I675" s="59"/>
      <c r="J675" s="614"/>
      <c r="K675" s="156"/>
      <c r="L675" s="383"/>
      <c r="M675" s="593"/>
      <c r="N675" s="701">
        <f t="shared" ref="N675:N682" si="190">SUM(O675:AJ675)-I675</f>
        <v>0</v>
      </c>
      <c r="O675" s="676"/>
      <c r="P675" s="676"/>
      <c r="Q675" s="676"/>
      <c r="R675" s="676"/>
      <c r="S675" s="676"/>
      <c r="T675" s="676"/>
      <c r="U675" s="676"/>
      <c r="V675" s="676"/>
      <c r="W675" s="676"/>
      <c r="X675" s="676"/>
      <c r="Y675" s="676"/>
      <c r="Z675" s="676"/>
      <c r="AA675" s="676"/>
      <c r="AB675" s="676"/>
      <c r="AC675" s="676"/>
      <c r="AD675" s="676"/>
      <c r="AE675" s="676"/>
      <c r="AF675" s="676"/>
      <c r="AG675" s="676"/>
      <c r="AH675" s="676"/>
      <c r="AI675" s="676"/>
      <c r="AJ675" s="676"/>
      <c r="AK675" s="658"/>
    </row>
    <row r="676" spans="1:37" s="673" customFormat="1" ht="15" customHeight="1">
      <c r="A676" s="660"/>
      <c r="B676" s="661"/>
      <c r="C676" s="835" t="s">
        <v>920</v>
      </c>
      <c r="D676" s="662" t="s">
        <v>332</v>
      </c>
      <c r="E676" s="663">
        <f>(23.3+2.4)/100</f>
        <v>0.25700000000000001</v>
      </c>
      <c r="F676" s="664">
        <f>I672-(I670+H630)</f>
        <v>10097999.514625</v>
      </c>
      <c r="G676" s="665">
        <v>1</v>
      </c>
      <c r="H676" s="666">
        <f>E676*F676*G676</f>
        <v>2595185.875258625</v>
      </c>
      <c r="I676" s="667"/>
      <c r="J676" s="668"/>
      <c r="K676" s="669"/>
      <c r="L676" s="670"/>
      <c r="M676" s="671"/>
      <c r="N676" s="702">
        <f>SUM(O676:AJ676)-H676</f>
        <v>0</v>
      </c>
      <c r="O676" s="692"/>
      <c r="P676" s="692"/>
      <c r="Q676" s="692"/>
      <c r="R676" s="692"/>
      <c r="S676" s="692"/>
      <c r="T676" s="692"/>
      <c r="U676" s="692">
        <f>+H676/3</f>
        <v>865061.95841954171</v>
      </c>
      <c r="V676" s="692">
        <f>SUM(V624:V657)*$E$676</f>
        <v>0</v>
      </c>
      <c r="W676" s="692">
        <f>SUM(W624:W657)*$E$676</f>
        <v>0</v>
      </c>
      <c r="X676" s="692">
        <f>+U676</f>
        <v>865061.95841954171</v>
      </c>
      <c r="Y676" s="692">
        <f>SUM(Y624:Y657)*$E$676</f>
        <v>0</v>
      </c>
      <c r="Z676" s="692">
        <f>SUM(Z624:Z657)*$E$676</f>
        <v>0</v>
      </c>
      <c r="AA676" s="692">
        <f>+X676</f>
        <v>865061.95841954171</v>
      </c>
      <c r="AB676" s="692">
        <f>SUM(AB624:AB657)*$E$676</f>
        <v>0</v>
      </c>
      <c r="AC676" s="692"/>
      <c r="AD676" s="692"/>
      <c r="AE676" s="692"/>
      <c r="AF676" s="692"/>
      <c r="AG676" s="692"/>
      <c r="AH676" s="692"/>
      <c r="AI676" s="692"/>
      <c r="AJ676" s="692"/>
      <c r="AK676" s="672"/>
    </row>
    <row r="677" spans="1:37" ht="15" customHeight="1">
      <c r="A677" s="5"/>
      <c r="B677" s="313"/>
      <c r="C677" s="835"/>
      <c r="D677" s="234" t="s">
        <v>433</v>
      </c>
      <c r="E677" s="215"/>
      <c r="F677" s="272"/>
      <c r="G677" s="65"/>
      <c r="H677" s="64"/>
      <c r="I677" s="123"/>
      <c r="J677" s="614"/>
      <c r="K677" s="156"/>
      <c r="L677" s="383"/>
      <c r="M677" s="542"/>
      <c r="N677" s="701">
        <f t="shared" si="190"/>
        <v>0</v>
      </c>
      <c r="O677" s="675"/>
      <c r="P677" s="675"/>
      <c r="Q677" s="675"/>
      <c r="R677" s="675"/>
      <c r="S677" s="675"/>
      <c r="T677" s="675"/>
      <c r="U677" s="675"/>
      <c r="V677" s="675"/>
      <c r="W677" s="675"/>
      <c r="X677" s="675"/>
      <c r="Y677" s="675"/>
      <c r="Z677" s="675"/>
      <c r="AA677" s="675"/>
      <c r="AB677" s="675"/>
      <c r="AC677" s="675"/>
      <c r="AD677" s="675"/>
      <c r="AE677" s="675"/>
      <c r="AF677" s="675"/>
      <c r="AG677" s="675"/>
      <c r="AH677" s="675"/>
      <c r="AI677" s="675"/>
      <c r="AJ677" s="675"/>
      <c r="AK677" s="658"/>
    </row>
    <row r="678" spans="1:37" s="543" customFormat="1" ht="15" customHeight="1">
      <c r="A678" s="532"/>
      <c r="B678" s="533"/>
      <c r="C678" s="847" t="s">
        <v>923</v>
      </c>
      <c r="D678" s="562" t="s">
        <v>286</v>
      </c>
      <c r="E678" s="751">
        <f>(23.3+2.4)/100</f>
        <v>0.25700000000000001</v>
      </c>
      <c r="F678" s="752">
        <f>H622</f>
        <v>43419640.511914</v>
      </c>
      <c r="G678" s="536">
        <v>1</v>
      </c>
      <c r="H678" s="537">
        <f>E678*F678*G678</f>
        <v>11158847.611561898</v>
      </c>
      <c r="I678" s="538"/>
      <c r="J678" s="614"/>
      <c r="K678" s="634"/>
      <c r="L678" s="635"/>
      <c r="M678" s="542"/>
      <c r="N678" s="753">
        <f>SUM(O678:AJ678)-H678</f>
        <v>114284.64750924148</v>
      </c>
      <c r="O678" s="687">
        <f t="shared" ref="O678:U678" si="191">SUM(O35:O623)*$E$678</f>
        <v>170781.11236245561</v>
      </c>
      <c r="P678" s="687">
        <f t="shared" si="191"/>
        <v>170781.11236245561</v>
      </c>
      <c r="Q678" s="687">
        <f t="shared" si="191"/>
        <v>332856.2312246206</v>
      </c>
      <c r="R678" s="687">
        <f t="shared" si="191"/>
        <v>332856.2312246206</v>
      </c>
      <c r="S678" s="687">
        <f t="shared" si="191"/>
        <v>348790.13928544061</v>
      </c>
      <c r="T678" s="687">
        <f t="shared" si="191"/>
        <v>383203.43560890557</v>
      </c>
      <c r="U678" s="687">
        <f t="shared" si="191"/>
        <v>397756.87102628057</v>
      </c>
      <c r="V678" s="687">
        <f>SUM(V35:V623)*$E$678-111239</f>
        <v>499429.52170756564</v>
      </c>
      <c r="W678" s="687">
        <f>SUM(W35:W623)*$E$678</f>
        <v>1187389.0491225603</v>
      </c>
      <c r="X678" s="687">
        <f t="shared" ref="X678:AI678" si="192">SUM(X35:X623)*$E$678</f>
        <v>1157383.702744216</v>
      </c>
      <c r="Y678" s="687">
        <f t="shared" si="192"/>
        <v>1227835.0419855125</v>
      </c>
      <c r="Z678" s="687">
        <f t="shared" si="192"/>
        <v>1227478.5920200299</v>
      </c>
      <c r="AA678" s="687">
        <f t="shared" si="192"/>
        <v>1211756.3768194956</v>
      </c>
      <c r="AB678" s="687">
        <f t="shared" si="192"/>
        <v>1551312.1521237406</v>
      </c>
      <c r="AC678" s="687">
        <f t="shared" si="192"/>
        <v>623166.10523527616</v>
      </c>
      <c r="AD678" s="687">
        <f t="shared" si="192"/>
        <v>63246.274325909995</v>
      </c>
      <c r="AE678" s="687">
        <f t="shared" si="192"/>
        <v>79180.182386729997</v>
      </c>
      <c r="AF678" s="687">
        <f t="shared" si="192"/>
        <v>55634.471588264998</v>
      </c>
      <c r="AG678" s="687">
        <f t="shared" si="192"/>
        <v>55634.471588264998</v>
      </c>
      <c r="AH678" s="687">
        <f t="shared" si="192"/>
        <v>55634.471588264998</v>
      </c>
      <c r="AI678" s="687">
        <f t="shared" si="192"/>
        <v>55634.471588264998</v>
      </c>
      <c r="AJ678" s="687">
        <f>SUM(AJ35:AJ623)*$E$678-9200</f>
        <v>85392.241152265007</v>
      </c>
      <c r="AK678" s="750"/>
    </row>
    <row r="679" spans="1:37" ht="15" customHeight="1">
      <c r="A679" s="5"/>
      <c r="B679" s="313"/>
      <c r="C679" s="835" t="s">
        <v>923</v>
      </c>
      <c r="D679" s="234" t="s">
        <v>434</v>
      </c>
      <c r="E679" s="215"/>
      <c r="F679" s="272"/>
      <c r="G679" s="65"/>
      <c r="H679" s="64"/>
      <c r="I679" s="123"/>
      <c r="J679" s="614"/>
      <c r="K679" s="156"/>
      <c r="L679" s="383"/>
      <c r="M679" s="542"/>
      <c r="N679" s="701">
        <f t="shared" si="190"/>
        <v>0</v>
      </c>
      <c r="O679" s="675"/>
      <c r="P679" s="675"/>
      <c r="Q679" s="675"/>
      <c r="R679" s="675"/>
      <c r="S679" s="675"/>
      <c r="T679" s="675"/>
      <c r="U679" s="675"/>
      <c r="V679" s="675"/>
      <c r="W679" s="675"/>
      <c r="X679" s="675"/>
      <c r="Y679" s="675"/>
      <c r="Z679" s="675"/>
      <c r="AA679" s="675"/>
      <c r="AB679" s="675"/>
      <c r="AC679" s="675"/>
      <c r="AD679" s="675"/>
      <c r="AE679" s="675"/>
      <c r="AF679" s="675"/>
      <c r="AG679" s="675"/>
      <c r="AH679" s="675"/>
      <c r="AI679" s="675"/>
      <c r="AJ679" s="675"/>
      <c r="AK679" s="658"/>
    </row>
    <row r="680" spans="1:37" ht="15" customHeight="1">
      <c r="A680" s="5"/>
      <c r="B680" s="313"/>
      <c r="C680" s="835" t="s">
        <v>923</v>
      </c>
      <c r="D680" s="122" t="s">
        <v>287</v>
      </c>
      <c r="E680" s="274">
        <v>0.13</v>
      </c>
      <c r="F680" s="272">
        <f>H759+H760</f>
        <v>304802.21999999997</v>
      </c>
      <c r="G680" s="65">
        <v>1</v>
      </c>
      <c r="H680" s="64">
        <f>E680*F680*G680</f>
        <v>39624.2886</v>
      </c>
      <c r="I680" s="123"/>
      <c r="J680" s="614"/>
      <c r="K680" s="158"/>
      <c r="L680" s="386"/>
      <c r="M680" s="542"/>
      <c r="N680" s="701">
        <f>SUM(O680:AJ680)-H680</f>
        <v>0</v>
      </c>
      <c r="O680" s="675"/>
      <c r="P680" s="675"/>
      <c r="Q680" s="675"/>
      <c r="R680" s="675"/>
      <c r="S680" s="675"/>
      <c r="T680" s="675"/>
      <c r="U680" s="675"/>
      <c r="V680" s="675"/>
      <c r="W680" s="675"/>
      <c r="X680" s="675"/>
      <c r="Y680" s="675"/>
      <c r="Z680" s="675"/>
      <c r="AA680" s="675"/>
      <c r="AB680" s="675"/>
      <c r="AC680" s="675">
        <f>+H680</f>
        <v>39624.2886</v>
      </c>
      <c r="AD680" s="675"/>
      <c r="AE680" s="675"/>
      <c r="AF680" s="675"/>
      <c r="AG680" s="675"/>
      <c r="AH680" s="675"/>
      <c r="AI680" s="675"/>
      <c r="AJ680" s="675"/>
      <c r="AK680" s="658"/>
    </row>
    <row r="681" spans="1:37" ht="15" customHeight="1">
      <c r="A681" s="5"/>
      <c r="B681" s="313"/>
      <c r="C681" s="835" t="s">
        <v>922</v>
      </c>
      <c r="D681" s="273" t="s">
        <v>333</v>
      </c>
      <c r="E681" s="275">
        <v>0.15</v>
      </c>
      <c r="F681" s="272">
        <f>I670</f>
        <v>3496442.5</v>
      </c>
      <c r="G681" s="65">
        <v>1</v>
      </c>
      <c r="H681" s="64">
        <f>E681*F681*G681</f>
        <v>524466.375</v>
      </c>
      <c r="I681" s="123"/>
      <c r="J681" s="614"/>
      <c r="K681" s="156"/>
      <c r="L681" s="383"/>
      <c r="M681" s="542"/>
      <c r="N681" s="701">
        <f>SUM(O681:AJ681)-H681</f>
        <v>0</v>
      </c>
      <c r="O681" s="675"/>
      <c r="P681" s="675"/>
      <c r="Q681" s="675"/>
      <c r="R681" s="675"/>
      <c r="S681" s="675"/>
      <c r="T681" s="675"/>
      <c r="U681" s="675"/>
      <c r="V681" s="675"/>
      <c r="W681" s="675">
        <f>+H681/6</f>
        <v>87411.0625</v>
      </c>
      <c r="X681" s="675">
        <v>87411.0625</v>
      </c>
      <c r="Y681" s="675">
        <v>87411.0625</v>
      </c>
      <c r="Z681" s="675">
        <v>87411.0625</v>
      </c>
      <c r="AA681" s="675">
        <v>87411.0625</v>
      </c>
      <c r="AB681" s="675">
        <v>87411.0625</v>
      </c>
      <c r="AC681" s="675"/>
      <c r="AD681" s="675"/>
      <c r="AE681" s="675"/>
      <c r="AF681" s="675"/>
      <c r="AG681" s="675"/>
      <c r="AH681" s="675"/>
      <c r="AI681" s="675"/>
      <c r="AJ681" s="675"/>
      <c r="AK681" s="658"/>
    </row>
    <row r="682" spans="1:37" s="48" customFormat="1" ht="15" customHeight="1">
      <c r="A682" s="45"/>
      <c r="B682" s="314"/>
      <c r="C682" s="836"/>
      <c r="D682" s="73"/>
      <c r="E682" s="71"/>
      <c r="F682" s="906" t="s">
        <v>92</v>
      </c>
      <c r="G682" s="906" t="s">
        <v>10</v>
      </c>
      <c r="H682" s="191"/>
      <c r="I682" s="472">
        <f>SUM(H676:H681)</f>
        <v>14318124.150420522</v>
      </c>
      <c r="J682" s="294">
        <v>12</v>
      </c>
      <c r="K682" s="158"/>
      <c r="L682" s="386"/>
      <c r="M682" s="593"/>
      <c r="N682" s="701">
        <f t="shared" si="190"/>
        <v>-14318124.150420522</v>
      </c>
      <c r="O682" s="676"/>
      <c r="P682" s="676"/>
      <c r="Q682" s="676"/>
      <c r="R682" s="676"/>
      <c r="S682" s="676"/>
      <c r="T682" s="676"/>
      <c r="U682" s="676"/>
      <c r="V682" s="676"/>
      <c r="W682" s="676"/>
      <c r="X682" s="676"/>
      <c r="Y682" s="676"/>
      <c r="Z682" s="676"/>
      <c r="AA682" s="676"/>
      <c r="AB682" s="676"/>
      <c r="AC682" s="676"/>
      <c r="AD682" s="676"/>
      <c r="AE682" s="676"/>
      <c r="AF682" s="676"/>
      <c r="AG682" s="676"/>
      <c r="AH682" s="676"/>
      <c r="AI682" s="676"/>
      <c r="AJ682" s="676"/>
      <c r="AK682" s="658"/>
    </row>
    <row r="683" spans="1:37" s="53" customFormat="1" ht="30" customHeight="1">
      <c r="B683" s="316"/>
      <c r="C683" s="832"/>
      <c r="D683" s="164"/>
      <c r="E683" s="165"/>
      <c r="F683" s="166"/>
      <c r="G683" s="167"/>
      <c r="H683" s="168"/>
      <c r="I683" s="169"/>
      <c r="J683" s="169"/>
      <c r="K683" s="156"/>
      <c r="L683" s="383"/>
      <c r="M683" s="596"/>
      <c r="N683" s="701"/>
      <c r="O683" s="677"/>
      <c r="P683" s="677"/>
      <c r="Q683" s="677"/>
      <c r="R683" s="677"/>
      <c r="S683" s="677"/>
      <c r="T683" s="677"/>
      <c r="U683" s="677"/>
      <c r="V683" s="677"/>
      <c r="W683" s="677"/>
      <c r="X683" s="677"/>
      <c r="Y683" s="677"/>
      <c r="Z683" s="677"/>
      <c r="AA683" s="677"/>
      <c r="AB683" s="677"/>
      <c r="AC683" s="677"/>
      <c r="AD683" s="677"/>
      <c r="AE683" s="677"/>
      <c r="AF683" s="677"/>
      <c r="AG683" s="677"/>
      <c r="AH683" s="677"/>
      <c r="AI683" s="677"/>
      <c r="AJ683" s="677"/>
      <c r="AK683" s="658"/>
    </row>
    <row r="684" spans="1:37" s="48" customFormat="1" ht="15" customHeight="1">
      <c r="A684" s="45"/>
      <c r="B684" s="312"/>
      <c r="C684" s="834"/>
      <c r="D684" s="33" t="s">
        <v>93</v>
      </c>
      <c r="E684" s="56" t="s">
        <v>13</v>
      </c>
      <c r="F684" s="57" t="s">
        <v>14</v>
      </c>
      <c r="G684" s="58" t="s">
        <v>15</v>
      </c>
      <c r="H684" s="192" t="s">
        <v>8</v>
      </c>
      <c r="I684" s="59"/>
      <c r="J684" s="292"/>
      <c r="K684" s="158"/>
      <c r="L684" s="386"/>
      <c r="M684" s="593"/>
      <c r="N684" s="754"/>
      <c r="O684" s="676"/>
      <c r="P684" s="676"/>
      <c r="Q684" s="676"/>
      <c r="R684" s="676"/>
      <c r="S684" s="676"/>
      <c r="T684" s="676"/>
      <c r="U684" s="676"/>
      <c r="V684" s="676"/>
      <c r="W684" s="676"/>
      <c r="X684" s="676"/>
      <c r="Y684" s="676"/>
      <c r="Z684" s="676"/>
      <c r="AA684" s="676"/>
      <c r="AB684" s="676"/>
      <c r="AC684" s="676"/>
      <c r="AD684" s="676"/>
      <c r="AE684" s="676"/>
      <c r="AF684" s="676"/>
      <c r="AG684" s="676"/>
      <c r="AH684" s="676"/>
      <c r="AI684" s="676"/>
      <c r="AJ684" s="676"/>
      <c r="AK684" s="658"/>
    </row>
    <row r="685" spans="1:37" s="104" customFormat="1" ht="15" customHeight="1">
      <c r="B685" s="313"/>
      <c r="C685" s="835" t="s">
        <v>924</v>
      </c>
      <c r="D685" s="105" t="s">
        <v>94</v>
      </c>
      <c r="E685" s="120"/>
      <c r="F685" s="91"/>
      <c r="G685" s="121"/>
      <c r="H685" s="64"/>
      <c r="I685" s="94"/>
      <c r="J685" s="52"/>
      <c r="K685" s="156"/>
      <c r="L685" s="383"/>
      <c r="M685" s="542"/>
      <c r="N685" s="701"/>
      <c r="O685" s="688"/>
      <c r="P685" s="688"/>
      <c r="Q685" s="688"/>
      <c r="R685" s="688"/>
      <c r="S685" s="688"/>
      <c r="AC685" s="688"/>
      <c r="AD685" s="688"/>
      <c r="AE685" s="688"/>
      <c r="AF685" s="688"/>
      <c r="AG685" s="688"/>
      <c r="AH685" s="688"/>
      <c r="AI685" s="688"/>
      <c r="AJ685" s="688"/>
      <c r="AK685" s="658"/>
    </row>
    <row r="686" spans="1:37" s="532" customFormat="1" ht="15" customHeight="1">
      <c r="B686" s="568"/>
      <c r="C686" s="847"/>
      <c r="D686" s="556" t="s">
        <v>488</v>
      </c>
      <c r="E686" s="535" t="s">
        <v>95</v>
      </c>
      <c r="F686" s="531">
        <v>1161600</v>
      </c>
      <c r="G686" s="537">
        <v>0</v>
      </c>
      <c r="H686" s="537">
        <f>F686</f>
        <v>1161600</v>
      </c>
      <c r="I686" s="537"/>
      <c r="J686" s="570"/>
      <c r="K686" s="540"/>
      <c r="L686" s="541"/>
      <c r="M686" s="542"/>
      <c r="N686" s="701">
        <f>SUM(O686:AJ686)-H686</f>
        <v>0</v>
      </c>
      <c r="O686" s="690"/>
      <c r="P686" s="690"/>
      <c r="Q686" s="690"/>
      <c r="R686" s="690"/>
      <c r="S686" s="690"/>
      <c r="T686" s="688">
        <f t="shared" ref="T686:T700" si="193">+H686/9</f>
        <v>129066.66666666667</v>
      </c>
      <c r="U686" s="688">
        <v>129066.66666666667</v>
      </c>
      <c r="V686" s="688">
        <v>129066.66666666667</v>
      </c>
      <c r="W686" s="688">
        <v>129066.66666666667</v>
      </c>
      <c r="X686" s="688">
        <v>129066.66666666667</v>
      </c>
      <c r="Y686" s="688">
        <v>129066.66666666667</v>
      </c>
      <c r="Z686" s="688">
        <v>129066.66666666667</v>
      </c>
      <c r="AA686" s="688">
        <v>129066.66666666667</v>
      </c>
      <c r="AB686" s="688">
        <v>129066.66666666667</v>
      </c>
      <c r="AC686" s="690"/>
      <c r="AD686" s="690"/>
      <c r="AE686" s="690"/>
      <c r="AF686" s="690"/>
      <c r="AG686" s="690"/>
      <c r="AH686" s="690"/>
      <c r="AI686" s="690"/>
      <c r="AJ686" s="690"/>
      <c r="AK686" s="658"/>
    </row>
    <row r="687" spans="1:37" s="532" customFormat="1" ht="15" customHeight="1">
      <c r="B687" s="568"/>
      <c r="C687" s="847"/>
      <c r="D687" s="556" t="s">
        <v>489</v>
      </c>
      <c r="E687" s="535" t="s">
        <v>95</v>
      </c>
      <c r="F687" s="531">
        <v>250000</v>
      </c>
      <c r="G687" s="537">
        <v>0</v>
      </c>
      <c r="H687" s="537">
        <f>F687</f>
        <v>250000</v>
      </c>
      <c r="I687" s="537"/>
      <c r="J687" s="570"/>
      <c r="K687" s="540"/>
      <c r="L687" s="541"/>
      <c r="M687" s="542"/>
      <c r="N687" s="701">
        <f t="shared" ref="N687:N721" si="194">SUM(O687:AJ687)-H687</f>
        <v>0</v>
      </c>
      <c r="O687" s="690"/>
      <c r="P687" s="690"/>
      <c r="Q687" s="690"/>
      <c r="R687" s="690"/>
      <c r="S687" s="690"/>
      <c r="T687" s="688">
        <f t="shared" si="193"/>
        <v>27777.777777777777</v>
      </c>
      <c r="U687" s="690">
        <v>27777.777777777777</v>
      </c>
      <c r="V687" s="690">
        <v>27777.777777777777</v>
      </c>
      <c r="W687" s="690">
        <v>27777.777777777777</v>
      </c>
      <c r="X687" s="690">
        <v>27777.777777777777</v>
      </c>
      <c r="Y687" s="690">
        <v>27777.777777777777</v>
      </c>
      <c r="Z687" s="690">
        <v>27777.777777777777</v>
      </c>
      <c r="AA687" s="690">
        <v>27777.777777777777</v>
      </c>
      <c r="AB687" s="690">
        <v>27777.777777777777</v>
      </c>
      <c r="AC687" s="690"/>
      <c r="AD687" s="690"/>
      <c r="AE687" s="690"/>
      <c r="AF687" s="690"/>
      <c r="AG687" s="690"/>
      <c r="AH687" s="690"/>
      <c r="AI687" s="690"/>
      <c r="AJ687" s="690"/>
      <c r="AK687" s="658"/>
    </row>
    <row r="688" spans="1:37" s="532" customFormat="1" ht="15" customHeight="1">
      <c r="B688" s="568"/>
      <c r="C688" s="847"/>
      <c r="D688" s="556" t="s">
        <v>490</v>
      </c>
      <c r="E688" s="535" t="s">
        <v>95</v>
      </c>
      <c r="F688" s="531">
        <v>726000</v>
      </c>
      <c r="G688" s="537">
        <v>0</v>
      </c>
      <c r="H688" s="537">
        <f>F688</f>
        <v>726000</v>
      </c>
      <c r="I688" s="537"/>
      <c r="J688" s="570"/>
      <c r="K688" s="540"/>
      <c r="L688" s="541"/>
      <c r="M688" s="542"/>
      <c r="N688" s="701">
        <f t="shared" si="194"/>
        <v>0</v>
      </c>
      <c r="O688" s="690"/>
      <c r="P688" s="690"/>
      <c r="Q688" s="690"/>
      <c r="R688" s="690"/>
      <c r="S688" s="690"/>
      <c r="T688" s="688">
        <f t="shared" si="193"/>
        <v>80666.666666666672</v>
      </c>
      <c r="U688" s="690">
        <v>80666.666666666672</v>
      </c>
      <c r="V688" s="690">
        <v>80666.666666666672</v>
      </c>
      <c r="W688" s="690">
        <v>80666.666666666672</v>
      </c>
      <c r="X688" s="690">
        <v>80666.666666666672</v>
      </c>
      <c r="Y688" s="690">
        <v>80666.666666666672</v>
      </c>
      <c r="Z688" s="690">
        <v>80666.666666666672</v>
      </c>
      <c r="AA688" s="690">
        <v>80666.666666666672</v>
      </c>
      <c r="AB688" s="690">
        <v>80666.666666666672</v>
      </c>
      <c r="AC688" s="690"/>
      <c r="AD688" s="690"/>
      <c r="AE688" s="690"/>
      <c r="AF688" s="690"/>
      <c r="AG688" s="690"/>
      <c r="AH688" s="690"/>
      <c r="AI688" s="690"/>
      <c r="AJ688" s="690"/>
      <c r="AK688" s="658"/>
    </row>
    <row r="689" spans="1:37" s="532" customFormat="1" ht="15" customHeight="1">
      <c r="B689" s="568"/>
      <c r="C689" s="847"/>
      <c r="D689" s="556" t="s">
        <v>96</v>
      </c>
      <c r="E689" s="535" t="s">
        <v>16</v>
      </c>
      <c r="F689" s="531">
        <v>0</v>
      </c>
      <c r="G689" s="537">
        <v>0</v>
      </c>
      <c r="H689" s="537">
        <f>+G689*F689</f>
        <v>0</v>
      </c>
      <c r="I689" s="546"/>
      <c r="J689" s="547"/>
      <c r="K689" s="540"/>
      <c r="L689" s="541"/>
      <c r="M689" s="542"/>
      <c r="N689" s="701">
        <f t="shared" si="194"/>
        <v>0</v>
      </c>
      <c r="O689" s="690"/>
      <c r="P689" s="690"/>
      <c r="Q689" s="690"/>
      <c r="R689" s="690"/>
      <c r="S689" s="690"/>
      <c r="T689" s="688">
        <f t="shared" si="193"/>
        <v>0</v>
      </c>
      <c r="U689" s="690">
        <v>0</v>
      </c>
      <c r="V689" s="690">
        <v>0</v>
      </c>
      <c r="W689" s="690">
        <v>0</v>
      </c>
      <c r="X689" s="690">
        <v>0</v>
      </c>
      <c r="Y689" s="690">
        <v>0</v>
      </c>
      <c r="Z689" s="690">
        <v>0</v>
      </c>
      <c r="AA689" s="690">
        <v>0</v>
      </c>
      <c r="AB689" s="690">
        <v>0</v>
      </c>
      <c r="AC689" s="690"/>
      <c r="AD689" s="690"/>
      <c r="AE689" s="690"/>
      <c r="AF689" s="690"/>
      <c r="AG689" s="690"/>
      <c r="AH689" s="690"/>
      <c r="AI689" s="690"/>
      <c r="AJ689" s="690"/>
      <c r="AK689" s="658"/>
    </row>
    <row r="690" spans="1:37" s="548" customFormat="1" ht="15" customHeight="1">
      <c r="B690" s="533"/>
      <c r="C690" s="850"/>
      <c r="D690" s="549" t="s">
        <v>97</v>
      </c>
      <c r="E690" s="571"/>
      <c r="F690" s="529"/>
      <c r="G690" s="572"/>
      <c r="H690" s="537"/>
      <c r="I690" s="573"/>
      <c r="J690" s="547"/>
      <c r="K690" s="540"/>
      <c r="L690" s="541"/>
      <c r="M690" s="542"/>
      <c r="N690" s="701">
        <f t="shared" si="194"/>
        <v>0</v>
      </c>
      <c r="O690" s="689"/>
      <c r="P690" s="689"/>
      <c r="Q690" s="689"/>
      <c r="R690" s="689"/>
      <c r="S690" s="689"/>
      <c r="T690" s="688">
        <f t="shared" si="193"/>
        <v>0</v>
      </c>
      <c r="U690" s="690">
        <v>0</v>
      </c>
      <c r="V690" s="690">
        <v>0</v>
      </c>
      <c r="W690" s="690">
        <v>0</v>
      </c>
      <c r="X690" s="690">
        <v>0</v>
      </c>
      <c r="Y690" s="690">
        <v>0</v>
      </c>
      <c r="Z690" s="690">
        <v>0</v>
      </c>
      <c r="AA690" s="690">
        <v>0</v>
      </c>
      <c r="AB690" s="690">
        <v>0</v>
      </c>
      <c r="AC690" s="689"/>
      <c r="AD690" s="689"/>
      <c r="AE690" s="689"/>
      <c r="AF690" s="689"/>
      <c r="AG690" s="689"/>
      <c r="AH690" s="689"/>
      <c r="AI690" s="689"/>
      <c r="AJ690" s="689"/>
      <c r="AK690" s="658"/>
    </row>
    <row r="691" spans="1:37" s="532" customFormat="1" ht="15" customHeight="1">
      <c r="B691" s="568"/>
      <c r="C691" s="847"/>
      <c r="D691" s="556" t="s">
        <v>98</v>
      </c>
      <c r="E691" s="535" t="s">
        <v>16</v>
      </c>
      <c r="F691" s="531">
        <v>200000</v>
      </c>
      <c r="G691" s="537">
        <v>1</v>
      </c>
      <c r="H691" s="537">
        <f>F691</f>
        <v>200000</v>
      </c>
      <c r="I691" s="537"/>
      <c r="J691" s="570"/>
      <c r="K691" s="540"/>
      <c r="L691" s="541"/>
      <c r="M691" s="542"/>
      <c r="N691" s="701">
        <f t="shared" si="194"/>
        <v>0</v>
      </c>
      <c r="O691" s="690"/>
      <c r="P691" s="690"/>
      <c r="Q691" s="690"/>
      <c r="R691" s="690"/>
      <c r="S691" s="690"/>
      <c r="T691" s="688">
        <f t="shared" si="193"/>
        <v>22222.222222222223</v>
      </c>
      <c r="U691" s="689">
        <v>22222.222222222223</v>
      </c>
      <c r="V691" s="689">
        <v>22222.222222222223</v>
      </c>
      <c r="W691" s="689">
        <v>22222.222222222223</v>
      </c>
      <c r="X691" s="689">
        <v>22222.222222222223</v>
      </c>
      <c r="Y691" s="689">
        <v>22222.222222222223</v>
      </c>
      <c r="Z691" s="689">
        <v>22222.222222222223</v>
      </c>
      <c r="AA691" s="689">
        <v>22222.222222222223</v>
      </c>
      <c r="AB691" s="689">
        <v>22222.222222222223</v>
      </c>
      <c r="AC691" s="690"/>
      <c r="AD691" s="690"/>
      <c r="AE691" s="690"/>
      <c r="AF691" s="690"/>
      <c r="AG691" s="690"/>
      <c r="AH691" s="690"/>
      <c r="AI691" s="690"/>
      <c r="AJ691" s="690"/>
      <c r="AK691" s="658"/>
    </row>
    <row r="692" spans="1:37" s="548" customFormat="1" ht="15" customHeight="1">
      <c r="B692" s="533"/>
      <c r="C692" s="850"/>
      <c r="D692" s="549" t="s">
        <v>99</v>
      </c>
      <c r="E692" s="571"/>
      <c r="F692" s="529"/>
      <c r="G692" s="572"/>
      <c r="H692" s="537"/>
      <c r="I692" s="573"/>
      <c r="J692" s="547"/>
      <c r="K692" s="540"/>
      <c r="L692" s="541"/>
      <c r="M692" s="542"/>
      <c r="N692" s="701">
        <f t="shared" si="194"/>
        <v>0</v>
      </c>
      <c r="O692" s="689"/>
      <c r="P692" s="689"/>
      <c r="Q692" s="689"/>
      <c r="R692" s="689"/>
      <c r="S692" s="689"/>
      <c r="T692" s="688">
        <f t="shared" si="193"/>
        <v>0</v>
      </c>
      <c r="U692" s="690">
        <v>0</v>
      </c>
      <c r="V692" s="690">
        <v>0</v>
      </c>
      <c r="W692" s="690">
        <v>0</v>
      </c>
      <c r="X692" s="690">
        <v>0</v>
      </c>
      <c r="Y692" s="690">
        <v>0</v>
      </c>
      <c r="Z692" s="690">
        <v>0</v>
      </c>
      <c r="AA692" s="690">
        <v>0</v>
      </c>
      <c r="AB692" s="690">
        <v>0</v>
      </c>
      <c r="AC692" s="689"/>
      <c r="AD692" s="689"/>
      <c r="AE692" s="689"/>
      <c r="AF692" s="689"/>
      <c r="AG692" s="689"/>
      <c r="AH692" s="689"/>
      <c r="AI692" s="689"/>
      <c r="AJ692" s="689"/>
      <c r="AK692" s="658"/>
    </row>
    <row r="693" spans="1:37" s="532" customFormat="1" ht="15" customHeight="1">
      <c r="B693" s="568"/>
      <c r="C693" s="847"/>
      <c r="D693" s="556" t="s">
        <v>100</v>
      </c>
      <c r="E693" s="535" t="s">
        <v>16</v>
      </c>
      <c r="F693" s="531">
        <v>580800</v>
      </c>
      <c r="G693" s="537">
        <v>0</v>
      </c>
      <c r="H693" s="537">
        <f>F693</f>
        <v>580800</v>
      </c>
      <c r="I693" s="546"/>
      <c r="J693" s="547"/>
      <c r="K693" s="540"/>
      <c r="L693" s="541"/>
      <c r="M693" s="542"/>
      <c r="N693" s="701">
        <f t="shared" si="194"/>
        <v>0</v>
      </c>
      <c r="O693" s="690"/>
      <c r="P693" s="690"/>
      <c r="Q693" s="690"/>
      <c r="R693" s="690"/>
      <c r="S693" s="690"/>
      <c r="T693" s="688">
        <f t="shared" si="193"/>
        <v>64533.333333333336</v>
      </c>
      <c r="U693" s="689">
        <v>64533.333333333336</v>
      </c>
      <c r="V693" s="689">
        <v>64533.333333333336</v>
      </c>
      <c r="W693" s="689">
        <v>64533.333333333336</v>
      </c>
      <c r="X693" s="689">
        <v>64533.333333333336</v>
      </c>
      <c r="Y693" s="689">
        <v>64533.333333333336</v>
      </c>
      <c r="Z693" s="689">
        <v>64533.333333333336</v>
      </c>
      <c r="AA693" s="689">
        <v>64533.333333333336</v>
      </c>
      <c r="AB693" s="689">
        <v>64533.333333333336</v>
      </c>
      <c r="AC693" s="690"/>
      <c r="AD693" s="690"/>
      <c r="AE693" s="690"/>
      <c r="AF693" s="690"/>
      <c r="AG693" s="690"/>
      <c r="AH693" s="690"/>
      <c r="AI693" s="690"/>
      <c r="AJ693" s="690"/>
      <c r="AK693" s="658"/>
    </row>
    <row r="694" spans="1:37" s="532" customFormat="1" ht="15" customHeight="1">
      <c r="B694" s="568"/>
      <c r="C694" s="847"/>
      <c r="D694" s="556" t="s">
        <v>461</v>
      </c>
      <c r="E694" s="535" t="s">
        <v>16</v>
      </c>
      <c r="F694" s="531">
        <v>400000</v>
      </c>
      <c r="G694" s="537">
        <v>0</v>
      </c>
      <c r="H694" s="537">
        <f>F694</f>
        <v>400000</v>
      </c>
      <c r="I694" s="546"/>
      <c r="J694" s="547"/>
      <c r="K694" s="540"/>
      <c r="L694" s="541"/>
      <c r="M694" s="542"/>
      <c r="N694" s="701">
        <f t="shared" si="194"/>
        <v>0</v>
      </c>
      <c r="O694" s="690"/>
      <c r="P694" s="690"/>
      <c r="Q694" s="690"/>
      <c r="R694" s="690"/>
      <c r="S694" s="690"/>
      <c r="T694" s="688">
        <f t="shared" si="193"/>
        <v>44444.444444444445</v>
      </c>
      <c r="U694" s="690">
        <v>44444.444444444445</v>
      </c>
      <c r="V694" s="690">
        <v>44444.444444444445</v>
      </c>
      <c r="W694" s="690">
        <v>44444.444444444445</v>
      </c>
      <c r="X694" s="690">
        <v>44444.444444444445</v>
      </c>
      <c r="Y694" s="690">
        <v>44444.444444444445</v>
      </c>
      <c r="Z694" s="690">
        <v>44444.444444444445</v>
      </c>
      <c r="AA694" s="690">
        <v>44444.444444444445</v>
      </c>
      <c r="AB694" s="690">
        <v>44444.444444444445</v>
      </c>
      <c r="AC694" s="690"/>
      <c r="AD694" s="690"/>
      <c r="AE694" s="690"/>
      <c r="AF694" s="690"/>
      <c r="AG694" s="690"/>
      <c r="AH694" s="690"/>
      <c r="AI694" s="690"/>
      <c r="AJ694" s="690"/>
      <c r="AK694" s="658"/>
    </row>
    <row r="695" spans="1:37" s="548" customFormat="1" ht="15" customHeight="1">
      <c r="B695" s="533"/>
      <c r="C695" s="850"/>
      <c r="D695" s="549" t="s">
        <v>101</v>
      </c>
      <c r="E695" s="571"/>
      <c r="F695" s="529"/>
      <c r="G695" s="572"/>
      <c r="H695" s="537"/>
      <c r="I695" s="573"/>
      <c r="J695" s="547"/>
      <c r="K695" s="540"/>
      <c r="L695" s="541"/>
      <c r="M695" s="542"/>
      <c r="N695" s="701">
        <f t="shared" si="194"/>
        <v>0</v>
      </c>
      <c r="O695" s="689"/>
      <c r="P695" s="689"/>
      <c r="Q695" s="689"/>
      <c r="R695" s="689"/>
      <c r="S695" s="689"/>
      <c r="T695" s="688">
        <f t="shared" si="193"/>
        <v>0</v>
      </c>
      <c r="U695" s="690">
        <v>0</v>
      </c>
      <c r="V695" s="690">
        <v>0</v>
      </c>
      <c r="W695" s="690">
        <v>0</v>
      </c>
      <c r="X695" s="690">
        <v>0</v>
      </c>
      <c r="Y695" s="690">
        <v>0</v>
      </c>
      <c r="Z695" s="690">
        <v>0</v>
      </c>
      <c r="AA695" s="690">
        <v>0</v>
      </c>
      <c r="AB695" s="690">
        <v>0</v>
      </c>
      <c r="AC695" s="689"/>
      <c r="AD695" s="689"/>
      <c r="AE695" s="689"/>
      <c r="AF695" s="689"/>
      <c r="AG695" s="689"/>
      <c r="AH695" s="689"/>
      <c r="AI695" s="689"/>
      <c r="AJ695" s="689"/>
      <c r="AK695" s="658"/>
    </row>
    <row r="696" spans="1:37" s="532" customFormat="1" ht="15" customHeight="1">
      <c r="B696" s="568"/>
      <c r="C696" s="847"/>
      <c r="D696" s="574" t="s">
        <v>102</v>
      </c>
      <c r="E696" s="535" t="s">
        <v>16</v>
      </c>
      <c r="F696" s="531">
        <v>120000</v>
      </c>
      <c r="G696" s="537">
        <v>1</v>
      </c>
      <c r="H696" s="537">
        <f>F696*G696</f>
        <v>120000</v>
      </c>
      <c r="I696" s="546"/>
      <c r="J696" s="547"/>
      <c r="K696" s="540"/>
      <c r="L696" s="541"/>
      <c r="M696" s="542"/>
      <c r="N696" s="701">
        <f t="shared" si="194"/>
        <v>0</v>
      </c>
      <c r="O696" s="690"/>
      <c r="P696" s="690"/>
      <c r="Q696" s="690"/>
      <c r="R696" s="690"/>
      <c r="S696" s="690"/>
      <c r="T696" s="688">
        <f t="shared" si="193"/>
        <v>13333.333333333334</v>
      </c>
      <c r="U696" s="689">
        <v>13333.333333333334</v>
      </c>
      <c r="V696" s="689">
        <v>13333.333333333334</v>
      </c>
      <c r="W696" s="689">
        <v>13333.333333333334</v>
      </c>
      <c r="X696" s="689">
        <v>13333.333333333334</v>
      </c>
      <c r="Y696" s="689">
        <v>13333.333333333334</v>
      </c>
      <c r="Z696" s="689">
        <v>13333.333333333334</v>
      </c>
      <c r="AA696" s="689">
        <v>13333.333333333334</v>
      </c>
      <c r="AB696" s="689">
        <v>13333.333333333334</v>
      </c>
      <c r="AC696" s="690"/>
      <c r="AD696" s="690"/>
      <c r="AE696" s="690"/>
      <c r="AF696" s="690"/>
      <c r="AG696" s="690"/>
      <c r="AH696" s="690"/>
      <c r="AI696" s="690"/>
      <c r="AJ696" s="690"/>
      <c r="AK696" s="658"/>
    </row>
    <row r="697" spans="1:37" s="548" customFormat="1" ht="15" customHeight="1">
      <c r="B697" s="533"/>
      <c r="C697" s="850"/>
      <c r="D697" s="549" t="s">
        <v>103</v>
      </c>
      <c r="E697" s="571"/>
      <c r="F697" s="529"/>
      <c r="G697" s="572"/>
      <c r="H697" s="537"/>
      <c r="I697" s="573"/>
      <c r="J697" s="547"/>
      <c r="K697" s="540"/>
      <c r="L697" s="541"/>
      <c r="M697" s="542"/>
      <c r="N697" s="701">
        <f t="shared" si="194"/>
        <v>0</v>
      </c>
      <c r="O697" s="689"/>
      <c r="P697" s="689"/>
      <c r="Q697" s="689"/>
      <c r="R697" s="689"/>
      <c r="S697" s="689"/>
      <c r="T697" s="688">
        <f t="shared" si="193"/>
        <v>0</v>
      </c>
      <c r="U697" s="690">
        <v>0</v>
      </c>
      <c r="V697" s="690">
        <v>0</v>
      </c>
      <c r="W697" s="690">
        <v>0</v>
      </c>
      <c r="X697" s="690">
        <v>0</v>
      </c>
      <c r="Y697" s="690">
        <v>0</v>
      </c>
      <c r="Z697" s="690">
        <v>0</v>
      </c>
      <c r="AA697" s="690">
        <v>0</v>
      </c>
      <c r="AB697" s="690">
        <v>0</v>
      </c>
      <c r="AC697" s="689"/>
      <c r="AD697" s="689"/>
      <c r="AE697" s="689"/>
      <c r="AF697" s="689"/>
      <c r="AG697" s="689"/>
      <c r="AH697" s="689"/>
      <c r="AI697" s="689"/>
      <c r="AJ697" s="689"/>
      <c r="AK697" s="658"/>
    </row>
    <row r="698" spans="1:37" s="532" customFormat="1" ht="15" customHeight="1">
      <c r="B698" s="568"/>
      <c r="C698" s="847"/>
      <c r="D698" s="556" t="s">
        <v>104</v>
      </c>
      <c r="E698" s="535" t="s">
        <v>105</v>
      </c>
      <c r="F698" s="531">
        <v>0</v>
      </c>
      <c r="G698" s="537">
        <v>1</v>
      </c>
      <c r="H698" s="537">
        <f>F698*G698</f>
        <v>0</v>
      </c>
      <c r="I698" s="537"/>
      <c r="J698" s="570"/>
      <c r="K698" s="540"/>
      <c r="L698" s="541"/>
      <c r="M698" s="542"/>
      <c r="N698" s="701">
        <f t="shared" si="194"/>
        <v>0</v>
      </c>
      <c r="O698" s="690"/>
      <c r="P698" s="690"/>
      <c r="Q698" s="690"/>
      <c r="R698" s="690"/>
      <c r="S698" s="690"/>
      <c r="T698" s="688">
        <f t="shared" si="193"/>
        <v>0</v>
      </c>
      <c r="U698" s="689">
        <v>0</v>
      </c>
      <c r="V698" s="689">
        <v>0</v>
      </c>
      <c r="W698" s="689">
        <v>0</v>
      </c>
      <c r="X698" s="689">
        <v>0</v>
      </c>
      <c r="Y698" s="689">
        <v>0</v>
      </c>
      <c r="Z698" s="689">
        <v>0</v>
      </c>
      <c r="AA698" s="689">
        <v>0</v>
      </c>
      <c r="AB698" s="689">
        <v>0</v>
      </c>
      <c r="AC698" s="690"/>
      <c r="AD698" s="690"/>
      <c r="AE698" s="690"/>
      <c r="AF698" s="690"/>
      <c r="AG698" s="690"/>
      <c r="AH698" s="690"/>
      <c r="AI698" s="690"/>
      <c r="AJ698" s="690"/>
      <c r="AK698" s="658"/>
    </row>
    <row r="699" spans="1:37" s="532" customFormat="1" ht="15" customHeight="1">
      <c r="B699" s="568"/>
      <c r="C699" s="847"/>
      <c r="D699" s="574" t="s">
        <v>487</v>
      </c>
      <c r="E699" s="535" t="s">
        <v>16</v>
      </c>
      <c r="F699" s="531">
        <v>200000</v>
      </c>
      <c r="G699" s="537">
        <v>1</v>
      </c>
      <c r="H699" s="537">
        <f>F699</f>
        <v>200000</v>
      </c>
      <c r="I699" s="537"/>
      <c r="J699" s="570"/>
      <c r="K699" s="540"/>
      <c r="L699" s="541"/>
      <c r="M699" s="542"/>
      <c r="N699" s="701">
        <f t="shared" si="194"/>
        <v>0</v>
      </c>
      <c r="O699" s="690"/>
      <c r="P699" s="690"/>
      <c r="Q699" s="690"/>
      <c r="R699" s="690"/>
      <c r="S699" s="690"/>
      <c r="T699" s="688">
        <f t="shared" si="193"/>
        <v>22222.222222222223</v>
      </c>
      <c r="U699" s="690">
        <v>22222.222222222223</v>
      </c>
      <c r="V699" s="690">
        <v>22222.222222222223</v>
      </c>
      <c r="W699" s="690">
        <v>22222.222222222223</v>
      </c>
      <c r="X699" s="690">
        <v>22222.222222222223</v>
      </c>
      <c r="Y699" s="690">
        <v>22222.222222222223</v>
      </c>
      <c r="Z699" s="690">
        <v>22222.222222222223</v>
      </c>
      <c r="AA699" s="690">
        <v>22222.222222222223</v>
      </c>
      <c r="AB699" s="690">
        <v>22222.222222222223</v>
      </c>
      <c r="AC699" s="690"/>
      <c r="AD699" s="690"/>
      <c r="AE699" s="690"/>
      <c r="AF699" s="690"/>
      <c r="AG699" s="690"/>
      <c r="AH699" s="690"/>
      <c r="AI699" s="690"/>
      <c r="AJ699" s="690"/>
      <c r="AK699" s="658"/>
    </row>
    <row r="700" spans="1:37" s="48" customFormat="1" ht="15" customHeight="1">
      <c r="A700" s="45"/>
      <c r="B700" s="314"/>
      <c r="C700" s="836"/>
      <c r="D700" s="73"/>
      <c r="E700" s="71"/>
      <c r="F700" s="906" t="s">
        <v>106</v>
      </c>
      <c r="G700" s="906"/>
      <c r="H700" s="191"/>
      <c r="I700" s="472">
        <f>SUM(H685:H699)</f>
        <v>3638400</v>
      </c>
      <c r="J700" s="294">
        <v>60</v>
      </c>
      <c r="K700" s="158"/>
      <c r="L700" s="386"/>
      <c r="M700" s="593"/>
      <c r="N700" s="701">
        <f t="shared" si="194"/>
        <v>0</v>
      </c>
      <c r="O700" s="676"/>
      <c r="P700" s="676"/>
      <c r="Q700" s="676"/>
      <c r="R700" s="676"/>
      <c r="S700" s="676"/>
      <c r="T700" s="688">
        <f t="shared" si="193"/>
        <v>0</v>
      </c>
      <c r="U700" s="690">
        <v>0</v>
      </c>
      <c r="V700" s="690">
        <v>0</v>
      </c>
      <c r="W700" s="690">
        <v>0</v>
      </c>
      <c r="X700" s="690">
        <v>0</v>
      </c>
      <c r="Y700" s="690">
        <v>0</v>
      </c>
      <c r="Z700" s="690">
        <v>0</v>
      </c>
      <c r="AA700" s="690">
        <v>0</v>
      </c>
      <c r="AB700" s="690">
        <v>0</v>
      </c>
      <c r="AC700" s="676"/>
      <c r="AD700" s="676"/>
      <c r="AE700" s="676"/>
      <c r="AF700" s="676"/>
      <c r="AG700" s="676"/>
      <c r="AH700" s="676"/>
      <c r="AI700" s="676"/>
      <c r="AJ700" s="676"/>
      <c r="AK700" s="658"/>
    </row>
    <row r="701" spans="1:37" s="53" customFormat="1" ht="30" customHeight="1">
      <c r="A701" s="5"/>
      <c r="B701" s="309"/>
      <c r="C701" s="832"/>
      <c r="D701" s="49"/>
      <c r="E701" s="9"/>
      <c r="F701" s="8"/>
      <c r="G701" s="8"/>
      <c r="H701" s="50"/>
      <c r="I701" s="172"/>
      <c r="J701" s="172"/>
      <c r="K701" s="156"/>
      <c r="L701" s="383"/>
      <c r="M701" s="542"/>
      <c r="N701" s="701">
        <f t="shared" si="194"/>
        <v>0</v>
      </c>
      <c r="O701" s="677"/>
      <c r="P701" s="677"/>
      <c r="Q701" s="677"/>
      <c r="R701" s="677"/>
      <c r="S701" s="677"/>
      <c r="T701" s="676"/>
      <c r="U701" s="676"/>
      <c r="V701" s="676"/>
      <c r="W701" s="676"/>
      <c r="X701" s="676"/>
      <c r="Y701" s="676"/>
      <c r="Z701" s="676"/>
      <c r="AA701" s="676"/>
      <c r="AB701" s="676"/>
      <c r="AC701" s="677"/>
      <c r="AD701" s="677"/>
      <c r="AE701" s="677"/>
      <c r="AF701" s="677"/>
      <c r="AG701" s="677"/>
      <c r="AH701" s="677"/>
      <c r="AI701" s="677"/>
      <c r="AJ701" s="677"/>
      <c r="AK701" s="658"/>
    </row>
    <row r="702" spans="1:37" s="48" customFormat="1" ht="15" customHeight="1">
      <c r="A702" s="45"/>
      <c r="B702" s="312"/>
      <c r="C702" s="834"/>
      <c r="D702" s="33" t="s">
        <v>107</v>
      </c>
      <c r="E702" s="56" t="s">
        <v>13</v>
      </c>
      <c r="F702" s="57" t="s">
        <v>14</v>
      </c>
      <c r="G702" s="58" t="s">
        <v>15</v>
      </c>
      <c r="H702" s="192" t="s">
        <v>8</v>
      </c>
      <c r="I702" s="59"/>
      <c r="J702" s="292"/>
      <c r="K702" s="158"/>
      <c r="L702" s="386"/>
      <c r="M702" s="593"/>
      <c r="N702" s="701"/>
      <c r="O702" s="676"/>
      <c r="P702" s="676"/>
      <c r="Q702" s="676"/>
      <c r="R702" s="676"/>
      <c r="S702" s="676"/>
      <c r="T702" s="676"/>
      <c r="U702" s="676"/>
      <c r="V702" s="676"/>
      <c r="W702" s="676"/>
      <c r="X702" s="676"/>
      <c r="Y702" s="676"/>
      <c r="Z702" s="676"/>
      <c r="AA702" s="676"/>
      <c r="AB702" s="676"/>
      <c r="AC702" s="676"/>
      <c r="AD702" s="676"/>
      <c r="AE702" s="676"/>
      <c r="AF702" s="676"/>
      <c r="AG702" s="676"/>
      <c r="AH702" s="676"/>
      <c r="AI702" s="676"/>
      <c r="AJ702" s="676"/>
      <c r="AK702" s="658"/>
    </row>
    <row r="703" spans="1:37" s="532" customFormat="1" ht="15" customHeight="1">
      <c r="B703" s="568"/>
      <c r="C703" s="851" t="s">
        <v>925</v>
      </c>
      <c r="D703" s="560" t="s">
        <v>108</v>
      </c>
      <c r="E703" s="535" t="s">
        <v>16</v>
      </c>
      <c r="F703" s="530">
        <v>250000</v>
      </c>
      <c r="G703" s="537">
        <v>1</v>
      </c>
      <c r="H703" s="537">
        <v>150000</v>
      </c>
      <c r="I703" s="537"/>
      <c r="J703" s="570"/>
      <c r="K703" s="540"/>
      <c r="L703" s="541"/>
      <c r="M703" s="542"/>
      <c r="N703" s="701">
        <f t="shared" si="194"/>
        <v>0</v>
      </c>
      <c r="O703" s="690"/>
      <c r="P703" s="690"/>
      <c r="Q703" s="690"/>
      <c r="R703" s="690"/>
      <c r="S703" s="690"/>
      <c r="T703" s="690"/>
      <c r="U703" s="690"/>
      <c r="V703" s="690">
        <f>+H703</f>
        <v>150000</v>
      </c>
      <c r="W703" s="690"/>
      <c r="X703" s="690"/>
      <c r="Y703" s="690"/>
      <c r="Z703" s="690"/>
      <c r="AA703" s="690"/>
      <c r="AB703" s="690"/>
      <c r="AC703" s="690"/>
      <c r="AD703" s="690"/>
      <c r="AE703" s="690"/>
      <c r="AF703" s="690"/>
      <c r="AG703" s="690"/>
      <c r="AH703" s="690"/>
      <c r="AI703" s="690"/>
      <c r="AJ703" s="690"/>
      <c r="AK703" s="658"/>
    </row>
    <row r="704" spans="1:37" s="532" customFormat="1" ht="15" customHeight="1">
      <c r="B704" s="568"/>
      <c r="C704" s="851"/>
      <c r="D704" s="560" t="s">
        <v>109</v>
      </c>
      <c r="E704" s="535" t="s">
        <v>16</v>
      </c>
      <c r="F704" s="531">
        <v>30000</v>
      </c>
      <c r="G704" s="537">
        <v>1</v>
      </c>
      <c r="H704" s="537">
        <f>G704*F704</f>
        <v>30000</v>
      </c>
      <c r="I704" s="537"/>
      <c r="J704" s="570"/>
      <c r="K704" s="540"/>
      <c r="L704" s="541"/>
      <c r="M704" s="542"/>
      <c r="N704" s="701">
        <f t="shared" si="194"/>
        <v>0</v>
      </c>
      <c r="O704" s="690"/>
      <c r="P704" s="690"/>
      <c r="Q704" s="690"/>
      <c r="R704" s="690"/>
      <c r="S704" s="690"/>
      <c r="T704" s="690"/>
      <c r="U704" s="690"/>
      <c r="V704" s="690"/>
      <c r="W704" s="690"/>
      <c r="X704" s="690">
        <f>+H704</f>
        <v>30000</v>
      </c>
      <c r="Y704" s="690"/>
      <c r="Z704" s="690"/>
      <c r="AA704" s="690"/>
      <c r="AB704" s="690"/>
      <c r="AC704" s="690"/>
      <c r="AD704" s="690"/>
      <c r="AE704" s="690"/>
      <c r="AF704" s="690"/>
      <c r="AG704" s="690"/>
      <c r="AH704" s="690"/>
      <c r="AI704" s="690"/>
      <c r="AJ704" s="690"/>
      <c r="AK704" s="658"/>
    </row>
    <row r="705" spans="1:37" s="548" customFormat="1" ht="15" customHeight="1">
      <c r="B705" s="533"/>
      <c r="C705" s="850"/>
      <c r="D705" s="549" t="s">
        <v>99</v>
      </c>
      <c r="E705" s="571"/>
      <c r="F705" s="529"/>
      <c r="G705" s="572"/>
      <c r="H705" s="537"/>
      <c r="I705" s="573"/>
      <c r="J705" s="547"/>
      <c r="K705" s="540"/>
      <c r="L705" s="541"/>
      <c r="M705" s="542"/>
      <c r="N705" s="701">
        <f t="shared" si="194"/>
        <v>0</v>
      </c>
      <c r="O705" s="689"/>
      <c r="P705" s="689"/>
      <c r="Q705" s="689"/>
      <c r="R705" s="689"/>
      <c r="S705" s="689"/>
      <c r="T705" s="689"/>
      <c r="U705" s="689"/>
      <c r="V705" s="689"/>
      <c r="W705" s="689"/>
      <c r="X705" s="689"/>
      <c r="Y705" s="689"/>
      <c r="Z705" s="689"/>
      <c r="AA705" s="689"/>
      <c r="AB705" s="689"/>
      <c r="AC705" s="689"/>
      <c r="AD705" s="689"/>
      <c r="AE705" s="689"/>
      <c r="AF705" s="689"/>
      <c r="AG705" s="689"/>
      <c r="AH705" s="689"/>
      <c r="AI705" s="689"/>
      <c r="AJ705" s="689"/>
      <c r="AK705" s="658"/>
    </row>
    <row r="706" spans="1:37" s="532" customFormat="1" ht="14">
      <c r="B706" s="568"/>
      <c r="C706" s="851"/>
      <c r="D706" s="556" t="s">
        <v>110</v>
      </c>
      <c r="E706" s="545" t="s">
        <v>27</v>
      </c>
      <c r="F706" s="531">
        <v>50000</v>
      </c>
      <c r="G706" s="537">
        <v>6</v>
      </c>
      <c r="H706" s="537">
        <f>+G706*F706</f>
        <v>300000</v>
      </c>
      <c r="I706" s="537"/>
      <c r="J706" s="570"/>
      <c r="K706" s="540"/>
      <c r="L706" s="541"/>
      <c r="M706" s="542"/>
      <c r="N706" s="701">
        <f t="shared" si="194"/>
        <v>0</v>
      </c>
      <c r="O706" s="690"/>
      <c r="P706" s="690"/>
      <c r="Q706" s="690"/>
      <c r="R706" s="690"/>
      <c r="S706" s="690"/>
      <c r="T706" s="690"/>
      <c r="U706" s="690"/>
      <c r="V706" s="690"/>
      <c r="W706" s="690">
        <f>+H706/6</f>
        <v>50000</v>
      </c>
      <c r="X706" s="690">
        <v>50000</v>
      </c>
      <c r="Y706" s="690">
        <v>50000</v>
      </c>
      <c r="Z706" s="690">
        <v>50000</v>
      </c>
      <c r="AA706" s="690">
        <v>50000</v>
      </c>
      <c r="AB706" s="690">
        <v>50000</v>
      </c>
      <c r="AC706" s="690"/>
      <c r="AD706" s="690"/>
      <c r="AE706" s="690"/>
      <c r="AF706" s="690"/>
      <c r="AG706" s="690"/>
      <c r="AH706" s="690"/>
      <c r="AI706" s="690"/>
      <c r="AJ706" s="690"/>
      <c r="AK706" s="658"/>
    </row>
    <row r="707" spans="1:37" s="532" customFormat="1" ht="14">
      <c r="B707" s="568"/>
      <c r="C707" s="851"/>
      <c r="D707" s="556" t="s">
        <v>111</v>
      </c>
      <c r="E707" s="545" t="s">
        <v>27</v>
      </c>
      <c r="F707" s="531">
        <v>25000</v>
      </c>
      <c r="G707" s="537">
        <v>4</v>
      </c>
      <c r="H707" s="537">
        <f>+G707*F707</f>
        <v>100000</v>
      </c>
      <c r="I707" s="537"/>
      <c r="J707" s="570"/>
      <c r="K707" s="540"/>
      <c r="L707" s="541"/>
      <c r="M707" s="542"/>
      <c r="N707" s="701">
        <f t="shared" si="194"/>
        <v>0</v>
      </c>
      <c r="O707" s="690"/>
      <c r="P707" s="690"/>
      <c r="Q707" s="690"/>
      <c r="R707" s="690"/>
      <c r="S707" s="690"/>
      <c r="T707" s="690"/>
      <c r="U707" s="690"/>
      <c r="V707" s="690"/>
      <c r="W707" s="690">
        <f>+H707/4</f>
        <v>25000</v>
      </c>
      <c r="X707" s="690">
        <f>+W707</f>
        <v>25000</v>
      </c>
      <c r="Y707" s="690">
        <f t="shared" ref="Y707:Z707" si="195">+X707</f>
        <v>25000</v>
      </c>
      <c r="Z707" s="690">
        <f t="shared" si="195"/>
        <v>25000</v>
      </c>
      <c r="AA707" s="690"/>
      <c r="AB707" s="690"/>
      <c r="AC707" s="690"/>
      <c r="AD707" s="690"/>
      <c r="AE707" s="690"/>
      <c r="AF707" s="690"/>
      <c r="AG707" s="690"/>
      <c r="AH707" s="690"/>
      <c r="AI707" s="690"/>
      <c r="AJ707" s="690"/>
      <c r="AK707" s="658"/>
    </row>
    <row r="708" spans="1:37" s="532" customFormat="1" ht="15" customHeight="1">
      <c r="B708" s="568"/>
      <c r="C708" s="851"/>
      <c r="D708" s="560" t="s">
        <v>112</v>
      </c>
      <c r="E708" s="545" t="s">
        <v>27</v>
      </c>
      <c r="F708" s="531">
        <v>0</v>
      </c>
      <c r="G708" s="537">
        <v>0</v>
      </c>
      <c r="H708" s="537">
        <f>G708*F708</f>
        <v>0</v>
      </c>
      <c r="I708" s="537"/>
      <c r="J708" s="570"/>
      <c r="K708" s="540"/>
      <c r="L708" s="541"/>
      <c r="M708" s="542"/>
      <c r="N708" s="701">
        <f t="shared" si="194"/>
        <v>0</v>
      </c>
      <c r="O708" s="690"/>
      <c r="P708" s="690"/>
      <c r="Q708" s="690"/>
      <c r="R708" s="690"/>
      <c r="S708" s="690"/>
      <c r="T708" s="690"/>
      <c r="U708" s="690"/>
      <c r="V708" s="690"/>
      <c r="W708" s="690"/>
      <c r="X708" s="690"/>
      <c r="Y708" s="690"/>
      <c r="Z708" s="690"/>
      <c r="AA708" s="690"/>
      <c r="AB708" s="690"/>
      <c r="AC708" s="690"/>
      <c r="AD708" s="690"/>
      <c r="AE708" s="690"/>
      <c r="AF708" s="690"/>
      <c r="AG708" s="690"/>
      <c r="AH708" s="690"/>
      <c r="AI708" s="690"/>
      <c r="AJ708" s="690"/>
      <c r="AK708" s="658"/>
    </row>
    <row r="709" spans="1:37" s="48" customFormat="1" ht="15" customHeight="1">
      <c r="A709" s="45"/>
      <c r="B709" s="314"/>
      <c r="C709" s="836"/>
      <c r="D709" s="73"/>
      <c r="E709" s="71"/>
      <c r="F709" s="906" t="s">
        <v>113</v>
      </c>
      <c r="G709" s="906"/>
      <c r="H709" s="191"/>
      <c r="I709" s="472">
        <f>SUM(H703:H708)</f>
        <v>580000</v>
      </c>
      <c r="J709" s="294">
        <v>25</v>
      </c>
      <c r="K709" s="158"/>
      <c r="L709" s="386"/>
      <c r="M709" s="593"/>
      <c r="N709" s="701">
        <f t="shared" si="194"/>
        <v>0</v>
      </c>
      <c r="O709" s="676"/>
      <c r="P709" s="676"/>
      <c r="Q709" s="676"/>
      <c r="R709" s="676"/>
      <c r="S709" s="676"/>
      <c r="T709" s="676"/>
      <c r="U709" s="676"/>
      <c r="V709" s="676"/>
      <c r="W709" s="676"/>
      <c r="X709" s="676"/>
      <c r="Y709" s="676"/>
      <c r="Z709" s="676"/>
      <c r="AA709" s="676"/>
      <c r="AB709" s="676"/>
      <c r="AC709" s="676"/>
      <c r="AD709" s="676"/>
      <c r="AE709" s="676"/>
      <c r="AF709" s="676"/>
      <c r="AG709" s="676"/>
      <c r="AH709" s="676"/>
      <c r="AI709" s="676"/>
      <c r="AJ709" s="676"/>
      <c r="AK709" s="658"/>
    </row>
    <row r="710" spans="1:37" s="53" customFormat="1" ht="30" customHeight="1">
      <c r="A710" s="5"/>
      <c r="B710" s="309"/>
      <c r="C710" s="832"/>
      <c r="D710" s="49"/>
      <c r="E710" s="9"/>
      <c r="F710" s="8"/>
      <c r="G710" s="8"/>
      <c r="H710" s="50"/>
      <c r="I710" s="51"/>
      <c r="J710" s="51"/>
      <c r="K710" s="156"/>
      <c r="L710" s="383"/>
      <c r="M710" s="542"/>
      <c r="N710" s="701">
        <f t="shared" si="194"/>
        <v>0</v>
      </c>
      <c r="O710" s="677"/>
      <c r="P710" s="677"/>
      <c r="Q710" s="677"/>
      <c r="R710" s="677"/>
      <c r="S710" s="677"/>
      <c r="T710" s="677"/>
      <c r="U710" s="677"/>
      <c r="V710" s="677"/>
      <c r="W710" s="677"/>
      <c r="X710" s="677"/>
      <c r="Y710" s="677"/>
      <c r="Z710" s="677"/>
      <c r="AA710" s="677"/>
      <c r="AB710" s="677"/>
      <c r="AC710" s="677"/>
      <c r="AD710" s="677"/>
      <c r="AE710" s="677"/>
      <c r="AF710" s="677"/>
      <c r="AG710" s="677"/>
      <c r="AH710" s="677"/>
      <c r="AI710" s="677"/>
      <c r="AJ710" s="677"/>
      <c r="AK710" s="658"/>
    </row>
    <row r="711" spans="1:37" s="48" customFormat="1" ht="15" customHeight="1">
      <c r="A711" s="45"/>
      <c r="B711" s="312"/>
      <c r="C711" s="834"/>
      <c r="D711" s="33" t="s">
        <v>114</v>
      </c>
      <c r="E711" s="56" t="s">
        <v>13</v>
      </c>
      <c r="F711" s="57" t="s">
        <v>14</v>
      </c>
      <c r="G711" s="58" t="s">
        <v>15</v>
      </c>
      <c r="H711" s="192" t="s">
        <v>8</v>
      </c>
      <c r="I711" s="59"/>
      <c r="J711" s="292"/>
      <c r="K711" s="158"/>
      <c r="L711" s="386"/>
      <c r="M711" s="593"/>
      <c r="N711" s="701"/>
      <c r="O711" s="676"/>
      <c r="P711" s="676"/>
      <c r="Q711" s="676"/>
      <c r="R711" s="676"/>
      <c r="S711" s="676"/>
      <c r="T711" s="676"/>
      <c r="U711" s="676"/>
      <c r="V711" s="676"/>
      <c r="W711" s="676"/>
      <c r="X711" s="676"/>
      <c r="Y711" s="676"/>
      <c r="Z711" s="676"/>
      <c r="AA711" s="676"/>
      <c r="AB711" s="676"/>
      <c r="AC711" s="676"/>
      <c r="AD711" s="676"/>
      <c r="AE711" s="676"/>
      <c r="AF711" s="676"/>
      <c r="AG711" s="676"/>
      <c r="AH711" s="676"/>
      <c r="AI711" s="676"/>
      <c r="AJ711" s="676"/>
      <c r="AK711" s="658"/>
    </row>
    <row r="712" spans="1:37" s="532" customFormat="1" ht="15" customHeight="1">
      <c r="B712" s="568"/>
      <c r="C712" s="851" t="s">
        <v>926</v>
      </c>
      <c r="D712" s="560" t="s">
        <v>115</v>
      </c>
      <c r="E712" s="535" t="s">
        <v>16</v>
      </c>
      <c r="F712" s="531">
        <v>423500</v>
      </c>
      <c r="G712" s="537">
        <v>1</v>
      </c>
      <c r="H712" s="537">
        <v>423500</v>
      </c>
      <c r="I712" s="537"/>
      <c r="J712" s="570"/>
      <c r="K712" s="540"/>
      <c r="L712" s="541"/>
      <c r="M712" s="542"/>
      <c r="N712" s="701">
        <f t="shared" si="194"/>
        <v>0</v>
      </c>
      <c r="O712" s="690"/>
      <c r="P712" s="690"/>
      <c r="Q712" s="690"/>
      <c r="R712" s="690"/>
      <c r="S712" s="690"/>
      <c r="T712" s="690"/>
      <c r="U712" s="690">
        <f>+H712</f>
        <v>423500</v>
      </c>
      <c r="V712" s="690"/>
      <c r="W712" s="690"/>
      <c r="X712" s="690"/>
      <c r="Y712" s="690"/>
      <c r="Z712" s="690"/>
      <c r="AA712" s="690"/>
      <c r="AB712" s="690"/>
      <c r="AC712" s="690"/>
      <c r="AD712" s="690"/>
      <c r="AE712" s="690"/>
      <c r="AF712" s="690"/>
      <c r="AG712" s="690"/>
      <c r="AH712" s="690"/>
      <c r="AI712" s="690"/>
      <c r="AJ712" s="690"/>
      <c r="AK712" s="658"/>
    </row>
    <row r="713" spans="1:37" s="532" customFormat="1" ht="15" customHeight="1">
      <c r="B713" s="568"/>
      <c r="C713" s="851" t="s">
        <v>926</v>
      </c>
      <c r="D713" s="560" t="s">
        <v>116</v>
      </c>
      <c r="E713" s="535" t="s">
        <v>16</v>
      </c>
      <c r="F713" s="531">
        <v>1500000</v>
      </c>
      <c r="G713" s="537">
        <v>1</v>
      </c>
      <c r="H713" s="537">
        <f>F713*G713</f>
        <v>1500000</v>
      </c>
      <c r="I713" s="537"/>
      <c r="J713" s="570"/>
      <c r="K713" s="540"/>
      <c r="L713" s="541"/>
      <c r="M713" s="542"/>
      <c r="N713" s="701">
        <f t="shared" si="194"/>
        <v>0</v>
      </c>
      <c r="O713" s="690"/>
      <c r="P713" s="690"/>
      <c r="Q713" s="690"/>
      <c r="R713" s="690"/>
      <c r="S713" s="690"/>
      <c r="T713" s="690"/>
      <c r="U713" s="690">
        <f>+H713/3</f>
        <v>500000</v>
      </c>
      <c r="V713" s="690">
        <f>+U713</f>
        <v>500000</v>
      </c>
      <c r="W713" s="690">
        <f>+V713</f>
        <v>500000</v>
      </c>
      <c r="X713" s="690"/>
      <c r="Y713" s="690"/>
      <c r="Z713" s="690"/>
      <c r="AA713" s="690"/>
      <c r="AB713" s="690"/>
      <c r="AC713" s="690"/>
      <c r="AD713" s="690"/>
      <c r="AE713" s="690"/>
      <c r="AF713" s="690"/>
      <c r="AG713" s="690"/>
      <c r="AH713" s="690"/>
      <c r="AI713" s="690"/>
      <c r="AJ713" s="690"/>
      <c r="AK713" s="658"/>
    </row>
    <row r="714" spans="1:37" s="48" customFormat="1" ht="15" customHeight="1">
      <c r="A714" s="45"/>
      <c r="B714" s="314"/>
      <c r="C714" s="836"/>
      <c r="D714" s="73"/>
      <c r="E714" s="71"/>
      <c r="F714" s="906" t="s">
        <v>117</v>
      </c>
      <c r="G714" s="906"/>
      <c r="H714" s="191"/>
      <c r="I714" s="472">
        <f>SUM(H712:H713)</f>
        <v>1923500</v>
      </c>
      <c r="J714" s="294">
        <v>4</v>
      </c>
      <c r="K714" s="158"/>
      <c r="L714" s="386"/>
      <c r="M714" s="593"/>
      <c r="N714" s="701">
        <f t="shared" si="194"/>
        <v>0</v>
      </c>
      <c r="O714" s="676"/>
      <c r="P714" s="676"/>
      <c r="Q714" s="676"/>
      <c r="R714" s="676"/>
      <c r="S714" s="676"/>
      <c r="T714" s="676"/>
      <c r="U714" s="676"/>
      <c r="V714" s="676"/>
      <c r="W714" s="676"/>
      <c r="X714" s="676"/>
      <c r="Y714" s="676"/>
      <c r="Z714" s="676"/>
      <c r="AA714" s="676"/>
      <c r="AB714" s="676"/>
      <c r="AC714" s="676"/>
      <c r="AD714" s="676"/>
      <c r="AE714" s="676"/>
      <c r="AF714" s="676"/>
      <c r="AG714" s="676"/>
      <c r="AH714" s="676"/>
      <c r="AI714" s="676"/>
      <c r="AJ714" s="676"/>
      <c r="AK714" s="658"/>
    </row>
    <row r="715" spans="1:37" s="53" customFormat="1" ht="30" customHeight="1">
      <c r="A715" s="5"/>
      <c r="B715" s="309"/>
      <c r="C715" s="832"/>
      <c r="D715" s="49"/>
      <c r="E715" s="9"/>
      <c r="F715" s="8"/>
      <c r="G715" s="8"/>
      <c r="H715" s="50"/>
      <c r="I715" s="51"/>
      <c r="J715" s="51"/>
      <c r="K715" s="156"/>
      <c r="L715" s="383"/>
      <c r="M715" s="542"/>
      <c r="N715" s="701">
        <f t="shared" si="194"/>
        <v>0</v>
      </c>
      <c r="O715" s="677"/>
      <c r="P715" s="677"/>
      <c r="Q715" s="677"/>
      <c r="R715" s="677"/>
      <c r="S715" s="677"/>
      <c r="T715" s="677"/>
      <c r="U715" s="677"/>
      <c r="V715" s="677"/>
      <c r="W715" s="677"/>
      <c r="X715" s="677"/>
      <c r="Y715" s="677"/>
      <c r="Z715" s="677"/>
      <c r="AA715" s="677"/>
      <c r="AB715" s="677"/>
      <c r="AC715" s="677"/>
      <c r="AD715" s="677"/>
      <c r="AE715" s="677"/>
      <c r="AF715" s="677"/>
      <c r="AG715" s="677"/>
      <c r="AH715" s="677"/>
      <c r="AI715" s="677"/>
      <c r="AJ715" s="677"/>
      <c r="AK715" s="658"/>
    </row>
    <row r="716" spans="1:37" s="48" customFormat="1" ht="15" customHeight="1">
      <c r="A716" s="45"/>
      <c r="B716" s="312"/>
      <c r="C716" s="834"/>
      <c r="D716" s="33" t="s">
        <v>118</v>
      </c>
      <c r="E716" s="56" t="s">
        <v>13</v>
      </c>
      <c r="F716" s="57" t="s">
        <v>14</v>
      </c>
      <c r="G716" s="58" t="s">
        <v>15</v>
      </c>
      <c r="H716" s="192" t="s">
        <v>8</v>
      </c>
      <c r="I716" s="59"/>
      <c r="J716" s="292"/>
      <c r="K716" s="158"/>
      <c r="L716" s="386"/>
      <c r="M716" s="593"/>
      <c r="N716" s="701"/>
      <c r="O716" s="676"/>
      <c r="P716" s="676"/>
      <c r="Q716" s="676"/>
      <c r="R716" s="676"/>
      <c r="S716" s="676"/>
      <c r="T716" s="676"/>
      <c r="U716" s="676"/>
      <c r="V716" s="676"/>
      <c r="W716" s="676"/>
      <c r="X716" s="676"/>
      <c r="Y716" s="676"/>
      <c r="Z716" s="676"/>
      <c r="AA716" s="676"/>
      <c r="AB716" s="676"/>
      <c r="AC716" s="676"/>
      <c r="AD716" s="676"/>
      <c r="AE716" s="676"/>
      <c r="AF716" s="676"/>
      <c r="AG716" s="676"/>
      <c r="AH716" s="676"/>
      <c r="AI716" s="676"/>
      <c r="AJ716" s="676"/>
      <c r="AK716" s="658"/>
    </row>
    <row r="717" spans="1:37" s="532" customFormat="1" ht="15" customHeight="1">
      <c r="B717" s="568"/>
      <c r="C717" s="851" t="s">
        <v>926</v>
      </c>
      <c r="D717" s="560" t="s">
        <v>108</v>
      </c>
      <c r="E717" s="535" t="s">
        <v>16</v>
      </c>
      <c r="F717" s="531">
        <v>2420000</v>
      </c>
      <c r="G717" s="537">
        <v>1</v>
      </c>
      <c r="H717" s="537">
        <f>F717</f>
        <v>2420000</v>
      </c>
      <c r="I717" s="537"/>
      <c r="J717" s="570"/>
      <c r="K717" s="540"/>
      <c r="L717" s="541"/>
      <c r="M717" s="542"/>
      <c r="N717" s="701">
        <f t="shared" si="194"/>
        <v>0</v>
      </c>
      <c r="O717" s="690"/>
      <c r="P717" s="690"/>
      <c r="Q717" s="690"/>
      <c r="R717" s="690"/>
      <c r="S717" s="690"/>
      <c r="T717" s="690"/>
      <c r="U717" s="690">
        <f>+H717/8</f>
        <v>302500</v>
      </c>
      <c r="V717" s="690">
        <v>302500</v>
      </c>
      <c r="W717" s="690">
        <v>302500</v>
      </c>
      <c r="X717" s="690">
        <v>302500</v>
      </c>
      <c r="Y717" s="690">
        <v>302500</v>
      </c>
      <c r="Z717" s="690">
        <v>302500</v>
      </c>
      <c r="AA717" s="690">
        <v>302500</v>
      </c>
      <c r="AB717" s="690">
        <v>302500</v>
      </c>
      <c r="AC717" s="690"/>
      <c r="AD717" s="690"/>
      <c r="AE717" s="690"/>
      <c r="AF717" s="690"/>
      <c r="AG717" s="690"/>
      <c r="AH717" s="690"/>
      <c r="AI717" s="690"/>
      <c r="AJ717" s="690"/>
      <c r="AK717" s="658"/>
    </row>
    <row r="718" spans="1:37" s="532" customFormat="1" ht="15" customHeight="1">
      <c r="B718" s="568"/>
      <c r="C718" s="851" t="s">
        <v>926</v>
      </c>
      <c r="D718" s="560" t="s">
        <v>324</v>
      </c>
      <c r="E718" s="535" t="s">
        <v>16</v>
      </c>
      <c r="F718" s="531">
        <v>4235000</v>
      </c>
      <c r="G718" s="537"/>
      <c r="H718" s="537">
        <f>F718</f>
        <v>4235000</v>
      </c>
      <c r="I718" s="537"/>
      <c r="J718" s="570"/>
      <c r="K718" s="540"/>
      <c r="L718" s="541"/>
      <c r="M718" s="542"/>
      <c r="N718" s="701">
        <f t="shared" si="194"/>
        <v>0</v>
      </c>
      <c r="O718" s="690"/>
      <c r="P718" s="690"/>
      <c r="Q718" s="690"/>
      <c r="R718" s="690"/>
      <c r="S718" s="690"/>
      <c r="T718" s="690"/>
      <c r="U718" s="690">
        <f>+H718/8</f>
        <v>529375</v>
      </c>
      <c r="V718" s="690">
        <v>529375</v>
      </c>
      <c r="W718" s="690">
        <v>529375</v>
      </c>
      <c r="X718" s="690">
        <v>529375</v>
      </c>
      <c r="Y718" s="690">
        <v>529375</v>
      </c>
      <c r="Z718" s="690">
        <v>529375</v>
      </c>
      <c r="AA718" s="690">
        <v>529375</v>
      </c>
      <c r="AB718" s="690">
        <v>529375</v>
      </c>
      <c r="AC718" s="690"/>
      <c r="AD718" s="690"/>
      <c r="AE718" s="690"/>
      <c r="AF718" s="690"/>
      <c r="AG718" s="690"/>
      <c r="AH718" s="690"/>
      <c r="AI718" s="690"/>
      <c r="AJ718" s="690"/>
      <c r="AK718" s="658"/>
    </row>
    <row r="719" spans="1:37" s="532" customFormat="1" ht="15" customHeight="1">
      <c r="B719" s="568"/>
      <c r="C719" s="851" t="s">
        <v>926</v>
      </c>
      <c r="D719" s="560" t="s">
        <v>331</v>
      </c>
      <c r="E719" s="535" t="s">
        <v>27</v>
      </c>
      <c r="F719" s="531">
        <v>1149500</v>
      </c>
      <c r="G719" s="537">
        <v>0</v>
      </c>
      <c r="H719" s="537">
        <f>F719</f>
        <v>1149500</v>
      </c>
      <c r="I719" s="537"/>
      <c r="J719" s="570"/>
      <c r="K719" s="540"/>
      <c r="L719" s="541"/>
      <c r="M719" s="542"/>
      <c r="N719" s="701">
        <f t="shared" si="194"/>
        <v>0</v>
      </c>
      <c r="O719" s="690"/>
      <c r="P719" s="690"/>
      <c r="Q719" s="690"/>
      <c r="R719" s="690"/>
      <c r="S719" s="690"/>
      <c r="T719" s="690"/>
      <c r="U719" s="690">
        <f>+H719/8</f>
        <v>143687.5</v>
      </c>
      <c r="V719" s="690">
        <v>143687.5</v>
      </c>
      <c r="W719" s="690">
        <v>143687.5</v>
      </c>
      <c r="X719" s="690">
        <v>143687.5</v>
      </c>
      <c r="Y719" s="690">
        <v>143687.5</v>
      </c>
      <c r="Z719" s="690">
        <v>143687.5</v>
      </c>
      <c r="AA719" s="690">
        <v>143687.5</v>
      </c>
      <c r="AB719" s="690">
        <v>143687.5</v>
      </c>
      <c r="AC719" s="690"/>
      <c r="AD719" s="690"/>
      <c r="AE719" s="690"/>
      <c r="AF719" s="690"/>
      <c r="AG719" s="690"/>
      <c r="AH719" s="690"/>
      <c r="AI719" s="690"/>
      <c r="AJ719" s="690"/>
      <c r="AK719" s="658"/>
    </row>
    <row r="720" spans="1:37" s="48" customFormat="1" ht="15" customHeight="1">
      <c r="A720" s="45"/>
      <c r="B720" s="314"/>
      <c r="C720" s="836"/>
      <c r="D720" s="73"/>
      <c r="E720" s="71"/>
      <c r="F720" s="906" t="s">
        <v>119</v>
      </c>
      <c r="G720" s="906"/>
      <c r="H720" s="191"/>
      <c r="I720" s="472">
        <f>SUM(H717:H719)</f>
        <v>7804500</v>
      </c>
      <c r="J720" s="294">
        <v>6</v>
      </c>
      <c r="K720" s="158"/>
      <c r="L720" s="386"/>
      <c r="M720" s="593"/>
      <c r="N720" s="701">
        <f t="shared" si="194"/>
        <v>0</v>
      </c>
      <c r="O720" s="676"/>
      <c r="P720" s="676"/>
      <c r="Q720" s="676"/>
      <c r="R720" s="676"/>
      <c r="S720" s="676"/>
      <c r="T720" s="676"/>
      <c r="U720" s="676"/>
      <c r="V720" s="676"/>
      <c r="W720" s="676"/>
      <c r="X720" s="676"/>
      <c r="Y720" s="676"/>
      <c r="Z720" s="676"/>
      <c r="AA720" s="676"/>
      <c r="AB720" s="676"/>
      <c r="AC720" s="676"/>
      <c r="AD720" s="676"/>
      <c r="AE720" s="676"/>
      <c r="AF720" s="676"/>
      <c r="AG720" s="676"/>
      <c r="AH720" s="676"/>
      <c r="AI720" s="676"/>
      <c r="AJ720" s="676"/>
      <c r="AK720" s="658"/>
    </row>
    <row r="721" spans="1:37" s="53" customFormat="1" ht="30" customHeight="1">
      <c r="A721" s="5"/>
      <c r="B721" s="309"/>
      <c r="C721" s="832"/>
      <c r="D721" s="49"/>
      <c r="E721" s="9"/>
      <c r="F721" s="8"/>
      <c r="G721" s="8"/>
      <c r="H721" s="50"/>
      <c r="I721" s="51"/>
      <c r="J721" s="51"/>
      <c r="K721" s="156"/>
      <c r="L721" s="383"/>
      <c r="M721" s="542"/>
      <c r="N721" s="701">
        <f t="shared" si="194"/>
        <v>0</v>
      </c>
      <c r="O721" s="677"/>
      <c r="P721" s="677"/>
      <c r="Q721" s="677"/>
      <c r="R721" s="677"/>
      <c r="S721" s="677"/>
      <c r="T721" s="677"/>
      <c r="U721" s="677"/>
      <c r="V721" s="677"/>
      <c r="W721" s="677"/>
      <c r="X721" s="677"/>
      <c r="Y721" s="677"/>
      <c r="Z721" s="677"/>
      <c r="AA721" s="677"/>
      <c r="AB721" s="677"/>
      <c r="AC721" s="677"/>
      <c r="AD721" s="677"/>
      <c r="AE721" s="677"/>
      <c r="AF721" s="677"/>
      <c r="AG721" s="677"/>
      <c r="AH721" s="677"/>
      <c r="AI721" s="677"/>
      <c r="AJ721" s="677"/>
      <c r="AK721" s="658"/>
    </row>
    <row r="722" spans="1:37" s="48" customFormat="1" ht="15" customHeight="1">
      <c r="A722" s="45"/>
      <c r="B722" s="309"/>
      <c r="C722" s="834"/>
      <c r="D722" s="33" t="s">
        <v>120</v>
      </c>
      <c r="E722" s="56" t="s">
        <v>13</v>
      </c>
      <c r="F722" s="57" t="s">
        <v>14</v>
      </c>
      <c r="G722" s="58" t="s">
        <v>15</v>
      </c>
      <c r="H722" s="192" t="s">
        <v>8</v>
      </c>
      <c r="I722" s="59"/>
      <c r="J722" s="292"/>
      <c r="K722" s="158"/>
      <c r="L722" s="386"/>
      <c r="M722" s="593"/>
      <c r="N722" s="701"/>
      <c r="O722" s="676"/>
      <c r="P722" s="676"/>
      <c r="Q722" s="676"/>
      <c r="R722" s="676"/>
      <c r="S722" s="676"/>
      <c r="T722" s="676"/>
      <c r="U722" s="676"/>
      <c r="V722" s="676"/>
      <c r="W722" s="676"/>
      <c r="X722" s="676"/>
      <c r="Y722" s="676"/>
      <c r="Z722" s="676"/>
      <c r="AA722" s="676"/>
      <c r="AB722" s="676"/>
      <c r="AC722" s="676"/>
      <c r="AD722" s="676"/>
      <c r="AE722" s="676"/>
      <c r="AF722" s="676"/>
      <c r="AG722" s="676"/>
      <c r="AH722" s="676"/>
      <c r="AI722" s="676"/>
      <c r="AJ722" s="676"/>
      <c r="AK722" s="658"/>
    </row>
    <row r="723" spans="1:37" s="104" customFormat="1" ht="15" customHeight="1">
      <c r="B723" s="313"/>
      <c r="C723" s="851" t="s">
        <v>928</v>
      </c>
      <c r="D723" s="105" t="s">
        <v>99</v>
      </c>
      <c r="E723" s="106"/>
      <c r="F723" s="107"/>
      <c r="G723" s="107"/>
      <c r="H723" s="108"/>
      <c r="I723" s="109"/>
      <c r="J723" s="296"/>
      <c r="K723" s="156"/>
      <c r="L723" s="383"/>
      <c r="M723" s="542"/>
      <c r="N723" s="701"/>
      <c r="O723" s="688"/>
      <c r="P723" s="688"/>
      <c r="Q723" s="688"/>
      <c r="R723" s="688"/>
      <c r="S723" s="688"/>
      <c r="T723" s="688"/>
      <c r="U723" s="688"/>
      <c r="V723" s="688"/>
      <c r="W723" s="688"/>
      <c r="X723" s="688"/>
      <c r="Y723" s="688"/>
      <c r="Z723" s="688"/>
      <c r="AA723" s="688"/>
      <c r="AB723" s="688"/>
      <c r="AC723" s="688"/>
      <c r="AD723" s="688"/>
      <c r="AE723" s="688"/>
      <c r="AF723" s="688"/>
      <c r="AG723" s="688"/>
      <c r="AH723" s="688"/>
      <c r="AI723" s="688"/>
      <c r="AJ723" s="688"/>
      <c r="AK723" s="658"/>
    </row>
    <row r="724" spans="1:37" s="543" customFormat="1" ht="15" customHeight="1">
      <c r="A724" s="532"/>
      <c r="B724" s="568"/>
      <c r="C724" s="851"/>
      <c r="D724" s="556" t="s">
        <v>449</v>
      </c>
      <c r="E724" s="535" t="s">
        <v>16</v>
      </c>
      <c r="F724" s="655">
        <v>300000</v>
      </c>
      <c r="G724" s="537">
        <v>8</v>
      </c>
      <c r="H724" s="537">
        <f t="shared" ref="H724:H731" si="196">+F724*G724</f>
        <v>2400000</v>
      </c>
      <c r="I724" s="569"/>
      <c r="J724" s="547"/>
      <c r="K724" s="540"/>
      <c r="L724" s="541"/>
      <c r="M724" s="542"/>
      <c r="N724" s="701"/>
      <c r="O724" s="687"/>
      <c r="P724" s="687"/>
      <c r="Q724" s="687"/>
      <c r="R724" s="687"/>
      <c r="S724" s="687"/>
      <c r="T724" s="687"/>
      <c r="U724" s="687"/>
      <c r="V724" s="687"/>
      <c r="W724" s="687"/>
      <c r="X724" s="687"/>
      <c r="Y724" s="687"/>
      <c r="Z724" s="687"/>
      <c r="AA724" s="687"/>
      <c r="AB724" s="687"/>
      <c r="AC724" s="687"/>
      <c r="AD724" s="687"/>
      <c r="AE724" s="687"/>
      <c r="AF724" s="687"/>
      <c r="AG724" s="687"/>
      <c r="AH724" s="687"/>
      <c r="AI724" s="687"/>
      <c r="AJ724" s="687"/>
      <c r="AK724" s="658"/>
    </row>
    <row r="725" spans="1:37" s="543" customFormat="1" ht="15" customHeight="1">
      <c r="A725" s="532"/>
      <c r="B725" s="568"/>
      <c r="C725" s="851"/>
      <c r="D725" s="556" t="s">
        <v>325</v>
      </c>
      <c r="E725" s="535" t="s">
        <v>16</v>
      </c>
      <c r="F725" s="531">
        <v>150000</v>
      </c>
      <c r="G725" s="537">
        <v>2</v>
      </c>
      <c r="H725" s="537">
        <f t="shared" si="196"/>
        <v>300000</v>
      </c>
      <c r="I725" s="569"/>
      <c r="J725" s="547"/>
      <c r="K725" s="540"/>
      <c r="L725" s="541"/>
      <c r="M725" s="542"/>
      <c r="N725" s="701"/>
      <c r="O725" s="687"/>
      <c r="P725" s="687"/>
      <c r="Q725" s="687"/>
      <c r="R725" s="687"/>
      <c r="S725" s="687"/>
      <c r="T725" s="687"/>
      <c r="U725" s="687"/>
      <c r="V725" s="687"/>
      <c r="W725" s="687"/>
      <c r="X725" s="687"/>
      <c r="Y725" s="687"/>
      <c r="Z725" s="687"/>
      <c r="AA725" s="687"/>
      <c r="AB725" s="687"/>
      <c r="AC725" s="687"/>
      <c r="AD725" s="687"/>
      <c r="AE725" s="687"/>
      <c r="AF725" s="687"/>
      <c r="AG725" s="687"/>
      <c r="AH725" s="687"/>
      <c r="AI725" s="687"/>
      <c r="AJ725" s="687"/>
      <c r="AK725" s="658"/>
    </row>
    <row r="726" spans="1:37" s="543" customFormat="1" ht="15" customHeight="1">
      <c r="A726" s="532"/>
      <c r="B726" s="568"/>
      <c r="C726" s="851"/>
      <c r="D726" s="556" t="s">
        <v>326</v>
      </c>
      <c r="E726" s="535" t="s">
        <v>16</v>
      </c>
      <c r="F726" s="531">
        <v>120000</v>
      </c>
      <c r="G726" s="537">
        <v>4</v>
      </c>
      <c r="H726" s="537">
        <f t="shared" si="196"/>
        <v>480000</v>
      </c>
      <c r="I726" s="569"/>
      <c r="J726" s="547"/>
      <c r="K726" s="540"/>
      <c r="L726" s="541"/>
      <c r="M726" s="542"/>
      <c r="N726" s="701"/>
      <c r="O726" s="687"/>
      <c r="P726" s="687"/>
      <c r="Q726" s="687"/>
      <c r="R726" s="687"/>
      <c r="S726" s="687"/>
      <c r="T726" s="687"/>
      <c r="U726" s="687"/>
      <c r="V726" s="687"/>
      <c r="W726" s="687"/>
      <c r="X726" s="687"/>
      <c r="Y726" s="687"/>
      <c r="Z726" s="687"/>
      <c r="AA726" s="687"/>
      <c r="AB726" s="687"/>
      <c r="AC726" s="687"/>
      <c r="AD726" s="687"/>
      <c r="AE726" s="687"/>
      <c r="AF726" s="687"/>
      <c r="AG726" s="687"/>
      <c r="AH726" s="687"/>
      <c r="AI726" s="687"/>
      <c r="AJ726" s="687"/>
      <c r="AK726" s="658"/>
    </row>
    <row r="727" spans="1:37" s="543" customFormat="1" ht="15" customHeight="1">
      <c r="A727" s="532"/>
      <c r="B727" s="568"/>
      <c r="C727" s="851"/>
      <c r="D727" s="556" t="s">
        <v>327</v>
      </c>
      <c r="E727" s="535" t="s">
        <v>16</v>
      </c>
      <c r="F727" s="531">
        <v>150000</v>
      </c>
      <c r="G727" s="537">
        <v>1</v>
      </c>
      <c r="H727" s="537">
        <f t="shared" si="196"/>
        <v>150000</v>
      </c>
      <c r="I727" s="569"/>
      <c r="J727" s="547"/>
      <c r="K727" s="540"/>
      <c r="L727" s="541"/>
      <c r="M727" s="542"/>
      <c r="N727" s="701"/>
      <c r="O727" s="687"/>
      <c r="P727" s="687"/>
      <c r="Q727" s="687"/>
      <c r="R727" s="687"/>
      <c r="S727" s="687"/>
      <c r="T727" s="687"/>
      <c r="U727" s="687"/>
      <c r="V727" s="687"/>
      <c r="W727" s="687"/>
      <c r="X727" s="687"/>
      <c r="Y727" s="687"/>
      <c r="Z727" s="687"/>
      <c r="AA727" s="687"/>
      <c r="AB727" s="687"/>
      <c r="AC727" s="687"/>
      <c r="AD727" s="687"/>
      <c r="AE727" s="687"/>
      <c r="AF727" s="687"/>
      <c r="AG727" s="687"/>
      <c r="AH727" s="687"/>
      <c r="AI727" s="687"/>
      <c r="AJ727" s="687"/>
      <c r="AK727" s="658"/>
    </row>
    <row r="728" spans="1:37" s="543" customFormat="1" ht="15" customHeight="1">
      <c r="A728" s="532"/>
      <c r="B728" s="568"/>
      <c r="C728" s="851"/>
      <c r="D728" s="556" t="s">
        <v>450</v>
      </c>
      <c r="E728" s="535" t="s">
        <v>16</v>
      </c>
      <c r="F728" s="531">
        <v>120000</v>
      </c>
      <c r="G728" s="537">
        <v>1</v>
      </c>
      <c r="H728" s="537">
        <f t="shared" si="196"/>
        <v>120000</v>
      </c>
      <c r="I728" s="569"/>
      <c r="J728" s="547"/>
      <c r="K728" s="540"/>
      <c r="L728" s="541"/>
      <c r="M728" s="542"/>
      <c r="N728" s="701"/>
      <c r="O728" s="687"/>
      <c r="P728" s="687"/>
      <c r="Q728" s="687"/>
      <c r="R728" s="687"/>
      <c r="S728" s="687"/>
      <c r="T728" s="687"/>
      <c r="U728" s="687"/>
      <c r="V728" s="687"/>
      <c r="W728" s="687"/>
      <c r="X728" s="687"/>
      <c r="Y728" s="687"/>
      <c r="Z728" s="687"/>
      <c r="AA728" s="687"/>
      <c r="AB728" s="687"/>
      <c r="AC728" s="687"/>
      <c r="AD728" s="687"/>
      <c r="AE728" s="687"/>
      <c r="AF728" s="687"/>
      <c r="AG728" s="687"/>
      <c r="AH728" s="687"/>
      <c r="AI728" s="687"/>
      <c r="AJ728" s="687"/>
      <c r="AK728" s="658"/>
    </row>
    <row r="729" spans="1:37" s="543" customFormat="1" ht="15" customHeight="1">
      <c r="A729" s="532"/>
      <c r="B729" s="568"/>
      <c r="C729" s="851"/>
      <c r="D729" s="556" t="s">
        <v>451</v>
      </c>
      <c r="E729" s="535" t="s">
        <v>16</v>
      </c>
      <c r="F729" s="531">
        <v>120000</v>
      </c>
      <c r="G729" s="537">
        <v>3</v>
      </c>
      <c r="H729" s="537">
        <f t="shared" si="196"/>
        <v>360000</v>
      </c>
      <c r="I729" s="569"/>
      <c r="J729" s="547"/>
      <c r="K729" s="540"/>
      <c r="L729" s="541"/>
      <c r="M729" s="542"/>
      <c r="N729" s="701"/>
      <c r="O729" s="687"/>
      <c r="P729" s="687"/>
      <c r="Q729" s="687"/>
      <c r="R729" s="687"/>
      <c r="S729" s="687"/>
      <c r="T729" s="687"/>
      <c r="U729" s="687"/>
      <c r="V729" s="687"/>
      <c r="W729" s="687"/>
      <c r="X729" s="687"/>
      <c r="Y729" s="687"/>
      <c r="Z729" s="687"/>
      <c r="AA729" s="687"/>
      <c r="AB729" s="687"/>
      <c r="AC729" s="687"/>
      <c r="AD729" s="687"/>
      <c r="AE729" s="687"/>
      <c r="AF729" s="687"/>
      <c r="AG729" s="687"/>
      <c r="AH729" s="687"/>
      <c r="AI729" s="687"/>
      <c r="AJ729" s="687"/>
      <c r="AK729" s="658"/>
    </row>
    <row r="730" spans="1:37" s="543" customFormat="1" ht="15" customHeight="1">
      <c r="A730" s="532"/>
      <c r="B730" s="568"/>
      <c r="C730" s="851"/>
      <c r="D730" s="556" t="s">
        <v>452</v>
      </c>
      <c r="E730" s="545" t="s">
        <v>16</v>
      </c>
      <c r="F730" s="531">
        <v>90000</v>
      </c>
      <c r="G730" s="537">
        <v>3</v>
      </c>
      <c r="H730" s="537">
        <f t="shared" si="196"/>
        <v>270000</v>
      </c>
      <c r="I730" s="569"/>
      <c r="J730" s="547"/>
      <c r="K730" s="540"/>
      <c r="L730" s="541"/>
      <c r="M730" s="542"/>
      <c r="N730" s="701"/>
      <c r="O730" s="687"/>
      <c r="P730" s="687"/>
      <c r="Q730" s="687"/>
      <c r="R730" s="687"/>
      <c r="S730" s="687"/>
      <c r="T730" s="687"/>
      <c r="U730" s="687"/>
      <c r="V730" s="687"/>
      <c r="W730" s="687"/>
      <c r="X730" s="687"/>
      <c r="Y730" s="687"/>
      <c r="Z730" s="687"/>
      <c r="AA730" s="687"/>
      <c r="AB730" s="687"/>
      <c r="AC730" s="687"/>
      <c r="AD730" s="687"/>
      <c r="AE730" s="687"/>
      <c r="AF730" s="687"/>
      <c r="AG730" s="687"/>
      <c r="AH730" s="687"/>
      <c r="AI730" s="687"/>
      <c r="AJ730" s="687"/>
      <c r="AK730" s="658"/>
    </row>
    <row r="731" spans="1:37" s="543" customFormat="1" ht="15" customHeight="1">
      <c r="A731" s="532"/>
      <c r="B731" s="568"/>
      <c r="C731" s="851"/>
      <c r="D731" s="556" t="s">
        <v>453</v>
      </c>
      <c r="E731" s="545" t="s">
        <v>329</v>
      </c>
      <c r="F731" s="655">
        <v>100000</v>
      </c>
      <c r="G731" s="537">
        <v>25</v>
      </c>
      <c r="H731" s="537">
        <f t="shared" si="196"/>
        <v>2500000</v>
      </c>
      <c r="I731" s="569"/>
      <c r="J731" s="547"/>
      <c r="K731" s="540"/>
      <c r="L731" s="541"/>
      <c r="M731" s="542"/>
      <c r="N731" s="701"/>
      <c r="O731" s="687"/>
      <c r="P731" s="687"/>
      <c r="Q731" s="687"/>
      <c r="R731" s="687"/>
      <c r="S731" s="687"/>
      <c r="T731" s="687"/>
      <c r="U731" s="687"/>
      <c r="V731" s="687"/>
      <c r="W731" s="687"/>
      <c r="X731" s="687"/>
      <c r="Y731" s="687"/>
      <c r="Z731" s="687"/>
      <c r="AA731" s="687"/>
      <c r="AB731" s="687"/>
      <c r="AC731" s="687"/>
      <c r="AD731" s="687"/>
      <c r="AE731" s="687"/>
      <c r="AF731" s="687"/>
      <c r="AG731" s="687"/>
      <c r="AH731" s="687"/>
      <c r="AI731" s="687"/>
      <c r="AJ731" s="687"/>
      <c r="AK731" s="658"/>
    </row>
    <row r="732" spans="1:37" s="5" customFormat="1" ht="15" customHeight="1">
      <c r="B732" s="313"/>
      <c r="C732" s="835"/>
      <c r="D732" s="113"/>
      <c r="E732" s="114" t="s">
        <v>282</v>
      </c>
      <c r="F732" s="124"/>
      <c r="G732" s="125"/>
      <c r="H732" s="75"/>
      <c r="I732" s="118"/>
      <c r="J732" s="52"/>
      <c r="K732" s="156"/>
      <c r="L732" s="383"/>
      <c r="M732" s="542"/>
      <c r="N732" s="701"/>
      <c r="O732" s="678"/>
      <c r="P732" s="678"/>
      <c r="Q732" s="678"/>
      <c r="R732" s="678"/>
      <c r="S732" s="678"/>
      <c r="T732" s="678"/>
      <c r="U732" s="678"/>
      <c r="V732" s="678"/>
      <c r="W732" s="678"/>
      <c r="X732" s="678"/>
      <c r="Y732" s="678"/>
      <c r="Z732" s="678"/>
      <c r="AA732" s="678"/>
      <c r="AB732" s="678"/>
      <c r="AC732" s="678"/>
      <c r="AD732" s="678"/>
      <c r="AE732" s="678"/>
      <c r="AF732" s="678"/>
      <c r="AG732" s="678"/>
      <c r="AH732" s="678"/>
      <c r="AI732" s="678"/>
      <c r="AJ732" s="678"/>
      <c r="AK732" s="658"/>
    </row>
    <row r="733" spans="1:37" ht="15" customHeight="1">
      <c r="A733" s="5"/>
      <c r="B733" s="309"/>
      <c r="C733" s="833"/>
      <c r="D733" s="17"/>
      <c r="E733" s="115"/>
      <c r="F733" s="124"/>
      <c r="G733" s="64"/>
      <c r="H733" s="86"/>
      <c r="I733" s="72"/>
      <c r="J733" s="52"/>
      <c r="K733" s="156"/>
      <c r="L733" s="383"/>
      <c r="M733" s="542"/>
      <c r="N733" s="701"/>
      <c r="O733" s="675"/>
      <c r="P733" s="675"/>
      <c r="Q733" s="675"/>
      <c r="R733" s="675"/>
      <c r="S733" s="675"/>
      <c r="T733" s="675"/>
      <c r="U733" s="675"/>
      <c r="V733" s="675"/>
      <c r="W733" s="675"/>
      <c r="X733" s="675"/>
      <c r="Y733" s="675"/>
      <c r="Z733" s="675"/>
      <c r="AA733" s="675"/>
      <c r="AB733" s="675"/>
      <c r="AC733" s="675"/>
      <c r="AD733" s="675"/>
      <c r="AE733" s="675"/>
      <c r="AF733" s="675"/>
      <c r="AG733" s="675"/>
      <c r="AH733" s="675"/>
      <c r="AI733" s="675"/>
      <c r="AJ733" s="675"/>
      <c r="AK733" s="658"/>
    </row>
    <row r="734" spans="1:37" ht="15" customHeight="1">
      <c r="A734" s="5"/>
      <c r="B734" s="313"/>
      <c r="C734" s="835"/>
      <c r="D734" s="17" t="s">
        <v>121</v>
      </c>
      <c r="E734" s="81" t="s">
        <v>60</v>
      </c>
      <c r="F734" s="253">
        <v>40000</v>
      </c>
      <c r="G734" s="64">
        <v>25</v>
      </c>
      <c r="H734" s="64">
        <f>F734*G734</f>
        <v>1000000</v>
      </c>
      <c r="I734" s="72"/>
      <c r="J734" s="52"/>
      <c r="K734" s="156"/>
      <c r="L734" s="383"/>
      <c r="M734" s="542"/>
      <c r="N734" s="701"/>
      <c r="O734" s="675"/>
      <c r="P734" s="675"/>
      <c r="Q734" s="675"/>
      <c r="R734" s="675"/>
      <c r="S734" s="675"/>
      <c r="T734" s="675"/>
      <c r="U734" s="675"/>
      <c r="V734" s="675"/>
      <c r="W734" s="675"/>
      <c r="X734" s="675"/>
      <c r="Y734" s="675"/>
      <c r="Z734" s="675"/>
      <c r="AA734" s="675"/>
      <c r="AB734" s="675"/>
      <c r="AC734" s="675"/>
      <c r="AD734" s="675"/>
      <c r="AE734" s="675"/>
      <c r="AF734" s="675"/>
      <c r="AG734" s="675"/>
      <c r="AH734" s="675"/>
      <c r="AI734" s="675"/>
      <c r="AJ734" s="675"/>
      <c r="AK734" s="658"/>
    </row>
    <row r="735" spans="1:37" s="5" customFormat="1" ht="15" customHeight="1">
      <c r="B735" s="313"/>
      <c r="C735" s="835"/>
      <c r="D735" s="105" t="s">
        <v>347</v>
      </c>
      <c r="E735" s="120"/>
      <c r="F735" s="91"/>
      <c r="G735" s="121"/>
      <c r="H735" s="64"/>
      <c r="I735" s="126"/>
      <c r="J735" s="52"/>
      <c r="K735" s="156"/>
      <c r="L735" s="383"/>
      <c r="M735" s="542"/>
      <c r="N735" s="701"/>
      <c r="O735" s="678"/>
      <c r="P735" s="678"/>
      <c r="Q735" s="678"/>
      <c r="R735" s="678"/>
      <c r="S735" s="678"/>
      <c r="T735" s="678"/>
      <c r="U735" s="678"/>
      <c r="V735" s="678"/>
      <c r="W735" s="678"/>
      <c r="X735" s="678"/>
      <c r="Y735" s="678"/>
      <c r="Z735" s="678"/>
      <c r="AA735" s="678"/>
      <c r="AB735" s="678"/>
      <c r="AC735" s="678"/>
      <c r="AD735" s="678"/>
      <c r="AE735" s="678"/>
      <c r="AF735" s="678"/>
      <c r="AG735" s="678"/>
      <c r="AH735" s="678"/>
      <c r="AI735" s="678"/>
      <c r="AJ735" s="678"/>
      <c r="AK735" s="658"/>
    </row>
    <row r="736" spans="1:37" s="53" customFormat="1" ht="15" customHeight="1">
      <c r="A736" s="5"/>
      <c r="B736" s="309"/>
      <c r="C736" s="833"/>
      <c r="D736" s="17" t="s">
        <v>122</v>
      </c>
      <c r="E736" s="67" t="s">
        <v>16</v>
      </c>
      <c r="F736" s="253">
        <v>6000</v>
      </c>
      <c r="G736" s="64">
        <v>1</v>
      </c>
      <c r="H736" s="64">
        <f t="shared" ref="H736:H742" si="197">F736*G736</f>
        <v>6000</v>
      </c>
      <c r="I736" s="79"/>
      <c r="J736" s="52"/>
      <c r="K736" s="156"/>
      <c r="L736" s="383"/>
      <c r="M736" s="542"/>
      <c r="N736" s="701"/>
      <c r="O736" s="677"/>
      <c r="P736" s="677"/>
      <c r="Q736" s="677"/>
      <c r="R736" s="677"/>
      <c r="S736" s="677"/>
      <c r="T736" s="677"/>
      <c r="U736" s="677"/>
      <c r="V736" s="677"/>
      <c r="W736" s="677"/>
      <c r="X736" s="677"/>
      <c r="Y736" s="677"/>
      <c r="Z736" s="677"/>
      <c r="AA736" s="677"/>
      <c r="AB736" s="677"/>
      <c r="AC736" s="677"/>
      <c r="AD736" s="677"/>
      <c r="AE736" s="677"/>
      <c r="AF736" s="677"/>
      <c r="AG736" s="677"/>
      <c r="AH736" s="677"/>
      <c r="AI736" s="677"/>
      <c r="AJ736" s="677"/>
      <c r="AK736" s="658"/>
    </row>
    <row r="737" spans="1:37" s="53" customFormat="1" ht="15" customHeight="1">
      <c r="A737" s="5"/>
      <c r="B737" s="309"/>
      <c r="C737" s="833"/>
      <c r="D737" s="17" t="s">
        <v>123</v>
      </c>
      <c r="E737" s="67" t="s">
        <v>29</v>
      </c>
      <c r="F737" s="253">
        <v>1945</v>
      </c>
      <c r="G737" s="64">
        <v>30</v>
      </c>
      <c r="H737" s="64">
        <f t="shared" si="197"/>
        <v>58350</v>
      </c>
      <c r="I737" s="79"/>
      <c r="J737" s="52"/>
      <c r="K737" s="156"/>
      <c r="L737" s="383"/>
      <c r="M737" s="542"/>
      <c r="N737" s="701"/>
      <c r="O737" s="677"/>
      <c r="P737" s="677"/>
      <c r="Q737" s="677"/>
      <c r="R737" s="677"/>
      <c r="S737" s="677"/>
      <c r="T737" s="677"/>
      <c r="U737" s="677"/>
      <c r="V737" s="677"/>
      <c r="W737" s="677"/>
      <c r="X737" s="677"/>
      <c r="Y737" s="677"/>
      <c r="Z737" s="677"/>
      <c r="AA737" s="677"/>
      <c r="AB737" s="677"/>
      <c r="AC737" s="677"/>
      <c r="AD737" s="677"/>
      <c r="AE737" s="677"/>
      <c r="AF737" s="677"/>
      <c r="AG737" s="677"/>
      <c r="AH737" s="677"/>
      <c r="AI737" s="677"/>
      <c r="AJ737" s="677"/>
      <c r="AK737" s="658"/>
    </row>
    <row r="738" spans="1:37" s="53" customFormat="1" ht="15" customHeight="1">
      <c r="A738" s="5"/>
      <c r="B738" s="309"/>
      <c r="C738" s="833"/>
      <c r="D738" s="17" t="s">
        <v>124</v>
      </c>
      <c r="E738" s="67" t="s">
        <v>29</v>
      </c>
      <c r="F738" s="253">
        <v>1030</v>
      </c>
      <c r="G738" s="64">
        <v>30</v>
      </c>
      <c r="H738" s="64">
        <f t="shared" si="197"/>
        <v>30900</v>
      </c>
      <c r="I738" s="79"/>
      <c r="J738" s="52"/>
      <c r="K738" s="156"/>
      <c r="L738" s="383"/>
      <c r="M738" s="542"/>
      <c r="N738" s="701"/>
      <c r="O738" s="677"/>
      <c r="P738" s="677"/>
      <c r="Q738" s="677"/>
      <c r="R738" s="677"/>
      <c r="S738" s="677"/>
      <c r="T738" s="677"/>
      <c r="U738" s="677"/>
      <c r="V738" s="677"/>
      <c r="W738" s="677"/>
      <c r="X738" s="677"/>
      <c r="Y738" s="677"/>
      <c r="Z738" s="677"/>
      <c r="AA738" s="677"/>
      <c r="AB738" s="677"/>
      <c r="AC738" s="677"/>
      <c r="AD738" s="677"/>
      <c r="AE738" s="677"/>
      <c r="AF738" s="677"/>
      <c r="AG738" s="677"/>
      <c r="AH738" s="677"/>
      <c r="AI738" s="677"/>
      <c r="AJ738" s="677"/>
      <c r="AK738" s="658"/>
    </row>
    <row r="739" spans="1:37" s="53" customFormat="1" ht="15" customHeight="1">
      <c r="A739" s="5"/>
      <c r="B739" s="309"/>
      <c r="C739" s="833"/>
      <c r="D739" s="17" t="s">
        <v>125</v>
      </c>
      <c r="E739" s="67" t="s">
        <v>29</v>
      </c>
      <c r="F739" s="253">
        <v>7800</v>
      </c>
      <c r="G739" s="64">
        <v>10</v>
      </c>
      <c r="H739" s="64">
        <f t="shared" si="197"/>
        <v>78000</v>
      </c>
      <c r="I739" s="79"/>
      <c r="J739" s="52"/>
      <c r="K739" s="156"/>
      <c r="L739" s="383"/>
      <c r="M739" s="542"/>
      <c r="N739" s="701"/>
      <c r="O739" s="677"/>
      <c r="P739" s="677"/>
      <c r="Q739" s="677"/>
      <c r="R739" s="677"/>
      <c r="S739" s="677"/>
      <c r="T739" s="677"/>
      <c r="U739" s="677"/>
      <c r="V739" s="677"/>
      <c r="W739" s="677"/>
      <c r="X739" s="677"/>
      <c r="Y739" s="677"/>
      <c r="Z739" s="677"/>
      <c r="AA739" s="677"/>
      <c r="AB739" s="677"/>
      <c r="AC739" s="677"/>
      <c r="AD739" s="677"/>
      <c r="AE739" s="677"/>
      <c r="AF739" s="677"/>
      <c r="AG739" s="677"/>
      <c r="AH739" s="677"/>
      <c r="AI739" s="677"/>
      <c r="AJ739" s="677"/>
      <c r="AK739" s="658"/>
    </row>
    <row r="740" spans="1:37" s="53" customFormat="1" ht="15" customHeight="1">
      <c r="A740" s="5"/>
      <c r="B740" s="309"/>
      <c r="C740" s="833"/>
      <c r="D740" s="17" t="s">
        <v>126</v>
      </c>
      <c r="E740" s="67" t="s">
        <v>29</v>
      </c>
      <c r="F740" s="253">
        <v>910</v>
      </c>
      <c r="G740" s="64">
        <v>15</v>
      </c>
      <c r="H740" s="64">
        <f t="shared" si="197"/>
        <v>13650</v>
      </c>
      <c r="I740" s="79"/>
      <c r="J740" s="52"/>
      <c r="K740" s="156"/>
      <c r="L740" s="383"/>
      <c r="M740" s="542"/>
      <c r="N740" s="701"/>
      <c r="O740" s="677"/>
      <c r="P740" s="677"/>
      <c r="Q740" s="677"/>
      <c r="R740" s="677"/>
      <c r="S740" s="677"/>
      <c r="T740" s="677"/>
      <c r="U740" s="677"/>
      <c r="V740" s="677"/>
      <c r="W740" s="677"/>
      <c r="X740" s="677"/>
      <c r="Y740" s="677"/>
      <c r="Z740" s="677"/>
      <c r="AA740" s="677"/>
      <c r="AB740" s="677"/>
      <c r="AC740" s="677"/>
      <c r="AD740" s="677"/>
      <c r="AE740" s="677"/>
      <c r="AF740" s="677"/>
      <c r="AG740" s="677"/>
      <c r="AH740" s="677"/>
      <c r="AI740" s="677"/>
      <c r="AJ740" s="677"/>
      <c r="AK740" s="658"/>
    </row>
    <row r="741" spans="1:37" s="53" customFormat="1" ht="15" customHeight="1">
      <c r="A741" s="5"/>
      <c r="B741" s="309"/>
      <c r="C741" s="833"/>
      <c r="D741" s="17" t="s">
        <v>127</v>
      </c>
      <c r="E741" s="67" t="s">
        <v>29</v>
      </c>
      <c r="F741" s="253">
        <v>21300</v>
      </c>
      <c r="G741" s="64">
        <v>1</v>
      </c>
      <c r="H741" s="64">
        <f t="shared" si="197"/>
        <v>21300</v>
      </c>
      <c r="I741" s="118"/>
      <c r="J741" s="52"/>
      <c r="K741" s="156"/>
      <c r="L741" s="383"/>
      <c r="M741" s="542"/>
      <c r="N741" s="701"/>
      <c r="O741" s="677"/>
      <c r="P741" s="677"/>
      <c r="Q741" s="677"/>
      <c r="R741" s="677"/>
      <c r="S741" s="677"/>
      <c r="T741" s="677"/>
      <c r="U741" s="677"/>
      <c r="V741" s="677"/>
      <c r="W741" s="677"/>
      <c r="X741" s="677"/>
      <c r="Y741" s="677"/>
      <c r="Z741" s="677"/>
      <c r="AA741" s="677"/>
      <c r="AB741" s="677"/>
      <c r="AC741" s="677"/>
      <c r="AD741" s="677"/>
      <c r="AE741" s="677"/>
      <c r="AF741" s="677"/>
      <c r="AG741" s="677"/>
      <c r="AH741" s="677"/>
      <c r="AI741" s="677"/>
      <c r="AJ741" s="677"/>
      <c r="AK741" s="658"/>
    </row>
    <row r="742" spans="1:37" s="53" customFormat="1" ht="15" customHeight="1">
      <c r="A742" s="5"/>
      <c r="B742" s="309"/>
      <c r="C742" s="833"/>
      <c r="D742" s="17" t="s">
        <v>128</v>
      </c>
      <c r="E742" s="67" t="s">
        <v>27</v>
      </c>
      <c r="F742" s="124">
        <v>12000</v>
      </c>
      <c r="G742" s="64">
        <v>6</v>
      </c>
      <c r="H742" s="64">
        <f t="shared" si="197"/>
        <v>72000</v>
      </c>
      <c r="I742" s="72"/>
      <c r="J742" s="52"/>
      <c r="K742" s="156"/>
      <c r="L742" s="383"/>
      <c r="M742" s="542"/>
      <c r="N742" s="701"/>
      <c r="O742" s="677"/>
      <c r="P742" s="677"/>
      <c r="Q742" s="677"/>
      <c r="R742" s="677"/>
      <c r="S742" s="677"/>
      <c r="T742" s="677"/>
      <c r="U742" s="677"/>
      <c r="V742" s="677"/>
      <c r="W742" s="677"/>
      <c r="X742" s="677"/>
      <c r="Y742" s="677"/>
      <c r="Z742" s="677"/>
      <c r="AA742" s="677"/>
      <c r="AB742" s="677"/>
      <c r="AC742" s="677"/>
      <c r="AD742" s="677"/>
      <c r="AE742" s="677"/>
      <c r="AF742" s="677"/>
      <c r="AG742" s="677"/>
      <c r="AH742" s="677"/>
      <c r="AI742" s="677"/>
      <c r="AJ742" s="677"/>
      <c r="AK742" s="658"/>
    </row>
    <row r="743" spans="1:37" s="104" customFormat="1" ht="15" customHeight="1">
      <c r="B743" s="313"/>
      <c r="C743" s="851" t="s">
        <v>927</v>
      </c>
      <c r="D743" s="105" t="s">
        <v>129</v>
      </c>
      <c r="E743" s="120"/>
      <c r="F743" s="91"/>
      <c r="G743" s="121"/>
      <c r="H743" s="64"/>
      <c r="I743" s="126"/>
      <c r="J743" s="52"/>
      <c r="K743" s="156"/>
      <c r="L743" s="383"/>
      <c r="M743" s="542"/>
      <c r="N743" s="701"/>
      <c r="O743" s="688"/>
      <c r="P743" s="688"/>
      <c r="Q743" s="688"/>
      <c r="R743" s="688"/>
      <c r="S743" s="688"/>
      <c r="T743" s="688"/>
      <c r="U743" s="688"/>
      <c r="V743" s="688"/>
      <c r="W743" s="688"/>
      <c r="X743" s="688"/>
      <c r="Y743" s="688"/>
      <c r="Z743" s="688"/>
      <c r="AA743" s="688"/>
      <c r="AB743" s="688"/>
      <c r="AC743" s="688"/>
      <c r="AD743" s="688"/>
      <c r="AE743" s="688"/>
      <c r="AF743" s="688"/>
      <c r="AG743" s="688"/>
      <c r="AH743" s="688"/>
      <c r="AI743" s="688"/>
      <c r="AJ743" s="688"/>
      <c r="AK743" s="658"/>
    </row>
    <row r="744" spans="1:37" s="5" customFormat="1" ht="15" customHeight="1">
      <c r="B744" s="309"/>
      <c r="C744" s="833"/>
      <c r="D744" s="17" t="s">
        <v>130</v>
      </c>
      <c r="E744" s="67" t="s">
        <v>29</v>
      </c>
      <c r="F744" s="124">
        <v>60000</v>
      </c>
      <c r="G744" s="64">
        <v>5</v>
      </c>
      <c r="H744" s="64">
        <f>+F744*G744</f>
        <v>300000</v>
      </c>
      <c r="I744" s="72"/>
      <c r="J744" s="52"/>
      <c r="K744" s="156"/>
      <c r="L744" s="383"/>
      <c r="M744" s="542"/>
      <c r="N744" s="701"/>
      <c r="O744" s="678"/>
      <c r="P744" s="678"/>
      <c r="Q744" s="678"/>
      <c r="R744" s="678"/>
      <c r="S744" s="678"/>
      <c r="T744" s="678"/>
      <c r="U744" s="678"/>
      <c r="V744" s="678"/>
      <c r="W744" s="678"/>
      <c r="X744" s="678"/>
      <c r="Y744" s="678"/>
      <c r="Z744" s="678"/>
      <c r="AA744" s="678"/>
      <c r="AB744" s="678"/>
      <c r="AC744" s="678"/>
      <c r="AD744" s="678"/>
      <c r="AE744" s="678"/>
      <c r="AF744" s="678"/>
      <c r="AG744" s="678"/>
      <c r="AH744" s="678"/>
      <c r="AI744" s="678"/>
      <c r="AJ744" s="678"/>
      <c r="AK744" s="658"/>
    </row>
    <row r="745" spans="1:37" s="5" customFormat="1" ht="15" customHeight="1">
      <c r="B745" s="309"/>
      <c r="C745" s="833"/>
      <c r="D745" s="17" t="s">
        <v>131</v>
      </c>
      <c r="E745" s="67" t="s">
        <v>29</v>
      </c>
      <c r="F745" s="124">
        <v>60000</v>
      </c>
      <c r="G745" s="64">
        <v>3</v>
      </c>
      <c r="H745" s="64">
        <f>+F745*G745</f>
        <v>180000</v>
      </c>
      <c r="I745" s="72"/>
      <c r="J745" s="52"/>
      <c r="K745" s="156"/>
      <c r="L745" s="383"/>
      <c r="M745" s="542"/>
      <c r="N745" s="701"/>
      <c r="O745" s="678"/>
      <c r="P745" s="678"/>
      <c r="Q745" s="678"/>
      <c r="R745" s="678"/>
      <c r="S745" s="678"/>
      <c r="T745" s="678"/>
      <c r="U745" s="678"/>
      <c r="V745" s="678"/>
      <c r="W745" s="678"/>
      <c r="X745" s="678"/>
      <c r="Y745" s="678"/>
      <c r="Z745" s="678"/>
      <c r="AA745" s="678"/>
      <c r="AB745" s="678"/>
      <c r="AC745" s="678"/>
      <c r="AD745" s="678"/>
      <c r="AE745" s="678"/>
      <c r="AF745" s="678"/>
      <c r="AG745" s="678"/>
      <c r="AH745" s="678"/>
      <c r="AI745" s="678"/>
      <c r="AJ745" s="678"/>
      <c r="AK745" s="658"/>
    </row>
    <row r="746" spans="1:37" s="5" customFormat="1" ht="15" customHeight="1">
      <c r="B746" s="309"/>
      <c r="C746" s="833"/>
      <c r="D746" s="17" t="s">
        <v>132</v>
      </c>
      <c r="E746" s="67" t="s">
        <v>16</v>
      </c>
      <c r="F746" s="124">
        <v>35000</v>
      </c>
      <c r="G746" s="64">
        <v>7</v>
      </c>
      <c r="H746" s="64">
        <f>+F746*G746</f>
        <v>245000</v>
      </c>
      <c r="I746" s="72"/>
      <c r="J746" s="52"/>
      <c r="K746" s="156"/>
      <c r="L746" s="383"/>
      <c r="M746" s="542"/>
      <c r="N746" s="701"/>
      <c r="O746" s="678"/>
      <c r="P746" s="678"/>
      <c r="Q746" s="678"/>
      <c r="R746" s="678"/>
      <c r="S746" s="678"/>
      <c r="T746" s="678"/>
      <c r="U746" s="678"/>
      <c r="V746" s="678"/>
      <c r="W746" s="678"/>
      <c r="X746" s="678"/>
      <c r="Y746" s="678"/>
      <c r="Z746" s="678"/>
      <c r="AA746" s="678"/>
      <c r="AB746" s="678"/>
      <c r="AC746" s="678"/>
      <c r="AD746" s="678"/>
      <c r="AE746" s="678"/>
      <c r="AF746" s="678"/>
      <c r="AG746" s="678"/>
      <c r="AH746" s="678"/>
      <c r="AI746" s="678"/>
      <c r="AJ746" s="678"/>
      <c r="AK746" s="658"/>
    </row>
    <row r="747" spans="1:37" s="104" customFormat="1" ht="15" customHeight="1">
      <c r="B747" s="313"/>
      <c r="C747" s="848"/>
      <c r="D747" s="80" t="s">
        <v>133</v>
      </c>
      <c r="E747" s="120"/>
      <c r="F747" s="91"/>
      <c r="G747" s="121"/>
      <c r="H747" s="64"/>
      <c r="I747" s="126"/>
      <c r="J747" s="52"/>
      <c r="K747" s="156"/>
      <c r="L747" s="383"/>
      <c r="M747" s="542"/>
      <c r="N747" s="701"/>
      <c r="O747" s="688"/>
      <c r="P747" s="688"/>
      <c r="Q747" s="688"/>
      <c r="R747" s="688"/>
      <c r="S747" s="688"/>
      <c r="T747" s="688"/>
      <c r="U747" s="688"/>
      <c r="V747" s="688"/>
      <c r="W747" s="688"/>
      <c r="X747" s="688"/>
      <c r="Y747" s="688"/>
      <c r="Z747" s="688"/>
      <c r="AA747" s="688"/>
      <c r="AB747" s="688"/>
      <c r="AC747" s="688"/>
      <c r="AD747" s="688"/>
      <c r="AE747" s="688"/>
      <c r="AF747" s="688"/>
      <c r="AG747" s="688"/>
      <c r="AH747" s="688"/>
      <c r="AI747" s="688"/>
      <c r="AJ747" s="688"/>
      <c r="AK747" s="658"/>
    </row>
    <row r="748" spans="1:37" s="5" customFormat="1" ht="15" customHeight="1">
      <c r="B748" s="309"/>
      <c r="C748" s="833"/>
      <c r="D748" s="17" t="s">
        <v>134</v>
      </c>
      <c r="E748" s="67" t="s">
        <v>16</v>
      </c>
      <c r="F748" s="124">
        <v>0</v>
      </c>
      <c r="G748" s="64">
        <v>0</v>
      </c>
      <c r="H748" s="64">
        <f>F748*G748</f>
        <v>0</v>
      </c>
      <c r="I748" s="72"/>
      <c r="J748" s="52"/>
      <c r="K748" s="156"/>
      <c r="L748" s="383"/>
      <c r="M748" s="542"/>
      <c r="N748" s="701">
        <f t="shared" ref="N748:N753" si="198">SUM(O748:AJ748)-I748</f>
        <v>0</v>
      </c>
      <c r="O748" s="678"/>
      <c r="P748" s="678"/>
      <c r="Q748" s="678"/>
      <c r="R748" s="678"/>
      <c r="S748" s="678"/>
      <c r="T748" s="678"/>
      <c r="U748" s="678"/>
      <c r="V748" s="678"/>
      <c r="W748" s="678"/>
      <c r="X748" s="678"/>
      <c r="Y748" s="678"/>
      <c r="Z748" s="678"/>
      <c r="AA748" s="678"/>
      <c r="AB748" s="678"/>
      <c r="AC748" s="678"/>
      <c r="AD748" s="678"/>
      <c r="AE748" s="678"/>
      <c r="AF748" s="678"/>
      <c r="AG748" s="678"/>
      <c r="AH748" s="678"/>
      <c r="AI748" s="678"/>
      <c r="AJ748" s="678"/>
      <c r="AK748" s="658"/>
    </row>
    <row r="749" spans="1:37" s="5" customFormat="1" ht="15" customHeight="1">
      <c r="B749" s="309"/>
      <c r="C749" s="833"/>
      <c r="D749" s="119" t="s">
        <v>135</v>
      </c>
      <c r="E749" s="67" t="s">
        <v>16</v>
      </c>
      <c r="F749" s="124">
        <v>0</v>
      </c>
      <c r="G749" s="64">
        <v>0</v>
      </c>
      <c r="H749" s="64">
        <f>F749*G749</f>
        <v>0</v>
      </c>
      <c r="I749" s="72"/>
      <c r="J749" s="52"/>
      <c r="K749" s="156"/>
      <c r="L749" s="383"/>
      <c r="M749" s="542"/>
      <c r="N749" s="701">
        <f t="shared" si="198"/>
        <v>0</v>
      </c>
      <c r="O749" s="678"/>
      <c r="P749" s="678"/>
      <c r="Q749" s="678"/>
      <c r="R749" s="678"/>
      <c r="S749" s="678"/>
      <c r="T749" s="678"/>
      <c r="U749" s="678"/>
      <c r="V749" s="678"/>
      <c r="W749" s="678"/>
      <c r="X749" s="678"/>
      <c r="Y749" s="678"/>
      <c r="Z749" s="678"/>
      <c r="AA749" s="678"/>
      <c r="AB749" s="678"/>
      <c r="AC749" s="678"/>
      <c r="AD749" s="678"/>
      <c r="AE749" s="678"/>
      <c r="AF749" s="678"/>
      <c r="AG749" s="678"/>
      <c r="AH749" s="678"/>
      <c r="AI749" s="678"/>
      <c r="AJ749" s="678"/>
      <c r="AK749" s="658"/>
    </row>
    <row r="750" spans="1:37" s="48" customFormat="1" ht="15" customHeight="1">
      <c r="A750" s="45"/>
      <c r="B750" s="314"/>
      <c r="C750" s="836"/>
      <c r="D750" s="73"/>
      <c r="E750" s="71"/>
      <c r="F750" s="906" t="s">
        <v>136</v>
      </c>
      <c r="G750" s="906"/>
      <c r="H750" s="191"/>
      <c r="I750" s="472">
        <f>SUM(H724:H749)</f>
        <v>8585200</v>
      </c>
      <c r="J750" s="294">
        <v>70</v>
      </c>
      <c r="K750" s="158"/>
      <c r="L750" s="386"/>
      <c r="M750" s="593"/>
      <c r="N750" s="701">
        <f t="shared" si="198"/>
        <v>0</v>
      </c>
      <c r="O750" s="676"/>
      <c r="P750" s="676"/>
      <c r="Q750" s="676"/>
      <c r="R750" s="676"/>
      <c r="S750" s="676"/>
      <c r="T750" s="676"/>
      <c r="U750" s="676"/>
      <c r="V750" s="676">
        <f>+I750/7</f>
        <v>1226457.142857143</v>
      </c>
      <c r="W750" s="676">
        <v>1226457.142857143</v>
      </c>
      <c r="X750" s="676">
        <v>1226457.142857143</v>
      </c>
      <c r="Y750" s="676">
        <v>1226457.142857143</v>
      </c>
      <c r="Z750" s="676">
        <v>1226457.142857143</v>
      </c>
      <c r="AA750" s="676">
        <v>1226457.142857143</v>
      </c>
      <c r="AB750" s="676">
        <v>1226457.142857143</v>
      </c>
      <c r="AC750" s="676"/>
      <c r="AD750" s="676"/>
      <c r="AE750" s="676"/>
      <c r="AF750" s="676"/>
      <c r="AG750" s="676"/>
      <c r="AH750" s="676"/>
      <c r="AI750" s="676"/>
      <c r="AJ750" s="676"/>
      <c r="AK750" s="658"/>
    </row>
    <row r="751" spans="1:37" s="53" customFormat="1" ht="30" customHeight="1">
      <c r="A751" s="5"/>
      <c r="B751" s="309"/>
      <c r="C751" s="832"/>
      <c r="D751" s="49"/>
      <c r="E751" s="9"/>
      <c r="F751" s="8"/>
      <c r="G751" s="8"/>
      <c r="H751" s="50"/>
      <c r="I751" s="51"/>
      <c r="J751" s="51"/>
      <c r="K751" s="156"/>
      <c r="L751" s="383"/>
      <c r="M751" s="542"/>
      <c r="N751" s="701">
        <f t="shared" si="198"/>
        <v>0</v>
      </c>
      <c r="O751" s="677"/>
      <c r="P751" s="677"/>
      <c r="Q751" s="677"/>
      <c r="R751" s="677"/>
      <c r="S751" s="677"/>
      <c r="T751" s="677"/>
      <c r="U751" s="677"/>
      <c r="V751" s="677"/>
      <c r="W751" s="677"/>
      <c r="X751" s="677"/>
      <c r="Y751" s="677"/>
      <c r="Z751" s="677"/>
      <c r="AA751" s="677"/>
      <c r="AB751" s="677"/>
      <c r="AC751" s="677"/>
      <c r="AD751" s="677"/>
      <c r="AE751" s="677"/>
      <c r="AF751" s="677"/>
      <c r="AG751" s="677"/>
      <c r="AH751" s="677"/>
      <c r="AI751" s="677"/>
      <c r="AJ751" s="677"/>
      <c r="AK751" s="658"/>
    </row>
    <row r="752" spans="1:37" s="48" customFormat="1" ht="15" customHeight="1">
      <c r="A752" s="45"/>
      <c r="B752" s="312"/>
      <c r="C752" s="834"/>
      <c r="D752" s="33" t="s">
        <v>137</v>
      </c>
      <c r="E752" s="56" t="s">
        <v>13</v>
      </c>
      <c r="F752" s="57" t="s">
        <v>14</v>
      </c>
      <c r="G752" s="58" t="s">
        <v>15</v>
      </c>
      <c r="H752" s="192" t="s">
        <v>8</v>
      </c>
      <c r="I752" s="59"/>
      <c r="J752" s="292"/>
      <c r="K752" s="158"/>
      <c r="L752" s="386"/>
      <c r="M752" s="593"/>
      <c r="N752" s="701">
        <f t="shared" si="198"/>
        <v>0</v>
      </c>
      <c r="O752" s="676"/>
      <c r="P752" s="676"/>
      <c r="Q752" s="676"/>
      <c r="R752" s="676"/>
      <c r="S752" s="676"/>
      <c r="T752" s="676"/>
      <c r="U752" s="676"/>
      <c r="V752" s="676"/>
      <c r="W752" s="676"/>
      <c r="X752" s="676"/>
      <c r="Y752" s="676"/>
      <c r="Z752" s="676"/>
      <c r="AA752" s="676"/>
      <c r="AB752" s="676"/>
      <c r="AC752" s="676"/>
      <c r="AD752" s="676"/>
      <c r="AE752" s="676"/>
      <c r="AF752" s="676"/>
      <c r="AG752" s="676"/>
      <c r="AH752" s="676"/>
      <c r="AI752" s="676"/>
      <c r="AJ752" s="676"/>
      <c r="AK752" s="658"/>
    </row>
    <row r="753" spans="1:37" ht="15" customHeight="1">
      <c r="A753" s="5"/>
      <c r="B753" s="309"/>
      <c r="C753" s="833" t="s">
        <v>929</v>
      </c>
      <c r="D753" s="66" t="s">
        <v>138</v>
      </c>
      <c r="E753" s="67" t="s">
        <v>16</v>
      </c>
      <c r="F753" s="129">
        <v>0</v>
      </c>
      <c r="G753" s="130">
        <v>1</v>
      </c>
      <c r="H753" s="102">
        <f>F753*G753</f>
        <v>0</v>
      </c>
      <c r="I753" s="102"/>
      <c r="J753" s="298"/>
      <c r="K753" s="161"/>
      <c r="L753" s="392"/>
      <c r="M753" s="542"/>
      <c r="N753" s="701">
        <f t="shared" si="198"/>
        <v>0</v>
      </c>
      <c r="O753" s="675"/>
      <c r="P753" s="675"/>
      <c r="Q753" s="675"/>
      <c r="R753" s="675"/>
      <c r="S753" s="675"/>
      <c r="T753" s="675"/>
      <c r="U753" s="675"/>
      <c r="V753" s="675"/>
      <c r="W753" s="675"/>
      <c r="X753" s="675"/>
      <c r="Y753" s="675"/>
      <c r="Z753" s="675"/>
      <c r="AA753" s="675"/>
      <c r="AB753" s="675"/>
      <c r="AC753" s="675"/>
      <c r="AD753" s="675"/>
      <c r="AE753" s="675"/>
      <c r="AF753" s="675"/>
      <c r="AG753" s="675"/>
      <c r="AH753" s="675"/>
      <c r="AI753" s="675"/>
      <c r="AJ753" s="675"/>
      <c r="AK753" s="658"/>
    </row>
    <row r="754" spans="1:37" s="53" customFormat="1" ht="15" customHeight="1">
      <c r="B754" s="316"/>
      <c r="C754" s="852"/>
      <c r="D754" s="122" t="s">
        <v>139</v>
      </c>
      <c r="E754" s="301" t="s">
        <v>16</v>
      </c>
      <c r="F754" s="129">
        <f>350*103</f>
        <v>36050</v>
      </c>
      <c r="G754" s="130">
        <v>10</v>
      </c>
      <c r="H754" s="397">
        <f>G754*F754</f>
        <v>360500</v>
      </c>
      <c r="I754" s="397"/>
      <c r="J754" s="398"/>
      <c r="K754" s="399"/>
      <c r="L754" s="400"/>
      <c r="M754" s="567"/>
      <c r="N754" s="701">
        <f t="shared" ref="N754:N775" si="199">SUM(O754:AJ754)-I754</f>
        <v>0</v>
      </c>
      <c r="O754" s="677"/>
      <c r="P754" s="677"/>
      <c r="Q754" s="677"/>
      <c r="R754" s="677"/>
      <c r="S754" s="677"/>
      <c r="T754" s="677"/>
      <c r="U754" s="677"/>
      <c r="V754" s="677"/>
      <c r="W754" s="677"/>
      <c r="X754" s="677"/>
      <c r="Y754" s="677"/>
      <c r="Z754" s="677"/>
      <c r="AA754" s="677"/>
      <c r="AB754" s="677"/>
      <c r="AC754" s="677"/>
      <c r="AD754" s="677"/>
      <c r="AE754" s="677"/>
      <c r="AF754" s="677"/>
      <c r="AG754" s="677"/>
      <c r="AH754" s="677"/>
      <c r="AI754" s="677"/>
      <c r="AJ754" s="677"/>
      <c r="AK754" s="658"/>
    </row>
    <row r="755" spans="1:37" s="48" customFormat="1" ht="15" customHeight="1">
      <c r="A755" s="45"/>
      <c r="B755" s="314"/>
      <c r="C755" s="836"/>
      <c r="D755" s="73"/>
      <c r="E755" s="71"/>
      <c r="F755" s="906" t="s">
        <v>140</v>
      </c>
      <c r="G755" s="906"/>
      <c r="H755" s="191"/>
      <c r="I755" s="472">
        <f>SUM(H753:H754)</f>
        <v>360500</v>
      </c>
      <c r="J755" s="294">
        <v>4</v>
      </c>
      <c r="K755" s="158"/>
      <c r="L755" s="386"/>
      <c r="M755" s="593"/>
      <c r="N755" s="701">
        <f t="shared" si="199"/>
        <v>0</v>
      </c>
      <c r="O755" s="676"/>
      <c r="P755" s="676"/>
      <c r="Q755" s="676"/>
      <c r="R755" s="676"/>
      <c r="S755" s="676"/>
      <c r="T755" s="676"/>
      <c r="U755" s="676"/>
      <c r="V755" s="676"/>
      <c r="W755" s="676"/>
      <c r="X755" s="676"/>
      <c r="Y755" s="676"/>
      <c r="Z755" s="676"/>
      <c r="AA755" s="676"/>
      <c r="AB755" s="676">
        <f>+I755</f>
        <v>360500</v>
      </c>
      <c r="AC755" s="676"/>
      <c r="AD755" s="676"/>
      <c r="AE755" s="676"/>
      <c r="AF755" s="676"/>
      <c r="AG755" s="676"/>
      <c r="AH755" s="676"/>
      <c r="AI755" s="676"/>
      <c r="AJ755" s="676"/>
      <c r="AK755" s="658"/>
    </row>
    <row r="756" spans="1:37" s="53" customFormat="1" ht="30" customHeight="1">
      <c r="A756" s="5"/>
      <c r="B756" s="309"/>
      <c r="C756" s="832"/>
      <c r="D756" s="49"/>
      <c r="E756" s="9"/>
      <c r="F756" s="8"/>
      <c r="G756" s="8"/>
      <c r="H756" s="50"/>
      <c r="I756" s="51"/>
      <c r="J756" s="51"/>
      <c r="K756" s="156"/>
      <c r="L756" s="383"/>
      <c r="M756" s="542"/>
      <c r="N756" s="701">
        <f t="shared" si="199"/>
        <v>0</v>
      </c>
      <c r="O756" s="677"/>
      <c r="P756" s="677"/>
      <c r="Q756" s="677"/>
      <c r="R756" s="677"/>
      <c r="S756" s="677"/>
      <c r="T756" s="677"/>
      <c r="U756" s="677"/>
      <c r="V756" s="677"/>
      <c r="W756" s="677"/>
      <c r="X756" s="677"/>
      <c r="Y756" s="677"/>
      <c r="Z756" s="677"/>
      <c r="AA756" s="677"/>
      <c r="AB756" s="677"/>
      <c r="AC756" s="677"/>
      <c r="AD756" s="677"/>
      <c r="AE756" s="677"/>
      <c r="AF756" s="677"/>
      <c r="AG756" s="677"/>
      <c r="AH756" s="677"/>
      <c r="AI756" s="677"/>
      <c r="AJ756" s="677"/>
      <c r="AK756" s="658"/>
    </row>
    <row r="757" spans="1:37" s="48" customFormat="1" ht="15" customHeight="1">
      <c r="A757" s="45"/>
      <c r="B757" s="312"/>
      <c r="C757" s="834"/>
      <c r="D757" s="33" t="s">
        <v>141</v>
      </c>
      <c r="E757" s="56" t="s">
        <v>13</v>
      </c>
      <c r="F757" s="57" t="s">
        <v>14</v>
      </c>
      <c r="G757" s="58" t="s">
        <v>15</v>
      </c>
      <c r="H757" s="192" t="s">
        <v>8</v>
      </c>
      <c r="I757" s="59"/>
      <c r="J757" s="292"/>
      <c r="K757" s="158"/>
      <c r="L757" s="386"/>
      <c r="M757" s="593"/>
      <c r="N757" s="701">
        <f t="shared" si="199"/>
        <v>0</v>
      </c>
      <c r="O757" s="676"/>
      <c r="P757" s="676"/>
      <c r="Q757" s="676"/>
      <c r="R757" s="676"/>
      <c r="S757" s="676"/>
      <c r="T757" s="676"/>
      <c r="U757" s="676"/>
      <c r="V757" s="676"/>
      <c r="W757" s="676"/>
      <c r="X757" s="676"/>
      <c r="Y757" s="676"/>
      <c r="Z757" s="676"/>
      <c r="AA757" s="676"/>
      <c r="AB757" s="676"/>
      <c r="AC757" s="676"/>
      <c r="AD757" s="676"/>
      <c r="AE757" s="676"/>
      <c r="AF757" s="676"/>
      <c r="AG757" s="676"/>
      <c r="AH757" s="676"/>
      <c r="AI757" s="676"/>
      <c r="AJ757" s="676"/>
      <c r="AK757" s="658"/>
    </row>
    <row r="758" spans="1:37" s="543" customFormat="1" ht="15" customHeight="1">
      <c r="A758" s="532"/>
      <c r="B758" s="533"/>
      <c r="C758" s="851" t="s">
        <v>930</v>
      </c>
      <c r="D758" s="534" t="s">
        <v>338</v>
      </c>
      <c r="E758" s="535" t="s">
        <v>16</v>
      </c>
      <c r="F758" s="537">
        <f>SADAIC!D10</f>
        <v>1005500</v>
      </c>
      <c r="G758" s="558">
        <v>1</v>
      </c>
      <c r="H758" s="558">
        <f>+F758*G758</f>
        <v>1005500</v>
      </c>
      <c r="I758" s="546"/>
      <c r="J758" s="547"/>
      <c r="K758" s="540"/>
      <c r="L758" s="541"/>
      <c r="M758" s="542"/>
      <c r="N758" s="701">
        <f t="shared" si="199"/>
        <v>0</v>
      </c>
      <c r="O758" s="687"/>
      <c r="P758" s="687"/>
      <c r="Q758" s="687"/>
      <c r="R758" s="687"/>
      <c r="S758" s="687"/>
      <c r="T758" s="687"/>
      <c r="U758" s="687"/>
      <c r="V758" s="687"/>
      <c r="W758" s="687"/>
      <c r="X758" s="687"/>
      <c r="Y758" s="687"/>
      <c r="Z758" s="687"/>
      <c r="AA758" s="687"/>
      <c r="AB758" s="687"/>
      <c r="AC758" s="687"/>
      <c r="AD758" s="687"/>
      <c r="AE758" s="687"/>
      <c r="AF758" s="687"/>
      <c r="AG758" s="687"/>
      <c r="AH758" s="687"/>
      <c r="AI758" s="687"/>
      <c r="AJ758" s="687"/>
      <c r="AK758" s="658"/>
    </row>
    <row r="759" spans="1:37" s="543" customFormat="1" ht="15" customHeight="1">
      <c r="A759" s="532"/>
      <c r="B759" s="533"/>
      <c r="C759" s="851"/>
      <c r="D759" s="534" t="s">
        <v>339</v>
      </c>
      <c r="E759" s="559" t="s">
        <v>16</v>
      </c>
      <c r="F759" s="537">
        <v>228602.22</v>
      </c>
      <c r="G759" s="558">
        <v>1</v>
      </c>
      <c r="H759" s="558">
        <f>+F759*G759</f>
        <v>228602.22</v>
      </c>
      <c r="I759" s="546"/>
      <c r="J759" s="547"/>
      <c r="K759" s="540"/>
      <c r="L759" s="541"/>
      <c r="M759" s="542"/>
      <c r="N759" s="701">
        <f t="shared" si="199"/>
        <v>0</v>
      </c>
      <c r="O759" s="687"/>
      <c r="P759" s="687"/>
      <c r="Q759" s="687"/>
      <c r="R759" s="687"/>
      <c r="S759" s="687"/>
      <c r="T759" s="687"/>
      <c r="U759" s="687"/>
      <c r="V759" s="687"/>
      <c r="W759" s="687"/>
      <c r="X759" s="687"/>
      <c r="Y759" s="687"/>
      <c r="Z759" s="687"/>
      <c r="AA759" s="687"/>
      <c r="AB759" s="687"/>
      <c r="AC759" s="687"/>
      <c r="AD759" s="687"/>
      <c r="AE759" s="687"/>
      <c r="AF759" s="687"/>
      <c r="AG759" s="687"/>
      <c r="AH759" s="687"/>
      <c r="AI759" s="687"/>
      <c r="AJ759" s="687"/>
      <c r="AK759" s="658"/>
    </row>
    <row r="760" spans="1:37" s="543" customFormat="1" ht="15" customHeight="1">
      <c r="A760" s="532"/>
      <c r="B760" s="533"/>
      <c r="C760" s="851"/>
      <c r="D760" s="560" t="s">
        <v>340</v>
      </c>
      <c r="E760" s="535" t="s">
        <v>16</v>
      </c>
      <c r="F760" s="537">
        <f>76200</f>
        <v>76200</v>
      </c>
      <c r="G760" s="558">
        <v>1</v>
      </c>
      <c r="H760" s="558">
        <f>+F760*G760</f>
        <v>76200</v>
      </c>
      <c r="I760" s="546"/>
      <c r="J760" s="547"/>
      <c r="K760" s="540"/>
      <c r="L760" s="541"/>
      <c r="M760" s="542"/>
      <c r="N760" s="701">
        <f t="shared" si="199"/>
        <v>0</v>
      </c>
      <c r="O760" s="687"/>
      <c r="P760" s="687"/>
      <c r="Q760" s="687"/>
      <c r="R760" s="687"/>
      <c r="S760" s="687"/>
      <c r="T760" s="687"/>
      <c r="U760" s="687"/>
      <c r="V760" s="687"/>
      <c r="W760" s="687"/>
      <c r="X760" s="687"/>
      <c r="Y760" s="687"/>
      <c r="Z760" s="687"/>
      <c r="AA760" s="687"/>
      <c r="AB760" s="687"/>
      <c r="AC760" s="687"/>
      <c r="AD760" s="687"/>
      <c r="AE760" s="687"/>
      <c r="AF760" s="687"/>
      <c r="AG760" s="687"/>
      <c r="AH760" s="687"/>
      <c r="AI760" s="687"/>
      <c r="AJ760" s="687"/>
      <c r="AK760" s="658"/>
    </row>
    <row r="761" spans="1:37" s="543" customFormat="1" ht="15" customHeight="1">
      <c r="A761" s="532"/>
      <c r="B761" s="533"/>
      <c r="C761" s="851"/>
      <c r="D761" s="560" t="s">
        <v>422</v>
      </c>
      <c r="E761" s="535" t="s">
        <v>142</v>
      </c>
      <c r="F761" s="537">
        <v>450000</v>
      </c>
      <c r="G761" s="558">
        <v>1</v>
      </c>
      <c r="H761" s="558">
        <f>+F761*G761</f>
        <v>450000</v>
      </c>
      <c r="I761" s="546"/>
      <c r="J761" s="547"/>
      <c r="K761" s="540"/>
      <c r="L761" s="541"/>
      <c r="M761" s="542"/>
      <c r="N761" s="701">
        <f t="shared" si="199"/>
        <v>0</v>
      </c>
      <c r="O761" s="687"/>
      <c r="P761" s="687"/>
      <c r="Q761" s="687"/>
      <c r="R761" s="687"/>
      <c r="S761" s="687"/>
      <c r="T761" s="687"/>
      <c r="U761" s="687"/>
      <c r="V761" s="687"/>
      <c r="W761" s="687"/>
      <c r="X761" s="687"/>
      <c r="Y761" s="687"/>
      <c r="Z761" s="687"/>
      <c r="AA761" s="687"/>
      <c r="AB761" s="687"/>
      <c r="AC761" s="687"/>
      <c r="AD761" s="687"/>
      <c r="AE761" s="687"/>
      <c r="AF761" s="687"/>
      <c r="AG761" s="687"/>
      <c r="AH761" s="687"/>
      <c r="AI761" s="687"/>
      <c r="AJ761" s="687"/>
      <c r="AK761" s="658"/>
    </row>
    <row r="762" spans="1:37" s="543" customFormat="1" ht="15" customHeight="1">
      <c r="B762" s="561"/>
      <c r="C762" s="853"/>
      <c r="D762" s="562" t="s">
        <v>469</v>
      </c>
      <c r="E762" s="563" t="str">
        <f>E761</f>
        <v xml:space="preserve">Temas </v>
      </c>
      <c r="F762" s="536">
        <v>300000</v>
      </c>
      <c r="G762" s="564">
        <v>1</v>
      </c>
      <c r="H762" s="564">
        <f>+F762*G762</f>
        <v>300000</v>
      </c>
      <c r="I762" s="538"/>
      <c r="J762" s="539"/>
      <c r="K762" s="565"/>
      <c r="L762" s="566"/>
      <c r="M762" s="567"/>
      <c r="N762" s="701">
        <f t="shared" si="199"/>
        <v>0</v>
      </c>
      <c r="O762" s="687"/>
      <c r="P762" s="687"/>
      <c r="Q762" s="687"/>
      <c r="R762" s="687"/>
      <c r="S762" s="687"/>
      <c r="T762" s="687"/>
      <c r="U762" s="687"/>
      <c r="V762" s="687"/>
      <c r="W762" s="687"/>
      <c r="X762" s="687"/>
      <c r="Y762" s="687"/>
      <c r="Z762" s="687"/>
      <c r="AA762" s="687"/>
      <c r="AB762" s="687"/>
      <c r="AC762" s="687"/>
      <c r="AD762" s="687"/>
      <c r="AE762" s="687"/>
      <c r="AF762" s="687"/>
      <c r="AG762" s="687"/>
      <c r="AH762" s="687"/>
      <c r="AI762" s="687"/>
      <c r="AJ762" s="687"/>
      <c r="AK762" s="658"/>
    </row>
    <row r="763" spans="1:37" s="543" customFormat="1" ht="15" customHeight="1">
      <c r="A763" s="532"/>
      <c r="B763" s="533"/>
      <c r="C763" s="851"/>
      <c r="D763" s="560" t="s">
        <v>143</v>
      </c>
      <c r="E763" s="535" t="s">
        <v>16</v>
      </c>
      <c r="F763" s="537">
        <v>80000</v>
      </c>
      <c r="G763" s="558">
        <v>1</v>
      </c>
      <c r="H763" s="558">
        <f>+F763*G763+10500</f>
        <v>90500</v>
      </c>
      <c r="I763" s="546"/>
      <c r="J763" s="547"/>
      <c r="K763" s="540"/>
      <c r="L763" s="541"/>
      <c r="M763" s="542"/>
      <c r="N763" s="701">
        <f t="shared" si="199"/>
        <v>0</v>
      </c>
      <c r="O763" s="687"/>
      <c r="P763" s="687"/>
      <c r="Q763" s="687"/>
      <c r="R763" s="687"/>
      <c r="S763" s="687"/>
      <c r="T763" s="687"/>
      <c r="U763" s="687"/>
      <c r="V763" s="687"/>
      <c r="W763" s="687"/>
      <c r="X763" s="687"/>
      <c r="Y763" s="687"/>
      <c r="Z763" s="687"/>
      <c r="AA763" s="687"/>
      <c r="AB763" s="687"/>
      <c r="AC763" s="687"/>
      <c r="AD763" s="687"/>
      <c r="AE763" s="687"/>
      <c r="AF763" s="687"/>
      <c r="AG763" s="687"/>
      <c r="AH763" s="687"/>
      <c r="AI763" s="687"/>
      <c r="AJ763" s="687"/>
      <c r="AK763" s="658"/>
    </row>
    <row r="764" spans="1:37" s="543" customFormat="1" ht="15" customHeight="1">
      <c r="A764" s="532"/>
      <c r="B764" s="533"/>
      <c r="C764" s="851"/>
      <c r="D764" s="720" t="s">
        <v>704</v>
      </c>
      <c r="E764" s="721" t="s">
        <v>16</v>
      </c>
      <c r="F764" s="722">
        <v>0</v>
      </c>
      <c r="G764" s="723">
        <v>1</v>
      </c>
      <c r="H764" s="723">
        <f>+F764*G764</f>
        <v>0</v>
      </c>
      <c r="I764" s="546"/>
      <c r="J764" s="547">
        <v>12</v>
      </c>
      <c r="K764" s="540"/>
      <c r="L764" s="541"/>
      <c r="M764" s="542"/>
      <c r="N764" s="701">
        <f t="shared" si="199"/>
        <v>0</v>
      </c>
      <c r="O764" s="687"/>
      <c r="P764" s="687"/>
      <c r="Q764" s="687"/>
      <c r="R764" s="687"/>
      <c r="S764" s="687"/>
      <c r="T764" s="687"/>
      <c r="U764" s="687"/>
      <c r="V764" s="687"/>
      <c r="W764" s="687"/>
      <c r="X764" s="687"/>
      <c r="Y764" s="687"/>
      <c r="Z764" s="687"/>
      <c r="AA764" s="687"/>
      <c r="AB764" s="687"/>
      <c r="AC764" s="687"/>
      <c r="AD764" s="687"/>
      <c r="AE764" s="687"/>
      <c r="AF764" s="687"/>
      <c r="AG764" s="687"/>
      <c r="AH764" s="687"/>
      <c r="AI764" s="687"/>
      <c r="AJ764" s="687"/>
      <c r="AK764" s="658"/>
    </row>
    <row r="765" spans="1:37" s="48" customFormat="1" ht="15" customHeight="1">
      <c r="A765" s="45"/>
      <c r="B765" s="314"/>
      <c r="C765" s="836"/>
      <c r="D765" s="73"/>
      <c r="E765" s="71"/>
      <c r="F765" s="906" t="s">
        <v>144</v>
      </c>
      <c r="G765" s="906"/>
      <c r="H765" s="191"/>
      <c r="I765" s="472">
        <f>SUM(H758:H764)</f>
        <v>2150802.2199999997</v>
      </c>
      <c r="J765" s="294"/>
      <c r="K765" s="158"/>
      <c r="L765" s="386"/>
      <c r="M765" s="593"/>
      <c r="N765" s="701">
        <f t="shared" si="199"/>
        <v>0</v>
      </c>
      <c r="O765" s="676"/>
      <c r="P765" s="676"/>
      <c r="Q765" s="676"/>
      <c r="R765" s="676"/>
      <c r="S765" s="676"/>
      <c r="T765" s="676"/>
      <c r="U765" s="676"/>
      <c r="V765" s="676"/>
      <c r="W765" s="676"/>
      <c r="X765" s="676"/>
      <c r="Y765" s="676"/>
      <c r="Z765" s="676"/>
      <c r="AA765" s="676">
        <f>+I765/4</f>
        <v>537700.55499999993</v>
      </c>
      <c r="AB765" s="676">
        <f>+AA765</f>
        <v>537700.55499999993</v>
      </c>
      <c r="AC765" s="676">
        <f>+AB765</f>
        <v>537700.55499999993</v>
      </c>
      <c r="AD765" s="676">
        <f>+AC765</f>
        <v>537700.55499999993</v>
      </c>
      <c r="AE765" s="676"/>
      <c r="AF765" s="676"/>
      <c r="AG765" s="676"/>
      <c r="AH765" s="676"/>
      <c r="AI765" s="676"/>
      <c r="AJ765" s="676"/>
      <c r="AK765" s="658"/>
    </row>
    <row r="766" spans="1:37" s="53" customFormat="1" ht="30" customHeight="1">
      <c r="A766" s="5"/>
      <c r="B766" s="309"/>
      <c r="C766" s="832"/>
      <c r="D766" s="49"/>
      <c r="E766" s="9"/>
      <c r="F766" s="8"/>
      <c r="G766" s="8"/>
      <c r="H766" s="50"/>
      <c r="I766" s="51"/>
      <c r="J766" s="51"/>
      <c r="K766" s="156"/>
      <c r="L766" s="383"/>
      <c r="M766" s="542"/>
      <c r="N766" s="701">
        <f t="shared" si="199"/>
        <v>0</v>
      </c>
      <c r="O766" s="677"/>
      <c r="P766" s="677"/>
      <c r="Q766" s="677"/>
      <c r="R766" s="677"/>
      <c r="S766" s="677"/>
      <c r="T766" s="677"/>
      <c r="U766" s="677"/>
      <c r="V766" s="677"/>
      <c r="W766" s="677"/>
      <c r="X766" s="677"/>
      <c r="Y766" s="677"/>
      <c r="Z766" s="677"/>
      <c r="AA766" s="677"/>
      <c r="AB766" s="677"/>
      <c r="AC766" s="677"/>
      <c r="AD766" s="677"/>
      <c r="AE766" s="677"/>
      <c r="AF766" s="677"/>
      <c r="AG766" s="677"/>
      <c r="AH766" s="677"/>
      <c r="AI766" s="677"/>
      <c r="AJ766" s="677"/>
      <c r="AK766" s="658"/>
    </row>
    <row r="767" spans="1:37" s="48" customFormat="1" ht="15" customHeight="1">
      <c r="A767" s="45"/>
      <c r="B767" s="312"/>
      <c r="C767" s="834"/>
      <c r="D767" s="33" t="s">
        <v>145</v>
      </c>
      <c r="E767" s="56" t="s">
        <v>13</v>
      </c>
      <c r="F767" s="57" t="s">
        <v>14</v>
      </c>
      <c r="G767" s="58" t="s">
        <v>15</v>
      </c>
      <c r="H767" s="192" t="s">
        <v>8</v>
      </c>
      <c r="I767" s="59"/>
      <c r="J767" s="292"/>
      <c r="K767" s="158"/>
      <c r="L767" s="386"/>
      <c r="M767" s="593"/>
      <c r="N767" s="701">
        <f t="shared" si="199"/>
        <v>0</v>
      </c>
      <c r="O767" s="676"/>
      <c r="P767" s="676"/>
      <c r="Q767" s="676"/>
      <c r="R767" s="676"/>
      <c r="S767" s="676"/>
      <c r="T767" s="676"/>
      <c r="U767" s="676"/>
      <c r="V767" s="676"/>
      <c r="W767" s="676"/>
      <c r="X767" s="676"/>
      <c r="Y767" s="676"/>
      <c r="Z767" s="676"/>
      <c r="AA767" s="676"/>
      <c r="AB767" s="676"/>
      <c r="AC767" s="676"/>
      <c r="AD767" s="676"/>
      <c r="AE767" s="676"/>
      <c r="AF767" s="676"/>
      <c r="AG767" s="676"/>
      <c r="AH767" s="676"/>
      <c r="AI767" s="676"/>
      <c r="AJ767" s="676"/>
      <c r="AK767" s="658"/>
    </row>
    <row r="768" spans="1:37" ht="15" customHeight="1">
      <c r="A768" s="5"/>
      <c r="B768" s="313"/>
      <c r="C768" s="833" t="s">
        <v>931</v>
      </c>
      <c r="D768" s="80" t="s">
        <v>146</v>
      </c>
      <c r="E768" s="131"/>
      <c r="F768" s="132"/>
      <c r="G768" s="111"/>
      <c r="H768" s="75"/>
      <c r="I768" s="126"/>
      <c r="J768" s="52"/>
      <c r="K768" s="156"/>
      <c r="L768" s="383"/>
      <c r="M768" s="542"/>
      <c r="N768" s="701">
        <f t="shared" si="199"/>
        <v>0</v>
      </c>
      <c r="O768" s="675"/>
      <c r="P768" s="675"/>
      <c r="Q768" s="675"/>
      <c r="R768" s="675"/>
      <c r="S768" s="675"/>
      <c r="T768" s="675"/>
      <c r="U768" s="675"/>
      <c r="V768" s="675"/>
      <c r="W768" s="675"/>
      <c r="X768" s="675"/>
      <c r="Y768" s="675"/>
      <c r="Z768" s="675"/>
      <c r="AA768" s="675"/>
      <c r="AB768" s="675"/>
      <c r="AC768" s="675"/>
      <c r="AD768" s="675"/>
      <c r="AE768" s="675"/>
      <c r="AF768" s="675"/>
      <c r="AG768" s="675"/>
      <c r="AH768" s="675"/>
      <c r="AI768" s="675"/>
      <c r="AJ768" s="675"/>
      <c r="AK768" s="658"/>
    </row>
    <row r="769" spans="1:37" s="5" customFormat="1" ht="15" customHeight="1">
      <c r="B769" s="309"/>
      <c r="C769" s="833"/>
      <c r="D769" s="17" t="s">
        <v>147</v>
      </c>
      <c r="E769" s="67" t="s">
        <v>16</v>
      </c>
      <c r="F769" s="253">
        <v>600000</v>
      </c>
      <c r="G769" s="64">
        <v>1</v>
      </c>
      <c r="H769" s="64">
        <f>F769</f>
        <v>600000</v>
      </c>
      <c r="I769" s="72"/>
      <c r="J769" s="52"/>
      <c r="K769" s="156"/>
      <c r="L769" s="383"/>
      <c r="M769" s="542"/>
      <c r="N769" s="701">
        <f t="shared" si="199"/>
        <v>0</v>
      </c>
      <c r="O769" s="678"/>
      <c r="P769" s="678"/>
      <c r="Q769" s="678"/>
      <c r="R769" s="678"/>
      <c r="S769" s="678"/>
      <c r="T769" s="678"/>
      <c r="U769" s="678"/>
      <c r="V769" s="678"/>
      <c r="W769" s="678"/>
      <c r="X769" s="678"/>
      <c r="Y769" s="678"/>
      <c r="Z769" s="678"/>
      <c r="AA769" s="678"/>
      <c r="AB769" s="678"/>
      <c r="AC769" s="678"/>
      <c r="AD769" s="678"/>
      <c r="AE769" s="678"/>
      <c r="AF769" s="678"/>
      <c r="AG769" s="678"/>
      <c r="AH769" s="678"/>
      <c r="AI769" s="678"/>
      <c r="AJ769" s="678"/>
      <c r="AK769" s="658"/>
    </row>
    <row r="770" spans="1:37" ht="15" customHeight="1">
      <c r="A770" s="5"/>
      <c r="B770" s="313"/>
      <c r="C770" s="833"/>
      <c r="D770" s="70" t="s">
        <v>436</v>
      </c>
      <c r="E770" s="67" t="s">
        <v>16</v>
      </c>
      <c r="F770" s="124">
        <v>50000</v>
      </c>
      <c r="G770" s="112">
        <v>1</v>
      </c>
      <c r="H770" s="112">
        <f>+F770*G770+8400</f>
        <v>58400</v>
      </c>
      <c r="I770" s="72"/>
      <c r="J770" s="52"/>
      <c r="K770" s="156"/>
      <c r="L770" s="383"/>
      <c r="M770" s="542"/>
      <c r="N770" s="701">
        <f t="shared" si="199"/>
        <v>0</v>
      </c>
      <c r="O770" s="675"/>
      <c r="P770" s="675"/>
      <c r="Q770" s="675"/>
      <c r="R770" s="675"/>
      <c r="S770" s="675"/>
      <c r="T770" s="675"/>
      <c r="U770" s="675"/>
      <c r="V770" s="675"/>
      <c r="W770" s="675"/>
      <c r="X770" s="675"/>
      <c r="Y770" s="675"/>
      <c r="Z770" s="675"/>
      <c r="AA770" s="675"/>
      <c r="AB770" s="675"/>
      <c r="AC770" s="675"/>
      <c r="AD770" s="675"/>
      <c r="AE770" s="675"/>
      <c r="AF770" s="675"/>
      <c r="AG770" s="675"/>
      <c r="AH770" s="675"/>
      <c r="AI770" s="675"/>
      <c r="AJ770" s="675"/>
      <c r="AK770" s="658"/>
    </row>
    <row r="771" spans="1:37" ht="15" customHeight="1">
      <c r="A771" s="5"/>
      <c r="B771" s="313"/>
      <c r="C771" s="833"/>
      <c r="D771" s="66" t="s">
        <v>437</v>
      </c>
      <c r="E771" s="67" t="s">
        <v>16</v>
      </c>
      <c r="F771" s="253">
        <v>242000</v>
      </c>
      <c r="G771" s="112">
        <v>1</v>
      </c>
      <c r="H771" s="112">
        <f>F771</f>
        <v>242000</v>
      </c>
      <c r="I771" s="72"/>
      <c r="J771" s="52"/>
      <c r="K771" s="156"/>
      <c r="L771" s="383"/>
      <c r="M771" s="542"/>
      <c r="N771" s="701">
        <f t="shared" si="199"/>
        <v>0</v>
      </c>
      <c r="O771" s="675"/>
      <c r="P771" s="675"/>
      <c r="Q771" s="675"/>
      <c r="R771" s="675"/>
      <c r="S771" s="675"/>
      <c r="T771" s="675"/>
      <c r="U771" s="675"/>
      <c r="V771" s="675"/>
      <c r="W771" s="675"/>
      <c r="X771" s="675"/>
      <c r="Y771" s="675"/>
      <c r="Z771" s="675"/>
      <c r="AA771" s="675"/>
      <c r="AB771" s="675"/>
      <c r="AC771" s="675"/>
      <c r="AD771" s="675"/>
      <c r="AE771" s="675"/>
      <c r="AF771" s="675"/>
      <c r="AG771" s="675"/>
      <c r="AH771" s="675"/>
      <c r="AI771" s="675"/>
      <c r="AJ771" s="675"/>
      <c r="AK771" s="658"/>
    </row>
    <row r="772" spans="1:37" s="48" customFormat="1" ht="15" customHeight="1">
      <c r="A772" s="45"/>
      <c r="B772" s="314"/>
      <c r="C772" s="836"/>
      <c r="D772" s="73"/>
      <c r="E772" s="71"/>
      <c r="F772" s="906" t="s">
        <v>148</v>
      </c>
      <c r="G772" s="906"/>
      <c r="H772" s="191"/>
      <c r="I772" s="472">
        <f>SUM(H769:H771)</f>
        <v>900400</v>
      </c>
      <c r="J772" s="294">
        <v>4</v>
      </c>
      <c r="K772" s="158"/>
      <c r="L772" s="386"/>
      <c r="M772" s="593"/>
      <c r="N772" s="701">
        <f t="shared" si="199"/>
        <v>0</v>
      </c>
      <c r="O772" s="676"/>
      <c r="P772" s="676"/>
      <c r="Q772" s="676"/>
      <c r="R772" s="676"/>
      <c r="S772" s="676"/>
      <c r="T772" s="676"/>
      <c r="U772" s="676"/>
      <c r="V772" s="676">
        <f>+I772</f>
        <v>900400</v>
      </c>
      <c r="W772" s="676"/>
      <c r="X772" s="676"/>
      <c r="Y772" s="676"/>
      <c r="Z772" s="676"/>
      <c r="AA772" s="676"/>
      <c r="AB772" s="676"/>
      <c r="AC772" s="676"/>
      <c r="AD772" s="676"/>
      <c r="AE772" s="676"/>
      <c r="AF772" s="676"/>
      <c r="AG772" s="676"/>
      <c r="AH772" s="676"/>
      <c r="AI772" s="676"/>
      <c r="AJ772" s="676"/>
      <c r="AK772" s="658"/>
    </row>
    <row r="773" spans="1:37" s="53" customFormat="1" ht="30" customHeight="1">
      <c r="A773" s="5"/>
      <c r="B773" s="309"/>
      <c r="C773" s="835"/>
      <c r="D773" s="5"/>
      <c r="E773" s="9"/>
      <c r="F773" s="8"/>
      <c r="G773" s="8"/>
      <c r="H773" s="50"/>
      <c r="I773" s="51"/>
      <c r="J773" s="51"/>
      <c r="K773" s="156"/>
      <c r="L773" s="383"/>
      <c r="M773" s="542"/>
      <c r="N773" s="701">
        <f t="shared" si="199"/>
        <v>0</v>
      </c>
      <c r="O773" s="677"/>
      <c r="P773" s="677"/>
      <c r="Q773" s="677"/>
      <c r="R773" s="677"/>
      <c r="S773" s="677"/>
      <c r="T773" s="677"/>
      <c r="U773" s="677"/>
      <c r="V773" s="677"/>
      <c r="W773" s="677"/>
      <c r="X773" s="677"/>
      <c r="Y773" s="677"/>
      <c r="Z773" s="677"/>
      <c r="AA773" s="677"/>
      <c r="AB773" s="677"/>
      <c r="AC773" s="677"/>
      <c r="AD773" s="677"/>
      <c r="AE773" s="677"/>
      <c r="AF773" s="677"/>
      <c r="AG773" s="677"/>
      <c r="AH773" s="677"/>
      <c r="AI773" s="677"/>
      <c r="AJ773" s="677"/>
      <c r="AK773" s="658"/>
    </row>
    <row r="774" spans="1:37" s="48" customFormat="1" ht="15" customHeight="1">
      <c r="A774" s="45"/>
      <c r="B774" s="312"/>
      <c r="C774" s="834"/>
      <c r="D774" s="33" t="s">
        <v>149</v>
      </c>
      <c r="E774" s="56" t="s">
        <v>13</v>
      </c>
      <c r="F774" s="57" t="s">
        <v>14</v>
      </c>
      <c r="G774" s="58" t="s">
        <v>15</v>
      </c>
      <c r="H774" s="192" t="s">
        <v>8</v>
      </c>
      <c r="I774" s="59"/>
      <c r="J774" s="292"/>
      <c r="K774" s="158"/>
      <c r="L774" s="386"/>
      <c r="M774" s="593"/>
      <c r="N774" s="701">
        <f t="shared" si="199"/>
        <v>0</v>
      </c>
      <c r="O774" s="676"/>
      <c r="P774" s="676"/>
      <c r="Q774" s="676"/>
      <c r="R774" s="676"/>
      <c r="S774" s="676"/>
      <c r="T774" s="676"/>
      <c r="U774" s="676"/>
      <c r="V774" s="676"/>
      <c r="W774" s="676"/>
      <c r="X774" s="676"/>
      <c r="Y774" s="676"/>
      <c r="Z774" s="676"/>
      <c r="AA774" s="676"/>
      <c r="AB774" s="676"/>
      <c r="AC774" s="676"/>
      <c r="AD774" s="676"/>
      <c r="AE774" s="676"/>
      <c r="AF774" s="676"/>
      <c r="AG774" s="676"/>
      <c r="AH774" s="676"/>
      <c r="AI774" s="676"/>
      <c r="AJ774" s="676"/>
      <c r="AK774" s="658"/>
    </row>
    <row r="775" spans="1:37" ht="15" customHeight="1">
      <c r="A775" s="5"/>
      <c r="B775" s="313"/>
      <c r="C775" s="833" t="s">
        <v>932</v>
      </c>
      <c r="D775" s="80" t="s">
        <v>657</v>
      </c>
      <c r="E775" s="131"/>
      <c r="F775" s="132"/>
      <c r="G775" s="111"/>
      <c r="H775" s="75"/>
      <c r="I775" s="126"/>
      <c r="J775" s="52"/>
      <c r="K775" s="156"/>
      <c r="L775" s="383"/>
      <c r="M775" s="542"/>
      <c r="N775" s="701">
        <f t="shared" si="199"/>
        <v>0</v>
      </c>
      <c r="O775" s="675"/>
      <c r="P775" s="675"/>
      <c r="Q775" s="675"/>
      <c r="R775" s="675"/>
      <c r="S775" s="675"/>
      <c r="T775" s="675"/>
      <c r="U775" s="675"/>
      <c r="V775" s="675"/>
      <c r="W775" s="675"/>
      <c r="X775" s="675"/>
      <c r="Y775" s="675"/>
      <c r="Z775" s="675"/>
      <c r="AA775" s="675"/>
      <c r="AB775" s="675"/>
      <c r="AC775" s="675"/>
      <c r="AD775" s="675"/>
      <c r="AE775" s="675"/>
      <c r="AF775" s="675"/>
      <c r="AG775" s="675"/>
      <c r="AH775" s="675"/>
      <c r="AI775" s="675"/>
      <c r="AJ775" s="675"/>
      <c r="AK775" s="658"/>
    </row>
    <row r="776" spans="1:37" ht="14">
      <c r="A776" s="5"/>
      <c r="B776" s="313"/>
      <c r="C776" s="833"/>
      <c r="D776" s="468" t="s">
        <v>658</v>
      </c>
      <c r="E776" s="131"/>
      <c r="F776" s="132"/>
      <c r="G776" s="111"/>
      <c r="H776" s="75"/>
      <c r="I776" s="79"/>
      <c r="J776" s="52"/>
      <c r="K776" s="156"/>
      <c r="L776" s="383"/>
      <c r="M776" s="542"/>
      <c r="N776" s="701">
        <f>SUM(O776:AJ776)-H776</f>
        <v>0</v>
      </c>
      <c r="O776" s="675"/>
      <c r="P776" s="675"/>
      <c r="Q776" s="675"/>
      <c r="R776" s="675"/>
      <c r="S776" s="675"/>
      <c r="T776" s="675"/>
      <c r="U776" s="675"/>
      <c r="V776" s="675"/>
      <c r="W776" s="675"/>
      <c r="X776" s="675"/>
      <c r="Y776" s="675"/>
      <c r="Z776" s="675"/>
      <c r="AA776" s="675"/>
      <c r="AB776" s="675"/>
      <c r="AC776" s="675"/>
      <c r="AD776" s="675"/>
      <c r="AE776" s="675"/>
      <c r="AF776" s="675"/>
      <c r="AG776" s="675"/>
      <c r="AH776" s="675"/>
      <c r="AI776" s="675"/>
      <c r="AJ776" s="675"/>
      <c r="AK776" s="658"/>
    </row>
    <row r="777" spans="1:37" ht="14">
      <c r="A777" s="5"/>
      <c r="B777" s="313"/>
      <c r="C777" s="833"/>
      <c r="D777" s="469" t="s">
        <v>659</v>
      </c>
      <c r="E777" s="81" t="s">
        <v>16</v>
      </c>
      <c r="F777" s="253">
        <v>1350000</v>
      </c>
      <c r="G777" s="64">
        <v>1</v>
      </c>
      <c r="H777" s="64">
        <f>+F777*G777+283500</f>
        <v>1633500</v>
      </c>
      <c r="I777" s="79"/>
      <c r="J777" s="52"/>
      <c r="K777" s="156"/>
      <c r="L777" s="383"/>
      <c r="M777" s="542"/>
      <c r="N777" s="701">
        <f t="shared" ref="N777:N803" si="200">SUM(O777:AJ777)-H777</f>
        <v>0</v>
      </c>
      <c r="O777" s="675"/>
      <c r="P777" s="675"/>
      <c r="Q777" s="675"/>
      <c r="R777" s="675">
        <f>+H777*20%</f>
        <v>326700</v>
      </c>
      <c r="S777" s="675"/>
      <c r="T777" s="675"/>
      <c r="U777" s="675"/>
      <c r="V777" s="675"/>
      <c r="W777" s="675">
        <f>+H777*30%</f>
        <v>490050</v>
      </c>
      <c r="X777" s="675"/>
      <c r="Y777" s="675"/>
      <c r="Z777" s="675"/>
      <c r="AA777" s="675">
        <f>+H777*30%</f>
        <v>490050</v>
      </c>
      <c r="AB777" s="675"/>
      <c r="AC777" s="675"/>
      <c r="AD777" s="675"/>
      <c r="AE777" s="675"/>
      <c r="AF777" s="675"/>
      <c r="AG777" s="675">
        <f>+H777*10%</f>
        <v>163350</v>
      </c>
      <c r="AH777" s="675"/>
      <c r="AJ777" s="675">
        <f>+AG777</f>
        <v>163350</v>
      </c>
      <c r="AK777" s="658"/>
    </row>
    <row r="778" spans="1:37" ht="14">
      <c r="A778" s="5"/>
      <c r="B778" s="313"/>
      <c r="C778" s="833"/>
      <c r="D778" s="469" t="s">
        <v>660</v>
      </c>
      <c r="E778" s="131"/>
      <c r="F778" s="132"/>
      <c r="G778" s="111"/>
      <c r="H778" s="75"/>
      <c r="I778" s="79"/>
      <c r="J778" s="52"/>
      <c r="K778" s="156"/>
      <c r="L778" s="383"/>
      <c r="M778" s="542"/>
      <c r="N778" s="701">
        <f t="shared" si="200"/>
        <v>0</v>
      </c>
      <c r="O778" s="675"/>
      <c r="P778" s="675"/>
      <c r="Q778" s="675"/>
      <c r="R778" s="675">
        <f t="shared" ref="R778:R783" si="201">+H778*20%</f>
        <v>0</v>
      </c>
      <c r="S778" s="675"/>
      <c r="T778" s="675"/>
      <c r="U778" s="675"/>
      <c r="V778" s="675"/>
      <c r="W778" s="675">
        <f t="shared" ref="W778:W783" si="202">+H778*30%</f>
        <v>0</v>
      </c>
      <c r="X778" s="675"/>
      <c r="Y778" s="675"/>
      <c r="Z778" s="675"/>
      <c r="AA778" s="675">
        <f t="shared" ref="AA778:AA783" si="203">+H778*30%</f>
        <v>0</v>
      </c>
      <c r="AB778" s="675"/>
      <c r="AC778" s="675"/>
      <c r="AD778" s="675"/>
      <c r="AE778" s="675"/>
      <c r="AF778" s="675"/>
      <c r="AG778" s="675">
        <f t="shared" ref="AG778:AG783" si="204">+H778*10%</f>
        <v>0</v>
      </c>
      <c r="AH778" s="675"/>
      <c r="AJ778" s="675">
        <f t="shared" ref="AJ778:AJ783" si="205">+AG778</f>
        <v>0</v>
      </c>
      <c r="AK778" s="658"/>
    </row>
    <row r="779" spans="1:37" ht="14">
      <c r="A779" s="5"/>
      <c r="B779" s="313"/>
      <c r="C779" s="833"/>
      <c r="D779" s="719" t="s">
        <v>663</v>
      </c>
      <c r="E779" s="131"/>
      <c r="F779" s="132"/>
      <c r="G779" s="111"/>
      <c r="H779" s="75"/>
      <c r="I779" s="79"/>
      <c r="J779" s="52"/>
      <c r="K779" s="156"/>
      <c r="L779" s="383"/>
      <c r="M779" s="542"/>
      <c r="N779" s="701">
        <f t="shared" si="200"/>
        <v>0</v>
      </c>
      <c r="O779" s="675"/>
      <c r="P779" s="675"/>
      <c r="Q779" s="675"/>
      <c r="R779" s="675">
        <f t="shared" si="201"/>
        <v>0</v>
      </c>
      <c r="S779" s="675"/>
      <c r="T779" s="675"/>
      <c r="U779" s="675"/>
      <c r="V779" s="675"/>
      <c r="W779" s="675">
        <f t="shared" si="202"/>
        <v>0</v>
      </c>
      <c r="X779" s="675"/>
      <c r="Y779" s="675"/>
      <c r="Z779" s="675"/>
      <c r="AA779" s="675">
        <f t="shared" si="203"/>
        <v>0</v>
      </c>
      <c r="AB779" s="675"/>
      <c r="AC779" s="675"/>
      <c r="AD779" s="675"/>
      <c r="AE779" s="675"/>
      <c r="AF779" s="675"/>
      <c r="AG779" s="675">
        <f t="shared" si="204"/>
        <v>0</v>
      </c>
      <c r="AH779" s="675"/>
      <c r="AJ779" s="675">
        <f t="shared" si="205"/>
        <v>0</v>
      </c>
      <c r="AK779" s="658"/>
    </row>
    <row r="780" spans="1:37" ht="14">
      <c r="A780" s="5"/>
      <c r="B780" s="313"/>
      <c r="C780" s="833"/>
      <c r="D780" s="469"/>
      <c r="E780" s="81"/>
      <c r="F780" s="253">
        <f>1100*'TOP SHEET'!L6</f>
        <v>149325</v>
      </c>
      <c r="G780" s="64">
        <v>14</v>
      </c>
      <c r="H780" s="64">
        <f>+G780*F780</f>
        <v>2090550</v>
      </c>
      <c r="I780" s="79"/>
      <c r="J780" s="52"/>
      <c r="K780" s="156"/>
      <c r="L780" s="383"/>
      <c r="M780" s="542"/>
      <c r="N780" s="701">
        <f t="shared" si="200"/>
        <v>0</v>
      </c>
      <c r="O780" s="675"/>
      <c r="P780" s="675"/>
      <c r="Q780" s="675"/>
      <c r="R780" s="675">
        <f t="shared" si="201"/>
        <v>418110</v>
      </c>
      <c r="S780" s="675"/>
      <c r="T780" s="675"/>
      <c r="U780" s="675"/>
      <c r="V780" s="675"/>
      <c r="W780" s="675">
        <f t="shared" si="202"/>
        <v>627165</v>
      </c>
      <c r="X780" s="675"/>
      <c r="Y780" s="675"/>
      <c r="Z780" s="675"/>
      <c r="AA780" s="675">
        <f t="shared" si="203"/>
        <v>627165</v>
      </c>
      <c r="AB780" s="675"/>
      <c r="AC780" s="675"/>
      <c r="AD780" s="675"/>
      <c r="AE780" s="675"/>
      <c r="AF780" s="675"/>
      <c r="AG780" s="675">
        <f t="shared" si="204"/>
        <v>209055</v>
      </c>
      <c r="AH780" s="675"/>
      <c r="AJ780" s="675">
        <f t="shared" si="205"/>
        <v>209055</v>
      </c>
      <c r="AK780" s="658"/>
    </row>
    <row r="781" spans="1:37" ht="14">
      <c r="A781" s="5"/>
      <c r="B781" s="313"/>
      <c r="C781" s="833"/>
      <c r="D781" s="469" t="s">
        <v>661</v>
      </c>
      <c r="E781" s="9"/>
      <c r="F781" s="132"/>
      <c r="G781" s="75"/>
      <c r="H781" s="75"/>
      <c r="I781" s="79"/>
      <c r="J781" s="52"/>
      <c r="K781" s="156"/>
      <c r="L781" s="383"/>
      <c r="M781" s="542"/>
      <c r="N781" s="701">
        <f t="shared" si="200"/>
        <v>0</v>
      </c>
      <c r="O781" s="675"/>
      <c r="P781" s="675"/>
      <c r="Q781" s="675"/>
      <c r="R781" s="675">
        <f t="shared" si="201"/>
        <v>0</v>
      </c>
      <c r="S781" s="675"/>
      <c r="T781" s="675"/>
      <c r="U781" s="675"/>
      <c r="V781" s="675"/>
      <c r="W781" s="675">
        <f t="shared" si="202"/>
        <v>0</v>
      </c>
      <c r="X781" s="675"/>
      <c r="Y781" s="675"/>
      <c r="Z781" s="675"/>
      <c r="AA781" s="675">
        <f t="shared" si="203"/>
        <v>0</v>
      </c>
      <c r="AB781" s="675"/>
      <c r="AC781" s="675"/>
      <c r="AD781" s="675"/>
      <c r="AE781" s="675"/>
      <c r="AF781" s="675"/>
      <c r="AG781" s="675">
        <f t="shared" si="204"/>
        <v>0</v>
      </c>
      <c r="AH781" s="675"/>
      <c r="AJ781" s="675">
        <f t="shared" si="205"/>
        <v>0</v>
      </c>
      <c r="AK781" s="658"/>
    </row>
    <row r="782" spans="1:37" ht="14">
      <c r="A782" s="5"/>
      <c r="B782" s="313"/>
      <c r="C782" s="833"/>
      <c r="D782" s="469" t="s">
        <v>662</v>
      </c>
      <c r="E782" s="9"/>
      <c r="F782" s="132"/>
      <c r="G782" s="75"/>
      <c r="H782" s="75"/>
      <c r="I782" s="79"/>
      <c r="J782" s="52"/>
      <c r="K782" s="156"/>
      <c r="L782" s="383"/>
      <c r="M782" s="542"/>
      <c r="N782" s="701">
        <f t="shared" si="200"/>
        <v>0</v>
      </c>
      <c r="O782" s="675"/>
      <c r="P782" s="675"/>
      <c r="Q782" s="675"/>
      <c r="R782" s="675">
        <f t="shared" si="201"/>
        <v>0</v>
      </c>
      <c r="S782" s="675"/>
      <c r="T782" s="675"/>
      <c r="U782" s="675"/>
      <c r="V782" s="675"/>
      <c r="W782" s="675">
        <f t="shared" si="202"/>
        <v>0</v>
      </c>
      <c r="X782" s="675"/>
      <c r="Y782" s="675"/>
      <c r="Z782" s="675"/>
      <c r="AA782" s="675">
        <f t="shared" si="203"/>
        <v>0</v>
      </c>
      <c r="AB782" s="675"/>
      <c r="AC782" s="675"/>
      <c r="AD782" s="675"/>
      <c r="AE782" s="675"/>
      <c r="AF782" s="675"/>
      <c r="AG782" s="675">
        <f t="shared" si="204"/>
        <v>0</v>
      </c>
      <c r="AH782" s="675"/>
      <c r="AJ782" s="675">
        <f t="shared" si="205"/>
        <v>0</v>
      </c>
      <c r="AK782" s="658"/>
    </row>
    <row r="783" spans="1:37" ht="14">
      <c r="A783" s="5"/>
      <c r="B783" s="313"/>
      <c r="C783" s="833"/>
      <c r="D783" s="719" t="s">
        <v>672</v>
      </c>
      <c r="E783" s="81"/>
      <c r="F783" s="253">
        <f>2500*'TOP SHEET'!L6</f>
        <v>339375</v>
      </c>
      <c r="G783" s="64">
        <v>1</v>
      </c>
      <c r="H783" s="64">
        <f>+G783*F783</f>
        <v>339375</v>
      </c>
      <c r="I783" s="79"/>
      <c r="J783" s="52"/>
      <c r="K783" s="156"/>
      <c r="L783" s="383"/>
      <c r="M783" s="542"/>
      <c r="N783" s="701">
        <f t="shared" si="200"/>
        <v>0</v>
      </c>
      <c r="O783" s="675"/>
      <c r="P783" s="675"/>
      <c r="Q783" s="675"/>
      <c r="R783" s="675">
        <f t="shared" si="201"/>
        <v>67875</v>
      </c>
      <c r="S783" s="675"/>
      <c r="T783" s="675"/>
      <c r="U783" s="675"/>
      <c r="V783" s="675"/>
      <c r="W783" s="675">
        <f t="shared" si="202"/>
        <v>101812.5</v>
      </c>
      <c r="X783" s="675"/>
      <c r="Y783" s="675"/>
      <c r="Z783" s="675"/>
      <c r="AA783" s="675">
        <f t="shared" si="203"/>
        <v>101812.5</v>
      </c>
      <c r="AB783" s="675"/>
      <c r="AC783" s="675"/>
      <c r="AD783" s="675"/>
      <c r="AE783" s="675"/>
      <c r="AF783" s="675"/>
      <c r="AG783" s="675">
        <f t="shared" si="204"/>
        <v>33937.5</v>
      </c>
      <c r="AH783" s="675"/>
      <c r="AJ783" s="675">
        <f t="shared" si="205"/>
        <v>33937.5</v>
      </c>
      <c r="AK783" s="658"/>
    </row>
    <row r="784" spans="1:37" ht="14">
      <c r="A784" s="5"/>
      <c r="B784" s="313"/>
      <c r="C784" s="833"/>
      <c r="D784" s="469" t="s">
        <v>664</v>
      </c>
      <c r="E784" s="9"/>
      <c r="F784" s="132"/>
      <c r="G784" s="75"/>
      <c r="H784" s="75"/>
      <c r="I784" s="79"/>
      <c r="J784" s="52"/>
      <c r="K784" s="156"/>
      <c r="L784" s="383"/>
      <c r="M784" s="542"/>
      <c r="N784" s="701">
        <f t="shared" si="200"/>
        <v>0</v>
      </c>
      <c r="O784" s="675"/>
      <c r="P784" s="675"/>
      <c r="Q784" s="675"/>
      <c r="R784" s="675">
        <f t="shared" ref="R784:R848" si="206">+H784*20%</f>
        <v>0</v>
      </c>
      <c r="S784" s="675"/>
      <c r="T784" s="675"/>
      <c r="U784" s="675"/>
      <c r="V784" s="675"/>
      <c r="W784" s="675">
        <f t="shared" ref="W784:W848" si="207">+H784*30%</f>
        <v>0</v>
      </c>
      <c r="X784" s="675"/>
      <c r="Y784" s="675"/>
      <c r="Z784" s="675"/>
      <c r="AA784" s="675">
        <f t="shared" ref="AA784:AA848" si="208">+H784*30%</f>
        <v>0</v>
      </c>
      <c r="AB784" s="675"/>
      <c r="AC784" s="675"/>
      <c r="AD784" s="675"/>
      <c r="AE784" s="675"/>
      <c r="AF784" s="675"/>
      <c r="AG784" s="675">
        <f t="shared" ref="AG784:AG848" si="209">+H784*10%</f>
        <v>0</v>
      </c>
      <c r="AH784" s="675"/>
      <c r="AJ784" s="675">
        <f t="shared" ref="AJ784:AJ848" si="210">+AG784</f>
        <v>0</v>
      </c>
      <c r="AK784" s="658"/>
    </row>
    <row r="785" spans="1:37" ht="14">
      <c r="A785" s="5"/>
      <c r="B785" s="313"/>
      <c r="C785" s="833"/>
      <c r="D785" s="469" t="s">
        <v>665</v>
      </c>
      <c r="E785" s="9"/>
      <c r="F785" s="132"/>
      <c r="G785" s="75"/>
      <c r="H785" s="75"/>
      <c r="I785" s="79"/>
      <c r="J785" s="52"/>
      <c r="K785" s="156"/>
      <c r="L785" s="383"/>
      <c r="M785" s="542"/>
      <c r="N785" s="701">
        <f t="shared" si="200"/>
        <v>0</v>
      </c>
      <c r="O785" s="675"/>
      <c r="P785" s="675"/>
      <c r="Q785" s="675"/>
      <c r="R785" s="675">
        <f t="shared" si="206"/>
        <v>0</v>
      </c>
      <c r="S785" s="675"/>
      <c r="T785" s="675"/>
      <c r="U785" s="675"/>
      <c r="V785" s="675"/>
      <c r="W785" s="675">
        <f t="shared" si="207"/>
        <v>0</v>
      </c>
      <c r="X785" s="675"/>
      <c r="Y785" s="675"/>
      <c r="Z785" s="675"/>
      <c r="AA785" s="675">
        <f t="shared" si="208"/>
        <v>0</v>
      </c>
      <c r="AB785" s="675"/>
      <c r="AC785" s="675"/>
      <c r="AD785" s="675"/>
      <c r="AE785" s="675"/>
      <c r="AF785" s="675"/>
      <c r="AG785" s="675">
        <f t="shared" si="209"/>
        <v>0</v>
      </c>
      <c r="AH785" s="675"/>
      <c r="AJ785" s="675">
        <f t="shared" si="210"/>
        <v>0</v>
      </c>
      <c r="AK785" s="658"/>
    </row>
    <row r="786" spans="1:37" ht="14">
      <c r="A786" s="5"/>
      <c r="B786" s="313"/>
      <c r="C786" s="833"/>
      <c r="D786" s="469" t="s">
        <v>666</v>
      </c>
      <c r="E786" s="9"/>
      <c r="F786" s="132"/>
      <c r="G786" s="75"/>
      <c r="H786" s="75"/>
      <c r="I786" s="79"/>
      <c r="J786" s="52"/>
      <c r="K786" s="156"/>
      <c r="L786" s="383"/>
      <c r="M786" s="542"/>
      <c r="N786" s="701">
        <f t="shared" si="200"/>
        <v>0</v>
      </c>
      <c r="O786" s="675"/>
      <c r="P786" s="675"/>
      <c r="Q786" s="675"/>
      <c r="R786" s="675">
        <f t="shared" si="206"/>
        <v>0</v>
      </c>
      <c r="S786" s="675"/>
      <c r="T786" s="675"/>
      <c r="U786" s="675"/>
      <c r="V786" s="675"/>
      <c r="W786" s="675">
        <f t="shared" si="207"/>
        <v>0</v>
      </c>
      <c r="X786" s="675"/>
      <c r="Y786" s="675"/>
      <c r="Z786" s="675"/>
      <c r="AA786" s="675">
        <f t="shared" si="208"/>
        <v>0</v>
      </c>
      <c r="AB786" s="675"/>
      <c r="AC786" s="675"/>
      <c r="AD786" s="675"/>
      <c r="AE786" s="675"/>
      <c r="AF786" s="675"/>
      <c r="AG786" s="675">
        <f t="shared" si="209"/>
        <v>0</v>
      </c>
      <c r="AH786" s="675"/>
      <c r="AJ786" s="675">
        <f t="shared" si="210"/>
        <v>0</v>
      </c>
      <c r="AK786" s="658"/>
    </row>
    <row r="787" spans="1:37" ht="14">
      <c r="A787" s="5"/>
      <c r="B787" s="313"/>
      <c r="C787" s="833"/>
      <c r="D787" s="469" t="s">
        <v>667</v>
      </c>
      <c r="E787" s="9"/>
      <c r="F787" s="132"/>
      <c r="G787" s="75"/>
      <c r="H787" s="75"/>
      <c r="I787" s="79"/>
      <c r="J787" s="52"/>
      <c r="K787" s="156"/>
      <c r="L787" s="383"/>
      <c r="M787" s="542"/>
      <c r="N787" s="701">
        <f t="shared" si="200"/>
        <v>0</v>
      </c>
      <c r="O787" s="675"/>
      <c r="P787" s="675"/>
      <c r="Q787" s="675"/>
      <c r="R787" s="675">
        <f t="shared" si="206"/>
        <v>0</v>
      </c>
      <c r="S787" s="675"/>
      <c r="T787" s="675"/>
      <c r="U787" s="675"/>
      <c r="V787" s="675"/>
      <c r="W787" s="675">
        <f t="shared" si="207"/>
        <v>0</v>
      </c>
      <c r="X787" s="675"/>
      <c r="Y787" s="675"/>
      <c r="Z787" s="675"/>
      <c r="AA787" s="675">
        <f t="shared" si="208"/>
        <v>0</v>
      </c>
      <c r="AB787" s="675"/>
      <c r="AC787" s="675"/>
      <c r="AD787" s="675"/>
      <c r="AE787" s="675"/>
      <c r="AF787" s="675"/>
      <c r="AG787" s="675">
        <f t="shared" si="209"/>
        <v>0</v>
      </c>
      <c r="AH787" s="675"/>
      <c r="AJ787" s="675">
        <f t="shared" si="210"/>
        <v>0</v>
      </c>
      <c r="AK787" s="658"/>
    </row>
    <row r="788" spans="1:37" ht="14">
      <c r="A788" s="5"/>
      <c r="B788" s="313"/>
      <c r="C788" s="833"/>
      <c r="D788" s="469" t="s">
        <v>668</v>
      </c>
      <c r="E788" s="9"/>
      <c r="F788" s="132"/>
      <c r="G788" s="75"/>
      <c r="H788" s="75"/>
      <c r="I788" s="79"/>
      <c r="J788" s="52"/>
      <c r="K788" s="156"/>
      <c r="L788" s="383"/>
      <c r="M788" s="542"/>
      <c r="N788" s="701">
        <f t="shared" si="200"/>
        <v>0</v>
      </c>
      <c r="O788" s="675"/>
      <c r="P788" s="675"/>
      <c r="Q788" s="675"/>
      <c r="R788" s="675">
        <f t="shared" si="206"/>
        <v>0</v>
      </c>
      <c r="S788" s="675"/>
      <c r="T788" s="675"/>
      <c r="U788" s="675"/>
      <c r="V788" s="675"/>
      <c r="W788" s="675">
        <f t="shared" si="207"/>
        <v>0</v>
      </c>
      <c r="X788" s="675"/>
      <c r="Y788" s="675"/>
      <c r="Z788" s="675"/>
      <c r="AA788" s="675">
        <f t="shared" si="208"/>
        <v>0</v>
      </c>
      <c r="AB788" s="675"/>
      <c r="AC788" s="675"/>
      <c r="AD788" s="675"/>
      <c r="AE788" s="675"/>
      <c r="AF788" s="675"/>
      <c r="AG788" s="675">
        <f t="shared" si="209"/>
        <v>0</v>
      </c>
      <c r="AH788" s="675"/>
      <c r="AJ788" s="675">
        <f t="shared" si="210"/>
        <v>0</v>
      </c>
      <c r="AK788" s="658"/>
    </row>
    <row r="789" spans="1:37" ht="14">
      <c r="A789" s="5"/>
      <c r="B789" s="313"/>
      <c r="C789" s="833"/>
      <c r="D789" s="469" t="s">
        <v>669</v>
      </c>
      <c r="E789" s="9"/>
      <c r="F789" s="132"/>
      <c r="G789" s="75"/>
      <c r="H789" s="75"/>
      <c r="I789" s="79"/>
      <c r="J789" s="52"/>
      <c r="K789" s="156"/>
      <c r="L789" s="383"/>
      <c r="M789" s="542"/>
      <c r="N789" s="701">
        <f t="shared" si="200"/>
        <v>0</v>
      </c>
      <c r="O789" s="675"/>
      <c r="P789" s="675"/>
      <c r="Q789" s="675"/>
      <c r="R789" s="675">
        <f t="shared" si="206"/>
        <v>0</v>
      </c>
      <c r="S789" s="675"/>
      <c r="T789" s="675"/>
      <c r="U789" s="675"/>
      <c r="V789" s="675"/>
      <c r="W789" s="675">
        <f t="shared" si="207"/>
        <v>0</v>
      </c>
      <c r="X789" s="675"/>
      <c r="Y789" s="675"/>
      <c r="Z789" s="675"/>
      <c r="AA789" s="675">
        <f t="shared" si="208"/>
        <v>0</v>
      </c>
      <c r="AB789" s="675"/>
      <c r="AC789" s="675"/>
      <c r="AD789" s="675"/>
      <c r="AE789" s="675"/>
      <c r="AF789" s="675"/>
      <c r="AG789" s="675">
        <f t="shared" si="209"/>
        <v>0</v>
      </c>
      <c r="AH789" s="675"/>
      <c r="AJ789" s="675">
        <f t="shared" si="210"/>
        <v>0</v>
      </c>
      <c r="AK789" s="658"/>
    </row>
    <row r="790" spans="1:37" ht="14">
      <c r="A790" s="5"/>
      <c r="B790" s="313"/>
      <c r="C790" s="833"/>
      <c r="D790" s="469" t="s">
        <v>670</v>
      </c>
      <c r="E790" s="9"/>
      <c r="F790" s="132"/>
      <c r="G790" s="75"/>
      <c r="H790" s="75"/>
      <c r="I790" s="79"/>
      <c r="J790" s="52"/>
      <c r="K790" s="156"/>
      <c r="L790" s="383"/>
      <c r="M790" s="542"/>
      <c r="N790" s="701">
        <f t="shared" si="200"/>
        <v>0</v>
      </c>
      <c r="O790" s="675"/>
      <c r="P790" s="675"/>
      <c r="Q790" s="675"/>
      <c r="R790" s="675">
        <f t="shared" si="206"/>
        <v>0</v>
      </c>
      <c r="S790" s="675"/>
      <c r="T790" s="675"/>
      <c r="U790" s="675"/>
      <c r="V790" s="675"/>
      <c r="W790" s="675">
        <f t="shared" si="207"/>
        <v>0</v>
      </c>
      <c r="X790" s="675"/>
      <c r="Y790" s="675"/>
      <c r="Z790" s="675"/>
      <c r="AA790" s="675">
        <f t="shared" si="208"/>
        <v>0</v>
      </c>
      <c r="AB790" s="675"/>
      <c r="AC790" s="675"/>
      <c r="AD790" s="675"/>
      <c r="AE790" s="675"/>
      <c r="AF790" s="675"/>
      <c r="AG790" s="675">
        <f t="shared" si="209"/>
        <v>0</v>
      </c>
      <c r="AH790" s="675"/>
      <c r="AJ790" s="675">
        <f t="shared" si="210"/>
        <v>0</v>
      </c>
      <c r="AK790" s="658"/>
    </row>
    <row r="791" spans="1:37" ht="14">
      <c r="A791" s="5"/>
      <c r="B791" s="313"/>
      <c r="C791" s="833"/>
      <c r="D791" s="469" t="s">
        <v>671</v>
      </c>
      <c r="E791" s="9"/>
      <c r="F791" s="132"/>
      <c r="G791" s="75"/>
      <c r="H791" s="75"/>
      <c r="I791" s="79"/>
      <c r="J791" s="52"/>
      <c r="K791" s="156"/>
      <c r="L791" s="383"/>
      <c r="M791" s="542"/>
      <c r="N791" s="701">
        <f t="shared" si="200"/>
        <v>0</v>
      </c>
      <c r="O791" s="675"/>
      <c r="P791" s="675"/>
      <c r="Q791" s="675"/>
      <c r="R791" s="675">
        <f t="shared" si="206"/>
        <v>0</v>
      </c>
      <c r="S791" s="675"/>
      <c r="T791" s="675"/>
      <c r="U791" s="675"/>
      <c r="V791" s="675"/>
      <c r="W791" s="675">
        <f t="shared" si="207"/>
        <v>0</v>
      </c>
      <c r="X791" s="675"/>
      <c r="Y791" s="675"/>
      <c r="Z791" s="675"/>
      <c r="AA791" s="675">
        <f t="shared" si="208"/>
        <v>0</v>
      </c>
      <c r="AB791" s="675"/>
      <c r="AC791" s="675"/>
      <c r="AD791" s="675"/>
      <c r="AE791" s="675"/>
      <c r="AF791" s="675"/>
      <c r="AG791" s="675">
        <f t="shared" si="209"/>
        <v>0</v>
      </c>
      <c r="AH791" s="675"/>
      <c r="AJ791" s="675">
        <f t="shared" si="210"/>
        <v>0</v>
      </c>
      <c r="AK791" s="658"/>
    </row>
    <row r="792" spans="1:37" ht="14">
      <c r="A792" s="5"/>
      <c r="B792" s="313"/>
      <c r="C792" s="833"/>
      <c r="D792" s="469"/>
      <c r="E792" s="9"/>
      <c r="F792" s="132"/>
      <c r="G792" s="75"/>
      <c r="H792" s="75"/>
      <c r="I792" s="79"/>
      <c r="J792" s="52"/>
      <c r="K792" s="156"/>
      <c r="L792" s="383"/>
      <c r="M792" s="542"/>
      <c r="N792" s="701">
        <f t="shared" si="200"/>
        <v>0</v>
      </c>
      <c r="O792" s="675"/>
      <c r="P792" s="675"/>
      <c r="Q792" s="675"/>
      <c r="R792" s="675">
        <f t="shared" si="206"/>
        <v>0</v>
      </c>
      <c r="S792" s="675"/>
      <c r="T792" s="675"/>
      <c r="U792" s="675"/>
      <c r="V792" s="675"/>
      <c r="W792" s="675">
        <f t="shared" si="207"/>
        <v>0</v>
      </c>
      <c r="X792" s="675"/>
      <c r="Y792" s="675"/>
      <c r="Z792" s="675"/>
      <c r="AA792" s="675">
        <f t="shared" si="208"/>
        <v>0</v>
      </c>
      <c r="AB792" s="675"/>
      <c r="AC792" s="675"/>
      <c r="AD792" s="675"/>
      <c r="AE792" s="675"/>
      <c r="AF792" s="675"/>
      <c r="AG792" s="675">
        <f t="shared" si="209"/>
        <v>0</v>
      </c>
      <c r="AH792" s="675"/>
      <c r="AJ792" s="675">
        <f t="shared" si="210"/>
        <v>0</v>
      </c>
      <c r="AK792" s="658"/>
    </row>
    <row r="793" spans="1:37" ht="33" customHeight="1">
      <c r="A793" s="5"/>
      <c r="B793" s="313"/>
      <c r="C793" s="833"/>
      <c r="D793" s="470"/>
      <c r="E793" s="9"/>
      <c r="F793" s="132"/>
      <c r="G793" s="75"/>
      <c r="H793" s="75"/>
      <c r="I793" s="79"/>
      <c r="J793" s="52"/>
      <c r="K793" s="156"/>
      <c r="L793" s="383"/>
      <c r="M793" s="542"/>
      <c r="N793" s="701">
        <f t="shared" si="200"/>
        <v>0</v>
      </c>
      <c r="O793" s="675"/>
      <c r="P793" s="675"/>
      <c r="Q793" s="675"/>
      <c r="R793" s="675">
        <f t="shared" si="206"/>
        <v>0</v>
      </c>
      <c r="S793" s="675"/>
      <c r="T793" s="675"/>
      <c r="U793" s="675"/>
      <c r="V793" s="675"/>
      <c r="W793" s="675">
        <f t="shared" si="207"/>
        <v>0</v>
      </c>
      <c r="X793" s="675"/>
      <c r="Y793" s="675"/>
      <c r="Z793" s="675"/>
      <c r="AA793" s="675">
        <f t="shared" si="208"/>
        <v>0</v>
      </c>
      <c r="AB793" s="675"/>
      <c r="AC793" s="675"/>
      <c r="AD793" s="675"/>
      <c r="AE793" s="675"/>
      <c r="AF793" s="675"/>
      <c r="AG793" s="675">
        <f t="shared" si="209"/>
        <v>0</v>
      </c>
      <c r="AH793" s="675"/>
      <c r="AJ793" s="675">
        <f t="shared" si="210"/>
        <v>0</v>
      </c>
      <c r="AK793" s="658"/>
    </row>
    <row r="794" spans="1:37" ht="15" customHeight="1">
      <c r="A794" s="5"/>
      <c r="B794" s="313"/>
      <c r="C794" s="833"/>
      <c r="D794" s="80" t="s">
        <v>150</v>
      </c>
      <c r="E794" s="9"/>
      <c r="F794" s="132"/>
      <c r="G794" s="75"/>
      <c r="H794" s="75"/>
      <c r="I794" s="79"/>
      <c r="J794" s="52"/>
      <c r="K794" s="156"/>
      <c r="L794" s="383"/>
      <c r="M794" s="542"/>
      <c r="N794" s="701">
        <f t="shared" si="200"/>
        <v>0</v>
      </c>
      <c r="O794" s="675"/>
      <c r="P794" s="675"/>
      <c r="Q794" s="675"/>
      <c r="R794" s="675">
        <f t="shared" si="206"/>
        <v>0</v>
      </c>
      <c r="S794" s="675"/>
      <c r="T794" s="675"/>
      <c r="U794" s="675"/>
      <c r="V794" s="675"/>
      <c r="W794" s="675">
        <f t="shared" si="207"/>
        <v>0</v>
      </c>
      <c r="X794" s="675"/>
      <c r="Y794" s="675"/>
      <c r="Z794" s="675"/>
      <c r="AA794" s="675">
        <f t="shared" si="208"/>
        <v>0</v>
      </c>
      <c r="AB794" s="675"/>
      <c r="AC794" s="675"/>
      <c r="AD794" s="675"/>
      <c r="AE794" s="675"/>
      <c r="AF794" s="675"/>
      <c r="AG794" s="675">
        <f t="shared" si="209"/>
        <v>0</v>
      </c>
      <c r="AH794" s="675"/>
      <c r="AJ794" s="675">
        <f t="shared" si="210"/>
        <v>0</v>
      </c>
      <c r="AK794" s="658"/>
    </row>
    <row r="795" spans="1:37" ht="15" customHeight="1">
      <c r="A795" s="5"/>
      <c r="B795" s="313"/>
      <c r="C795" s="833"/>
      <c r="D795" s="469" t="s">
        <v>482</v>
      </c>
      <c r="E795" s="9"/>
      <c r="F795" s="132"/>
      <c r="G795" s="75"/>
      <c r="H795" s="75"/>
      <c r="I795" s="79"/>
      <c r="J795" s="52"/>
      <c r="K795" s="156"/>
      <c r="L795" s="383"/>
      <c r="M795" s="542"/>
      <c r="N795" s="701">
        <f t="shared" si="200"/>
        <v>0</v>
      </c>
      <c r="O795" s="675"/>
      <c r="P795" s="675"/>
      <c r="Q795" s="675"/>
      <c r="R795" s="675">
        <f t="shared" si="206"/>
        <v>0</v>
      </c>
      <c r="S795" s="675"/>
      <c r="T795" s="675"/>
      <c r="U795" s="675"/>
      <c r="V795" s="675"/>
      <c r="W795" s="675">
        <f t="shared" si="207"/>
        <v>0</v>
      </c>
      <c r="X795" s="675"/>
      <c r="Y795" s="675"/>
      <c r="Z795" s="675"/>
      <c r="AA795" s="675">
        <f t="shared" si="208"/>
        <v>0</v>
      </c>
      <c r="AB795" s="675"/>
      <c r="AC795" s="675"/>
      <c r="AD795" s="675"/>
      <c r="AE795" s="675"/>
      <c r="AF795" s="675"/>
      <c r="AG795" s="675">
        <f t="shared" si="209"/>
        <v>0</v>
      </c>
      <c r="AH795" s="675"/>
      <c r="AJ795" s="675">
        <f t="shared" si="210"/>
        <v>0</v>
      </c>
      <c r="AK795" s="658"/>
    </row>
    <row r="796" spans="1:37" ht="15" customHeight="1">
      <c r="A796" s="5"/>
      <c r="B796" s="313"/>
      <c r="C796" s="833"/>
      <c r="D796" s="469" t="s">
        <v>483</v>
      </c>
      <c r="E796" s="9"/>
      <c r="F796" s="132"/>
      <c r="G796" s="75"/>
      <c r="H796" s="75"/>
      <c r="I796" s="79"/>
      <c r="J796" s="52"/>
      <c r="K796" s="156"/>
      <c r="L796" s="383"/>
      <c r="M796" s="542"/>
      <c r="N796" s="701">
        <f t="shared" si="200"/>
        <v>0</v>
      </c>
      <c r="O796" s="675"/>
      <c r="P796" s="675"/>
      <c r="Q796" s="675"/>
      <c r="R796" s="675">
        <f t="shared" si="206"/>
        <v>0</v>
      </c>
      <c r="S796" s="675"/>
      <c r="T796" s="675"/>
      <c r="U796" s="675"/>
      <c r="V796" s="675"/>
      <c r="W796" s="675">
        <f t="shared" si="207"/>
        <v>0</v>
      </c>
      <c r="X796" s="675"/>
      <c r="Y796" s="675"/>
      <c r="Z796" s="675"/>
      <c r="AA796" s="675">
        <f t="shared" si="208"/>
        <v>0</v>
      </c>
      <c r="AB796" s="675"/>
      <c r="AC796" s="675"/>
      <c r="AD796" s="675"/>
      <c r="AE796" s="675"/>
      <c r="AF796" s="675"/>
      <c r="AG796" s="675">
        <f t="shared" si="209"/>
        <v>0</v>
      </c>
      <c r="AH796" s="675"/>
      <c r="AJ796" s="675">
        <f t="shared" si="210"/>
        <v>0</v>
      </c>
      <c r="AK796" s="658"/>
    </row>
    <row r="797" spans="1:37" ht="15" customHeight="1">
      <c r="A797" s="5"/>
      <c r="B797" s="313"/>
      <c r="C797" s="833"/>
      <c r="D797" s="469" t="s">
        <v>484</v>
      </c>
      <c r="E797" s="81" t="s">
        <v>16</v>
      </c>
      <c r="F797" s="253">
        <v>100000</v>
      </c>
      <c r="G797" s="64">
        <v>1</v>
      </c>
      <c r="H797" s="64">
        <f>+F797*G797+18900</f>
        <v>118900</v>
      </c>
      <c r="I797" s="72"/>
      <c r="J797" s="52"/>
      <c r="K797" s="156"/>
      <c r="L797" s="383"/>
      <c r="M797" s="542"/>
      <c r="N797" s="701">
        <f t="shared" si="200"/>
        <v>0</v>
      </c>
      <c r="O797" s="675"/>
      <c r="P797" s="675"/>
      <c r="Q797" s="675"/>
      <c r="R797" s="675">
        <f t="shared" si="206"/>
        <v>23780</v>
      </c>
      <c r="S797" s="675"/>
      <c r="T797" s="675"/>
      <c r="U797" s="675"/>
      <c r="V797" s="675"/>
      <c r="W797" s="675">
        <f t="shared" si="207"/>
        <v>35670</v>
      </c>
      <c r="X797" s="675"/>
      <c r="Y797" s="675"/>
      <c r="Z797" s="675"/>
      <c r="AA797" s="675">
        <f t="shared" si="208"/>
        <v>35670</v>
      </c>
      <c r="AB797" s="675"/>
      <c r="AC797" s="675"/>
      <c r="AD797" s="675"/>
      <c r="AE797" s="675"/>
      <c r="AF797" s="675"/>
      <c r="AG797" s="675">
        <f t="shared" si="209"/>
        <v>11890</v>
      </c>
      <c r="AH797" s="675"/>
      <c r="AJ797" s="675">
        <f t="shared" si="210"/>
        <v>11890</v>
      </c>
      <c r="AK797" s="658"/>
    </row>
    <row r="798" spans="1:37" ht="15" customHeight="1">
      <c r="A798" s="5"/>
      <c r="B798" s="313"/>
      <c r="C798" s="833"/>
      <c r="D798" s="80" t="s">
        <v>151</v>
      </c>
      <c r="E798" s="131"/>
      <c r="F798" s="132"/>
      <c r="G798" s="111"/>
      <c r="H798" s="75"/>
      <c r="I798" s="126"/>
      <c r="J798" s="52"/>
      <c r="K798" s="156"/>
      <c r="L798" s="383"/>
      <c r="M798" s="542"/>
      <c r="N798" s="701">
        <f t="shared" si="200"/>
        <v>0</v>
      </c>
      <c r="O798" s="675"/>
      <c r="P798" s="675"/>
      <c r="Q798" s="675"/>
      <c r="R798" s="675">
        <f t="shared" si="206"/>
        <v>0</v>
      </c>
      <c r="S798" s="675"/>
      <c r="T798" s="675"/>
      <c r="U798" s="675"/>
      <c r="V798" s="675"/>
      <c r="W798" s="675">
        <f t="shared" si="207"/>
        <v>0</v>
      </c>
      <c r="X798" s="675"/>
      <c r="Y798" s="675"/>
      <c r="Z798" s="675"/>
      <c r="AA798" s="675">
        <f t="shared" si="208"/>
        <v>0</v>
      </c>
      <c r="AB798" s="675"/>
      <c r="AC798" s="675"/>
      <c r="AD798" s="675"/>
      <c r="AE798" s="675"/>
      <c r="AF798" s="675"/>
      <c r="AG798" s="675">
        <f t="shared" si="209"/>
        <v>0</v>
      </c>
      <c r="AH798" s="675"/>
      <c r="AJ798" s="675">
        <f t="shared" si="210"/>
        <v>0</v>
      </c>
      <c r="AK798" s="658"/>
    </row>
    <row r="799" spans="1:37" ht="15" customHeight="1">
      <c r="A799" s="5"/>
      <c r="B799" s="313"/>
      <c r="C799" s="833"/>
      <c r="D799" s="469" t="s">
        <v>485</v>
      </c>
      <c r="E799" s="81" t="s">
        <v>16</v>
      </c>
      <c r="F799" s="253">
        <v>75000</v>
      </c>
      <c r="G799" s="64">
        <v>1</v>
      </c>
      <c r="H799" s="64">
        <f>+F799*G799+10500</f>
        <v>85500</v>
      </c>
      <c r="I799" s="72"/>
      <c r="J799" s="52"/>
      <c r="K799" s="156"/>
      <c r="L799" s="383"/>
      <c r="M799" s="542"/>
      <c r="N799" s="701">
        <f t="shared" si="200"/>
        <v>0</v>
      </c>
      <c r="O799" s="675"/>
      <c r="P799" s="675"/>
      <c r="Q799" s="675"/>
      <c r="R799" s="675">
        <f t="shared" si="206"/>
        <v>17100</v>
      </c>
      <c r="S799" s="675"/>
      <c r="T799" s="675"/>
      <c r="U799" s="675"/>
      <c r="V799" s="675"/>
      <c r="W799" s="675">
        <f t="shared" si="207"/>
        <v>25650</v>
      </c>
      <c r="X799" s="675"/>
      <c r="Y799" s="675"/>
      <c r="Z799" s="675"/>
      <c r="AA799" s="675">
        <f t="shared" si="208"/>
        <v>25650</v>
      </c>
      <c r="AB799" s="675"/>
      <c r="AC799" s="675"/>
      <c r="AD799" s="675"/>
      <c r="AE799" s="675"/>
      <c r="AF799" s="675"/>
      <c r="AG799" s="675">
        <f t="shared" si="209"/>
        <v>8550</v>
      </c>
      <c r="AH799" s="675"/>
      <c r="AJ799" s="675">
        <f t="shared" si="210"/>
        <v>8550</v>
      </c>
      <c r="AK799" s="658"/>
    </row>
    <row r="800" spans="1:37" ht="15" customHeight="1">
      <c r="A800" s="5"/>
      <c r="B800" s="313"/>
      <c r="C800" s="833"/>
      <c r="D800" s="716" t="s">
        <v>655</v>
      </c>
      <c r="E800" s="717" t="s">
        <v>656</v>
      </c>
      <c r="F800" s="718">
        <f>400*'TOP SHEET'!L6</f>
        <v>54300</v>
      </c>
      <c r="G800" s="527">
        <v>30</v>
      </c>
      <c r="H800" s="527">
        <f>+G800*F800</f>
        <v>1629000</v>
      </c>
      <c r="I800" s="72"/>
      <c r="J800" s="52"/>
      <c r="K800" s="156"/>
      <c r="L800" s="383"/>
      <c r="M800" s="542"/>
      <c r="N800" s="701">
        <f t="shared" si="200"/>
        <v>0</v>
      </c>
      <c r="O800" s="675"/>
      <c r="P800" s="675"/>
      <c r="Q800" s="675"/>
      <c r="R800" s="675">
        <f t="shared" si="206"/>
        <v>325800</v>
      </c>
      <c r="S800" s="675"/>
      <c r="T800" s="675"/>
      <c r="U800" s="675"/>
      <c r="V800" s="675"/>
      <c r="W800" s="675">
        <f t="shared" si="207"/>
        <v>488700</v>
      </c>
      <c r="X800" s="675"/>
      <c r="Y800" s="675"/>
      <c r="Z800" s="675"/>
      <c r="AA800" s="675">
        <f t="shared" si="208"/>
        <v>488700</v>
      </c>
      <c r="AB800" s="675"/>
      <c r="AC800" s="675"/>
      <c r="AD800" s="675"/>
      <c r="AE800" s="675"/>
      <c r="AF800" s="675"/>
      <c r="AG800" s="675">
        <f t="shared" si="209"/>
        <v>162900</v>
      </c>
      <c r="AH800" s="675"/>
      <c r="AJ800" s="675">
        <f t="shared" si="210"/>
        <v>162900</v>
      </c>
      <c r="AK800" s="658"/>
    </row>
    <row r="801" spans="1:37" ht="15" customHeight="1">
      <c r="A801" s="5"/>
      <c r="B801" s="313"/>
      <c r="C801" s="833"/>
      <c r="D801" s="70" t="s">
        <v>152</v>
      </c>
      <c r="E801" s="67" t="s">
        <v>16</v>
      </c>
      <c r="F801" s="253">
        <v>400000</v>
      </c>
      <c r="G801" s="64">
        <v>1</v>
      </c>
      <c r="H801" s="64">
        <f>+F801*G801+6300</f>
        <v>406300</v>
      </c>
      <c r="I801" s="72"/>
      <c r="J801" s="52"/>
      <c r="K801" s="156"/>
      <c r="L801" s="383"/>
      <c r="M801" s="542"/>
      <c r="N801" s="701">
        <f t="shared" si="200"/>
        <v>0</v>
      </c>
      <c r="O801" s="675"/>
      <c r="P801" s="675"/>
      <c r="Q801" s="675"/>
      <c r="R801" s="675">
        <f t="shared" si="206"/>
        <v>81260</v>
      </c>
      <c r="S801" s="675"/>
      <c r="T801" s="675"/>
      <c r="U801" s="675"/>
      <c r="V801" s="675"/>
      <c r="W801" s="675">
        <f t="shared" si="207"/>
        <v>121890</v>
      </c>
      <c r="X801" s="675"/>
      <c r="Y801" s="675"/>
      <c r="Z801" s="675"/>
      <c r="AA801" s="675">
        <f t="shared" si="208"/>
        <v>121890</v>
      </c>
      <c r="AB801" s="675"/>
      <c r="AC801" s="675"/>
      <c r="AD801" s="675"/>
      <c r="AE801" s="675"/>
      <c r="AF801" s="675"/>
      <c r="AG801" s="675">
        <f t="shared" si="209"/>
        <v>40630</v>
      </c>
      <c r="AH801" s="675"/>
      <c r="AJ801" s="675">
        <f t="shared" si="210"/>
        <v>40630</v>
      </c>
      <c r="AK801" s="658"/>
    </row>
    <row r="802" spans="1:37" s="543" customFormat="1" ht="15" customHeight="1">
      <c r="A802" s="532"/>
      <c r="B802" s="533"/>
      <c r="C802" s="847"/>
      <c r="D802" s="556" t="s">
        <v>515</v>
      </c>
      <c r="E802" s="756" t="s">
        <v>16</v>
      </c>
      <c r="F802" s="757">
        <v>900000</v>
      </c>
      <c r="G802" s="537">
        <v>1</v>
      </c>
      <c r="H802" s="537">
        <v>1200000</v>
      </c>
      <c r="I802" s="546"/>
      <c r="J802" s="547"/>
      <c r="K802" s="540"/>
      <c r="L802" s="541"/>
      <c r="M802" s="542"/>
      <c r="N802" s="753">
        <f>SUM(O802:AJ802)-H802</f>
        <v>0</v>
      </c>
      <c r="O802" s="687"/>
      <c r="P802" s="687"/>
      <c r="Q802" s="687"/>
      <c r="R802" s="687"/>
      <c r="S802" s="687"/>
      <c r="T802" s="687"/>
      <c r="U802" s="687"/>
      <c r="V802" s="687"/>
      <c r="W802" s="687"/>
      <c r="X802" s="687"/>
      <c r="Y802" s="687"/>
      <c r="Z802" s="687">
        <f>+H802/3</f>
        <v>400000</v>
      </c>
      <c r="AA802" s="687">
        <f>+Z802</f>
        <v>400000</v>
      </c>
      <c r="AB802" s="687">
        <f>+AA802</f>
        <v>400000</v>
      </c>
      <c r="AC802" s="687"/>
      <c r="AD802" s="687"/>
      <c r="AE802" s="687"/>
      <c r="AF802" s="687"/>
      <c r="AG802" s="687"/>
      <c r="AH802" s="687"/>
      <c r="AI802" s="687"/>
      <c r="AJ802" s="687"/>
      <c r="AK802" s="750"/>
    </row>
    <row r="803" spans="1:37" ht="15" customHeight="1">
      <c r="A803" s="5"/>
      <c r="B803" s="313"/>
      <c r="C803" s="833"/>
      <c r="D803" s="70" t="s">
        <v>438</v>
      </c>
      <c r="E803" s="67" t="s">
        <v>16</v>
      </c>
      <c r="F803" s="64">
        <v>0</v>
      </c>
      <c r="G803" s="64"/>
      <c r="H803" s="64">
        <f>+F803*G803</f>
        <v>0</v>
      </c>
      <c r="I803" s="72"/>
      <c r="J803" s="52"/>
      <c r="K803" s="156"/>
      <c r="L803" s="383"/>
      <c r="M803" s="542"/>
      <c r="N803" s="701">
        <f t="shared" si="200"/>
        <v>0</v>
      </c>
      <c r="O803" s="675"/>
      <c r="P803" s="675"/>
      <c r="Q803" s="675"/>
      <c r="R803" s="675">
        <f t="shared" si="206"/>
        <v>0</v>
      </c>
      <c r="S803" s="675"/>
      <c r="T803" s="675"/>
      <c r="U803" s="675"/>
      <c r="V803" s="675"/>
      <c r="W803" s="675">
        <f t="shared" si="207"/>
        <v>0</v>
      </c>
      <c r="X803" s="675"/>
      <c r="Y803" s="675"/>
      <c r="Z803" s="675"/>
      <c r="AA803" s="675">
        <f t="shared" si="208"/>
        <v>0</v>
      </c>
      <c r="AB803" s="675"/>
      <c r="AC803" s="675"/>
      <c r="AD803" s="675"/>
      <c r="AE803" s="675"/>
      <c r="AF803" s="675"/>
      <c r="AG803" s="675">
        <f t="shared" si="209"/>
        <v>0</v>
      </c>
      <c r="AH803" s="675"/>
      <c r="AJ803" s="675">
        <f t="shared" si="210"/>
        <v>0</v>
      </c>
      <c r="AK803" s="658"/>
    </row>
    <row r="804" spans="1:37" s="48" customFormat="1" ht="15" customHeight="1">
      <c r="A804" s="45"/>
      <c r="B804" s="314"/>
      <c r="C804" s="836"/>
      <c r="D804" s="73"/>
      <c r="E804" s="71"/>
      <c r="F804" s="906" t="s">
        <v>153</v>
      </c>
      <c r="G804" s="906"/>
      <c r="H804" s="191"/>
      <c r="I804" s="472">
        <f>SUM(H775:H803)</f>
        <v>7503125</v>
      </c>
      <c r="J804" s="294">
        <v>14</v>
      </c>
      <c r="K804" s="158"/>
      <c r="L804" s="386"/>
      <c r="M804" s="593"/>
      <c r="N804" s="701">
        <f t="shared" ref="N804:N874" si="211">SUM(O804:AJ804)-I804</f>
        <v>-7503125</v>
      </c>
      <c r="O804" s="676"/>
      <c r="P804" s="676"/>
      <c r="Q804" s="676"/>
      <c r="R804" s="675">
        <f t="shared" si="206"/>
        <v>0</v>
      </c>
      <c r="S804" s="675"/>
      <c r="T804" s="675"/>
      <c r="U804" s="675"/>
      <c r="V804" s="675"/>
      <c r="W804" s="675">
        <f t="shared" si="207"/>
        <v>0</v>
      </c>
      <c r="X804" s="675"/>
      <c r="Y804" s="675"/>
      <c r="Z804" s="675"/>
      <c r="AA804" s="675">
        <f t="shared" si="208"/>
        <v>0</v>
      </c>
      <c r="AB804" s="675"/>
      <c r="AC804" s="675"/>
      <c r="AD804" s="675"/>
      <c r="AE804" s="675"/>
      <c r="AF804" s="675"/>
      <c r="AG804" s="675">
        <f t="shared" si="209"/>
        <v>0</v>
      </c>
      <c r="AH804" s="675"/>
      <c r="AI804" s="1"/>
      <c r="AJ804" s="675">
        <f t="shared" si="210"/>
        <v>0</v>
      </c>
      <c r="AK804" s="658"/>
    </row>
    <row r="805" spans="1:37" s="53" customFormat="1" ht="30" customHeight="1">
      <c r="A805" s="5"/>
      <c r="B805" s="309"/>
      <c r="C805" s="832"/>
      <c r="D805" s="49"/>
      <c r="E805" s="9"/>
      <c r="F805" s="8"/>
      <c r="G805" s="8"/>
      <c r="H805" s="50"/>
      <c r="I805" s="51"/>
      <c r="J805" s="51"/>
      <c r="K805" s="156"/>
      <c r="L805" s="383"/>
      <c r="M805" s="542"/>
      <c r="N805" s="701">
        <f t="shared" si="211"/>
        <v>0</v>
      </c>
      <c r="O805" s="677"/>
      <c r="P805" s="677"/>
      <c r="Q805" s="677"/>
      <c r="R805" s="675">
        <f t="shared" si="206"/>
        <v>0</v>
      </c>
      <c r="S805" s="675"/>
      <c r="T805" s="675"/>
      <c r="U805" s="675"/>
      <c r="V805" s="675"/>
      <c r="W805" s="675">
        <f t="shared" si="207"/>
        <v>0</v>
      </c>
      <c r="X805" s="675"/>
      <c r="Y805" s="675"/>
      <c r="Z805" s="675"/>
      <c r="AA805" s="675">
        <f t="shared" si="208"/>
        <v>0</v>
      </c>
      <c r="AB805" s="675"/>
      <c r="AC805" s="675"/>
      <c r="AD805" s="675"/>
      <c r="AE805" s="675"/>
      <c r="AF805" s="675"/>
      <c r="AG805" s="675">
        <f t="shared" si="209"/>
        <v>0</v>
      </c>
      <c r="AH805" s="675"/>
      <c r="AI805" s="1"/>
      <c r="AJ805" s="675">
        <f t="shared" si="210"/>
        <v>0</v>
      </c>
      <c r="AK805" s="658"/>
    </row>
    <row r="806" spans="1:37" s="48" customFormat="1" ht="15" customHeight="1">
      <c r="A806" s="45"/>
      <c r="B806" s="312"/>
      <c r="C806" s="834"/>
      <c r="D806" s="33" t="s">
        <v>154</v>
      </c>
      <c r="E806" s="56" t="s">
        <v>13</v>
      </c>
      <c r="F806" s="57" t="s">
        <v>14</v>
      </c>
      <c r="G806" s="58" t="s">
        <v>15</v>
      </c>
      <c r="H806" s="192" t="s">
        <v>8</v>
      </c>
      <c r="I806" s="59"/>
      <c r="J806" s="292"/>
      <c r="K806" s="158"/>
      <c r="L806" s="386"/>
      <c r="M806" s="593"/>
      <c r="N806" s="701"/>
      <c r="O806" s="676"/>
      <c r="P806" s="676"/>
      <c r="Q806" s="676"/>
      <c r="R806" s="675"/>
      <c r="S806" s="675"/>
      <c r="T806" s="675"/>
      <c r="U806" s="675"/>
      <c r="V806" s="675"/>
      <c r="W806" s="675"/>
      <c r="X806" s="675"/>
      <c r="Y806" s="675"/>
      <c r="Z806" s="675"/>
      <c r="AA806" s="675"/>
      <c r="AB806" s="675"/>
      <c r="AC806" s="675"/>
      <c r="AD806" s="675"/>
      <c r="AE806" s="675"/>
      <c r="AF806" s="675"/>
      <c r="AG806" s="675"/>
      <c r="AH806" s="675"/>
      <c r="AI806" s="1"/>
      <c r="AJ806" s="675"/>
      <c r="AK806" s="658"/>
    </row>
    <row r="807" spans="1:37" ht="15" customHeight="1">
      <c r="A807" s="5"/>
      <c r="B807" s="313"/>
      <c r="C807" s="833"/>
      <c r="D807" s="80" t="s">
        <v>155</v>
      </c>
      <c r="E807" s="131"/>
      <c r="F807" s="132"/>
      <c r="G807" s="111"/>
      <c r="H807" s="75"/>
      <c r="I807" s="126"/>
      <c r="J807" s="52"/>
      <c r="K807" s="156"/>
      <c r="L807" s="383"/>
      <c r="M807" s="542"/>
      <c r="N807" s="701">
        <f t="shared" si="211"/>
        <v>0</v>
      </c>
      <c r="O807" s="675"/>
      <c r="P807" s="675"/>
      <c r="Q807" s="675"/>
      <c r="R807" s="675">
        <f t="shared" si="206"/>
        <v>0</v>
      </c>
      <c r="S807" s="675"/>
      <c r="T807" s="675"/>
      <c r="U807" s="675"/>
      <c r="V807" s="675"/>
      <c r="W807" s="675">
        <f t="shared" si="207"/>
        <v>0</v>
      </c>
      <c r="X807" s="675"/>
      <c r="Y807" s="675"/>
      <c r="Z807" s="675"/>
      <c r="AA807" s="675">
        <f t="shared" si="208"/>
        <v>0</v>
      </c>
      <c r="AB807" s="675"/>
      <c r="AC807" s="675"/>
      <c r="AD807" s="675"/>
      <c r="AE807" s="675"/>
      <c r="AF807" s="675"/>
      <c r="AG807" s="675"/>
      <c r="AH807" s="675"/>
      <c r="AJ807" s="675"/>
      <c r="AK807" s="658"/>
    </row>
    <row r="808" spans="1:37" ht="14">
      <c r="A808" s="5"/>
      <c r="B808" s="313"/>
      <c r="C808" s="833"/>
      <c r="D808" s="133" t="s">
        <v>156</v>
      </c>
      <c r="E808" s="131"/>
      <c r="F808" s="75"/>
      <c r="G808" s="111"/>
      <c r="H808" s="78"/>
      <c r="I808" s="79"/>
      <c r="J808" s="52"/>
      <c r="K808" s="156"/>
      <c r="L808" s="383"/>
      <c r="M808" s="542"/>
      <c r="N808" s="701">
        <f t="shared" si="211"/>
        <v>0</v>
      </c>
      <c r="O808" s="675"/>
      <c r="P808" s="675"/>
      <c r="Q808" s="675"/>
      <c r="R808" s="675">
        <f t="shared" si="206"/>
        <v>0</v>
      </c>
      <c r="S808" s="675"/>
      <c r="T808" s="675"/>
      <c r="U808" s="675"/>
      <c r="V808" s="675"/>
      <c r="W808" s="675">
        <f t="shared" si="207"/>
        <v>0</v>
      </c>
      <c r="X808" s="675"/>
      <c r="Y808" s="675"/>
      <c r="Z808" s="675"/>
      <c r="AA808" s="675">
        <f t="shared" si="208"/>
        <v>0</v>
      </c>
      <c r="AB808" s="675"/>
      <c r="AC808" s="675"/>
      <c r="AD808" s="675"/>
      <c r="AE808" s="675"/>
      <c r="AF808" s="675"/>
      <c r="AG808" s="675">
        <f t="shared" si="209"/>
        <v>0</v>
      </c>
      <c r="AH808" s="675"/>
      <c r="AJ808" s="675">
        <f t="shared" si="210"/>
        <v>0</v>
      </c>
      <c r="AK808" s="658"/>
    </row>
    <row r="809" spans="1:37" ht="14">
      <c r="A809" s="5"/>
      <c r="B809" s="313"/>
      <c r="C809" s="833"/>
      <c r="D809" s="276"/>
      <c r="E809" s="131"/>
      <c r="F809" s="75"/>
      <c r="G809" s="111"/>
      <c r="H809" s="78"/>
      <c r="I809" s="79"/>
      <c r="J809" s="52"/>
      <c r="K809" s="156"/>
      <c r="L809" s="383"/>
      <c r="M809" s="542"/>
      <c r="N809" s="701">
        <f t="shared" si="211"/>
        <v>0</v>
      </c>
      <c r="O809" s="675"/>
      <c r="P809" s="675"/>
      <c r="Q809" s="675"/>
      <c r="R809" s="675">
        <f t="shared" si="206"/>
        <v>0</v>
      </c>
      <c r="S809" s="675"/>
      <c r="T809" s="675"/>
      <c r="U809" s="675"/>
      <c r="V809" s="675"/>
      <c r="W809" s="675">
        <f t="shared" si="207"/>
        <v>0</v>
      </c>
      <c r="X809" s="675"/>
      <c r="Y809" s="675"/>
      <c r="Z809" s="675"/>
      <c r="AA809" s="675">
        <f t="shared" si="208"/>
        <v>0</v>
      </c>
      <c r="AB809" s="675"/>
      <c r="AC809" s="675"/>
      <c r="AD809" s="675"/>
      <c r="AE809" s="675"/>
      <c r="AF809" s="675"/>
      <c r="AG809" s="675">
        <f t="shared" si="209"/>
        <v>0</v>
      </c>
      <c r="AH809" s="675"/>
      <c r="AJ809" s="675">
        <f t="shared" si="210"/>
        <v>0</v>
      </c>
      <c r="AK809" s="658"/>
    </row>
    <row r="810" spans="1:37" ht="14">
      <c r="A810" s="5"/>
      <c r="B810" s="313"/>
      <c r="C810" s="833"/>
      <c r="D810" s="276"/>
      <c r="E810" s="131"/>
      <c r="F810" s="132"/>
      <c r="G810" s="111"/>
      <c r="H810" s="75"/>
      <c r="I810" s="79"/>
      <c r="J810" s="52"/>
      <c r="K810" s="156"/>
      <c r="L810" s="383"/>
      <c r="M810" s="542"/>
      <c r="N810" s="701">
        <f t="shared" si="211"/>
        <v>0</v>
      </c>
      <c r="O810" s="675"/>
      <c r="P810" s="675"/>
      <c r="Q810" s="675"/>
      <c r="R810" s="675">
        <f t="shared" si="206"/>
        <v>0</v>
      </c>
      <c r="S810" s="675"/>
      <c r="T810" s="675"/>
      <c r="U810" s="675"/>
      <c r="V810" s="675"/>
      <c r="W810" s="675">
        <f t="shared" si="207"/>
        <v>0</v>
      </c>
      <c r="X810" s="675"/>
      <c r="Y810" s="675"/>
      <c r="Z810" s="675"/>
      <c r="AA810" s="675">
        <f t="shared" si="208"/>
        <v>0</v>
      </c>
      <c r="AB810" s="675"/>
      <c r="AC810" s="675"/>
      <c r="AD810" s="675"/>
      <c r="AE810" s="675"/>
      <c r="AF810" s="675"/>
      <c r="AG810" s="675">
        <f t="shared" si="209"/>
        <v>0</v>
      </c>
      <c r="AH810" s="675"/>
      <c r="AJ810" s="675">
        <f t="shared" si="210"/>
        <v>0</v>
      </c>
      <c r="AK810" s="658"/>
    </row>
    <row r="811" spans="1:37" ht="15" customHeight="1">
      <c r="A811" s="5"/>
      <c r="B811" s="313"/>
      <c r="C811" s="833"/>
      <c r="D811" s="717" t="s">
        <v>656</v>
      </c>
      <c r="E811" s="717" t="s">
        <v>329</v>
      </c>
      <c r="F811" s="718">
        <f>200*'TOP SHEET'!L6</f>
        <v>27150</v>
      </c>
      <c r="G811" s="527">
        <v>70</v>
      </c>
      <c r="H811" s="527">
        <f>+F811*G811+110250</f>
        <v>2010750</v>
      </c>
      <c r="I811" s="72"/>
      <c r="J811" s="52"/>
      <c r="K811" s="156"/>
      <c r="L811" s="383"/>
      <c r="M811" s="542"/>
      <c r="N811" s="701">
        <f>SUM(O811:AJ811)-H811</f>
        <v>0</v>
      </c>
      <c r="O811" s="675"/>
      <c r="P811" s="675"/>
      <c r="Q811" s="675"/>
      <c r="R811" s="675">
        <f t="shared" si="206"/>
        <v>402150</v>
      </c>
      <c r="S811" s="675"/>
      <c r="T811" s="675"/>
      <c r="U811" s="675"/>
      <c r="V811" s="675"/>
      <c r="W811" s="675">
        <f t="shared" si="207"/>
        <v>603225</v>
      </c>
      <c r="X811" s="675"/>
      <c r="Y811" s="675"/>
      <c r="Z811" s="675"/>
      <c r="AA811" s="675">
        <f t="shared" si="208"/>
        <v>603225</v>
      </c>
      <c r="AB811" s="675"/>
      <c r="AC811" s="675"/>
      <c r="AD811" s="675"/>
      <c r="AE811" s="675"/>
      <c r="AF811" s="675"/>
      <c r="AG811" s="675">
        <f t="shared" si="209"/>
        <v>201075</v>
      </c>
      <c r="AH811" s="675"/>
      <c r="AJ811" s="675">
        <f t="shared" si="210"/>
        <v>201075</v>
      </c>
      <c r="AK811" s="658"/>
    </row>
    <row r="812" spans="1:37" s="548" customFormat="1" ht="15" customHeight="1">
      <c r="B812" s="533"/>
      <c r="C812" s="850"/>
      <c r="D812" s="549" t="s">
        <v>133</v>
      </c>
      <c r="E812" s="550"/>
      <c r="F812" s="551"/>
      <c r="G812" s="552"/>
      <c r="H812" s="553"/>
      <c r="I812" s="554"/>
      <c r="J812" s="555"/>
      <c r="K812" s="540"/>
      <c r="L812" s="541"/>
      <c r="M812" s="542"/>
      <c r="N812" s="701">
        <f t="shared" si="211"/>
        <v>0</v>
      </c>
      <c r="O812" s="689"/>
      <c r="P812" s="689"/>
      <c r="Q812" s="689"/>
      <c r="R812" s="675">
        <f t="shared" si="206"/>
        <v>0</v>
      </c>
      <c r="S812" s="675"/>
      <c r="T812" s="675"/>
      <c r="U812" s="675"/>
      <c r="V812" s="675"/>
      <c r="W812" s="675">
        <f t="shared" si="207"/>
        <v>0</v>
      </c>
      <c r="X812" s="675"/>
      <c r="Y812" s="675"/>
      <c r="Z812" s="675"/>
      <c r="AA812" s="675">
        <f t="shared" si="208"/>
        <v>0</v>
      </c>
      <c r="AB812" s="675"/>
      <c r="AC812" s="675"/>
      <c r="AD812" s="675"/>
      <c r="AE812" s="675"/>
      <c r="AF812" s="675"/>
      <c r="AG812" s="675">
        <f t="shared" si="209"/>
        <v>0</v>
      </c>
      <c r="AH812" s="675"/>
      <c r="AI812" s="1"/>
      <c r="AJ812" s="675">
        <f t="shared" si="210"/>
        <v>0</v>
      </c>
      <c r="AK812" s="658"/>
    </row>
    <row r="813" spans="1:37" s="543" customFormat="1" ht="15" customHeight="1">
      <c r="A813" s="532"/>
      <c r="B813" s="533"/>
      <c r="C813" s="851"/>
      <c r="D813" s="556" t="s">
        <v>157</v>
      </c>
      <c r="E813" s="535" t="s">
        <v>16</v>
      </c>
      <c r="F813" s="530">
        <v>350000</v>
      </c>
      <c r="G813" s="537">
        <v>1</v>
      </c>
      <c r="H813" s="537">
        <f>+F813*G813+31500</f>
        <v>381500</v>
      </c>
      <c r="I813" s="546"/>
      <c r="J813" s="547"/>
      <c r="K813" s="540"/>
      <c r="L813" s="541"/>
      <c r="M813" s="542"/>
      <c r="N813" s="701">
        <f>SUM(O813:AJ813)-H813</f>
        <v>0</v>
      </c>
      <c r="O813" s="687"/>
      <c r="P813" s="687"/>
      <c r="Q813" s="687"/>
      <c r="R813" s="675"/>
      <c r="S813" s="675"/>
      <c r="T813" s="675"/>
      <c r="U813" s="675"/>
      <c r="V813" s="675"/>
      <c r="W813" s="675"/>
      <c r="X813" s="675"/>
      <c r="Y813" s="675"/>
      <c r="Z813" s="675"/>
      <c r="AA813" s="675">
        <f>+H813</f>
        <v>381500</v>
      </c>
      <c r="AB813" s="675"/>
      <c r="AC813" s="675"/>
      <c r="AD813" s="675"/>
      <c r="AE813" s="675"/>
      <c r="AF813" s="675"/>
      <c r="AG813" s="675"/>
      <c r="AH813" s="675"/>
      <c r="AI813" s="1"/>
      <c r="AJ813" s="675"/>
      <c r="AK813" s="658"/>
    </row>
    <row r="814" spans="1:37" s="543" customFormat="1" ht="15" customHeight="1">
      <c r="A814" s="532"/>
      <c r="B814" s="533"/>
      <c r="C814" s="851"/>
      <c r="D814" s="557" t="s">
        <v>158</v>
      </c>
      <c r="E814" s="535" t="s">
        <v>16</v>
      </c>
      <c r="F814" s="530"/>
      <c r="G814" s="537">
        <v>1</v>
      </c>
      <c r="H814" s="537"/>
      <c r="I814" s="546"/>
      <c r="J814" s="547"/>
      <c r="K814" s="540"/>
      <c r="L814" s="541"/>
      <c r="M814" s="542"/>
      <c r="N814" s="701">
        <f t="shared" si="211"/>
        <v>0</v>
      </c>
      <c r="O814" s="687"/>
      <c r="P814" s="687"/>
      <c r="Q814" s="687"/>
      <c r="R814" s="675">
        <f t="shared" si="206"/>
        <v>0</v>
      </c>
      <c r="S814" s="675"/>
      <c r="T814" s="675"/>
      <c r="U814" s="675"/>
      <c r="V814" s="675"/>
      <c r="W814" s="675">
        <f t="shared" si="207"/>
        <v>0</v>
      </c>
      <c r="X814" s="675"/>
      <c r="Y814" s="675"/>
      <c r="Z814" s="675"/>
      <c r="AA814" s="675">
        <f t="shared" si="208"/>
        <v>0</v>
      </c>
      <c r="AB814" s="675"/>
      <c r="AC814" s="675"/>
      <c r="AD814" s="675"/>
      <c r="AE814" s="675"/>
      <c r="AF814" s="675"/>
      <c r="AG814" s="675">
        <f t="shared" si="209"/>
        <v>0</v>
      </c>
      <c r="AH814" s="675"/>
      <c r="AI814" s="1"/>
      <c r="AJ814" s="675">
        <f t="shared" si="210"/>
        <v>0</v>
      </c>
      <c r="AK814" s="658"/>
    </row>
    <row r="815" spans="1:37" s="48" customFormat="1" ht="15" customHeight="1">
      <c r="A815" s="45"/>
      <c r="B815" s="314"/>
      <c r="C815" s="836"/>
      <c r="D815" s="73"/>
      <c r="E815" s="71"/>
      <c r="F815" s="906" t="s">
        <v>159</v>
      </c>
      <c r="G815" s="906"/>
      <c r="H815" s="191"/>
      <c r="I815" s="472">
        <f>SUM(H811:H814)</f>
        <v>2392250</v>
      </c>
      <c r="J815" s="294">
        <v>12</v>
      </c>
      <c r="K815" s="158"/>
      <c r="L815" s="386"/>
      <c r="M815" s="593"/>
      <c r="N815" s="701">
        <f t="shared" si="211"/>
        <v>-2392250</v>
      </c>
      <c r="O815" s="676"/>
      <c r="P815" s="676"/>
      <c r="Q815" s="676"/>
      <c r="R815" s="675">
        <f t="shared" si="206"/>
        <v>0</v>
      </c>
      <c r="S815" s="675"/>
      <c r="T815" s="675"/>
      <c r="U815" s="675"/>
      <c r="V815" s="675"/>
      <c r="W815" s="675">
        <f t="shared" si="207"/>
        <v>0</v>
      </c>
      <c r="X815" s="675"/>
      <c r="Y815" s="675"/>
      <c r="Z815" s="675"/>
      <c r="AA815" s="675">
        <f t="shared" si="208"/>
        <v>0</v>
      </c>
      <c r="AB815" s="675"/>
      <c r="AC815" s="675"/>
      <c r="AD815" s="675"/>
      <c r="AE815" s="675"/>
      <c r="AF815" s="675"/>
      <c r="AG815" s="675">
        <f t="shared" si="209"/>
        <v>0</v>
      </c>
      <c r="AH815" s="675"/>
      <c r="AI815" s="1"/>
      <c r="AJ815" s="675">
        <f t="shared" si="210"/>
        <v>0</v>
      </c>
      <c r="AK815" s="658"/>
    </row>
    <row r="816" spans="1:37" s="53" customFormat="1" ht="30" customHeight="1">
      <c r="A816" s="5"/>
      <c r="B816" s="309"/>
      <c r="C816" s="832"/>
      <c r="D816" s="49"/>
      <c r="E816" s="9"/>
      <c r="F816" s="8"/>
      <c r="G816" s="8"/>
      <c r="H816" s="50"/>
      <c r="I816" s="51"/>
      <c r="J816" s="51"/>
      <c r="K816" s="156"/>
      <c r="L816" s="383"/>
      <c r="M816" s="542"/>
      <c r="N816" s="701">
        <f t="shared" si="211"/>
        <v>0</v>
      </c>
      <c r="O816" s="677"/>
      <c r="P816" s="677"/>
      <c r="Q816" s="677"/>
      <c r="R816" s="675">
        <f t="shared" si="206"/>
        <v>0</v>
      </c>
      <c r="S816" s="675"/>
      <c r="T816" s="675"/>
      <c r="U816" s="675"/>
      <c r="V816" s="675"/>
      <c r="W816" s="675">
        <f t="shared" si="207"/>
        <v>0</v>
      </c>
      <c r="X816" s="675"/>
      <c r="Y816" s="675"/>
      <c r="Z816" s="675"/>
      <c r="AA816" s="675">
        <f t="shared" si="208"/>
        <v>0</v>
      </c>
      <c r="AB816" s="675"/>
      <c r="AC816" s="675"/>
      <c r="AD816" s="675"/>
      <c r="AE816" s="675"/>
      <c r="AF816" s="675"/>
      <c r="AG816" s="675">
        <f t="shared" si="209"/>
        <v>0</v>
      </c>
      <c r="AH816" s="675"/>
      <c r="AI816" s="1"/>
      <c r="AJ816" s="675">
        <f t="shared" si="210"/>
        <v>0</v>
      </c>
      <c r="AK816" s="658"/>
    </row>
    <row r="817" spans="1:37" s="48" customFormat="1" ht="15" customHeight="1">
      <c r="A817" s="45"/>
      <c r="B817" s="312"/>
      <c r="C817" s="834"/>
      <c r="D817" s="33" t="s">
        <v>160</v>
      </c>
      <c r="E817" s="56" t="s">
        <v>161</v>
      </c>
      <c r="F817" s="57" t="s">
        <v>14</v>
      </c>
      <c r="G817" s="58" t="s">
        <v>15</v>
      </c>
      <c r="H817" s="192" t="s">
        <v>162</v>
      </c>
      <c r="I817" s="59"/>
      <c r="J817" s="292"/>
      <c r="K817" s="158"/>
      <c r="L817" s="386"/>
      <c r="M817" s="593"/>
      <c r="N817" s="701"/>
      <c r="O817" s="676"/>
      <c r="P817" s="676"/>
      <c r="Q817" s="676"/>
      <c r="R817" s="675"/>
      <c r="S817" s="675"/>
      <c r="T817" s="675"/>
      <c r="U817" s="675"/>
      <c r="V817" s="675"/>
      <c r="W817" s="675"/>
      <c r="X817" s="675"/>
      <c r="Y817" s="675"/>
      <c r="Z817" s="675"/>
      <c r="AA817" s="675"/>
      <c r="AB817" s="675"/>
      <c r="AC817" s="675"/>
      <c r="AD817" s="675"/>
      <c r="AE817" s="675"/>
      <c r="AF817" s="675"/>
      <c r="AG817" s="675"/>
      <c r="AH817" s="675"/>
      <c r="AI817" s="1"/>
      <c r="AJ817" s="675"/>
      <c r="AK817" s="658"/>
    </row>
    <row r="818" spans="1:37" ht="15" customHeight="1">
      <c r="A818" s="5"/>
      <c r="B818" s="313"/>
      <c r="C818" s="835" t="s">
        <v>933</v>
      </c>
      <c r="D818" s="440" t="s">
        <v>163</v>
      </c>
      <c r="E818" s="131"/>
      <c r="F818" s="75"/>
      <c r="G818" s="111"/>
      <c r="H818" s="78"/>
      <c r="I818" s="79"/>
      <c r="J818" s="52"/>
      <c r="K818" s="156"/>
      <c r="L818" s="383"/>
      <c r="M818" s="542"/>
      <c r="N818" s="701">
        <f t="shared" si="211"/>
        <v>0</v>
      </c>
      <c r="O818" s="675"/>
      <c r="P818" s="675"/>
      <c r="Q818" s="675"/>
      <c r="R818" s="675">
        <f t="shared" si="206"/>
        <v>0</v>
      </c>
      <c r="S818" s="675"/>
      <c r="T818" s="675"/>
      <c r="U818" s="675"/>
      <c r="V818" s="675"/>
      <c r="W818" s="675">
        <f t="shared" si="207"/>
        <v>0</v>
      </c>
      <c r="X818" s="675"/>
      <c r="Y818" s="675"/>
      <c r="Z818" s="675"/>
      <c r="AA818" s="675">
        <f t="shared" si="208"/>
        <v>0</v>
      </c>
      <c r="AB818" s="675"/>
      <c r="AC818" s="675"/>
      <c r="AD818" s="675"/>
      <c r="AE818" s="675"/>
      <c r="AF818" s="675"/>
      <c r="AG818" s="675"/>
      <c r="AH818" s="675"/>
      <c r="AJ818" s="675"/>
      <c r="AK818" s="658"/>
    </row>
    <row r="819" spans="1:37" ht="15" customHeight="1">
      <c r="A819" s="5"/>
      <c r="B819" s="313"/>
      <c r="C819" s="835"/>
      <c r="D819" s="441" t="s">
        <v>689</v>
      </c>
      <c r="E819" s="131"/>
      <c r="F819" s="75"/>
      <c r="G819" s="111"/>
      <c r="H819" s="78"/>
      <c r="I819" s="79"/>
      <c r="J819" s="52"/>
      <c r="K819" s="156"/>
      <c r="L819" s="383"/>
      <c r="M819" s="542"/>
      <c r="N819" s="701">
        <f t="shared" si="211"/>
        <v>0</v>
      </c>
      <c r="O819" s="675"/>
      <c r="P819" s="675"/>
      <c r="Q819" s="675"/>
      <c r="R819" s="675">
        <f t="shared" si="206"/>
        <v>0</v>
      </c>
      <c r="S819" s="675"/>
      <c r="T819" s="675"/>
      <c r="U819" s="675"/>
      <c r="V819" s="675"/>
      <c r="W819" s="675">
        <f t="shared" si="207"/>
        <v>0</v>
      </c>
      <c r="X819" s="675"/>
      <c r="Y819" s="675"/>
      <c r="Z819" s="675"/>
      <c r="AA819" s="675">
        <f t="shared" si="208"/>
        <v>0</v>
      </c>
      <c r="AB819" s="675"/>
      <c r="AC819" s="675"/>
      <c r="AD819" s="675"/>
      <c r="AE819" s="675"/>
      <c r="AF819" s="675"/>
      <c r="AG819" s="675">
        <f t="shared" si="209"/>
        <v>0</v>
      </c>
      <c r="AH819" s="675"/>
      <c r="AJ819" s="675">
        <f t="shared" si="210"/>
        <v>0</v>
      </c>
      <c r="AK819" s="658"/>
    </row>
    <row r="820" spans="1:37" ht="15" customHeight="1">
      <c r="A820" s="5"/>
      <c r="B820" s="313"/>
      <c r="C820" s="835"/>
      <c r="D820" s="441" t="s">
        <v>690</v>
      </c>
      <c r="E820" s="131"/>
      <c r="F820" s="75"/>
      <c r="G820" s="111"/>
      <c r="H820" s="78"/>
      <c r="I820" s="79"/>
      <c r="J820" s="52"/>
      <c r="K820" s="156"/>
      <c r="L820" s="383"/>
      <c r="M820" s="542"/>
      <c r="N820" s="701">
        <f t="shared" si="211"/>
        <v>0</v>
      </c>
      <c r="O820" s="675"/>
      <c r="P820" s="675"/>
      <c r="Q820" s="675"/>
      <c r="R820" s="675">
        <f t="shared" si="206"/>
        <v>0</v>
      </c>
      <c r="S820" s="675"/>
      <c r="T820" s="675"/>
      <c r="U820" s="675"/>
      <c r="V820" s="675"/>
      <c r="W820" s="675">
        <f t="shared" si="207"/>
        <v>0</v>
      </c>
      <c r="X820" s="675"/>
      <c r="Y820" s="675"/>
      <c r="Z820" s="675"/>
      <c r="AA820" s="675">
        <f t="shared" si="208"/>
        <v>0</v>
      </c>
      <c r="AB820" s="675"/>
      <c r="AC820" s="675"/>
      <c r="AD820" s="675"/>
      <c r="AE820" s="675"/>
      <c r="AF820" s="675"/>
      <c r="AG820" s="675">
        <f t="shared" si="209"/>
        <v>0</v>
      </c>
      <c r="AH820" s="675"/>
      <c r="AJ820" s="675">
        <f t="shared" si="210"/>
        <v>0</v>
      </c>
      <c r="AK820" s="658"/>
    </row>
    <row r="821" spans="1:37" ht="15" customHeight="1">
      <c r="A821" s="5"/>
      <c r="B821" s="313"/>
      <c r="C821" s="835"/>
      <c r="D821" s="441" t="s">
        <v>691</v>
      </c>
      <c r="E821" s="131"/>
      <c r="F821" s="75"/>
      <c r="G821" s="111"/>
      <c r="H821" s="78"/>
      <c r="I821" s="79"/>
      <c r="J821" s="52"/>
      <c r="K821" s="156"/>
      <c r="L821" s="383"/>
      <c r="M821" s="542"/>
      <c r="N821" s="701">
        <f t="shared" si="211"/>
        <v>0</v>
      </c>
      <c r="O821" s="675"/>
      <c r="P821" s="675"/>
      <c r="Q821" s="675"/>
      <c r="R821" s="675">
        <f t="shared" si="206"/>
        <v>0</v>
      </c>
      <c r="S821" s="675"/>
      <c r="T821" s="675"/>
      <c r="U821" s="675"/>
      <c r="V821" s="675"/>
      <c r="W821" s="675">
        <f t="shared" si="207"/>
        <v>0</v>
      </c>
      <c r="X821" s="675"/>
      <c r="Y821" s="675"/>
      <c r="Z821" s="675"/>
      <c r="AA821" s="675">
        <f t="shared" si="208"/>
        <v>0</v>
      </c>
      <c r="AB821" s="675"/>
      <c r="AC821" s="675"/>
      <c r="AD821" s="675"/>
      <c r="AE821" s="675"/>
      <c r="AF821" s="675"/>
      <c r="AG821" s="675">
        <f t="shared" si="209"/>
        <v>0</v>
      </c>
      <c r="AH821" s="675"/>
      <c r="AJ821" s="675">
        <f t="shared" si="210"/>
        <v>0</v>
      </c>
      <c r="AK821" s="658"/>
    </row>
    <row r="822" spans="1:37" ht="15" customHeight="1">
      <c r="A822" s="5"/>
      <c r="B822" s="313"/>
      <c r="C822" s="835"/>
      <c r="D822" s="441" t="s">
        <v>692</v>
      </c>
      <c r="E822" s="131"/>
      <c r="F822" s="75"/>
      <c r="G822" s="111"/>
      <c r="H822" s="78"/>
      <c r="I822" s="79"/>
      <c r="J822" s="52"/>
      <c r="K822" s="156"/>
      <c r="L822" s="383"/>
      <c r="M822" s="542"/>
      <c r="N822" s="701">
        <f t="shared" si="211"/>
        <v>0</v>
      </c>
      <c r="O822" s="675"/>
      <c r="P822" s="675"/>
      <c r="Q822" s="675"/>
      <c r="R822" s="675">
        <f t="shared" si="206"/>
        <v>0</v>
      </c>
      <c r="S822" s="675"/>
      <c r="T822" s="675"/>
      <c r="U822" s="675"/>
      <c r="V822" s="675"/>
      <c r="W822" s="675">
        <f t="shared" si="207"/>
        <v>0</v>
      </c>
      <c r="X822" s="675"/>
      <c r="Y822" s="675"/>
      <c r="Z822" s="675"/>
      <c r="AA822" s="675">
        <f t="shared" si="208"/>
        <v>0</v>
      </c>
      <c r="AB822" s="675"/>
      <c r="AC822" s="675"/>
      <c r="AD822" s="675"/>
      <c r="AE822" s="675"/>
      <c r="AF822" s="675"/>
      <c r="AG822" s="675">
        <f t="shared" si="209"/>
        <v>0</v>
      </c>
      <c r="AH822" s="675"/>
      <c r="AJ822" s="675">
        <f t="shared" si="210"/>
        <v>0</v>
      </c>
      <c r="AK822" s="658"/>
    </row>
    <row r="823" spans="1:37" ht="15" customHeight="1">
      <c r="A823" s="5"/>
      <c r="B823" s="313"/>
      <c r="C823" s="835"/>
      <c r="D823" s="441" t="s">
        <v>693</v>
      </c>
      <c r="E823" s="131"/>
      <c r="F823" s="75"/>
      <c r="G823" s="111"/>
      <c r="H823" s="78"/>
      <c r="I823" s="79"/>
      <c r="J823" s="52"/>
      <c r="K823" s="156"/>
      <c r="L823" s="383"/>
      <c r="M823" s="542"/>
      <c r="N823" s="701">
        <f t="shared" si="211"/>
        <v>0</v>
      </c>
      <c r="O823" s="675"/>
      <c r="P823" s="675"/>
      <c r="Q823" s="675"/>
      <c r="R823" s="675">
        <f t="shared" si="206"/>
        <v>0</v>
      </c>
      <c r="S823" s="675"/>
      <c r="T823" s="675"/>
      <c r="U823" s="675"/>
      <c r="V823" s="675"/>
      <c r="W823" s="675">
        <f t="shared" si="207"/>
        <v>0</v>
      </c>
      <c r="X823" s="675"/>
      <c r="Y823" s="675"/>
      <c r="Z823" s="675"/>
      <c r="AA823" s="675">
        <f t="shared" si="208"/>
        <v>0</v>
      </c>
      <c r="AB823" s="675"/>
      <c r="AC823" s="675"/>
      <c r="AD823" s="675"/>
      <c r="AE823" s="675"/>
      <c r="AF823" s="675"/>
      <c r="AG823" s="675">
        <f t="shared" si="209"/>
        <v>0</v>
      </c>
      <c r="AH823" s="675"/>
      <c r="AJ823" s="675">
        <f t="shared" si="210"/>
        <v>0</v>
      </c>
      <c r="AK823" s="658"/>
    </row>
    <row r="824" spans="1:37" ht="15" customHeight="1">
      <c r="A824" s="5"/>
      <c r="B824" s="313"/>
      <c r="C824" s="835"/>
      <c r="D824" s="441" t="s">
        <v>694</v>
      </c>
      <c r="E824" s="131"/>
      <c r="F824" s="75"/>
      <c r="G824" s="111"/>
      <c r="H824" s="78"/>
      <c r="I824" s="79"/>
      <c r="J824" s="52"/>
      <c r="K824" s="156"/>
      <c r="L824" s="383"/>
      <c r="M824" s="542"/>
      <c r="N824" s="701">
        <f t="shared" si="211"/>
        <v>0</v>
      </c>
      <c r="O824" s="675"/>
      <c r="P824" s="675"/>
      <c r="Q824" s="675"/>
      <c r="R824" s="675">
        <f t="shared" si="206"/>
        <v>0</v>
      </c>
      <c r="S824" s="675"/>
      <c r="T824" s="675"/>
      <c r="U824" s="675"/>
      <c r="V824" s="675"/>
      <c r="W824" s="675">
        <f t="shared" si="207"/>
        <v>0</v>
      </c>
      <c r="X824" s="675"/>
      <c r="Y824" s="675"/>
      <c r="Z824" s="675"/>
      <c r="AA824" s="675">
        <f t="shared" si="208"/>
        <v>0</v>
      </c>
      <c r="AB824" s="675"/>
      <c r="AC824" s="675"/>
      <c r="AD824" s="675"/>
      <c r="AE824" s="675"/>
      <c r="AF824" s="675"/>
      <c r="AG824" s="675">
        <f t="shared" si="209"/>
        <v>0</v>
      </c>
      <c r="AH824" s="675"/>
      <c r="AJ824" s="675">
        <f t="shared" si="210"/>
        <v>0</v>
      </c>
      <c r="AK824" s="658"/>
    </row>
    <row r="825" spans="1:37" ht="15" customHeight="1">
      <c r="A825" s="5"/>
      <c r="B825" s="313"/>
      <c r="C825" s="835"/>
      <c r="D825" s="441" t="s">
        <v>673</v>
      </c>
      <c r="E825" s="131"/>
      <c r="F825" s="75"/>
      <c r="G825" s="111"/>
      <c r="H825" s="78"/>
      <c r="I825" s="79"/>
      <c r="J825" s="52"/>
      <c r="K825" s="156"/>
      <c r="L825" s="383"/>
      <c r="M825" s="542"/>
      <c r="N825" s="701">
        <f t="shared" si="211"/>
        <v>0</v>
      </c>
      <c r="O825" s="675"/>
      <c r="P825" s="675"/>
      <c r="Q825" s="675"/>
      <c r="R825" s="675">
        <f t="shared" si="206"/>
        <v>0</v>
      </c>
      <c r="S825" s="675"/>
      <c r="T825" s="675"/>
      <c r="U825" s="675"/>
      <c r="V825" s="675"/>
      <c r="W825" s="675">
        <f t="shared" si="207"/>
        <v>0</v>
      </c>
      <c r="X825" s="675"/>
      <c r="Y825" s="675"/>
      <c r="Z825" s="675"/>
      <c r="AA825" s="675">
        <f t="shared" si="208"/>
        <v>0</v>
      </c>
      <c r="AB825" s="675"/>
      <c r="AC825" s="675"/>
      <c r="AD825" s="675"/>
      <c r="AE825" s="675"/>
      <c r="AF825" s="675"/>
      <c r="AG825" s="675">
        <f t="shared" si="209"/>
        <v>0</v>
      </c>
      <c r="AH825" s="675"/>
      <c r="AJ825" s="675">
        <f t="shared" si="210"/>
        <v>0</v>
      </c>
      <c r="AK825" s="658"/>
    </row>
    <row r="826" spans="1:37" ht="15" customHeight="1">
      <c r="A826" s="5"/>
      <c r="B826" s="313"/>
      <c r="C826" s="835"/>
      <c r="D826" s="441" t="s">
        <v>695</v>
      </c>
      <c r="E826" s="131"/>
      <c r="F826" s="75"/>
      <c r="G826" s="111"/>
      <c r="H826" s="78"/>
      <c r="I826" s="79"/>
      <c r="J826" s="52"/>
      <c r="K826" s="156"/>
      <c r="L826" s="383"/>
      <c r="M826" s="542"/>
      <c r="N826" s="701">
        <f t="shared" si="211"/>
        <v>0</v>
      </c>
      <c r="O826" s="675"/>
      <c r="P826" s="675"/>
      <c r="Q826" s="675"/>
      <c r="R826" s="675">
        <f t="shared" si="206"/>
        <v>0</v>
      </c>
      <c r="S826" s="675"/>
      <c r="T826" s="675"/>
      <c r="U826" s="675"/>
      <c r="V826" s="675"/>
      <c r="W826" s="675">
        <f t="shared" si="207"/>
        <v>0</v>
      </c>
      <c r="X826" s="675"/>
      <c r="Y826" s="675"/>
      <c r="Z826" s="675"/>
      <c r="AA826" s="675">
        <f t="shared" si="208"/>
        <v>0</v>
      </c>
      <c r="AB826" s="675"/>
      <c r="AC826" s="675"/>
      <c r="AD826" s="675"/>
      <c r="AE826" s="675"/>
      <c r="AF826" s="675"/>
      <c r="AG826" s="675">
        <f t="shared" si="209"/>
        <v>0</v>
      </c>
      <c r="AH826" s="675"/>
      <c r="AJ826" s="675">
        <f t="shared" si="210"/>
        <v>0</v>
      </c>
      <c r="AK826" s="658"/>
    </row>
    <row r="827" spans="1:37" ht="15" customHeight="1">
      <c r="A827" s="5"/>
      <c r="B827" s="313"/>
      <c r="C827" s="835"/>
      <c r="D827" s="441" t="s">
        <v>696</v>
      </c>
      <c r="E827" s="131"/>
      <c r="F827" s="75"/>
      <c r="G827" s="111"/>
      <c r="H827" s="78"/>
      <c r="I827" s="79"/>
      <c r="J827" s="52"/>
      <c r="K827" s="156"/>
      <c r="L827" s="383"/>
      <c r="M827" s="542"/>
      <c r="N827" s="701">
        <f t="shared" si="211"/>
        <v>0</v>
      </c>
      <c r="O827" s="675"/>
      <c r="P827" s="675"/>
      <c r="Q827" s="675"/>
      <c r="R827" s="675">
        <f t="shared" si="206"/>
        <v>0</v>
      </c>
      <c r="S827" s="675"/>
      <c r="T827" s="675"/>
      <c r="U827" s="675"/>
      <c r="V827" s="675"/>
      <c r="W827" s="675">
        <f t="shared" si="207"/>
        <v>0</v>
      </c>
      <c r="X827" s="675"/>
      <c r="Y827" s="675"/>
      <c r="Z827" s="675"/>
      <c r="AA827" s="675">
        <f t="shared" si="208"/>
        <v>0</v>
      </c>
      <c r="AB827" s="675"/>
      <c r="AC827" s="675"/>
      <c r="AD827" s="675"/>
      <c r="AE827" s="675"/>
      <c r="AF827" s="675"/>
      <c r="AG827" s="675">
        <f t="shared" si="209"/>
        <v>0</v>
      </c>
      <c r="AH827" s="675"/>
      <c r="AJ827" s="675">
        <f t="shared" si="210"/>
        <v>0</v>
      </c>
      <c r="AK827" s="658"/>
    </row>
    <row r="828" spans="1:37" ht="15" customHeight="1">
      <c r="A828" s="5"/>
      <c r="B828" s="313"/>
      <c r="C828" s="835"/>
      <c r="D828" s="441" t="s">
        <v>697</v>
      </c>
      <c r="E828" s="131"/>
      <c r="F828" s="75"/>
      <c r="G828" s="111"/>
      <c r="H828" s="78"/>
      <c r="I828" s="79"/>
      <c r="J828" s="52"/>
      <c r="K828" s="156"/>
      <c r="L828" s="383"/>
      <c r="M828" s="542"/>
      <c r="N828" s="701">
        <f t="shared" si="211"/>
        <v>0</v>
      </c>
      <c r="O828" s="675"/>
      <c r="P828" s="675"/>
      <c r="Q828" s="675"/>
      <c r="R828" s="675">
        <f t="shared" si="206"/>
        <v>0</v>
      </c>
      <c r="S828" s="675"/>
      <c r="T828" s="675"/>
      <c r="U828" s="675"/>
      <c r="V828" s="675"/>
      <c r="W828" s="675">
        <f t="shared" si="207"/>
        <v>0</v>
      </c>
      <c r="X828" s="675"/>
      <c r="Y828" s="675"/>
      <c r="Z828" s="675"/>
      <c r="AA828" s="675">
        <f t="shared" si="208"/>
        <v>0</v>
      </c>
      <c r="AB828" s="675"/>
      <c r="AC828" s="675"/>
      <c r="AD828" s="675"/>
      <c r="AE828" s="675"/>
      <c r="AF828" s="675"/>
      <c r="AG828" s="675">
        <f t="shared" si="209"/>
        <v>0</v>
      </c>
      <c r="AH828" s="675"/>
      <c r="AJ828" s="675">
        <f t="shared" si="210"/>
        <v>0</v>
      </c>
      <c r="AK828" s="658"/>
    </row>
    <row r="829" spans="1:37" ht="15" customHeight="1">
      <c r="A829" s="5"/>
      <c r="B829" s="313"/>
      <c r="C829" s="835"/>
      <c r="D829" s="441" t="s">
        <v>674</v>
      </c>
      <c r="E829" s="131"/>
      <c r="F829" s="75"/>
      <c r="G829" s="111"/>
      <c r="H829" s="78"/>
      <c r="I829" s="79"/>
      <c r="J829" s="52"/>
      <c r="K829" s="156"/>
      <c r="L829" s="383"/>
      <c r="M829" s="542"/>
      <c r="N829" s="701">
        <f t="shared" si="211"/>
        <v>0</v>
      </c>
      <c r="O829" s="675"/>
      <c r="P829" s="675"/>
      <c r="Q829" s="675"/>
      <c r="R829" s="675">
        <f t="shared" si="206"/>
        <v>0</v>
      </c>
      <c r="S829" s="675"/>
      <c r="T829" s="675"/>
      <c r="U829" s="675"/>
      <c r="V829" s="675"/>
      <c r="W829" s="675">
        <f t="shared" si="207"/>
        <v>0</v>
      </c>
      <c r="X829" s="675"/>
      <c r="Y829" s="675"/>
      <c r="Z829" s="675"/>
      <c r="AA829" s="675">
        <f t="shared" si="208"/>
        <v>0</v>
      </c>
      <c r="AB829" s="675"/>
      <c r="AC829" s="675"/>
      <c r="AD829" s="675"/>
      <c r="AE829" s="675"/>
      <c r="AF829" s="675"/>
      <c r="AG829" s="675">
        <f t="shared" si="209"/>
        <v>0</v>
      </c>
      <c r="AH829" s="675"/>
      <c r="AJ829" s="675">
        <f t="shared" si="210"/>
        <v>0</v>
      </c>
      <c r="AK829" s="658"/>
    </row>
    <row r="830" spans="1:37" ht="15" customHeight="1">
      <c r="A830" s="5"/>
      <c r="B830" s="313"/>
      <c r="C830" s="835"/>
      <c r="D830" s="441" t="s">
        <v>698</v>
      </c>
      <c r="E830" s="131"/>
      <c r="F830" s="75"/>
      <c r="G830" s="111"/>
      <c r="H830" s="78"/>
      <c r="I830" s="79"/>
      <c r="J830" s="52"/>
      <c r="K830" s="156"/>
      <c r="L830" s="383"/>
      <c r="M830" s="542"/>
      <c r="N830" s="701">
        <f t="shared" si="211"/>
        <v>0</v>
      </c>
      <c r="O830" s="675"/>
      <c r="P830" s="675"/>
      <c r="Q830" s="675"/>
      <c r="R830" s="675">
        <f t="shared" si="206"/>
        <v>0</v>
      </c>
      <c r="S830" s="675"/>
      <c r="T830" s="675"/>
      <c r="U830" s="675"/>
      <c r="V830" s="675"/>
      <c r="W830" s="675">
        <f t="shared" si="207"/>
        <v>0</v>
      </c>
      <c r="X830" s="675"/>
      <c r="Y830" s="675"/>
      <c r="Z830" s="675"/>
      <c r="AA830" s="675">
        <f t="shared" si="208"/>
        <v>0</v>
      </c>
      <c r="AB830" s="675"/>
      <c r="AC830" s="675"/>
      <c r="AD830" s="675"/>
      <c r="AE830" s="675"/>
      <c r="AF830" s="675"/>
      <c r="AG830" s="675">
        <f t="shared" si="209"/>
        <v>0</v>
      </c>
      <c r="AH830" s="675"/>
      <c r="AJ830" s="675">
        <f t="shared" si="210"/>
        <v>0</v>
      </c>
      <c r="AK830" s="658"/>
    </row>
    <row r="831" spans="1:37" ht="15" customHeight="1">
      <c r="A831" s="5"/>
      <c r="B831" s="313"/>
      <c r="C831" s="835"/>
      <c r="D831" s="441" t="s">
        <v>699</v>
      </c>
      <c r="E831" s="131"/>
      <c r="F831" s="75"/>
      <c r="G831" s="111"/>
      <c r="H831" s="78"/>
      <c r="I831" s="79"/>
      <c r="J831" s="52"/>
      <c r="K831" s="156"/>
      <c r="L831" s="383"/>
      <c r="M831" s="542"/>
      <c r="N831" s="701">
        <f t="shared" si="211"/>
        <v>0</v>
      </c>
      <c r="O831" s="675"/>
      <c r="P831" s="675"/>
      <c r="Q831" s="675"/>
      <c r="R831" s="675">
        <f t="shared" si="206"/>
        <v>0</v>
      </c>
      <c r="S831" s="675"/>
      <c r="T831" s="675"/>
      <c r="U831" s="675"/>
      <c r="V831" s="675"/>
      <c r="W831" s="675">
        <f t="shared" si="207"/>
        <v>0</v>
      </c>
      <c r="X831" s="675"/>
      <c r="Y831" s="675"/>
      <c r="Z831" s="675"/>
      <c r="AA831" s="675">
        <f t="shared" si="208"/>
        <v>0</v>
      </c>
      <c r="AB831" s="675"/>
      <c r="AC831" s="675"/>
      <c r="AD831" s="675"/>
      <c r="AE831" s="675"/>
      <c r="AF831" s="675"/>
      <c r="AG831" s="675">
        <f t="shared" si="209"/>
        <v>0</v>
      </c>
      <c r="AH831" s="675"/>
      <c r="AJ831" s="675">
        <f t="shared" si="210"/>
        <v>0</v>
      </c>
      <c r="AK831" s="658"/>
    </row>
    <row r="832" spans="1:37" ht="15" customHeight="1">
      <c r="A832" s="5"/>
      <c r="B832" s="313"/>
      <c r="C832" s="835"/>
      <c r="D832" s="441" t="s">
        <v>700</v>
      </c>
      <c r="E832" s="131"/>
      <c r="F832" s="75"/>
      <c r="G832" s="111"/>
      <c r="H832" s="78"/>
      <c r="I832" s="79"/>
      <c r="J832" s="52"/>
      <c r="K832" s="156"/>
      <c r="L832" s="383"/>
      <c r="M832" s="542"/>
      <c r="N832" s="701">
        <f t="shared" si="211"/>
        <v>0</v>
      </c>
      <c r="O832" s="675"/>
      <c r="P832" s="675"/>
      <c r="Q832" s="675"/>
      <c r="R832" s="675">
        <f t="shared" si="206"/>
        <v>0</v>
      </c>
      <c r="S832" s="675"/>
      <c r="T832" s="675"/>
      <c r="U832" s="675"/>
      <c r="V832" s="675"/>
      <c r="W832" s="675">
        <f t="shared" si="207"/>
        <v>0</v>
      </c>
      <c r="X832" s="675"/>
      <c r="Y832" s="675"/>
      <c r="Z832" s="675"/>
      <c r="AA832" s="675">
        <f t="shared" si="208"/>
        <v>0</v>
      </c>
      <c r="AB832" s="675"/>
      <c r="AC832" s="675"/>
      <c r="AD832" s="675"/>
      <c r="AE832" s="675"/>
      <c r="AF832" s="675"/>
      <c r="AG832" s="675">
        <f t="shared" si="209"/>
        <v>0</v>
      </c>
      <c r="AH832" s="675"/>
      <c r="AJ832" s="675">
        <f t="shared" si="210"/>
        <v>0</v>
      </c>
      <c r="AK832" s="658"/>
    </row>
    <row r="833" spans="1:37" ht="15" customHeight="1">
      <c r="A833" s="5"/>
      <c r="B833" s="313"/>
      <c r="C833" s="835"/>
      <c r="D833" s="441" t="s">
        <v>675</v>
      </c>
      <c r="E833" s="131"/>
      <c r="F833" s="75"/>
      <c r="G833" s="111"/>
      <c r="H833" s="78"/>
      <c r="I833" s="79"/>
      <c r="J833" s="52"/>
      <c r="K833" s="156"/>
      <c r="L833" s="383"/>
      <c r="M833" s="542"/>
      <c r="N833" s="701">
        <f t="shared" si="211"/>
        <v>0</v>
      </c>
      <c r="O833" s="675"/>
      <c r="P833" s="675"/>
      <c r="Q833" s="675"/>
      <c r="R833" s="675">
        <f t="shared" si="206"/>
        <v>0</v>
      </c>
      <c r="S833" s="675"/>
      <c r="T833" s="675"/>
      <c r="U833" s="675"/>
      <c r="V833" s="675"/>
      <c r="W833" s="675">
        <f t="shared" si="207"/>
        <v>0</v>
      </c>
      <c r="X833" s="675"/>
      <c r="Y833" s="675"/>
      <c r="Z833" s="675"/>
      <c r="AA833" s="675">
        <f t="shared" si="208"/>
        <v>0</v>
      </c>
      <c r="AB833" s="675"/>
      <c r="AC833" s="675"/>
      <c r="AD833" s="675"/>
      <c r="AE833" s="675"/>
      <c r="AF833" s="675"/>
      <c r="AG833" s="675">
        <f t="shared" si="209"/>
        <v>0</v>
      </c>
      <c r="AH833" s="675"/>
      <c r="AJ833" s="675">
        <f t="shared" si="210"/>
        <v>0</v>
      </c>
      <c r="AK833" s="658"/>
    </row>
    <row r="834" spans="1:37" ht="15" customHeight="1">
      <c r="A834" s="5"/>
      <c r="B834" s="313"/>
      <c r="C834" s="835"/>
      <c r="D834" s="441" t="s">
        <v>701</v>
      </c>
      <c r="E834" s="131"/>
      <c r="F834" s="75"/>
      <c r="G834" s="111"/>
      <c r="H834" s="78"/>
      <c r="I834" s="79"/>
      <c r="J834" s="52"/>
      <c r="K834" s="156"/>
      <c r="L834" s="383"/>
      <c r="M834" s="542"/>
      <c r="N834" s="701">
        <f t="shared" si="211"/>
        <v>0</v>
      </c>
      <c r="O834" s="675"/>
      <c r="P834" s="675"/>
      <c r="Q834" s="675"/>
      <c r="R834" s="675">
        <f t="shared" si="206"/>
        <v>0</v>
      </c>
      <c r="S834" s="675"/>
      <c r="T834" s="675"/>
      <c r="U834" s="675"/>
      <c r="V834" s="675"/>
      <c r="W834" s="675">
        <f t="shared" si="207"/>
        <v>0</v>
      </c>
      <c r="X834" s="675"/>
      <c r="Y834" s="675"/>
      <c r="Z834" s="675"/>
      <c r="AA834" s="675">
        <f t="shared" si="208"/>
        <v>0</v>
      </c>
      <c r="AB834" s="675"/>
      <c r="AC834" s="675"/>
      <c r="AD834" s="675"/>
      <c r="AE834" s="675"/>
      <c r="AF834" s="675"/>
      <c r="AG834" s="675">
        <f t="shared" si="209"/>
        <v>0</v>
      </c>
      <c r="AH834" s="675"/>
      <c r="AJ834" s="675">
        <f t="shared" si="210"/>
        <v>0</v>
      </c>
      <c r="AK834" s="658"/>
    </row>
    <row r="835" spans="1:37" ht="15" customHeight="1">
      <c r="A835" s="5"/>
      <c r="B835" s="313"/>
      <c r="C835" s="835"/>
      <c r="D835" s="441" t="s">
        <v>676</v>
      </c>
      <c r="E835" s="131"/>
      <c r="F835" s="75"/>
      <c r="G835" s="111"/>
      <c r="H835" s="78"/>
      <c r="I835" s="79"/>
      <c r="J835" s="52"/>
      <c r="K835" s="156"/>
      <c r="L835" s="383"/>
      <c r="M835" s="542"/>
      <c r="N835" s="701">
        <f t="shared" si="211"/>
        <v>0</v>
      </c>
      <c r="O835" s="675"/>
      <c r="P835" s="675"/>
      <c r="Q835" s="675"/>
      <c r="R835" s="675">
        <f t="shared" si="206"/>
        <v>0</v>
      </c>
      <c r="S835" s="675"/>
      <c r="T835" s="675"/>
      <c r="U835" s="675"/>
      <c r="V835" s="675"/>
      <c r="W835" s="675">
        <f t="shared" si="207"/>
        <v>0</v>
      </c>
      <c r="X835" s="675"/>
      <c r="Y835" s="675"/>
      <c r="Z835" s="675"/>
      <c r="AA835" s="675">
        <f t="shared" si="208"/>
        <v>0</v>
      </c>
      <c r="AB835" s="675"/>
      <c r="AC835" s="675"/>
      <c r="AD835" s="675"/>
      <c r="AE835" s="675"/>
      <c r="AF835" s="675"/>
      <c r="AG835" s="675">
        <f t="shared" si="209"/>
        <v>0</v>
      </c>
      <c r="AH835" s="675"/>
      <c r="AJ835" s="675">
        <f t="shared" si="210"/>
        <v>0</v>
      </c>
      <c r="AK835" s="658"/>
    </row>
    <row r="836" spans="1:37" ht="15" customHeight="1">
      <c r="A836" s="5"/>
      <c r="B836" s="313"/>
      <c r="C836" s="835"/>
      <c r="D836" s="441" t="s">
        <v>702</v>
      </c>
      <c r="E836" s="131"/>
      <c r="F836" s="75"/>
      <c r="G836" s="111"/>
      <c r="H836" s="78"/>
      <c r="I836" s="79"/>
      <c r="J836" s="52"/>
      <c r="K836" s="156"/>
      <c r="L836" s="383"/>
      <c r="M836" s="542"/>
      <c r="N836" s="701">
        <f t="shared" si="211"/>
        <v>0</v>
      </c>
      <c r="O836" s="675"/>
      <c r="P836" s="675"/>
      <c r="Q836" s="675"/>
      <c r="R836" s="675">
        <f t="shared" si="206"/>
        <v>0</v>
      </c>
      <c r="S836" s="675"/>
      <c r="T836" s="675"/>
      <c r="U836" s="675"/>
      <c r="V836" s="675"/>
      <c r="W836" s="675">
        <f t="shared" si="207"/>
        <v>0</v>
      </c>
      <c r="X836" s="675"/>
      <c r="Y836" s="675"/>
      <c r="Z836" s="675"/>
      <c r="AA836" s="675">
        <f t="shared" si="208"/>
        <v>0</v>
      </c>
      <c r="AB836" s="675"/>
      <c r="AC836" s="675"/>
      <c r="AD836" s="675"/>
      <c r="AE836" s="675"/>
      <c r="AF836" s="675"/>
      <c r="AG836" s="675">
        <f t="shared" si="209"/>
        <v>0</v>
      </c>
      <c r="AH836" s="675"/>
      <c r="AJ836" s="675">
        <f t="shared" si="210"/>
        <v>0</v>
      </c>
      <c r="AK836" s="658"/>
    </row>
    <row r="837" spans="1:37" ht="15" customHeight="1">
      <c r="A837" s="5"/>
      <c r="B837" s="313"/>
      <c r="C837" s="835"/>
      <c r="D837" s="441" t="s">
        <v>677</v>
      </c>
      <c r="E837" s="131"/>
      <c r="F837" s="75"/>
      <c r="G837" s="111"/>
      <c r="H837" s="78"/>
      <c r="I837" s="79"/>
      <c r="J837" s="52"/>
      <c r="K837" s="156"/>
      <c r="L837" s="383"/>
      <c r="M837" s="542"/>
      <c r="N837" s="701">
        <f t="shared" si="211"/>
        <v>0</v>
      </c>
      <c r="O837" s="675"/>
      <c r="P837" s="675"/>
      <c r="Q837" s="675"/>
      <c r="R837" s="675">
        <f t="shared" si="206"/>
        <v>0</v>
      </c>
      <c r="S837" s="675"/>
      <c r="T837" s="675"/>
      <c r="U837" s="675"/>
      <c r="V837" s="675"/>
      <c r="W837" s="675">
        <f t="shared" si="207"/>
        <v>0</v>
      </c>
      <c r="X837" s="675"/>
      <c r="Y837" s="675"/>
      <c r="Z837" s="675"/>
      <c r="AA837" s="675">
        <f t="shared" si="208"/>
        <v>0</v>
      </c>
      <c r="AB837" s="675"/>
      <c r="AC837" s="675"/>
      <c r="AD837" s="675"/>
      <c r="AE837" s="675"/>
      <c r="AF837" s="675"/>
      <c r="AG837" s="675">
        <f t="shared" si="209"/>
        <v>0</v>
      </c>
      <c r="AH837" s="675"/>
      <c r="AJ837" s="675">
        <f t="shared" si="210"/>
        <v>0</v>
      </c>
      <c r="AK837" s="658"/>
    </row>
    <row r="838" spans="1:37" ht="15" customHeight="1">
      <c r="A838" s="5"/>
      <c r="B838" s="313"/>
      <c r="C838" s="835"/>
      <c r="D838" s="441" t="s">
        <v>703</v>
      </c>
      <c r="E838" s="131"/>
      <c r="F838" s="75"/>
      <c r="G838" s="111"/>
      <c r="H838" s="78"/>
      <c r="I838" s="79"/>
      <c r="J838" s="52"/>
      <c r="K838" s="156"/>
      <c r="L838" s="383"/>
      <c r="M838" s="542"/>
      <c r="N838" s="701">
        <f t="shared" si="211"/>
        <v>0</v>
      </c>
      <c r="O838" s="675"/>
      <c r="P838" s="675"/>
      <c r="Q838" s="675"/>
      <c r="R838" s="675">
        <f t="shared" si="206"/>
        <v>0</v>
      </c>
      <c r="S838" s="675"/>
      <c r="T838" s="675"/>
      <c r="U838" s="675"/>
      <c r="V838" s="675"/>
      <c r="W838" s="675">
        <f t="shared" si="207"/>
        <v>0</v>
      </c>
      <c r="X838" s="675"/>
      <c r="Y838" s="675"/>
      <c r="Z838" s="675"/>
      <c r="AA838" s="675">
        <f t="shared" si="208"/>
        <v>0</v>
      </c>
      <c r="AB838" s="675"/>
      <c r="AC838" s="675"/>
      <c r="AD838" s="675"/>
      <c r="AE838" s="675"/>
      <c r="AF838" s="675"/>
      <c r="AG838" s="675">
        <f t="shared" si="209"/>
        <v>0</v>
      </c>
      <c r="AH838" s="675"/>
      <c r="AJ838" s="675">
        <f t="shared" si="210"/>
        <v>0</v>
      </c>
      <c r="AK838" s="658"/>
    </row>
    <row r="839" spans="1:37" ht="15" customHeight="1">
      <c r="A839" s="5"/>
      <c r="B839" s="313"/>
      <c r="C839" s="835"/>
      <c r="D839" s="441" t="s">
        <v>678</v>
      </c>
      <c r="E839" s="131"/>
      <c r="F839" s="75"/>
      <c r="G839" s="111"/>
      <c r="H839" s="78"/>
      <c r="I839" s="79"/>
      <c r="J839" s="52"/>
      <c r="K839" s="156"/>
      <c r="L839" s="383"/>
      <c r="M839" s="542"/>
      <c r="N839" s="701">
        <f t="shared" si="211"/>
        <v>0</v>
      </c>
      <c r="O839" s="675"/>
      <c r="P839" s="675"/>
      <c r="Q839" s="675"/>
      <c r="R839" s="675">
        <f t="shared" si="206"/>
        <v>0</v>
      </c>
      <c r="S839" s="675"/>
      <c r="T839" s="675"/>
      <c r="U839" s="675"/>
      <c r="V839" s="675"/>
      <c r="W839" s="675">
        <f t="shared" si="207"/>
        <v>0</v>
      </c>
      <c r="X839" s="675"/>
      <c r="Y839" s="675"/>
      <c r="Z839" s="675"/>
      <c r="AA839" s="675">
        <f t="shared" si="208"/>
        <v>0</v>
      </c>
      <c r="AB839" s="675"/>
      <c r="AC839" s="675"/>
      <c r="AD839" s="675"/>
      <c r="AE839" s="675"/>
      <c r="AF839" s="675"/>
      <c r="AG839" s="675">
        <f t="shared" si="209"/>
        <v>0</v>
      </c>
      <c r="AH839" s="675"/>
      <c r="AJ839" s="675">
        <f t="shared" si="210"/>
        <v>0</v>
      </c>
      <c r="AK839" s="658"/>
    </row>
    <row r="840" spans="1:37" ht="15" customHeight="1">
      <c r="A840" s="5"/>
      <c r="B840" s="313"/>
      <c r="C840" s="835"/>
      <c r="D840" s="441" t="s">
        <v>679</v>
      </c>
      <c r="E840" s="131"/>
      <c r="F840" s="75"/>
      <c r="G840" s="111"/>
      <c r="H840" s="78"/>
      <c r="I840" s="79"/>
      <c r="J840" s="52"/>
      <c r="K840" s="156"/>
      <c r="L840" s="383"/>
      <c r="M840" s="542"/>
      <c r="N840" s="701">
        <f t="shared" si="211"/>
        <v>0</v>
      </c>
      <c r="O840" s="675"/>
      <c r="P840" s="675"/>
      <c r="Q840" s="675"/>
      <c r="R840" s="675">
        <f t="shared" si="206"/>
        <v>0</v>
      </c>
      <c r="S840" s="675"/>
      <c r="T840" s="675"/>
      <c r="U840" s="675"/>
      <c r="V840" s="675"/>
      <c r="W840" s="675">
        <f t="shared" si="207"/>
        <v>0</v>
      </c>
      <c r="X840" s="675"/>
      <c r="Y840" s="675"/>
      <c r="Z840" s="675"/>
      <c r="AA840" s="675">
        <f t="shared" si="208"/>
        <v>0</v>
      </c>
      <c r="AB840" s="675"/>
      <c r="AC840" s="675"/>
      <c r="AD840" s="675"/>
      <c r="AE840" s="675"/>
      <c r="AF840" s="675"/>
      <c r="AG840" s="675">
        <f t="shared" si="209"/>
        <v>0</v>
      </c>
      <c r="AH840" s="675"/>
      <c r="AJ840" s="675">
        <f t="shared" si="210"/>
        <v>0</v>
      </c>
      <c r="AK840" s="658"/>
    </row>
    <row r="841" spans="1:37" ht="15" customHeight="1">
      <c r="A841" s="5"/>
      <c r="B841" s="313"/>
      <c r="C841" s="835"/>
      <c r="D841" s="441" t="s">
        <v>680</v>
      </c>
      <c r="E841" s="131"/>
      <c r="F841" s="75"/>
      <c r="G841" s="111"/>
      <c r="H841" s="78"/>
      <c r="I841" s="79"/>
      <c r="J841" s="52"/>
      <c r="K841" s="156"/>
      <c r="L841" s="383"/>
      <c r="M841" s="542"/>
      <c r="N841" s="701">
        <f t="shared" si="211"/>
        <v>0</v>
      </c>
      <c r="O841" s="675"/>
      <c r="P841" s="675"/>
      <c r="Q841" s="675"/>
      <c r="R841" s="675">
        <f t="shared" si="206"/>
        <v>0</v>
      </c>
      <c r="S841" s="675"/>
      <c r="T841" s="675"/>
      <c r="U841" s="675"/>
      <c r="V841" s="675"/>
      <c r="W841" s="675">
        <f t="shared" si="207"/>
        <v>0</v>
      </c>
      <c r="X841" s="675"/>
      <c r="Y841" s="675"/>
      <c r="Z841" s="675"/>
      <c r="AA841" s="675">
        <f t="shared" si="208"/>
        <v>0</v>
      </c>
      <c r="AB841" s="675"/>
      <c r="AC841" s="675"/>
      <c r="AD841" s="675"/>
      <c r="AE841" s="675"/>
      <c r="AF841" s="675"/>
      <c r="AG841" s="675">
        <f t="shared" si="209"/>
        <v>0</v>
      </c>
      <c r="AH841" s="675"/>
      <c r="AJ841" s="675">
        <f t="shared" si="210"/>
        <v>0</v>
      </c>
      <c r="AK841" s="658"/>
    </row>
    <row r="842" spans="1:37" ht="15" customHeight="1">
      <c r="A842" s="5"/>
      <c r="B842" s="313"/>
      <c r="C842" s="835"/>
      <c r="D842" s="441" t="s">
        <v>681</v>
      </c>
      <c r="E842" s="131"/>
      <c r="F842" s="75"/>
      <c r="G842" s="111"/>
      <c r="H842" s="78"/>
      <c r="I842" s="79"/>
      <c r="J842" s="52"/>
      <c r="K842" s="156"/>
      <c r="L842" s="383"/>
      <c r="M842" s="542"/>
      <c r="N842" s="701">
        <f t="shared" si="211"/>
        <v>0</v>
      </c>
      <c r="O842" s="675"/>
      <c r="P842" s="675"/>
      <c r="Q842" s="675"/>
      <c r="R842" s="675">
        <f t="shared" si="206"/>
        <v>0</v>
      </c>
      <c r="S842" s="675"/>
      <c r="T842" s="675"/>
      <c r="U842" s="675"/>
      <c r="V842" s="675"/>
      <c r="W842" s="675">
        <f t="shared" si="207"/>
        <v>0</v>
      </c>
      <c r="X842" s="675"/>
      <c r="Y842" s="675"/>
      <c r="Z842" s="675"/>
      <c r="AA842" s="675">
        <f t="shared" si="208"/>
        <v>0</v>
      </c>
      <c r="AB842" s="675"/>
      <c r="AC842" s="675"/>
      <c r="AD842" s="675"/>
      <c r="AE842" s="675"/>
      <c r="AF842" s="675"/>
      <c r="AG842" s="675">
        <f t="shared" si="209"/>
        <v>0</v>
      </c>
      <c r="AH842" s="675"/>
      <c r="AJ842" s="675">
        <f t="shared" si="210"/>
        <v>0</v>
      </c>
      <c r="AK842" s="658"/>
    </row>
    <row r="843" spans="1:37" ht="15" customHeight="1">
      <c r="A843" s="5"/>
      <c r="B843" s="313"/>
      <c r="C843" s="835"/>
      <c r="D843" s="441" t="s">
        <v>682</v>
      </c>
      <c r="E843" s="131"/>
      <c r="F843" s="75"/>
      <c r="G843" s="111"/>
      <c r="H843" s="78"/>
      <c r="I843" s="79"/>
      <c r="J843" s="52"/>
      <c r="K843" s="156"/>
      <c r="L843" s="383"/>
      <c r="M843" s="542"/>
      <c r="N843" s="701">
        <f t="shared" si="211"/>
        <v>0</v>
      </c>
      <c r="O843" s="675"/>
      <c r="P843" s="675"/>
      <c r="Q843" s="675"/>
      <c r="R843" s="675">
        <f t="shared" si="206"/>
        <v>0</v>
      </c>
      <c r="S843" s="675"/>
      <c r="T843" s="675"/>
      <c r="U843" s="675"/>
      <c r="V843" s="675"/>
      <c r="W843" s="675">
        <f t="shared" si="207"/>
        <v>0</v>
      </c>
      <c r="X843" s="675"/>
      <c r="Y843" s="675"/>
      <c r="Z843" s="675"/>
      <c r="AA843" s="675">
        <f t="shared" si="208"/>
        <v>0</v>
      </c>
      <c r="AB843" s="675"/>
      <c r="AC843" s="675"/>
      <c r="AD843" s="675"/>
      <c r="AE843" s="675"/>
      <c r="AF843" s="675"/>
      <c r="AG843" s="675">
        <f t="shared" si="209"/>
        <v>0</v>
      </c>
      <c r="AH843" s="675"/>
      <c r="AJ843" s="675">
        <f t="shared" si="210"/>
        <v>0</v>
      </c>
      <c r="AK843" s="658"/>
    </row>
    <row r="844" spans="1:37" ht="15" customHeight="1">
      <c r="A844" s="5"/>
      <c r="B844" s="313"/>
      <c r="C844" s="835"/>
      <c r="D844" s="441" t="s">
        <v>683</v>
      </c>
      <c r="E844" s="131"/>
      <c r="F844" s="75"/>
      <c r="G844" s="111"/>
      <c r="H844" s="78"/>
      <c r="I844" s="79"/>
      <c r="J844" s="52"/>
      <c r="K844" s="156"/>
      <c r="L844" s="383"/>
      <c r="M844" s="542"/>
      <c r="N844" s="701">
        <f t="shared" si="211"/>
        <v>0</v>
      </c>
      <c r="O844" s="675"/>
      <c r="P844" s="675"/>
      <c r="Q844" s="675"/>
      <c r="R844" s="675">
        <f t="shared" si="206"/>
        <v>0</v>
      </c>
      <c r="S844" s="675"/>
      <c r="T844" s="675"/>
      <c r="U844" s="675"/>
      <c r="V844" s="675"/>
      <c r="W844" s="675">
        <f t="shared" si="207"/>
        <v>0</v>
      </c>
      <c r="X844" s="675"/>
      <c r="Y844" s="675"/>
      <c r="Z844" s="675"/>
      <c r="AA844" s="675">
        <f t="shared" si="208"/>
        <v>0</v>
      </c>
      <c r="AB844" s="675"/>
      <c r="AC844" s="675"/>
      <c r="AD844" s="675"/>
      <c r="AE844" s="675"/>
      <c r="AF844" s="675"/>
      <c r="AG844" s="675">
        <f t="shared" si="209"/>
        <v>0</v>
      </c>
      <c r="AH844" s="675"/>
      <c r="AJ844" s="675">
        <f t="shared" si="210"/>
        <v>0</v>
      </c>
      <c r="AK844" s="658"/>
    </row>
    <row r="845" spans="1:37" ht="15" customHeight="1">
      <c r="A845" s="5"/>
      <c r="B845" s="313"/>
      <c r="C845" s="835"/>
      <c r="D845" s="441" t="s">
        <v>684</v>
      </c>
      <c r="E845" s="131"/>
      <c r="F845" s="75"/>
      <c r="G845" s="111"/>
      <c r="H845" s="78"/>
      <c r="I845" s="79"/>
      <c r="J845" s="52"/>
      <c r="K845" s="156"/>
      <c r="L845" s="383"/>
      <c r="M845" s="542"/>
      <c r="N845" s="701">
        <f t="shared" si="211"/>
        <v>0</v>
      </c>
      <c r="O845" s="675"/>
      <c r="P845" s="675"/>
      <c r="Q845" s="675"/>
      <c r="R845" s="675">
        <f t="shared" si="206"/>
        <v>0</v>
      </c>
      <c r="S845" s="675"/>
      <c r="T845" s="675"/>
      <c r="U845" s="675"/>
      <c r="V845" s="675"/>
      <c r="W845" s="675">
        <f t="shared" si="207"/>
        <v>0</v>
      </c>
      <c r="X845" s="675"/>
      <c r="Y845" s="675"/>
      <c r="Z845" s="675"/>
      <c r="AA845" s="675">
        <f t="shared" si="208"/>
        <v>0</v>
      </c>
      <c r="AB845" s="675"/>
      <c r="AC845" s="675"/>
      <c r="AD845" s="675"/>
      <c r="AE845" s="675"/>
      <c r="AF845" s="675"/>
      <c r="AG845" s="675">
        <f t="shared" si="209"/>
        <v>0</v>
      </c>
      <c r="AH845" s="675"/>
      <c r="AJ845" s="675">
        <f t="shared" si="210"/>
        <v>0</v>
      </c>
      <c r="AK845" s="658"/>
    </row>
    <row r="846" spans="1:37" ht="15" customHeight="1">
      <c r="A846" s="5"/>
      <c r="B846" s="313"/>
      <c r="C846" s="835"/>
      <c r="D846" s="441" t="s">
        <v>685</v>
      </c>
      <c r="E846" s="131"/>
      <c r="F846" s="75"/>
      <c r="G846" s="111"/>
      <c r="H846" s="78"/>
      <c r="I846" s="79"/>
      <c r="J846" s="52"/>
      <c r="K846" s="156"/>
      <c r="L846" s="383"/>
      <c r="M846" s="542"/>
      <c r="N846" s="701">
        <f t="shared" si="211"/>
        <v>0</v>
      </c>
      <c r="O846" s="675"/>
      <c r="P846" s="675"/>
      <c r="Q846" s="675"/>
      <c r="R846" s="675">
        <f t="shared" si="206"/>
        <v>0</v>
      </c>
      <c r="S846" s="675"/>
      <c r="T846" s="675"/>
      <c r="U846" s="675"/>
      <c r="V846" s="675"/>
      <c r="W846" s="675">
        <f t="shared" si="207"/>
        <v>0</v>
      </c>
      <c r="X846" s="675"/>
      <c r="Y846" s="675"/>
      <c r="Z846" s="675"/>
      <c r="AA846" s="675">
        <f t="shared" si="208"/>
        <v>0</v>
      </c>
      <c r="AB846" s="675"/>
      <c r="AC846" s="675"/>
      <c r="AD846" s="675"/>
      <c r="AE846" s="675"/>
      <c r="AF846" s="675"/>
      <c r="AG846" s="675">
        <f t="shared" si="209"/>
        <v>0</v>
      </c>
      <c r="AH846" s="675"/>
      <c r="AJ846" s="675">
        <f t="shared" si="210"/>
        <v>0</v>
      </c>
      <c r="AK846" s="658"/>
    </row>
    <row r="847" spans="1:37" ht="15" customHeight="1">
      <c r="A847" s="5"/>
      <c r="B847" s="313"/>
      <c r="C847" s="835"/>
      <c r="D847" s="441" t="s">
        <v>686</v>
      </c>
      <c r="E847" s="131"/>
      <c r="F847" s="75"/>
      <c r="G847" s="111"/>
      <c r="H847" s="78"/>
      <c r="I847" s="79"/>
      <c r="J847" s="52"/>
      <c r="K847" s="156"/>
      <c r="L847" s="383"/>
      <c r="M847" s="542"/>
      <c r="N847" s="701">
        <f t="shared" si="211"/>
        <v>0</v>
      </c>
      <c r="O847" s="675"/>
      <c r="P847" s="675"/>
      <c r="Q847" s="675"/>
      <c r="R847" s="675">
        <f t="shared" si="206"/>
        <v>0</v>
      </c>
      <c r="S847" s="675"/>
      <c r="T847" s="675"/>
      <c r="U847" s="675"/>
      <c r="V847" s="675"/>
      <c r="W847" s="675">
        <f t="shared" si="207"/>
        <v>0</v>
      </c>
      <c r="X847" s="675"/>
      <c r="Y847" s="675"/>
      <c r="Z847" s="675"/>
      <c r="AA847" s="675">
        <f t="shared" si="208"/>
        <v>0</v>
      </c>
      <c r="AB847" s="675"/>
      <c r="AC847" s="675"/>
      <c r="AD847" s="675"/>
      <c r="AE847" s="675"/>
      <c r="AF847" s="675"/>
      <c r="AG847" s="675">
        <f t="shared" si="209"/>
        <v>0</v>
      </c>
      <c r="AH847" s="675"/>
      <c r="AJ847" s="675">
        <f t="shared" si="210"/>
        <v>0</v>
      </c>
      <c r="AK847" s="658"/>
    </row>
    <row r="848" spans="1:37" ht="15" customHeight="1">
      <c r="A848" s="5"/>
      <c r="B848" s="313"/>
      <c r="C848" s="835"/>
      <c r="D848" s="441" t="s">
        <v>687</v>
      </c>
      <c r="E848" s="131"/>
      <c r="F848" s="75"/>
      <c r="G848" s="111"/>
      <c r="H848" s="78"/>
      <c r="I848" s="79"/>
      <c r="J848" s="52"/>
      <c r="K848" s="156"/>
      <c r="L848" s="383"/>
      <c r="M848" s="542"/>
      <c r="N848" s="701">
        <f t="shared" si="211"/>
        <v>0</v>
      </c>
      <c r="O848" s="675"/>
      <c r="P848" s="675"/>
      <c r="Q848" s="675"/>
      <c r="R848" s="675">
        <f t="shared" si="206"/>
        <v>0</v>
      </c>
      <c r="S848" s="675"/>
      <c r="T848" s="675"/>
      <c r="U848" s="675"/>
      <c r="V848" s="675"/>
      <c r="W848" s="675">
        <f t="shared" si="207"/>
        <v>0</v>
      </c>
      <c r="X848" s="675"/>
      <c r="Y848" s="675"/>
      <c r="Z848" s="675"/>
      <c r="AA848" s="675">
        <f t="shared" si="208"/>
        <v>0</v>
      </c>
      <c r="AB848" s="675"/>
      <c r="AC848" s="675"/>
      <c r="AD848" s="675"/>
      <c r="AE848" s="675"/>
      <c r="AF848" s="675"/>
      <c r="AG848" s="675">
        <f t="shared" si="209"/>
        <v>0</v>
      </c>
      <c r="AH848" s="675"/>
      <c r="AJ848" s="675">
        <f t="shared" si="210"/>
        <v>0</v>
      </c>
      <c r="AK848" s="658"/>
    </row>
    <row r="849" spans="1:37" ht="15" customHeight="1">
      <c r="A849" s="5"/>
      <c r="B849" s="313"/>
      <c r="C849" s="835"/>
      <c r="D849" s="441" t="s">
        <v>688</v>
      </c>
      <c r="E849" s="131"/>
      <c r="F849" s="75"/>
      <c r="G849" s="111"/>
      <c r="H849" s="78"/>
      <c r="I849" s="79"/>
      <c r="J849" s="52"/>
      <c r="K849" s="156"/>
      <c r="L849" s="383"/>
      <c r="M849" s="542"/>
      <c r="N849" s="701">
        <f t="shared" si="211"/>
        <v>0</v>
      </c>
      <c r="O849" s="675"/>
      <c r="P849" s="675"/>
      <c r="Q849" s="675"/>
      <c r="R849" s="675">
        <f t="shared" ref="R849:R850" si="212">+H849*20%</f>
        <v>0</v>
      </c>
      <c r="S849" s="675"/>
      <c r="T849" s="675"/>
      <c r="U849" s="675"/>
      <c r="V849" s="675"/>
      <c r="W849" s="675">
        <f t="shared" ref="W849:W850" si="213">+H849*30%</f>
        <v>0</v>
      </c>
      <c r="X849" s="675"/>
      <c r="Y849" s="675"/>
      <c r="Z849" s="675"/>
      <c r="AA849" s="675">
        <f t="shared" ref="AA849:AA850" si="214">+H849*30%</f>
        <v>0</v>
      </c>
      <c r="AB849" s="675"/>
      <c r="AC849" s="675"/>
      <c r="AD849" s="675"/>
      <c r="AE849" s="675"/>
      <c r="AF849" s="675"/>
      <c r="AG849" s="675">
        <f t="shared" ref="AG849:AG850" si="215">+H849*10%</f>
        <v>0</v>
      </c>
      <c r="AH849" s="675"/>
      <c r="AJ849" s="675">
        <f t="shared" ref="AJ849:AJ850" si="216">+AG849</f>
        <v>0</v>
      </c>
      <c r="AK849" s="658"/>
    </row>
    <row r="850" spans="1:37" ht="15" customHeight="1">
      <c r="A850" s="5"/>
      <c r="B850" s="313"/>
      <c r="C850" s="835"/>
      <c r="D850" s="441"/>
      <c r="E850" s="739" t="s">
        <v>16</v>
      </c>
      <c r="F850" s="740">
        <f>26100*'TOP SHEET'!L6</f>
        <v>3543075</v>
      </c>
      <c r="G850" s="741">
        <v>1</v>
      </c>
      <c r="H850" s="742">
        <f>+G850*F850</f>
        <v>3543075</v>
      </c>
      <c r="I850" s="743"/>
      <c r="J850" s="52"/>
      <c r="K850" s="156"/>
      <c r="L850" s="383"/>
      <c r="M850" s="542"/>
      <c r="N850" s="701">
        <f>SUM(O850:AJ850)-H850</f>
        <v>0</v>
      </c>
      <c r="O850" s="675"/>
      <c r="P850" s="675"/>
      <c r="Q850" s="675"/>
      <c r="R850" s="675">
        <f t="shared" si="212"/>
        <v>708615</v>
      </c>
      <c r="S850" s="675"/>
      <c r="T850" s="675"/>
      <c r="U850" s="675"/>
      <c r="V850" s="675"/>
      <c r="W850" s="675">
        <f t="shared" si="213"/>
        <v>1062922.5</v>
      </c>
      <c r="X850" s="675"/>
      <c r="Y850" s="675"/>
      <c r="Z850" s="675"/>
      <c r="AA850" s="675">
        <f t="shared" si="214"/>
        <v>1062922.5</v>
      </c>
      <c r="AB850" s="675"/>
      <c r="AC850" s="675"/>
      <c r="AD850" s="675"/>
      <c r="AE850" s="675"/>
      <c r="AF850" s="675"/>
      <c r="AG850" s="675">
        <f t="shared" si="215"/>
        <v>354307.5</v>
      </c>
      <c r="AH850" s="675"/>
      <c r="AJ850" s="675">
        <f t="shared" si="216"/>
        <v>354307.5</v>
      </c>
      <c r="AK850" s="658"/>
    </row>
    <row r="851" spans="1:37" ht="15" customHeight="1">
      <c r="A851" s="5"/>
      <c r="B851" s="313"/>
      <c r="D851" s="738" t="s">
        <v>834</v>
      </c>
      <c r="E851" s="131"/>
      <c r="F851" s="75"/>
      <c r="G851" s="111"/>
      <c r="H851" s="78"/>
      <c r="I851" s="79"/>
      <c r="J851" s="52"/>
      <c r="K851" s="156"/>
      <c r="L851" s="383"/>
      <c r="M851" s="542"/>
      <c r="N851" s="701">
        <f t="shared" si="211"/>
        <v>0</v>
      </c>
      <c r="O851" s="675"/>
      <c r="P851" s="675"/>
      <c r="Q851" s="675"/>
      <c r="R851" s="675"/>
      <c r="S851" s="675"/>
      <c r="T851" s="675"/>
      <c r="U851" s="675"/>
      <c r="V851" s="675"/>
      <c r="W851" s="675"/>
      <c r="X851" s="675"/>
      <c r="Y851" s="675"/>
      <c r="Z851" s="675"/>
      <c r="AA851" s="675"/>
      <c r="AB851" s="675"/>
      <c r="AC851" s="675"/>
      <c r="AD851" s="675"/>
      <c r="AE851" s="675"/>
      <c r="AF851" s="675"/>
      <c r="AG851" s="675"/>
      <c r="AH851" s="675"/>
      <c r="AI851" s="675"/>
      <c r="AJ851" s="675"/>
      <c r="AK851" s="658"/>
    </row>
    <row r="852" spans="1:37" ht="15" customHeight="1">
      <c r="A852" s="5"/>
      <c r="B852" s="313"/>
      <c r="C852" s="835" t="s">
        <v>934</v>
      </c>
      <c r="D852" s="737" t="s">
        <v>555</v>
      </c>
      <c r="E852" s="131"/>
      <c r="F852" s="75"/>
      <c r="G852" s="111"/>
      <c r="H852" s="78"/>
      <c r="I852" s="79">
        <f>+DOBLAJES!F6</f>
        <v>1109500</v>
      </c>
      <c r="J852" s="52"/>
      <c r="K852" s="156"/>
      <c r="L852" s="383"/>
      <c r="M852" s="542"/>
      <c r="N852" s="701">
        <f t="shared" si="211"/>
        <v>0</v>
      </c>
      <c r="O852" s="675"/>
      <c r="P852" s="675"/>
      <c r="Q852" s="675"/>
      <c r="R852" s="675"/>
      <c r="S852" s="675"/>
      <c r="T852" s="675"/>
      <c r="U852" s="675"/>
      <c r="V852" s="675"/>
      <c r="W852" s="675"/>
      <c r="X852" s="675"/>
      <c r="Y852" s="675"/>
      <c r="Z852" s="675"/>
      <c r="AA852" s="675"/>
      <c r="AB852" s="675"/>
      <c r="AC852" s="675"/>
      <c r="AD852" s="675">
        <f>+I852</f>
        <v>1109500</v>
      </c>
      <c r="AE852" s="675"/>
      <c r="AF852" s="675"/>
      <c r="AG852" s="675"/>
      <c r="AH852" s="675"/>
      <c r="AI852" s="675"/>
      <c r="AJ852" s="675"/>
      <c r="AK852" s="658"/>
    </row>
    <row r="853" spans="1:37" ht="15" customHeight="1">
      <c r="A853" s="5"/>
      <c r="B853" s="313"/>
      <c r="C853" s="835" t="s">
        <v>935</v>
      </c>
      <c r="D853" s="737" t="s">
        <v>835</v>
      </c>
      <c r="E853" s="131"/>
      <c r="F853" s="75"/>
      <c r="G853" s="111"/>
      <c r="H853" s="78"/>
      <c r="I853" s="79">
        <f>+DOBLAJES!F5</f>
        <v>3804000</v>
      </c>
      <c r="J853" s="52"/>
      <c r="K853" s="156"/>
      <c r="L853" s="383"/>
      <c r="M853" s="542"/>
      <c r="N853" s="701">
        <f t="shared" si="211"/>
        <v>0</v>
      </c>
      <c r="O853" s="675"/>
      <c r="P853" s="675"/>
      <c r="Q853" s="675"/>
      <c r="R853" s="675"/>
      <c r="S853" s="675"/>
      <c r="T853" s="675"/>
      <c r="U853" s="675"/>
      <c r="V853" s="675"/>
      <c r="W853" s="675"/>
      <c r="X853" s="675"/>
      <c r="Y853" s="675"/>
      <c r="Z853" s="675"/>
      <c r="AA853" s="675"/>
      <c r="AB853" s="675"/>
      <c r="AC853" s="675"/>
      <c r="AD853" s="675">
        <f t="shared" ref="AD853:AD862" si="217">+I853</f>
        <v>3804000</v>
      </c>
      <c r="AE853" s="675"/>
      <c r="AF853" s="675"/>
      <c r="AG853" s="675"/>
      <c r="AH853" s="675"/>
      <c r="AI853" s="675"/>
      <c r="AJ853" s="675"/>
      <c r="AK853" s="658"/>
    </row>
    <row r="854" spans="1:37" ht="15" customHeight="1">
      <c r="A854" s="5"/>
      <c r="B854" s="313"/>
      <c r="C854" s="835" t="s">
        <v>936</v>
      </c>
      <c r="D854" s="737" t="s">
        <v>553</v>
      </c>
      <c r="E854" s="131"/>
      <c r="F854" s="75"/>
      <c r="G854" s="111"/>
      <c r="H854" s="78"/>
      <c r="I854" s="79">
        <f>+DOBLAJES!F4</f>
        <v>1838600</v>
      </c>
      <c r="J854" s="52"/>
      <c r="K854" s="156"/>
      <c r="L854" s="383"/>
      <c r="M854" s="542"/>
      <c r="N854" s="701">
        <f t="shared" si="211"/>
        <v>0</v>
      </c>
      <c r="O854" s="675"/>
      <c r="P854" s="675"/>
      <c r="Q854" s="675"/>
      <c r="R854" s="675"/>
      <c r="S854" s="675"/>
      <c r="T854" s="675"/>
      <c r="U854" s="675"/>
      <c r="V854" s="675"/>
      <c r="W854" s="675"/>
      <c r="X854" s="675"/>
      <c r="Y854" s="675"/>
      <c r="Z854" s="675"/>
      <c r="AA854" s="675"/>
      <c r="AB854" s="675"/>
      <c r="AC854" s="675"/>
      <c r="AD854" s="675">
        <f t="shared" si="217"/>
        <v>1838600</v>
      </c>
      <c r="AE854" s="675"/>
      <c r="AF854" s="675"/>
      <c r="AG854" s="675"/>
      <c r="AH854" s="675"/>
      <c r="AI854" s="675"/>
      <c r="AJ854" s="675"/>
      <c r="AK854" s="658"/>
    </row>
    <row r="855" spans="1:37" ht="15" customHeight="1">
      <c r="A855" s="5"/>
      <c r="B855" s="313"/>
      <c r="C855" s="835"/>
      <c r="D855" s="738" t="s">
        <v>836</v>
      </c>
      <c r="E855" s="131"/>
      <c r="F855" s="75"/>
      <c r="G855" s="111"/>
      <c r="H855" s="78"/>
      <c r="I855" s="79"/>
      <c r="J855" s="52"/>
      <c r="K855" s="156"/>
      <c r="L855" s="383"/>
      <c r="M855" s="542"/>
      <c r="N855" s="701">
        <f t="shared" si="211"/>
        <v>0</v>
      </c>
      <c r="O855" s="675"/>
      <c r="P855" s="675"/>
      <c r="Q855" s="675"/>
      <c r="R855" s="675"/>
      <c r="S855" s="675"/>
      <c r="T855" s="675"/>
      <c r="U855" s="675"/>
      <c r="V855" s="675"/>
      <c r="W855" s="675"/>
      <c r="X855" s="675"/>
      <c r="Y855" s="675"/>
      <c r="Z855" s="675"/>
      <c r="AA855" s="675"/>
      <c r="AB855" s="675"/>
      <c r="AC855" s="675"/>
      <c r="AD855" s="675">
        <f t="shared" si="217"/>
        <v>0</v>
      </c>
      <c r="AE855" s="675"/>
      <c r="AF855" s="675"/>
      <c r="AG855" s="675"/>
      <c r="AH855" s="675"/>
      <c r="AI855" s="675"/>
      <c r="AJ855" s="675"/>
      <c r="AK855" s="658"/>
    </row>
    <row r="856" spans="1:37" ht="15" customHeight="1">
      <c r="A856" s="5"/>
      <c r="B856" s="313"/>
      <c r="C856" s="835" t="s">
        <v>937</v>
      </c>
      <c r="D856" s="737" t="s">
        <v>555</v>
      </c>
      <c r="E856" s="131"/>
      <c r="F856" s="75"/>
      <c r="G856" s="111"/>
      <c r="H856" s="78"/>
      <c r="I856" s="79">
        <f>+DOBLAJES!F12</f>
        <v>221900</v>
      </c>
      <c r="J856" s="52"/>
      <c r="K856" s="156"/>
      <c r="L856" s="383"/>
      <c r="M856" s="542"/>
      <c r="N856" s="701">
        <f t="shared" si="211"/>
        <v>0</v>
      </c>
      <c r="O856" s="675"/>
      <c r="P856" s="675"/>
      <c r="Q856" s="675"/>
      <c r="R856" s="675"/>
      <c r="S856" s="675"/>
      <c r="T856" s="675"/>
      <c r="U856" s="675"/>
      <c r="V856" s="675"/>
      <c r="W856" s="675"/>
      <c r="X856" s="675"/>
      <c r="Y856" s="675"/>
      <c r="Z856" s="675"/>
      <c r="AA856" s="675"/>
      <c r="AB856" s="675"/>
      <c r="AC856" s="675"/>
      <c r="AD856" s="675">
        <f t="shared" si="217"/>
        <v>221900</v>
      </c>
      <c r="AE856" s="675"/>
      <c r="AF856" s="675"/>
      <c r="AG856" s="675"/>
      <c r="AH856" s="675"/>
      <c r="AI856" s="675"/>
      <c r="AJ856" s="675"/>
      <c r="AK856" s="658"/>
    </row>
    <row r="857" spans="1:37" ht="15" customHeight="1">
      <c r="A857" s="5"/>
      <c r="B857" s="313"/>
      <c r="C857" s="835" t="s">
        <v>938</v>
      </c>
      <c r="D857" s="737" t="s">
        <v>835</v>
      </c>
      <c r="E857" s="131"/>
      <c r="F857" s="75"/>
      <c r="G857" s="111"/>
      <c r="H857" s="78"/>
      <c r="I857" s="79">
        <f>+DOBLAJES!F11</f>
        <v>443800</v>
      </c>
      <c r="J857" s="52"/>
      <c r="K857" s="156"/>
      <c r="L857" s="383"/>
      <c r="M857" s="542"/>
      <c r="N857" s="701">
        <f t="shared" si="211"/>
        <v>0</v>
      </c>
      <c r="O857" s="675"/>
      <c r="P857" s="675"/>
      <c r="Q857" s="675"/>
      <c r="R857" s="675"/>
      <c r="S857" s="675"/>
      <c r="T857" s="675"/>
      <c r="U857" s="675"/>
      <c r="V857" s="675"/>
      <c r="W857" s="675"/>
      <c r="X857" s="675"/>
      <c r="Y857" s="675"/>
      <c r="Z857" s="675"/>
      <c r="AA857" s="675"/>
      <c r="AB857" s="675"/>
      <c r="AC857" s="675"/>
      <c r="AD857" s="675">
        <f t="shared" si="217"/>
        <v>443800</v>
      </c>
      <c r="AE857" s="675"/>
      <c r="AF857" s="675"/>
      <c r="AG857" s="675"/>
      <c r="AH857" s="675"/>
      <c r="AI857" s="675"/>
      <c r="AJ857" s="675"/>
      <c r="AK857" s="658"/>
    </row>
    <row r="858" spans="1:37" ht="15" customHeight="1">
      <c r="A858" s="5"/>
      <c r="B858" s="313"/>
      <c r="C858" s="835" t="s">
        <v>939</v>
      </c>
      <c r="D858" s="737" t="s">
        <v>553</v>
      </c>
      <c r="E858" s="131"/>
      <c r="F858" s="75"/>
      <c r="G858" s="111"/>
      <c r="H858" s="78"/>
      <c r="I858" s="79">
        <f>+DOBLAJES!F10</f>
        <v>380400</v>
      </c>
      <c r="J858" s="52"/>
      <c r="K858" s="156"/>
      <c r="L858" s="383"/>
      <c r="M858" s="542"/>
      <c r="N858" s="701">
        <f t="shared" si="211"/>
        <v>0</v>
      </c>
      <c r="O858" s="675"/>
      <c r="P858" s="675"/>
      <c r="Q858" s="675"/>
      <c r="R858" s="675"/>
      <c r="S858" s="675"/>
      <c r="T858" s="675"/>
      <c r="U858" s="675"/>
      <c r="V858" s="675"/>
      <c r="W858" s="675"/>
      <c r="X858" s="675"/>
      <c r="Y858" s="675"/>
      <c r="Z858" s="675"/>
      <c r="AA858" s="675"/>
      <c r="AB858" s="675"/>
      <c r="AC858" s="675"/>
      <c r="AD858" s="675">
        <f t="shared" si="217"/>
        <v>380400</v>
      </c>
      <c r="AE858" s="675"/>
      <c r="AF858" s="675"/>
      <c r="AG858" s="675"/>
      <c r="AH858" s="675"/>
      <c r="AI858" s="675"/>
      <c r="AJ858" s="675"/>
      <c r="AK858" s="658"/>
    </row>
    <row r="859" spans="1:37" ht="15" customHeight="1">
      <c r="A859" s="5"/>
      <c r="B859" s="313"/>
      <c r="C859" s="835"/>
      <c r="D859" s="441"/>
      <c r="E859" s="131"/>
      <c r="F859" s="75"/>
      <c r="G859" s="111"/>
      <c r="H859" s="78"/>
      <c r="I859" s="79"/>
      <c r="J859" s="52"/>
      <c r="K859" s="156"/>
      <c r="L859" s="383"/>
      <c r="M859" s="542"/>
      <c r="N859" s="701">
        <f t="shared" si="211"/>
        <v>0</v>
      </c>
      <c r="O859" s="675"/>
      <c r="P859" s="675"/>
      <c r="Q859" s="675"/>
      <c r="R859" s="675"/>
      <c r="S859" s="675"/>
      <c r="T859" s="675"/>
      <c r="U859" s="675"/>
      <c r="V859" s="675"/>
      <c r="W859" s="675"/>
      <c r="X859" s="675"/>
      <c r="Y859" s="675"/>
      <c r="Z859" s="675"/>
      <c r="AA859" s="675"/>
      <c r="AB859" s="675"/>
      <c r="AC859" s="675"/>
      <c r="AD859" s="675">
        <f t="shared" si="217"/>
        <v>0</v>
      </c>
      <c r="AE859" s="675"/>
      <c r="AF859" s="675"/>
      <c r="AG859" s="675"/>
      <c r="AH859" s="675"/>
      <c r="AI859" s="675"/>
      <c r="AJ859" s="675"/>
      <c r="AK859" s="658"/>
    </row>
    <row r="860" spans="1:37" ht="15" customHeight="1">
      <c r="A860" s="5"/>
      <c r="B860" s="313"/>
      <c r="C860" s="835"/>
      <c r="D860" s="441"/>
      <c r="E860" s="131"/>
      <c r="F860" s="75"/>
      <c r="G860" s="111"/>
      <c r="H860" s="78"/>
      <c r="I860" s="79"/>
      <c r="J860" s="52"/>
      <c r="K860" s="156"/>
      <c r="L860" s="383"/>
      <c r="M860" s="542"/>
      <c r="N860" s="701">
        <f t="shared" si="211"/>
        <v>0</v>
      </c>
      <c r="O860" s="675"/>
      <c r="P860" s="675"/>
      <c r="Q860" s="675"/>
      <c r="R860" s="675"/>
      <c r="S860" s="675"/>
      <c r="T860" s="675"/>
      <c r="U860" s="675"/>
      <c r="V860" s="675"/>
      <c r="W860" s="675"/>
      <c r="X860" s="675"/>
      <c r="Y860" s="675"/>
      <c r="Z860" s="675"/>
      <c r="AA860" s="675"/>
      <c r="AB860" s="675"/>
      <c r="AC860" s="675"/>
      <c r="AD860" s="675">
        <f t="shared" si="217"/>
        <v>0</v>
      </c>
      <c r="AE860" s="675"/>
      <c r="AF860" s="675"/>
      <c r="AG860" s="675"/>
      <c r="AH860" s="675"/>
      <c r="AI860" s="675"/>
      <c r="AJ860" s="675"/>
      <c r="AK860" s="658"/>
    </row>
    <row r="861" spans="1:37" ht="15" customHeight="1">
      <c r="A861" s="5"/>
      <c r="B861" s="313"/>
      <c r="C861" s="835"/>
      <c r="D861" s="441"/>
      <c r="E861" s="1"/>
      <c r="F861" s="1"/>
      <c r="G861" s="1"/>
      <c r="H861" s="1"/>
      <c r="I861" s="79"/>
      <c r="J861" s="52"/>
      <c r="K861" s="156"/>
      <c r="L861" s="383"/>
      <c r="M861" s="542"/>
      <c r="N861" s="701">
        <f t="shared" si="211"/>
        <v>0</v>
      </c>
      <c r="O861" s="675"/>
      <c r="P861" s="675"/>
      <c r="Q861" s="675"/>
      <c r="R861" s="675"/>
      <c r="S861" s="675"/>
      <c r="T861" s="675"/>
      <c r="U861" s="675"/>
      <c r="V861" s="675"/>
      <c r="W861" s="675"/>
      <c r="X861" s="675"/>
      <c r="Y861" s="675"/>
      <c r="Z861" s="675"/>
      <c r="AA861" s="675"/>
      <c r="AB861" s="675"/>
      <c r="AC861" s="675"/>
      <c r="AD861" s="675">
        <f t="shared" si="217"/>
        <v>0</v>
      </c>
      <c r="AE861" s="675"/>
      <c r="AF861" s="675"/>
      <c r="AG861" s="675"/>
      <c r="AH861" s="675"/>
      <c r="AI861" s="675"/>
      <c r="AJ861" s="675"/>
      <c r="AK861" s="658"/>
    </row>
    <row r="862" spans="1:37">
      <c r="A862" s="5"/>
      <c r="B862" s="313"/>
      <c r="C862" s="835"/>
      <c r="D862" s="136"/>
      <c r="E862" s="437"/>
      <c r="F862" s="438"/>
      <c r="G862" s="438"/>
      <c r="H862" s="438"/>
      <c r="I862" s="439"/>
      <c r="J862" s="52"/>
      <c r="K862" s="156"/>
      <c r="L862" s="383"/>
      <c r="M862" s="542"/>
      <c r="N862" s="701">
        <f t="shared" si="211"/>
        <v>0</v>
      </c>
      <c r="O862" s="675"/>
      <c r="P862" s="675"/>
      <c r="Q862" s="675"/>
      <c r="R862" s="675"/>
      <c r="S862" s="675"/>
      <c r="T862" s="675"/>
      <c r="U862" s="675"/>
      <c r="V862" s="675"/>
      <c r="W862" s="675"/>
      <c r="X862" s="675"/>
      <c r="Y862" s="675"/>
      <c r="Z862" s="675"/>
      <c r="AA862" s="675"/>
      <c r="AB862" s="675"/>
      <c r="AC862" s="675"/>
      <c r="AD862" s="675">
        <f t="shared" si="217"/>
        <v>0</v>
      </c>
      <c r="AE862" s="675"/>
      <c r="AF862" s="675"/>
      <c r="AG862" s="675"/>
      <c r="AH862" s="675"/>
      <c r="AI862" s="675">
        <f>+H863</f>
        <v>0</v>
      </c>
      <c r="AJ862" s="675"/>
      <c r="AK862" s="658"/>
    </row>
    <row r="863" spans="1:37" ht="15" customHeight="1">
      <c r="A863" s="5"/>
      <c r="B863" s="313"/>
      <c r="C863" s="833"/>
      <c r="D863" s="135" t="s">
        <v>444</v>
      </c>
      <c r="E863" s="67"/>
      <c r="F863" s="253"/>
      <c r="G863" s="64"/>
      <c r="H863" s="64"/>
      <c r="I863" s="72"/>
      <c r="J863" s="52"/>
      <c r="K863" s="156"/>
      <c r="L863" s="383"/>
      <c r="M863" s="542"/>
      <c r="N863" s="701">
        <f t="shared" si="211"/>
        <v>0</v>
      </c>
      <c r="O863" s="675"/>
      <c r="P863" s="675"/>
      <c r="Q863" s="675"/>
      <c r="R863" s="675"/>
      <c r="S863" s="675"/>
      <c r="T863" s="675"/>
      <c r="U863" s="675"/>
      <c r="V863" s="675"/>
      <c r="W863" s="675"/>
      <c r="X863" s="675"/>
      <c r="Y863" s="675"/>
      <c r="Z863" s="675"/>
      <c r="AA863" s="675"/>
      <c r="AB863" s="675"/>
      <c r="AC863" s="675"/>
      <c r="AD863" s="675"/>
      <c r="AE863" s="675"/>
      <c r="AF863" s="675"/>
      <c r="AG863" s="675"/>
      <c r="AH863" s="675"/>
      <c r="AI863" s="675"/>
      <c r="AJ863" s="675"/>
      <c r="AK863" s="658"/>
    </row>
    <row r="864" spans="1:37" s="48" customFormat="1" ht="15" customHeight="1">
      <c r="A864" s="45"/>
      <c r="B864" s="314"/>
      <c r="C864" s="836"/>
      <c r="D864" s="73"/>
      <c r="E864" s="71"/>
      <c r="F864" s="906" t="s">
        <v>164</v>
      </c>
      <c r="G864" s="906"/>
      <c r="H864" s="191"/>
      <c r="I864" s="472">
        <f>SUM(H818:I863)</f>
        <v>11341275</v>
      </c>
      <c r="J864" s="294">
        <v>12</v>
      </c>
      <c r="K864" s="158"/>
      <c r="L864" s="386"/>
      <c r="M864" s="593"/>
      <c r="N864" s="701">
        <f t="shared" si="211"/>
        <v>-11341275</v>
      </c>
      <c r="O864" s="676"/>
      <c r="P864" s="676"/>
      <c r="Q864" s="676"/>
      <c r="R864" s="676"/>
      <c r="S864" s="676"/>
      <c r="T864" s="676"/>
      <c r="U864" s="676"/>
      <c r="V864" s="676"/>
      <c r="W864" s="676"/>
      <c r="X864" s="676"/>
      <c r="Y864" s="676"/>
      <c r="Z864" s="676"/>
      <c r="AA864" s="676"/>
      <c r="AB864" s="676"/>
      <c r="AC864" s="676"/>
      <c r="AD864" s="676"/>
      <c r="AE864" s="676"/>
      <c r="AF864" s="676"/>
      <c r="AG864" s="676"/>
      <c r="AH864" s="676"/>
      <c r="AI864" s="676"/>
      <c r="AJ864" s="676"/>
      <c r="AK864" s="658"/>
    </row>
    <row r="865" spans="1:37" s="53" customFormat="1" ht="30" customHeight="1">
      <c r="A865" s="5"/>
      <c r="B865" s="309"/>
      <c r="C865" s="832"/>
      <c r="D865" s="49"/>
      <c r="E865" s="9"/>
      <c r="F865" s="8"/>
      <c r="G865" s="8"/>
      <c r="H865" s="50"/>
      <c r="I865" s="51"/>
      <c r="J865" s="51"/>
      <c r="K865" s="156"/>
      <c r="L865" s="383"/>
      <c r="M865" s="542"/>
      <c r="N865" s="701">
        <f t="shared" si="211"/>
        <v>0</v>
      </c>
      <c r="O865" s="677"/>
      <c r="P865" s="677"/>
      <c r="Q865" s="677"/>
      <c r="R865" s="677"/>
      <c r="S865" s="677"/>
      <c r="T865" s="677"/>
      <c r="U865" s="677"/>
      <c r="V865" s="677"/>
      <c r="W865" s="677"/>
      <c r="X865" s="677"/>
      <c r="Y865" s="677"/>
      <c r="Z865" s="677"/>
      <c r="AA865" s="677"/>
      <c r="AB865" s="677"/>
      <c r="AC865" s="677"/>
      <c r="AD865" s="677"/>
      <c r="AE865" s="677"/>
      <c r="AF865" s="677"/>
      <c r="AG865" s="677"/>
      <c r="AH865" s="677"/>
      <c r="AI865" s="677"/>
      <c r="AJ865" s="677"/>
      <c r="AK865" s="658"/>
    </row>
    <row r="866" spans="1:37" s="48" customFormat="1" ht="15" customHeight="1">
      <c r="A866" s="45"/>
      <c r="B866" s="312"/>
      <c r="C866" s="834"/>
      <c r="D866" s="33" t="s">
        <v>165</v>
      </c>
      <c r="E866" s="56" t="s">
        <v>13</v>
      </c>
      <c r="F866" s="57" t="s">
        <v>14</v>
      </c>
      <c r="G866" s="58" t="s">
        <v>15</v>
      </c>
      <c r="H866" s="192" t="s">
        <v>8</v>
      </c>
      <c r="I866" s="59"/>
      <c r="J866" s="292"/>
      <c r="K866" s="158"/>
      <c r="L866" s="386"/>
      <c r="M866" s="593"/>
      <c r="N866" s="701">
        <f t="shared" si="211"/>
        <v>0</v>
      </c>
      <c r="O866" s="676"/>
      <c r="P866" s="676"/>
      <c r="Q866" s="676"/>
      <c r="R866" s="676"/>
      <c r="S866" s="676"/>
      <c r="T866" s="676"/>
      <c r="U866" s="676"/>
      <c r="V866" s="676"/>
      <c r="W866" s="676"/>
      <c r="X866" s="676"/>
      <c r="Y866" s="676"/>
      <c r="Z866" s="676"/>
      <c r="AA866" s="676"/>
      <c r="AB866" s="676"/>
      <c r="AC866" s="676"/>
      <c r="AD866" s="676"/>
      <c r="AE866" s="676"/>
      <c r="AF866" s="676"/>
      <c r="AG866" s="676"/>
      <c r="AH866" s="676"/>
      <c r="AI866" s="676"/>
      <c r="AJ866" s="676"/>
      <c r="AK866" s="658"/>
    </row>
    <row r="867" spans="1:37" ht="15" customHeight="1">
      <c r="A867" s="5"/>
      <c r="B867" s="313"/>
      <c r="C867" s="835" t="s">
        <v>940</v>
      </c>
      <c r="D867" s="440" t="s">
        <v>446</v>
      </c>
      <c r="E867" s="127"/>
      <c r="F867" s="128"/>
      <c r="G867" s="121"/>
      <c r="H867" s="137"/>
      <c r="I867" s="126"/>
      <c r="J867" s="52"/>
      <c r="K867" s="156"/>
      <c r="L867" s="383"/>
      <c r="M867" s="542"/>
      <c r="N867" s="701">
        <f t="shared" si="211"/>
        <v>0</v>
      </c>
      <c r="O867" s="675"/>
      <c r="P867" s="675"/>
      <c r="Q867" s="675"/>
      <c r="R867" s="675"/>
      <c r="S867" s="675"/>
      <c r="T867" s="675"/>
      <c r="U867" s="675"/>
      <c r="V867" s="675"/>
      <c r="W867" s="675"/>
      <c r="X867" s="675"/>
      <c r="Y867" s="675"/>
      <c r="Z867" s="675"/>
      <c r="AA867" s="675"/>
      <c r="AB867" s="675"/>
      <c r="AC867" s="675"/>
      <c r="AD867" s="675"/>
      <c r="AE867" s="675"/>
      <c r="AF867" s="675"/>
      <c r="AG867" s="675"/>
      <c r="AH867" s="675"/>
      <c r="AI867" s="675"/>
      <c r="AJ867" s="675"/>
      <c r="AK867" s="658"/>
    </row>
    <row r="868" spans="1:37" ht="15" customHeight="1">
      <c r="A868" s="5"/>
      <c r="B868" s="313"/>
      <c r="C868" s="835"/>
      <c r="D868" s="441" t="s">
        <v>705</v>
      </c>
      <c r="E868" s="131"/>
      <c r="F868" s="75"/>
      <c r="G868" s="111"/>
      <c r="H868" s="78"/>
      <c r="I868" s="79"/>
      <c r="J868" s="52"/>
      <c r="K868" s="156"/>
      <c r="L868" s="383"/>
      <c r="M868" s="542"/>
      <c r="N868" s="701">
        <f>SUM(O868:AJ868)-H868</f>
        <v>0</v>
      </c>
      <c r="O868" s="675"/>
      <c r="P868" s="675"/>
      <c r="Q868" s="675"/>
      <c r="R868" s="675"/>
      <c r="S868" s="675"/>
      <c r="T868" s="675"/>
      <c r="U868" s="675"/>
      <c r="V868" s="675"/>
      <c r="W868" s="675"/>
      <c r="X868" s="675"/>
      <c r="Y868" s="675"/>
      <c r="Z868" s="675"/>
      <c r="AA868" s="675"/>
      <c r="AB868" s="675"/>
      <c r="AC868" s="675"/>
      <c r="AD868" s="675"/>
      <c r="AE868" s="675"/>
      <c r="AF868" s="675"/>
      <c r="AG868" s="675"/>
      <c r="AH868" s="675"/>
      <c r="AI868" s="675"/>
      <c r="AJ868" s="675"/>
      <c r="AK868" s="658"/>
    </row>
    <row r="869" spans="1:37" ht="15" customHeight="1">
      <c r="A869" s="5"/>
      <c r="B869" s="313"/>
      <c r="C869" s="835"/>
      <c r="D869" s="441" t="s">
        <v>706</v>
      </c>
      <c r="E869" s="131"/>
      <c r="F869" s="75"/>
      <c r="G869" s="111"/>
      <c r="H869" s="78"/>
      <c r="I869" s="79"/>
      <c r="J869" s="52"/>
      <c r="K869" s="156"/>
      <c r="L869" s="383"/>
      <c r="M869" s="542"/>
      <c r="N869" s="701">
        <f t="shared" si="211"/>
        <v>0</v>
      </c>
      <c r="O869" s="675"/>
      <c r="P869" s="675"/>
      <c r="Q869" s="675"/>
      <c r="R869" s="675"/>
      <c r="S869" s="675"/>
      <c r="T869" s="675"/>
      <c r="U869" s="675"/>
      <c r="V869" s="675"/>
      <c r="W869" s="675"/>
      <c r="X869" s="675"/>
      <c r="Y869" s="675"/>
      <c r="Z869" s="675"/>
      <c r="AA869" s="675"/>
      <c r="AB869" s="675"/>
      <c r="AC869" s="675"/>
      <c r="AD869" s="675"/>
      <c r="AE869" s="675"/>
      <c r="AF869" s="675"/>
      <c r="AG869" s="675"/>
      <c r="AH869" s="675"/>
      <c r="AI869" s="675"/>
      <c r="AJ869" s="675"/>
      <c r="AK869" s="658"/>
    </row>
    <row r="870" spans="1:37" ht="15" customHeight="1">
      <c r="A870" s="5"/>
      <c r="B870" s="313"/>
      <c r="C870" s="835"/>
      <c r="D870" s="441" t="s">
        <v>707</v>
      </c>
      <c r="E870" s="131"/>
      <c r="F870" s="75"/>
      <c r="G870" s="111"/>
      <c r="H870" s="78"/>
      <c r="I870" s="79"/>
      <c r="J870" s="52"/>
      <c r="K870" s="156"/>
      <c r="L870" s="383"/>
      <c r="M870" s="542"/>
      <c r="N870" s="701">
        <f t="shared" si="211"/>
        <v>0</v>
      </c>
      <c r="O870" s="675"/>
      <c r="P870" s="675"/>
      <c r="Q870" s="675"/>
      <c r="R870" s="675"/>
      <c r="S870" s="675"/>
      <c r="T870" s="675"/>
      <c r="U870" s="675"/>
      <c r="V870" s="675"/>
      <c r="W870" s="675"/>
      <c r="X870" s="675"/>
      <c r="Y870" s="675"/>
      <c r="Z870" s="675"/>
      <c r="AA870" s="675"/>
      <c r="AB870" s="675"/>
      <c r="AC870" s="675"/>
      <c r="AD870" s="675"/>
      <c r="AE870" s="675"/>
      <c r="AF870" s="675"/>
      <c r="AG870" s="675"/>
      <c r="AH870" s="675"/>
      <c r="AI870" s="675"/>
      <c r="AJ870" s="675"/>
      <c r="AK870" s="658"/>
    </row>
    <row r="871" spans="1:37" ht="15" customHeight="1">
      <c r="A871" s="5"/>
      <c r="B871" s="313"/>
      <c r="C871" s="835"/>
      <c r="D871" s="441" t="s">
        <v>708</v>
      </c>
      <c r="E871" s="131"/>
      <c r="F871" s="75"/>
      <c r="G871" s="111"/>
      <c r="H871" s="78"/>
      <c r="I871" s="79"/>
      <c r="J871" s="52"/>
      <c r="K871" s="156"/>
      <c r="L871" s="383"/>
      <c r="M871" s="542"/>
      <c r="N871" s="701">
        <f t="shared" si="211"/>
        <v>0</v>
      </c>
      <c r="O871" s="675"/>
      <c r="P871" s="675"/>
      <c r="Q871" s="675"/>
      <c r="R871" s="675"/>
      <c r="S871" s="675"/>
      <c r="T871" s="675"/>
      <c r="U871" s="675"/>
      <c r="V871" s="675"/>
      <c r="W871" s="675"/>
      <c r="X871" s="675"/>
      <c r="Y871" s="675"/>
      <c r="Z871" s="675"/>
      <c r="AA871" s="675"/>
      <c r="AB871" s="675"/>
      <c r="AC871" s="675"/>
      <c r="AD871" s="675"/>
      <c r="AE871" s="675"/>
      <c r="AF871" s="675"/>
      <c r="AG871" s="675"/>
      <c r="AH871" s="675"/>
      <c r="AI871" s="675"/>
      <c r="AJ871" s="675"/>
      <c r="AK871" s="658"/>
    </row>
    <row r="872" spans="1:37" ht="15" customHeight="1">
      <c r="A872" s="5"/>
      <c r="B872" s="313"/>
      <c r="C872" s="835"/>
      <c r="D872" s="441" t="s">
        <v>709</v>
      </c>
      <c r="E872" s="131"/>
      <c r="F872" s="75"/>
      <c r="G872" s="111"/>
      <c r="H872" s="78"/>
      <c r="I872" s="79"/>
      <c r="J872" s="52"/>
      <c r="K872" s="156"/>
      <c r="L872" s="383"/>
      <c r="M872" s="542"/>
      <c r="N872" s="701">
        <f t="shared" si="211"/>
        <v>0</v>
      </c>
      <c r="O872" s="675"/>
      <c r="P872" s="675"/>
      <c r="Q872" s="675"/>
      <c r="R872" s="675"/>
      <c r="S872" s="675"/>
      <c r="T872" s="675"/>
      <c r="U872" s="675"/>
      <c r="V872" s="675"/>
      <c r="W872" s="675"/>
      <c r="X872" s="675"/>
      <c r="Y872" s="675"/>
      <c r="Z872" s="675"/>
      <c r="AA872" s="675"/>
      <c r="AB872" s="675"/>
      <c r="AC872" s="675"/>
      <c r="AD872" s="675"/>
      <c r="AE872" s="675"/>
      <c r="AF872" s="675"/>
      <c r="AG872" s="675"/>
      <c r="AH872" s="675"/>
      <c r="AI872" s="675"/>
      <c r="AJ872" s="675"/>
      <c r="AK872" s="658"/>
    </row>
    <row r="873" spans="1:37" ht="15" customHeight="1">
      <c r="A873" s="5"/>
      <c r="B873" s="313"/>
      <c r="C873" s="835"/>
      <c r="D873" s="441" t="s">
        <v>710</v>
      </c>
      <c r="E873" s="131"/>
      <c r="F873" s="75"/>
      <c r="G873" s="111"/>
      <c r="H873" s="78"/>
      <c r="I873" s="79"/>
      <c r="J873" s="52"/>
      <c r="K873" s="156"/>
      <c r="L873" s="383"/>
      <c r="M873" s="542"/>
      <c r="N873" s="701">
        <f t="shared" si="211"/>
        <v>0</v>
      </c>
      <c r="O873" s="675"/>
      <c r="P873" s="675"/>
      <c r="Q873" s="675"/>
      <c r="R873" s="675"/>
      <c r="S873" s="675"/>
      <c r="T873" s="675"/>
      <c r="U873" s="675"/>
      <c r="V873" s="675"/>
      <c r="W873" s="675"/>
      <c r="X873" s="675"/>
      <c r="Y873" s="675"/>
      <c r="Z873" s="675"/>
      <c r="AA873" s="675"/>
      <c r="AB873" s="675"/>
      <c r="AC873" s="675"/>
      <c r="AD873" s="675"/>
      <c r="AE873" s="675"/>
      <c r="AF873" s="675"/>
      <c r="AG873" s="675"/>
      <c r="AH873" s="675"/>
      <c r="AI873" s="675"/>
      <c r="AJ873" s="675"/>
      <c r="AK873" s="658"/>
    </row>
    <row r="874" spans="1:37" ht="15" customHeight="1">
      <c r="A874" s="5"/>
      <c r="B874" s="313"/>
      <c r="C874" s="835"/>
      <c r="D874" s="441" t="s">
        <v>711</v>
      </c>
      <c r="E874" s="131"/>
      <c r="F874" s="75"/>
      <c r="G874" s="111"/>
      <c r="H874" s="78"/>
      <c r="I874" s="79"/>
      <c r="J874" s="52"/>
      <c r="K874" s="156"/>
      <c r="L874" s="383"/>
      <c r="M874" s="542"/>
      <c r="N874" s="701">
        <f t="shared" si="211"/>
        <v>0</v>
      </c>
      <c r="O874" s="675"/>
      <c r="P874" s="675"/>
      <c r="Q874" s="675"/>
      <c r="R874" s="675"/>
      <c r="S874" s="675"/>
      <c r="T874" s="675"/>
      <c r="U874" s="675"/>
      <c r="V874" s="675"/>
      <c r="W874" s="675"/>
      <c r="X874" s="675"/>
      <c r="Y874" s="675"/>
      <c r="Z874" s="675"/>
      <c r="AA874" s="675"/>
      <c r="AB874" s="675"/>
      <c r="AC874" s="675"/>
      <c r="AD874" s="675"/>
      <c r="AE874" s="675"/>
      <c r="AF874" s="675"/>
      <c r="AG874" s="675"/>
      <c r="AH874" s="675"/>
      <c r="AI874" s="675"/>
      <c r="AJ874" s="675"/>
      <c r="AK874" s="658"/>
    </row>
    <row r="875" spans="1:37" ht="15" customHeight="1">
      <c r="A875" s="5"/>
      <c r="B875" s="313"/>
      <c r="C875" s="835"/>
      <c r="D875" s="441" t="s">
        <v>712</v>
      </c>
      <c r="E875" s="131"/>
      <c r="F875" s="75"/>
      <c r="G875" s="111"/>
      <c r="H875" s="78"/>
      <c r="I875" s="79"/>
      <c r="J875" s="52"/>
      <c r="K875" s="156"/>
      <c r="L875" s="383"/>
      <c r="M875" s="542"/>
      <c r="N875" s="701">
        <f t="shared" ref="N875:N938" si="218">SUM(O875:AJ875)-I875</f>
        <v>0</v>
      </c>
      <c r="O875" s="675"/>
      <c r="P875" s="675"/>
      <c r="Q875" s="675"/>
      <c r="R875" s="675"/>
      <c r="S875" s="675"/>
      <c r="T875" s="675"/>
      <c r="U875" s="675"/>
      <c r="V875" s="675"/>
      <c r="W875" s="675"/>
      <c r="X875" s="675"/>
      <c r="Y875" s="675"/>
      <c r="Z875" s="675"/>
      <c r="AA875" s="675"/>
      <c r="AB875" s="675"/>
      <c r="AC875" s="675"/>
      <c r="AD875" s="675"/>
      <c r="AE875" s="675"/>
      <c r="AF875" s="675"/>
      <c r="AG875" s="675"/>
      <c r="AH875" s="675"/>
      <c r="AI875" s="675"/>
      <c r="AJ875" s="675"/>
      <c r="AK875" s="658"/>
    </row>
    <row r="876" spans="1:37" ht="15" customHeight="1">
      <c r="A876" s="5"/>
      <c r="B876" s="313"/>
      <c r="C876" s="835"/>
      <c r="D876" s="441" t="s">
        <v>713</v>
      </c>
      <c r="E876" s="131"/>
      <c r="F876" s="75"/>
      <c r="G876" s="111"/>
      <c r="H876" s="78"/>
      <c r="I876" s="79"/>
      <c r="J876" s="52"/>
      <c r="K876" s="156"/>
      <c r="L876" s="383"/>
      <c r="M876" s="542"/>
      <c r="N876" s="701">
        <f t="shared" si="218"/>
        <v>0</v>
      </c>
      <c r="O876" s="675"/>
      <c r="P876" s="675"/>
      <c r="Q876" s="675"/>
      <c r="R876" s="675"/>
      <c r="S876" s="675"/>
      <c r="T876" s="675"/>
      <c r="U876" s="675"/>
      <c r="V876" s="675"/>
      <c r="W876" s="675"/>
      <c r="X876" s="675"/>
      <c r="Y876" s="675"/>
      <c r="Z876" s="675"/>
      <c r="AA876" s="675"/>
      <c r="AB876" s="675"/>
      <c r="AC876" s="675"/>
      <c r="AD876" s="675"/>
      <c r="AE876" s="675"/>
      <c r="AF876" s="675"/>
      <c r="AG876" s="675"/>
      <c r="AH876" s="675"/>
      <c r="AI876" s="675"/>
      <c r="AJ876" s="675"/>
      <c r="AK876" s="658"/>
    </row>
    <row r="877" spans="1:37" ht="15" customHeight="1">
      <c r="A877" s="5"/>
      <c r="B877" s="313"/>
      <c r="C877" s="835"/>
      <c r="D877" s="441" t="s">
        <v>714</v>
      </c>
      <c r="E877" s="131"/>
      <c r="F877" s="75"/>
      <c r="G877" s="111"/>
      <c r="H877" s="78"/>
      <c r="I877" s="79"/>
      <c r="J877" s="52"/>
      <c r="K877" s="156"/>
      <c r="L877" s="383"/>
      <c r="M877" s="542"/>
      <c r="N877" s="701">
        <f t="shared" si="218"/>
        <v>0</v>
      </c>
      <c r="O877" s="675"/>
      <c r="P877" s="675"/>
      <c r="Q877" s="675"/>
      <c r="R877" s="675"/>
      <c r="S877" s="675"/>
      <c r="T877" s="675"/>
      <c r="U877" s="675"/>
      <c r="V877" s="675"/>
      <c r="W877" s="675"/>
      <c r="X877" s="675"/>
      <c r="Y877" s="675"/>
      <c r="Z877" s="675"/>
      <c r="AA877" s="675"/>
      <c r="AB877" s="675"/>
      <c r="AC877" s="675"/>
      <c r="AD877" s="675"/>
      <c r="AE877" s="675"/>
      <c r="AF877" s="675"/>
      <c r="AG877" s="675"/>
      <c r="AH877" s="675"/>
      <c r="AI877" s="675"/>
      <c r="AJ877" s="675"/>
      <c r="AK877" s="658"/>
    </row>
    <row r="878" spans="1:37" ht="15" customHeight="1">
      <c r="A878" s="5"/>
      <c r="B878" s="313"/>
      <c r="C878" s="835"/>
      <c r="D878" s="441" t="s">
        <v>715</v>
      </c>
      <c r="E878" s="131"/>
      <c r="F878" s="75"/>
      <c r="G878" s="111"/>
      <c r="H878" s="78"/>
      <c r="I878" s="79"/>
      <c r="J878" s="52"/>
      <c r="K878" s="156"/>
      <c r="L878" s="383"/>
      <c r="M878" s="542"/>
      <c r="N878" s="701">
        <f t="shared" si="218"/>
        <v>0</v>
      </c>
      <c r="O878" s="675"/>
      <c r="P878" s="675"/>
      <c r="Q878" s="675"/>
      <c r="R878" s="675"/>
      <c r="S878" s="675"/>
      <c r="T878" s="675"/>
      <c r="U878" s="675"/>
      <c r="V878" s="675"/>
      <c r="W878" s="675"/>
      <c r="X878" s="675"/>
      <c r="Y878" s="675"/>
      <c r="Z878" s="675"/>
      <c r="AA878" s="675"/>
      <c r="AB878" s="675"/>
      <c r="AC878" s="675"/>
      <c r="AD878" s="675"/>
      <c r="AE878" s="675"/>
      <c r="AF878" s="675"/>
      <c r="AG878" s="675"/>
      <c r="AH878" s="675"/>
      <c r="AI878" s="675"/>
      <c r="AJ878" s="675"/>
      <c r="AK878" s="658"/>
    </row>
    <row r="879" spans="1:37" ht="15" customHeight="1">
      <c r="A879" s="5"/>
      <c r="B879" s="313"/>
      <c r="C879" s="835"/>
      <c r="D879" s="441" t="s">
        <v>716</v>
      </c>
      <c r="E879" s="131"/>
      <c r="F879" s="75"/>
      <c r="G879" s="111"/>
      <c r="H879" s="78"/>
      <c r="I879" s="79"/>
      <c r="J879" s="52"/>
      <c r="K879" s="156"/>
      <c r="L879" s="383"/>
      <c r="M879" s="542"/>
      <c r="N879" s="701">
        <f t="shared" si="218"/>
        <v>0</v>
      </c>
      <c r="O879" s="675"/>
      <c r="P879" s="675"/>
      <c r="Q879" s="675"/>
      <c r="R879" s="675"/>
      <c r="S879" s="675"/>
      <c r="T879" s="675"/>
      <c r="U879" s="675"/>
      <c r="V879" s="675"/>
      <c r="W879" s="675"/>
      <c r="X879" s="675"/>
      <c r="Y879" s="675"/>
      <c r="Z879" s="675"/>
      <c r="AA879" s="675"/>
      <c r="AB879" s="675"/>
      <c r="AC879" s="675"/>
      <c r="AD879" s="675"/>
      <c r="AE879" s="675"/>
      <c r="AF879" s="675"/>
      <c r="AG879" s="675"/>
      <c r="AH879" s="675"/>
      <c r="AI879" s="675"/>
      <c r="AJ879" s="675"/>
      <c r="AK879" s="658"/>
    </row>
    <row r="880" spans="1:37" ht="15" customHeight="1">
      <c r="A880" s="5"/>
      <c r="B880" s="313"/>
      <c r="C880" s="835"/>
      <c r="D880" s="442"/>
      <c r="E880" s="67" t="s">
        <v>27</v>
      </c>
      <c r="F880" s="253">
        <v>450000</v>
      </c>
      <c r="G880" s="64">
        <v>6</v>
      </c>
      <c r="H880" s="64">
        <f>F880*G880+727650</f>
        <v>3427650</v>
      </c>
      <c r="I880" s="72"/>
      <c r="J880" s="52"/>
      <c r="K880" s="156"/>
      <c r="L880" s="383"/>
      <c r="M880" s="542"/>
      <c r="N880" s="701">
        <f t="shared" si="218"/>
        <v>0</v>
      </c>
      <c r="O880" s="675"/>
      <c r="P880" s="675"/>
      <c r="Q880" s="675"/>
      <c r="R880" s="675"/>
      <c r="S880" s="675"/>
      <c r="T880" s="675"/>
      <c r="U880" s="675"/>
      <c r="V880" s="675"/>
      <c r="W880" s="675"/>
      <c r="X880" s="675"/>
      <c r="Y880" s="675"/>
      <c r="Z880" s="675"/>
      <c r="AA880" s="675"/>
      <c r="AB880" s="675"/>
      <c r="AC880" s="675"/>
      <c r="AD880" s="675"/>
      <c r="AE880" s="675"/>
      <c r="AF880" s="675"/>
      <c r="AG880" s="675"/>
      <c r="AH880" s="675"/>
      <c r="AI880" s="675"/>
      <c r="AJ880" s="675"/>
      <c r="AK880" s="658"/>
    </row>
    <row r="881" spans="1:37" ht="15" customHeight="1">
      <c r="A881" s="5"/>
      <c r="B881" s="313"/>
      <c r="C881" s="835"/>
      <c r="D881" s="105" t="s">
        <v>445</v>
      </c>
      <c r="E881" s="127"/>
      <c r="F881" s="128"/>
      <c r="G881" s="121"/>
      <c r="H881" s="137"/>
      <c r="I881" s="126"/>
      <c r="J881" s="52"/>
      <c r="K881" s="156"/>
      <c r="L881" s="383"/>
      <c r="M881" s="542"/>
      <c r="N881" s="701">
        <f t="shared" si="218"/>
        <v>0</v>
      </c>
      <c r="O881" s="675"/>
      <c r="P881" s="675"/>
      <c r="Q881" s="675"/>
      <c r="R881" s="675"/>
      <c r="S881" s="675"/>
      <c r="T881" s="675"/>
      <c r="U881" s="675"/>
      <c r="V881" s="675"/>
      <c r="W881" s="675"/>
      <c r="X881" s="675"/>
      <c r="Y881" s="675"/>
      <c r="Z881" s="675"/>
      <c r="AA881" s="675"/>
      <c r="AB881" s="675"/>
      <c r="AC881" s="675"/>
      <c r="AD881" s="675"/>
      <c r="AE881" s="675"/>
      <c r="AF881" s="675"/>
      <c r="AG881" s="675"/>
      <c r="AH881" s="675"/>
      <c r="AI881" s="675"/>
      <c r="AJ881" s="675"/>
      <c r="AK881" s="658"/>
    </row>
    <row r="882" spans="1:37" ht="15" customHeight="1">
      <c r="A882" s="5"/>
      <c r="B882" s="313"/>
      <c r="C882" s="835"/>
      <c r="D882" s="724" t="s">
        <v>717</v>
      </c>
      <c r="E882" s="131"/>
      <c r="F882" s="75"/>
      <c r="G882" s="111"/>
      <c r="H882" s="78"/>
      <c r="I882" s="79"/>
      <c r="J882" s="52"/>
      <c r="K882" s="156"/>
      <c r="L882" s="383"/>
      <c r="M882" s="542"/>
      <c r="N882" s="701">
        <f t="shared" si="218"/>
        <v>0</v>
      </c>
      <c r="O882" s="675"/>
      <c r="P882" s="675"/>
      <c r="Q882" s="675"/>
      <c r="R882" s="675"/>
      <c r="S882" s="675"/>
      <c r="T882" s="675"/>
      <c r="U882" s="675"/>
      <c r="V882" s="675"/>
      <c r="W882" s="675"/>
      <c r="X882" s="675"/>
      <c r="Y882" s="675"/>
      <c r="Z882" s="675"/>
      <c r="AA882" s="675"/>
      <c r="AB882" s="675"/>
      <c r="AC882" s="675"/>
      <c r="AD882" s="675"/>
      <c r="AE882" s="675"/>
      <c r="AF882" s="675"/>
      <c r="AG882" s="675"/>
      <c r="AH882" s="675"/>
      <c r="AI882" s="675"/>
      <c r="AJ882" s="675"/>
      <c r="AK882" s="658"/>
    </row>
    <row r="883" spans="1:37" ht="15" customHeight="1">
      <c r="A883" s="5"/>
      <c r="B883" s="313"/>
      <c r="C883" s="835"/>
      <c r="D883" s="724" t="s">
        <v>718</v>
      </c>
      <c r="E883" s="131"/>
      <c r="F883" s="75"/>
      <c r="G883" s="111"/>
      <c r="H883" s="78"/>
      <c r="I883" s="79"/>
      <c r="J883" s="52"/>
      <c r="K883" s="156"/>
      <c r="L883" s="383"/>
      <c r="M883" s="542"/>
      <c r="N883" s="701">
        <f t="shared" si="218"/>
        <v>0</v>
      </c>
      <c r="O883" s="675"/>
      <c r="P883" s="675"/>
      <c r="Q883" s="675"/>
      <c r="R883" s="675"/>
      <c r="S883" s="675"/>
      <c r="T883" s="675"/>
      <c r="U883" s="675"/>
      <c r="V883" s="675"/>
      <c r="W883" s="675"/>
      <c r="X883" s="675"/>
      <c r="Y883" s="675"/>
      <c r="Z883" s="675"/>
      <c r="AA883" s="675"/>
      <c r="AB883" s="675"/>
      <c r="AC883" s="675"/>
      <c r="AD883" s="675"/>
      <c r="AE883" s="675"/>
      <c r="AF883" s="675"/>
      <c r="AG883" s="675"/>
      <c r="AH883" s="675"/>
      <c r="AI883" s="675"/>
      <c r="AJ883" s="675"/>
      <c r="AK883" s="658"/>
    </row>
    <row r="884" spans="1:37" ht="15" customHeight="1">
      <c r="A884" s="5"/>
      <c r="B884" s="313"/>
      <c r="C884" s="835"/>
      <c r="D884" s="724" t="s">
        <v>719</v>
      </c>
      <c r="E884" s="131"/>
      <c r="F884" s="75"/>
      <c r="G884" s="111"/>
      <c r="H884" s="78"/>
      <c r="I884" s="79"/>
      <c r="J884" s="52"/>
      <c r="K884" s="156"/>
      <c r="L884" s="383"/>
      <c r="M884" s="542"/>
      <c r="N884" s="701">
        <f t="shared" si="218"/>
        <v>0</v>
      </c>
      <c r="O884" s="675"/>
      <c r="P884" s="675"/>
      <c r="Q884" s="675"/>
      <c r="R884" s="675"/>
      <c r="S884" s="675"/>
      <c r="T884" s="675"/>
      <c r="U884" s="675"/>
      <c r="V884" s="675"/>
      <c r="W884" s="675"/>
      <c r="X884" s="675"/>
      <c r="Y884" s="675"/>
      <c r="Z884" s="675"/>
      <c r="AA884" s="675"/>
      <c r="AB884" s="675"/>
      <c r="AC884" s="675"/>
      <c r="AD884" s="675"/>
      <c r="AE884" s="675"/>
      <c r="AF884" s="675"/>
      <c r="AG884" s="675"/>
      <c r="AH884" s="675"/>
      <c r="AI884" s="675"/>
      <c r="AJ884" s="675"/>
      <c r="AK884" s="658"/>
    </row>
    <row r="885" spans="1:37" ht="15" customHeight="1">
      <c r="A885" s="5"/>
      <c r="B885" s="313"/>
      <c r="C885" s="835"/>
      <c r="D885" s="724" t="s">
        <v>720</v>
      </c>
      <c r="E885" s="131"/>
      <c r="F885" s="75"/>
      <c r="G885" s="111"/>
      <c r="H885" s="78"/>
      <c r="I885" s="79"/>
      <c r="J885" s="52"/>
      <c r="K885" s="156"/>
      <c r="L885" s="383"/>
      <c r="M885" s="542"/>
      <c r="N885" s="701">
        <f t="shared" si="218"/>
        <v>0</v>
      </c>
      <c r="O885" s="675"/>
      <c r="P885" s="675"/>
      <c r="Q885" s="675"/>
      <c r="R885" s="675"/>
      <c r="S885" s="675"/>
      <c r="T885" s="675"/>
      <c r="U885" s="675"/>
      <c r="V885" s="675"/>
      <c r="W885" s="675"/>
      <c r="X885" s="675"/>
      <c r="Y885" s="675"/>
      <c r="Z885" s="675"/>
      <c r="AA885" s="675"/>
      <c r="AB885" s="675"/>
      <c r="AC885" s="675"/>
      <c r="AD885" s="675"/>
      <c r="AE885" s="675"/>
      <c r="AF885" s="675"/>
      <c r="AG885" s="675"/>
      <c r="AH885" s="675"/>
      <c r="AI885" s="675"/>
      <c r="AJ885" s="675"/>
      <c r="AK885" s="658"/>
    </row>
    <row r="886" spans="1:37" ht="15" customHeight="1">
      <c r="A886" s="5"/>
      <c r="B886" s="313"/>
      <c r="C886" s="835"/>
      <c r="D886" s="724" t="s">
        <v>721</v>
      </c>
      <c r="E886" s="131"/>
      <c r="F886" s="75"/>
      <c r="G886" s="111"/>
      <c r="H886" s="78"/>
      <c r="I886" s="79"/>
      <c r="J886" s="52"/>
      <c r="K886" s="156"/>
      <c r="L886" s="383"/>
      <c r="M886" s="542"/>
      <c r="N886" s="701">
        <f t="shared" si="218"/>
        <v>0</v>
      </c>
      <c r="O886" s="675"/>
      <c r="P886" s="675"/>
      <c r="Q886" s="675"/>
      <c r="R886" s="675"/>
      <c r="S886" s="675"/>
      <c r="T886" s="675"/>
      <c r="U886" s="675"/>
      <c r="V886" s="675"/>
      <c r="W886" s="675"/>
      <c r="X886" s="675"/>
      <c r="Y886" s="675"/>
      <c r="Z886" s="675"/>
      <c r="AA886" s="675"/>
      <c r="AB886" s="675"/>
      <c r="AC886" s="675"/>
      <c r="AD886" s="675"/>
      <c r="AE886" s="675"/>
      <c r="AF886" s="675"/>
      <c r="AG886" s="675"/>
      <c r="AH886" s="675"/>
      <c r="AI886" s="675"/>
      <c r="AJ886" s="675"/>
      <c r="AK886" s="658"/>
    </row>
    <row r="887" spans="1:37" ht="15" customHeight="1">
      <c r="A887" s="5"/>
      <c r="B887" s="313"/>
      <c r="C887" s="835"/>
      <c r="D887" s="724" t="s">
        <v>722</v>
      </c>
      <c r="E887" s="131"/>
      <c r="F887" s="75"/>
      <c r="G887" s="111"/>
      <c r="H887" s="78"/>
      <c r="I887" s="79"/>
      <c r="J887" s="52"/>
      <c r="K887" s="156"/>
      <c r="L887" s="383"/>
      <c r="M887" s="542"/>
      <c r="N887" s="701">
        <f t="shared" si="218"/>
        <v>0</v>
      </c>
      <c r="O887" s="675"/>
      <c r="P887" s="675"/>
      <c r="Q887" s="675"/>
      <c r="R887" s="675"/>
      <c r="S887" s="675"/>
      <c r="T887" s="675"/>
      <c r="U887" s="675"/>
      <c r="V887" s="675"/>
      <c r="W887" s="675"/>
      <c r="X887" s="675"/>
      <c r="Y887" s="675"/>
      <c r="Z887" s="675"/>
      <c r="AA887" s="675"/>
      <c r="AB887" s="675"/>
      <c r="AC887" s="675"/>
      <c r="AD887" s="675"/>
      <c r="AE887" s="675"/>
      <c r="AF887" s="675"/>
      <c r="AG887" s="675"/>
      <c r="AH887" s="675"/>
      <c r="AI887" s="675"/>
      <c r="AJ887" s="675"/>
      <c r="AK887" s="658"/>
    </row>
    <row r="888" spans="1:37" ht="15" customHeight="1">
      <c r="A888" s="5"/>
      <c r="B888" s="313"/>
      <c r="C888" s="835"/>
      <c r="D888" s="724" t="s">
        <v>723</v>
      </c>
      <c r="E888" s="131"/>
      <c r="F888" s="75"/>
      <c r="G888" s="111"/>
      <c r="H888" s="78"/>
      <c r="I888" s="79"/>
      <c r="J888" s="52"/>
      <c r="K888" s="156"/>
      <c r="L888" s="383"/>
      <c r="M888" s="542"/>
      <c r="N888" s="701">
        <f t="shared" si="218"/>
        <v>0</v>
      </c>
      <c r="O888" s="675"/>
      <c r="P888" s="675"/>
      <c r="Q888" s="675"/>
      <c r="R888" s="675"/>
      <c r="S888" s="675"/>
      <c r="T888" s="675"/>
      <c r="U888" s="675"/>
      <c r="V888" s="675"/>
      <c r="W888" s="675"/>
      <c r="X888" s="675"/>
      <c r="Y888" s="675"/>
      <c r="Z888" s="675"/>
      <c r="AA888" s="675"/>
      <c r="AB888" s="675"/>
      <c r="AC888" s="675"/>
      <c r="AD888" s="675"/>
      <c r="AE888" s="675"/>
      <c r="AF888" s="675"/>
      <c r="AG888" s="675"/>
      <c r="AH888" s="675"/>
      <c r="AI888" s="675"/>
      <c r="AJ888" s="675"/>
      <c r="AK888" s="658"/>
    </row>
    <row r="889" spans="1:37" ht="15" customHeight="1">
      <c r="A889" s="5"/>
      <c r="B889" s="313"/>
      <c r="C889" s="835"/>
      <c r="D889" s="724" t="s">
        <v>724</v>
      </c>
      <c r="E889" s="131"/>
      <c r="F889" s="75"/>
      <c r="G889" s="111"/>
      <c r="H889" s="78"/>
      <c r="I889" s="79"/>
      <c r="J889" s="52"/>
      <c r="K889" s="156"/>
      <c r="L889" s="383"/>
      <c r="M889" s="542"/>
      <c r="N889" s="701">
        <f t="shared" si="218"/>
        <v>0</v>
      </c>
      <c r="O889" s="675"/>
      <c r="P889" s="675"/>
      <c r="Q889" s="675"/>
      <c r="R889" s="675"/>
      <c r="S889" s="675"/>
      <c r="T889" s="675"/>
      <c r="U889" s="675"/>
      <c r="V889" s="675"/>
      <c r="W889" s="675"/>
      <c r="X889" s="675"/>
      <c r="Y889" s="675"/>
      <c r="Z889" s="675"/>
      <c r="AA889" s="675"/>
      <c r="AB889" s="675"/>
      <c r="AC889" s="675"/>
      <c r="AD889" s="675"/>
      <c r="AE889" s="675"/>
      <c r="AF889" s="675"/>
      <c r="AG889" s="675"/>
      <c r="AH889" s="675"/>
      <c r="AI889" s="675"/>
      <c r="AJ889" s="675"/>
      <c r="AK889" s="658"/>
    </row>
    <row r="890" spans="1:37" ht="15" customHeight="1">
      <c r="A890" s="5"/>
      <c r="B890" s="313"/>
      <c r="C890" s="835"/>
      <c r="D890" s="724" t="s">
        <v>725</v>
      </c>
      <c r="E890" s="131"/>
      <c r="F890" s="75"/>
      <c r="G890" s="111"/>
      <c r="H890" s="78"/>
      <c r="I890" s="79"/>
      <c r="J890" s="52"/>
      <c r="K890" s="156"/>
      <c r="L890" s="383"/>
      <c r="M890" s="542"/>
      <c r="N890" s="701">
        <f t="shared" si="218"/>
        <v>0</v>
      </c>
      <c r="O890" s="675"/>
      <c r="P890" s="675"/>
      <c r="Q890" s="675"/>
      <c r="R890" s="675"/>
      <c r="S890" s="675"/>
      <c r="T890" s="675"/>
      <c r="U890" s="675"/>
      <c r="V890" s="675"/>
      <c r="W890" s="675"/>
      <c r="X890" s="675"/>
      <c r="Y890" s="675"/>
      <c r="Z890" s="675"/>
      <c r="AA890" s="675"/>
      <c r="AB890" s="675"/>
      <c r="AC890" s="675"/>
      <c r="AD890" s="675"/>
      <c r="AE890" s="675"/>
      <c r="AF890" s="675"/>
      <c r="AG890" s="675"/>
      <c r="AH890" s="675"/>
      <c r="AI890" s="675"/>
      <c r="AJ890" s="675"/>
      <c r="AK890" s="658"/>
    </row>
    <row r="891" spans="1:37" ht="15" customHeight="1">
      <c r="A891" s="5"/>
      <c r="B891" s="313"/>
      <c r="C891" s="835"/>
      <c r="D891" s="724" t="s">
        <v>726</v>
      </c>
      <c r="E891" s="131"/>
      <c r="F891" s="75"/>
      <c r="G891" s="111"/>
      <c r="H891" s="78"/>
      <c r="I891" s="79"/>
      <c r="J891" s="52"/>
      <c r="K891" s="156"/>
      <c r="L891" s="383"/>
      <c r="M891" s="542"/>
      <c r="N891" s="701">
        <f t="shared" si="218"/>
        <v>0</v>
      </c>
      <c r="O891" s="675"/>
      <c r="P891" s="675"/>
      <c r="Q891" s="675"/>
      <c r="R891" s="675"/>
      <c r="S891" s="675"/>
      <c r="T891" s="675"/>
      <c r="U891" s="675"/>
      <c r="V891" s="675"/>
      <c r="W891" s="675"/>
      <c r="X891" s="675"/>
      <c r="Y891" s="675"/>
      <c r="Z891" s="675"/>
      <c r="AA891" s="675"/>
      <c r="AB891" s="675"/>
      <c r="AC891" s="675"/>
      <c r="AD891" s="675"/>
      <c r="AE891" s="675"/>
      <c r="AF891" s="675"/>
      <c r="AG891" s="675"/>
      <c r="AH891" s="675"/>
      <c r="AI891" s="675"/>
      <c r="AJ891" s="675"/>
      <c r="AK891" s="658"/>
    </row>
    <row r="892" spans="1:37" ht="15">
      <c r="A892" s="5"/>
      <c r="B892" s="313"/>
      <c r="C892" s="835"/>
      <c r="D892" s="724" t="s">
        <v>727</v>
      </c>
      <c r="E892" s="131"/>
      <c r="F892" s="75"/>
      <c r="G892" s="111"/>
      <c r="H892" s="78"/>
      <c r="I892" s="79"/>
      <c r="J892" s="52"/>
      <c r="K892" s="156"/>
      <c r="L892" s="383"/>
      <c r="M892" s="542"/>
      <c r="N892" s="701">
        <f t="shared" si="218"/>
        <v>0</v>
      </c>
      <c r="O892" s="675"/>
      <c r="P892" s="675"/>
      <c r="Q892" s="675"/>
      <c r="R892" s="675"/>
      <c r="S892" s="675"/>
      <c r="T892" s="675"/>
      <c r="U892" s="675"/>
      <c r="V892" s="675"/>
      <c r="W892" s="675"/>
      <c r="X892" s="675"/>
      <c r="Y892" s="675"/>
      <c r="Z892" s="675"/>
      <c r="AA892" s="675"/>
      <c r="AB892" s="675"/>
      <c r="AC892" s="675"/>
      <c r="AD892" s="675"/>
      <c r="AE892" s="675"/>
      <c r="AF892" s="675"/>
      <c r="AG892" s="675"/>
      <c r="AH892" s="675"/>
      <c r="AI892" s="675"/>
      <c r="AJ892" s="675"/>
      <c r="AK892" s="658"/>
    </row>
    <row r="893" spans="1:37" ht="15">
      <c r="A893" s="5"/>
      <c r="B893" s="313"/>
      <c r="C893" s="835"/>
      <c r="D893" s="724" t="s">
        <v>728</v>
      </c>
      <c r="E893" s="131"/>
      <c r="F893" s="75"/>
      <c r="G893" s="111"/>
      <c r="H893" s="78"/>
      <c r="I893" s="79"/>
      <c r="J893" s="52"/>
      <c r="K893" s="156"/>
      <c r="L893" s="383"/>
      <c r="M893" s="542"/>
      <c r="N893" s="701">
        <f t="shared" si="218"/>
        <v>0</v>
      </c>
      <c r="O893" s="675"/>
      <c r="P893" s="675"/>
      <c r="Q893" s="675"/>
      <c r="R893" s="675"/>
      <c r="S893" s="675"/>
      <c r="T893" s="675"/>
      <c r="U893" s="675"/>
      <c r="V893" s="675"/>
      <c r="W893" s="675"/>
      <c r="X893" s="675"/>
      <c r="Y893" s="675"/>
      <c r="Z893" s="675"/>
      <c r="AA893" s="675"/>
      <c r="AB893" s="675"/>
      <c r="AC893" s="675"/>
      <c r="AD893" s="675"/>
      <c r="AE893" s="675"/>
      <c r="AF893" s="675"/>
      <c r="AG893" s="675"/>
      <c r="AH893" s="675"/>
      <c r="AI893" s="675"/>
      <c r="AJ893" s="675"/>
      <c r="AK893" s="658"/>
    </row>
    <row r="894" spans="1:37" ht="15" customHeight="1">
      <c r="A894" s="5"/>
      <c r="B894" s="313"/>
      <c r="C894" s="835"/>
      <c r="D894" s="724" t="s">
        <v>729</v>
      </c>
      <c r="E894" s="67" t="s">
        <v>27</v>
      </c>
      <c r="F894" s="253">
        <v>200000</v>
      </c>
      <c r="G894" s="64">
        <v>6</v>
      </c>
      <c r="H894" s="64">
        <f>F894*G894</f>
        <v>1200000</v>
      </c>
      <c r="I894" s="72"/>
      <c r="J894" s="52"/>
      <c r="K894" s="156"/>
      <c r="L894" s="383"/>
      <c r="M894" s="542"/>
      <c r="N894" s="701">
        <f t="shared" si="218"/>
        <v>0</v>
      </c>
      <c r="O894" s="675"/>
      <c r="P894" s="675"/>
      <c r="Q894" s="675"/>
      <c r="R894" s="675"/>
      <c r="S894" s="675"/>
      <c r="T894" s="675"/>
      <c r="U894" s="675"/>
      <c r="V894" s="675"/>
      <c r="W894" s="675"/>
      <c r="X894" s="675"/>
      <c r="Y894" s="675"/>
      <c r="Z894" s="675"/>
      <c r="AA894" s="675"/>
      <c r="AB894" s="675"/>
      <c r="AC894" s="675"/>
      <c r="AD894" s="675"/>
      <c r="AE894" s="675"/>
      <c r="AF894" s="675"/>
      <c r="AG894" s="675"/>
      <c r="AH894" s="675"/>
      <c r="AI894" s="675"/>
      <c r="AJ894" s="675"/>
      <c r="AK894" s="658"/>
    </row>
    <row r="895" spans="1:37" ht="15" customHeight="1">
      <c r="A895" s="5"/>
      <c r="B895" s="313"/>
      <c r="C895" s="835"/>
      <c r="D895" s="105" t="s">
        <v>166</v>
      </c>
      <c r="E895" s="127"/>
      <c r="F895" s="128"/>
      <c r="G895" s="121"/>
      <c r="H895" s="137"/>
      <c r="I895" s="126"/>
      <c r="J895" s="52"/>
      <c r="K895" s="156"/>
      <c r="L895" s="383"/>
      <c r="M895" s="542"/>
      <c r="N895" s="701">
        <f t="shared" si="218"/>
        <v>0</v>
      </c>
      <c r="O895" s="675"/>
      <c r="P895" s="675"/>
      <c r="Q895" s="675"/>
      <c r="R895" s="675"/>
      <c r="S895" s="675"/>
      <c r="T895" s="675"/>
      <c r="U895" s="675"/>
      <c r="V895" s="675"/>
      <c r="W895" s="675"/>
      <c r="X895" s="675"/>
      <c r="Y895" s="675"/>
      <c r="Z895" s="675"/>
      <c r="AA895" s="675"/>
      <c r="AB895" s="675"/>
      <c r="AC895" s="675"/>
      <c r="AD895" s="675"/>
      <c r="AE895" s="675"/>
      <c r="AF895" s="675"/>
      <c r="AG895" s="675"/>
      <c r="AH895" s="675"/>
      <c r="AI895" s="675"/>
      <c r="AJ895" s="675"/>
      <c r="AK895" s="658"/>
    </row>
    <row r="896" spans="1:37" ht="15" customHeight="1">
      <c r="A896" s="5"/>
      <c r="B896" s="313"/>
      <c r="C896" s="835"/>
      <c r="D896" s="725" t="s">
        <v>730</v>
      </c>
      <c r="E896" s="131"/>
      <c r="F896" s="75"/>
      <c r="G896" s="111"/>
      <c r="H896" s="78"/>
      <c r="I896" s="79"/>
      <c r="J896" s="52"/>
      <c r="K896" s="156"/>
      <c r="L896" s="383"/>
      <c r="M896" s="542"/>
      <c r="N896" s="701">
        <f t="shared" si="218"/>
        <v>0</v>
      </c>
      <c r="O896" s="675"/>
      <c r="P896" s="675"/>
      <c r="Q896" s="675"/>
      <c r="R896" s="675"/>
      <c r="S896" s="675"/>
      <c r="T896" s="675"/>
      <c r="U896" s="675"/>
      <c r="V896" s="675"/>
      <c r="W896" s="675"/>
      <c r="X896" s="675"/>
      <c r="Y896" s="675"/>
      <c r="Z896" s="675"/>
      <c r="AA896" s="675"/>
      <c r="AB896" s="675"/>
      <c r="AC896" s="675"/>
      <c r="AD896" s="675"/>
      <c r="AE896" s="675"/>
      <c r="AF896" s="675"/>
      <c r="AG896" s="675"/>
      <c r="AH896" s="675"/>
      <c r="AI896" s="675"/>
      <c r="AJ896" s="675"/>
      <c r="AK896" s="658"/>
    </row>
    <row r="897" spans="1:37" ht="15" customHeight="1">
      <c r="A897" s="5"/>
      <c r="B897" s="313"/>
      <c r="C897" s="835"/>
      <c r="D897" s="725"/>
      <c r="E897" s="131"/>
      <c r="F897" s="75"/>
      <c r="G897" s="111"/>
      <c r="H897" s="78"/>
      <c r="I897" s="79"/>
      <c r="J897" s="52"/>
      <c r="K897" s="156"/>
      <c r="L897" s="383"/>
      <c r="M897" s="542"/>
      <c r="N897" s="701">
        <f t="shared" si="218"/>
        <v>0</v>
      </c>
      <c r="O897" s="675"/>
      <c r="P897" s="675"/>
      <c r="Q897" s="675"/>
      <c r="R897" s="675"/>
      <c r="S897" s="675"/>
      <c r="T897" s="675"/>
      <c r="U897" s="675"/>
      <c r="V897" s="675"/>
      <c r="W897" s="675"/>
      <c r="X897" s="675"/>
      <c r="Y897" s="675"/>
      <c r="Z897" s="675"/>
      <c r="AA897" s="675"/>
      <c r="AB897" s="675"/>
      <c r="AC897" s="675"/>
      <c r="AD897" s="675"/>
      <c r="AE897" s="675"/>
      <c r="AF897" s="675"/>
      <c r="AG897" s="675"/>
      <c r="AH897" s="675"/>
      <c r="AI897" s="675"/>
      <c r="AJ897" s="675"/>
      <c r="AK897" s="658"/>
    </row>
    <row r="898" spans="1:37" ht="15" customHeight="1">
      <c r="A898" s="5"/>
      <c r="B898" s="313"/>
      <c r="C898" s="835"/>
      <c r="D898" s="725" t="s">
        <v>731</v>
      </c>
      <c r="E898" s="131"/>
      <c r="F898" s="75"/>
      <c r="G898" s="111"/>
      <c r="H898" s="78"/>
      <c r="I898" s="79"/>
      <c r="J898" s="52"/>
      <c r="K898" s="156"/>
      <c r="L898" s="383"/>
      <c r="M898" s="542"/>
      <c r="N898" s="701">
        <f t="shared" si="218"/>
        <v>0</v>
      </c>
      <c r="O898" s="675"/>
      <c r="P898" s="675"/>
      <c r="Q898" s="675"/>
      <c r="R898" s="675"/>
      <c r="S898" s="675"/>
      <c r="T898" s="675"/>
      <c r="U898" s="675"/>
      <c r="V898" s="675"/>
      <c r="W898" s="675"/>
      <c r="X898" s="675"/>
      <c r="Y898" s="675"/>
      <c r="Z898" s="675"/>
      <c r="AA898" s="675"/>
      <c r="AB898" s="675"/>
      <c r="AC898" s="675"/>
      <c r="AD898" s="675"/>
      <c r="AE898" s="675"/>
      <c r="AF898" s="675"/>
      <c r="AG898" s="675"/>
      <c r="AH898" s="675"/>
      <c r="AI898" s="675"/>
      <c r="AJ898" s="675"/>
      <c r="AK898" s="658"/>
    </row>
    <row r="899" spans="1:37" ht="15" customHeight="1">
      <c r="A899" s="5"/>
      <c r="B899" s="313"/>
      <c r="C899" s="835"/>
      <c r="D899" s="725" t="s">
        <v>732</v>
      </c>
      <c r="E899" s="131"/>
      <c r="F899" s="75"/>
      <c r="G899" s="111"/>
      <c r="H899" s="78"/>
      <c r="I899" s="79"/>
      <c r="J899" s="52"/>
      <c r="K899" s="156"/>
      <c r="L899" s="383"/>
      <c r="M899" s="542"/>
      <c r="N899" s="701">
        <f t="shared" si="218"/>
        <v>0</v>
      </c>
      <c r="O899" s="675"/>
      <c r="P899" s="675"/>
      <c r="Q899" s="675"/>
      <c r="R899" s="675"/>
      <c r="S899" s="675"/>
      <c r="T899" s="675"/>
      <c r="U899" s="675"/>
      <c r="V899" s="675"/>
      <c r="W899" s="675"/>
      <c r="X899" s="675"/>
      <c r="Y899" s="675"/>
      <c r="Z899" s="675"/>
      <c r="AA899" s="675"/>
      <c r="AB899" s="675"/>
      <c r="AC899" s="675"/>
      <c r="AD899" s="675"/>
      <c r="AE899" s="675"/>
      <c r="AF899" s="675"/>
      <c r="AG899" s="675"/>
      <c r="AH899" s="675"/>
      <c r="AI899" s="675"/>
      <c r="AJ899" s="675"/>
      <c r="AK899" s="658"/>
    </row>
    <row r="900" spans="1:37" ht="15" customHeight="1">
      <c r="A900" s="5"/>
      <c r="B900" s="313"/>
      <c r="C900" s="835"/>
      <c r="D900" s="725" t="s">
        <v>733</v>
      </c>
      <c r="E900" s="131"/>
      <c r="F900" s="75"/>
      <c r="G900" s="111"/>
      <c r="H900" s="78"/>
      <c r="I900" s="79"/>
      <c r="J900" s="52"/>
      <c r="K900" s="156"/>
      <c r="L900" s="383"/>
      <c r="M900" s="542"/>
      <c r="N900" s="701">
        <f t="shared" si="218"/>
        <v>0</v>
      </c>
      <c r="O900" s="675"/>
      <c r="P900" s="675"/>
      <c r="Q900" s="675"/>
      <c r="R900" s="675"/>
      <c r="S900" s="675"/>
      <c r="T900" s="675"/>
      <c r="U900" s="675"/>
      <c r="V900" s="675"/>
      <c r="W900" s="675"/>
      <c r="X900" s="675"/>
      <c r="Y900" s="675"/>
      <c r="Z900" s="675"/>
      <c r="AA900" s="675"/>
      <c r="AB900" s="675"/>
      <c r="AC900" s="675"/>
      <c r="AD900" s="675"/>
      <c r="AE900" s="675"/>
      <c r="AF900" s="675"/>
      <c r="AG900" s="675"/>
      <c r="AH900" s="675"/>
      <c r="AI900" s="675"/>
      <c r="AJ900" s="675"/>
      <c r="AK900" s="658"/>
    </row>
    <row r="901" spans="1:37" ht="15" customHeight="1">
      <c r="A901" s="5"/>
      <c r="B901" s="313"/>
      <c r="C901" s="835"/>
      <c r="D901" s="725" t="s">
        <v>734</v>
      </c>
      <c r="E901" s="131"/>
      <c r="F901" s="75"/>
      <c r="G901" s="111"/>
      <c r="H901" s="78"/>
      <c r="I901" s="79"/>
      <c r="J901" s="52"/>
      <c r="K901" s="156"/>
      <c r="L901" s="383"/>
      <c r="M901" s="542"/>
      <c r="N901" s="701">
        <f t="shared" si="218"/>
        <v>0</v>
      </c>
      <c r="O901" s="675"/>
      <c r="P901" s="675"/>
      <c r="Q901" s="675"/>
      <c r="R901" s="675"/>
      <c r="S901" s="675"/>
      <c r="T901" s="675"/>
      <c r="U901" s="675"/>
      <c r="V901" s="675"/>
      <c r="W901" s="675"/>
      <c r="X901" s="675"/>
      <c r="Y901" s="675"/>
      <c r="Z901" s="675"/>
      <c r="AA901" s="675"/>
      <c r="AB901" s="675"/>
      <c r="AC901" s="675"/>
      <c r="AD901" s="675"/>
      <c r="AE901" s="675"/>
      <c r="AF901" s="675"/>
      <c r="AG901" s="675"/>
      <c r="AH901" s="675"/>
      <c r="AI901" s="675"/>
      <c r="AJ901" s="675"/>
      <c r="AK901" s="658"/>
    </row>
    <row r="902" spans="1:37" ht="15" customHeight="1">
      <c r="A902" s="5"/>
      <c r="B902" s="313"/>
      <c r="C902" s="835"/>
      <c r="D902" s="725" t="s">
        <v>735</v>
      </c>
      <c r="E902" s="131"/>
      <c r="F902" s="75"/>
      <c r="G902" s="111"/>
      <c r="H902" s="78"/>
      <c r="I902" s="79"/>
      <c r="J902" s="52"/>
      <c r="K902" s="156"/>
      <c r="L902" s="383"/>
      <c r="M902" s="542"/>
      <c r="N902" s="701">
        <f t="shared" si="218"/>
        <v>0</v>
      </c>
      <c r="O902" s="675"/>
      <c r="P902" s="675"/>
      <c r="Q902" s="675"/>
      <c r="R902" s="675"/>
      <c r="S902" s="675"/>
      <c r="T902" s="675"/>
      <c r="U902" s="675"/>
      <c r="V902" s="675"/>
      <c r="W902" s="675"/>
      <c r="X902" s="675"/>
      <c r="Y902" s="675"/>
      <c r="Z902" s="675"/>
      <c r="AA902" s="675"/>
      <c r="AB902" s="675"/>
      <c r="AC902" s="675"/>
      <c r="AD902" s="675"/>
      <c r="AE902" s="675"/>
      <c r="AF902" s="675"/>
      <c r="AG902" s="675"/>
      <c r="AH902" s="675"/>
      <c r="AI902" s="675"/>
      <c r="AJ902" s="675"/>
      <c r="AK902" s="658"/>
    </row>
    <row r="903" spans="1:37" ht="15" customHeight="1">
      <c r="A903" s="5"/>
      <c r="B903" s="313"/>
      <c r="C903" s="835"/>
      <c r="D903" s="725" t="s">
        <v>736</v>
      </c>
      <c r="E903" s="131"/>
      <c r="F903" s="75"/>
      <c r="G903" s="111"/>
      <c r="H903" s="78"/>
      <c r="I903" s="79"/>
      <c r="J903" s="52"/>
      <c r="K903" s="156"/>
      <c r="L903" s="383"/>
      <c r="M903" s="542"/>
      <c r="N903" s="701">
        <f t="shared" si="218"/>
        <v>0</v>
      </c>
      <c r="O903" s="675"/>
      <c r="P903" s="675"/>
      <c r="Q903" s="675"/>
      <c r="R903" s="675"/>
      <c r="S903" s="675"/>
      <c r="T903" s="675"/>
      <c r="U903" s="675"/>
      <c r="V903" s="675"/>
      <c r="W903" s="675"/>
      <c r="X903" s="675"/>
      <c r="Y903" s="675"/>
      <c r="Z903" s="675"/>
      <c r="AA903" s="675"/>
      <c r="AB903" s="675"/>
      <c r="AC903" s="675"/>
      <c r="AD903" s="675"/>
      <c r="AE903" s="675"/>
      <c r="AF903" s="675"/>
      <c r="AG903" s="675"/>
      <c r="AH903" s="675"/>
      <c r="AI903" s="675"/>
      <c r="AJ903" s="675"/>
      <c r="AK903" s="658"/>
    </row>
    <row r="904" spans="1:37" ht="15" customHeight="1">
      <c r="A904" s="5"/>
      <c r="B904" s="313"/>
      <c r="C904" s="835"/>
      <c r="D904" s="725" t="s">
        <v>737</v>
      </c>
      <c r="E904" s="131"/>
      <c r="F904" s="75"/>
      <c r="G904" s="111"/>
      <c r="H904" s="78"/>
      <c r="I904" s="79"/>
      <c r="J904" s="52"/>
      <c r="K904" s="156"/>
      <c r="L904" s="383"/>
      <c r="M904" s="542"/>
      <c r="N904" s="701">
        <f t="shared" si="218"/>
        <v>0</v>
      </c>
      <c r="O904" s="675"/>
      <c r="P904" s="675"/>
      <c r="Q904" s="675"/>
      <c r="R904" s="675"/>
      <c r="S904" s="675"/>
      <c r="T904" s="675"/>
      <c r="U904" s="675"/>
      <c r="V904" s="675"/>
      <c r="W904" s="675"/>
      <c r="X904" s="675"/>
      <c r="Y904" s="675"/>
      <c r="Z904" s="675"/>
      <c r="AA904" s="675"/>
      <c r="AB904" s="675"/>
      <c r="AC904" s="675"/>
      <c r="AD904" s="675"/>
      <c r="AE904" s="675"/>
      <c r="AF904" s="675"/>
      <c r="AG904" s="675"/>
      <c r="AH904" s="675"/>
      <c r="AI904" s="675"/>
      <c r="AJ904" s="675"/>
      <c r="AK904" s="658"/>
    </row>
    <row r="905" spans="1:37" ht="15" customHeight="1">
      <c r="A905" s="5"/>
      <c r="B905" s="313"/>
      <c r="C905" s="835"/>
      <c r="D905" s="725" t="s">
        <v>738</v>
      </c>
      <c r="E905" s="131"/>
      <c r="F905" s="75"/>
      <c r="G905" s="111"/>
      <c r="H905" s="78"/>
      <c r="I905" s="79"/>
      <c r="J905" s="52"/>
      <c r="K905" s="156"/>
      <c r="L905" s="383"/>
      <c r="M905" s="542"/>
      <c r="N905" s="701">
        <f t="shared" si="218"/>
        <v>0</v>
      </c>
      <c r="O905" s="675"/>
      <c r="P905" s="675"/>
      <c r="Q905" s="675"/>
      <c r="R905" s="675"/>
      <c r="S905" s="675"/>
      <c r="T905" s="675"/>
      <c r="U905" s="675"/>
      <c r="V905" s="675"/>
      <c r="W905" s="675"/>
      <c r="X905" s="675"/>
      <c r="Y905" s="675"/>
      <c r="Z905" s="675"/>
      <c r="AA905" s="675"/>
      <c r="AB905" s="675"/>
      <c r="AC905" s="675"/>
      <c r="AD905" s="675"/>
      <c r="AE905" s="675"/>
      <c r="AF905" s="675"/>
      <c r="AG905" s="675"/>
      <c r="AH905" s="675"/>
      <c r="AI905" s="675"/>
      <c r="AJ905" s="675"/>
      <c r="AK905" s="658"/>
    </row>
    <row r="906" spans="1:37" ht="15" customHeight="1">
      <c r="A906" s="5"/>
      <c r="B906" s="313"/>
      <c r="C906" s="835"/>
      <c r="D906" s="725" t="s">
        <v>739</v>
      </c>
      <c r="E906" s="131"/>
      <c r="F906" s="75"/>
      <c r="G906" s="111"/>
      <c r="H906" s="78"/>
      <c r="I906" s="79"/>
      <c r="J906" s="52"/>
      <c r="K906" s="156"/>
      <c r="L906" s="383"/>
      <c r="M906" s="542"/>
      <c r="N906" s="701">
        <f t="shared" si="218"/>
        <v>0</v>
      </c>
      <c r="O906" s="675"/>
      <c r="P906" s="675"/>
      <c r="Q906" s="675"/>
      <c r="R906" s="675"/>
      <c r="S906" s="675"/>
      <c r="T906" s="675"/>
      <c r="U906" s="675"/>
      <c r="V906" s="675"/>
      <c r="W906" s="675"/>
      <c r="X906" s="675"/>
      <c r="Y906" s="675"/>
      <c r="Z906" s="675"/>
      <c r="AA906" s="675"/>
      <c r="AB906" s="675"/>
      <c r="AC906" s="675"/>
      <c r="AD906" s="675"/>
      <c r="AE906" s="675"/>
      <c r="AF906" s="675"/>
      <c r="AG906" s="675"/>
      <c r="AH906" s="675"/>
      <c r="AI906" s="675"/>
      <c r="AJ906" s="675"/>
      <c r="AK906" s="658"/>
    </row>
    <row r="907" spans="1:37" ht="15" customHeight="1">
      <c r="A907" s="5"/>
      <c r="B907" s="313"/>
      <c r="C907" s="835"/>
      <c r="D907" s="725" t="s">
        <v>740</v>
      </c>
      <c r="E907" s="131"/>
      <c r="F907" s="75"/>
      <c r="G907" s="111"/>
      <c r="H907" s="78"/>
      <c r="I907" s="79"/>
      <c r="J907" s="52"/>
      <c r="K907" s="156"/>
      <c r="L907" s="383"/>
      <c r="M907" s="542"/>
      <c r="N907" s="701">
        <f t="shared" si="218"/>
        <v>0</v>
      </c>
      <c r="O907" s="675"/>
      <c r="P907" s="675"/>
      <c r="Q907" s="675"/>
      <c r="R907" s="675"/>
      <c r="S907" s="675"/>
      <c r="T907" s="675"/>
      <c r="U907" s="675"/>
      <c r="V907" s="675"/>
      <c r="W907" s="675"/>
      <c r="X907" s="675"/>
      <c r="Y907" s="675"/>
      <c r="Z907" s="675"/>
      <c r="AA907" s="675"/>
      <c r="AB907" s="675"/>
      <c r="AC907" s="675"/>
      <c r="AD907" s="675"/>
      <c r="AE907" s="675"/>
      <c r="AF907" s="675"/>
      <c r="AG907" s="675"/>
      <c r="AH907" s="675"/>
      <c r="AI907" s="675"/>
      <c r="AJ907" s="675"/>
      <c r="AK907" s="658"/>
    </row>
    <row r="908" spans="1:37" ht="15" customHeight="1">
      <c r="A908" s="5"/>
      <c r="B908" s="313"/>
      <c r="C908" s="835"/>
      <c r="D908" s="725" t="s">
        <v>741</v>
      </c>
      <c r="E908" s="131"/>
      <c r="F908" s="75"/>
      <c r="G908" s="111"/>
      <c r="H908" s="78"/>
      <c r="I908" s="79"/>
      <c r="J908" s="52"/>
      <c r="K908" s="156"/>
      <c r="L908" s="383"/>
      <c r="M908" s="542"/>
      <c r="N908" s="701">
        <f t="shared" si="218"/>
        <v>0</v>
      </c>
      <c r="O908" s="675"/>
      <c r="P908" s="675"/>
      <c r="Q908" s="675"/>
      <c r="R908" s="675"/>
      <c r="S908" s="675"/>
      <c r="T908" s="675"/>
      <c r="U908" s="675"/>
      <c r="V908" s="675"/>
      <c r="W908" s="675"/>
      <c r="X908" s="675"/>
      <c r="Y908" s="675"/>
      <c r="Z908" s="675"/>
      <c r="AA908" s="675"/>
      <c r="AB908" s="675"/>
      <c r="AC908" s="675"/>
      <c r="AD908" s="675"/>
      <c r="AE908" s="675"/>
      <c r="AF908" s="675"/>
      <c r="AG908" s="675"/>
      <c r="AH908" s="675"/>
      <c r="AI908" s="675"/>
      <c r="AJ908" s="675"/>
      <c r="AK908" s="658"/>
    </row>
    <row r="909" spans="1:37" ht="15" customHeight="1">
      <c r="A909" s="5"/>
      <c r="B909" s="313"/>
      <c r="C909" s="835"/>
      <c r="D909" s="725" t="s">
        <v>742</v>
      </c>
      <c r="E909" s="131"/>
      <c r="F909" s="75"/>
      <c r="G909" s="111"/>
      <c r="H909" s="78"/>
      <c r="I909" s="79"/>
      <c r="J909" s="52"/>
      <c r="K909" s="156"/>
      <c r="L909" s="383"/>
      <c r="M909" s="542"/>
      <c r="N909" s="701">
        <f t="shared" si="218"/>
        <v>0</v>
      </c>
      <c r="O909" s="675"/>
      <c r="P909" s="675"/>
      <c r="Q909" s="675"/>
      <c r="R909" s="675"/>
      <c r="S909" s="675"/>
      <c r="T909" s="675"/>
      <c r="U909" s="675"/>
      <c r="V909" s="675"/>
      <c r="W909" s="675"/>
      <c r="X909" s="675"/>
      <c r="Y909" s="675"/>
      <c r="Z909" s="675"/>
      <c r="AA909" s="675"/>
      <c r="AB909" s="675"/>
      <c r="AC909" s="675"/>
      <c r="AD909" s="675"/>
      <c r="AE909" s="675"/>
      <c r="AF909" s="675"/>
      <c r="AG909" s="675"/>
      <c r="AH909" s="675"/>
      <c r="AI909" s="675"/>
      <c r="AJ909" s="675"/>
      <c r="AK909" s="658"/>
    </row>
    <row r="910" spans="1:37" ht="15" customHeight="1">
      <c r="A910" s="5"/>
      <c r="B910" s="313"/>
      <c r="C910" s="835"/>
      <c r="D910" s="725" t="s">
        <v>743</v>
      </c>
      <c r="E910" s="131"/>
      <c r="F910" s="75"/>
      <c r="G910" s="111"/>
      <c r="H910" s="78"/>
      <c r="I910" s="79"/>
      <c r="J910" s="52"/>
      <c r="K910" s="156"/>
      <c r="L910" s="383"/>
      <c r="M910" s="542"/>
      <c r="N910" s="701">
        <f t="shared" si="218"/>
        <v>0</v>
      </c>
      <c r="O910" s="675"/>
      <c r="P910" s="675"/>
      <c r="Q910" s="675"/>
      <c r="R910" s="675"/>
      <c r="S910" s="675"/>
      <c r="T910" s="675"/>
      <c r="U910" s="675"/>
      <c r="V910" s="675"/>
      <c r="W910" s="675"/>
      <c r="X910" s="675"/>
      <c r="Y910" s="675"/>
      <c r="Z910" s="675"/>
      <c r="AA910" s="675"/>
      <c r="AB910" s="675"/>
      <c r="AC910" s="675"/>
      <c r="AD910" s="675"/>
      <c r="AE910" s="675"/>
      <c r="AF910" s="675"/>
      <c r="AG910" s="675"/>
      <c r="AH910" s="675"/>
      <c r="AI910" s="675"/>
      <c r="AJ910" s="675"/>
      <c r="AK910" s="658"/>
    </row>
    <row r="911" spans="1:37" ht="15" customHeight="1">
      <c r="A911" s="5"/>
      <c r="B911" s="313"/>
      <c r="C911" s="835"/>
      <c r="D911" s="725" t="s">
        <v>744</v>
      </c>
      <c r="E911" s="131"/>
      <c r="F911" s="75"/>
      <c r="G911" s="111"/>
      <c r="H911" s="78"/>
      <c r="I911" s="79"/>
      <c r="J911" s="52"/>
      <c r="K911" s="156"/>
      <c r="L911" s="383"/>
      <c r="M911" s="542"/>
      <c r="N911" s="701">
        <f t="shared" si="218"/>
        <v>0</v>
      </c>
      <c r="O911" s="675"/>
      <c r="P911" s="675"/>
      <c r="Q911" s="675"/>
      <c r="R911" s="675"/>
      <c r="S911" s="675"/>
      <c r="T911" s="675"/>
      <c r="U911" s="675"/>
      <c r="V911" s="675"/>
      <c r="W911" s="675"/>
      <c r="X911" s="675"/>
      <c r="Y911" s="675"/>
      <c r="Z911" s="675"/>
      <c r="AA911" s="675"/>
      <c r="AB911" s="675"/>
      <c r="AC911" s="675"/>
      <c r="AD911" s="675"/>
      <c r="AE911" s="675"/>
      <c r="AF911" s="675"/>
      <c r="AG911" s="675"/>
      <c r="AH911" s="675"/>
      <c r="AI911" s="675"/>
      <c r="AJ911" s="675"/>
      <c r="AK911" s="658"/>
    </row>
    <row r="912" spans="1:37" ht="15" customHeight="1">
      <c r="A912" s="5"/>
      <c r="B912" s="313"/>
      <c r="C912" s="835"/>
      <c r="D912" s="725" t="s">
        <v>745</v>
      </c>
      <c r="E912" s="131"/>
      <c r="F912" s="75"/>
      <c r="G912" s="111"/>
      <c r="H912" s="78"/>
      <c r="I912" s="79"/>
      <c r="J912" s="52"/>
      <c r="K912" s="156"/>
      <c r="L912" s="383"/>
      <c r="M912" s="542"/>
      <c r="N912" s="701">
        <f t="shared" si="218"/>
        <v>0</v>
      </c>
      <c r="O912" s="675"/>
      <c r="P912" s="675"/>
      <c r="Q912" s="675"/>
      <c r="R912" s="675"/>
      <c r="S912" s="675"/>
      <c r="T912" s="675"/>
      <c r="U912" s="675"/>
      <c r="V912" s="675"/>
      <c r="W912" s="675"/>
      <c r="X912" s="675"/>
      <c r="Y912" s="675"/>
      <c r="Z912" s="675"/>
      <c r="AA912" s="675"/>
      <c r="AB912" s="675"/>
      <c r="AC912" s="675"/>
      <c r="AD912" s="675"/>
      <c r="AE912" s="675"/>
      <c r="AF912" s="675"/>
      <c r="AG912" s="675"/>
      <c r="AH912" s="675"/>
      <c r="AI912" s="675"/>
      <c r="AJ912" s="675"/>
      <c r="AK912" s="658"/>
    </row>
    <row r="913" spans="1:37" ht="15" customHeight="1">
      <c r="A913" s="5"/>
      <c r="B913" s="313"/>
      <c r="C913" s="835"/>
      <c r="D913" s="725" t="s">
        <v>746</v>
      </c>
      <c r="E913" s="131"/>
      <c r="F913" s="75"/>
      <c r="G913" s="111"/>
      <c r="H913" s="78"/>
      <c r="I913" s="79"/>
      <c r="J913" s="52"/>
      <c r="K913" s="156"/>
      <c r="L913" s="383"/>
      <c r="M913" s="542"/>
      <c r="N913" s="701">
        <f t="shared" si="218"/>
        <v>0</v>
      </c>
      <c r="O913" s="675"/>
      <c r="P913" s="675"/>
      <c r="Q913" s="675"/>
      <c r="R913" s="675"/>
      <c r="S913" s="675"/>
      <c r="T913" s="675"/>
      <c r="U913" s="675"/>
      <c r="V913" s="675"/>
      <c r="W913" s="675"/>
      <c r="X913" s="675"/>
      <c r="Y913" s="675"/>
      <c r="Z913" s="675"/>
      <c r="AA913" s="675"/>
      <c r="AB913" s="675"/>
      <c r="AC913" s="675"/>
      <c r="AD913" s="675"/>
      <c r="AE913" s="675"/>
      <c r="AF913" s="675"/>
      <c r="AG913" s="675"/>
      <c r="AH913" s="675"/>
      <c r="AI913" s="675"/>
      <c r="AJ913" s="675"/>
      <c r="AK913" s="658"/>
    </row>
    <row r="914" spans="1:37" ht="15" customHeight="1">
      <c r="A914" s="5"/>
      <c r="B914" s="313"/>
      <c r="C914" s="835"/>
      <c r="D914" s="725" t="s">
        <v>747</v>
      </c>
      <c r="E914" s="131"/>
      <c r="F914" s="75"/>
      <c r="G914" s="111"/>
      <c r="H914" s="78"/>
      <c r="I914" s="79"/>
      <c r="J914" s="52"/>
      <c r="K914" s="156"/>
      <c r="L914" s="383"/>
      <c r="M914" s="542"/>
      <c r="N914" s="701">
        <f t="shared" si="218"/>
        <v>0</v>
      </c>
      <c r="O914" s="675"/>
      <c r="P914" s="675"/>
      <c r="Q914" s="675"/>
      <c r="R914" s="675"/>
      <c r="S914" s="675"/>
      <c r="T914" s="675"/>
      <c r="U914" s="675"/>
      <c r="V914" s="675"/>
      <c r="W914" s="675"/>
      <c r="X914" s="675"/>
      <c r="Y914" s="675"/>
      <c r="Z914" s="675"/>
      <c r="AA914" s="675"/>
      <c r="AB914" s="675"/>
      <c r="AC914" s="675"/>
      <c r="AD914" s="675"/>
      <c r="AE914" s="675"/>
      <c r="AF914" s="675"/>
      <c r="AG914" s="675"/>
      <c r="AH914" s="675"/>
      <c r="AI914" s="675"/>
      <c r="AJ914" s="675"/>
      <c r="AK914" s="658"/>
    </row>
    <row r="915" spans="1:37" ht="15" customHeight="1">
      <c r="A915" s="5"/>
      <c r="B915" s="313"/>
      <c r="C915" s="835"/>
      <c r="D915" s="725" t="s">
        <v>748</v>
      </c>
      <c r="E915" s="131"/>
      <c r="F915" s="75"/>
      <c r="G915" s="111"/>
      <c r="H915" s="78"/>
      <c r="I915" s="79"/>
      <c r="J915" s="52"/>
      <c r="K915" s="156"/>
      <c r="L915" s="383"/>
      <c r="M915" s="542"/>
      <c r="N915" s="701">
        <f t="shared" si="218"/>
        <v>0</v>
      </c>
      <c r="O915" s="675"/>
      <c r="P915" s="675"/>
      <c r="Q915" s="675"/>
      <c r="R915" s="675"/>
      <c r="S915" s="675"/>
      <c r="T915" s="675"/>
      <c r="U915" s="675"/>
      <c r="V915" s="675"/>
      <c r="W915" s="675"/>
      <c r="X915" s="675"/>
      <c r="Y915" s="675"/>
      <c r="Z915" s="675"/>
      <c r="AA915" s="675"/>
      <c r="AB915" s="675"/>
      <c r="AC915" s="675"/>
      <c r="AD915" s="675"/>
      <c r="AE915" s="675"/>
      <c r="AF915" s="675"/>
      <c r="AG915" s="675"/>
      <c r="AH915" s="675"/>
      <c r="AI915" s="675"/>
      <c r="AJ915" s="675"/>
      <c r="AK915" s="658"/>
    </row>
    <row r="916" spans="1:37" ht="15" customHeight="1">
      <c r="A916" s="5"/>
      <c r="B916" s="313"/>
      <c r="C916" s="835"/>
      <c r="D916" s="725" t="s">
        <v>749</v>
      </c>
      <c r="E916" s="131"/>
      <c r="F916" s="75"/>
      <c r="G916" s="111"/>
      <c r="H916" s="78"/>
      <c r="I916" s="79"/>
      <c r="J916" s="52"/>
      <c r="K916" s="156"/>
      <c r="L916" s="383"/>
      <c r="M916" s="542"/>
      <c r="N916" s="701">
        <f t="shared" si="218"/>
        <v>0</v>
      </c>
      <c r="O916" s="675"/>
      <c r="P916" s="675"/>
      <c r="Q916" s="675"/>
      <c r="R916" s="675"/>
      <c r="S916" s="675"/>
      <c r="T916" s="675"/>
      <c r="U916" s="675"/>
      <c r="V916" s="675"/>
      <c r="W916" s="675"/>
      <c r="X916" s="675"/>
      <c r="Y916" s="675"/>
      <c r="Z916" s="675"/>
      <c r="AA916" s="675"/>
      <c r="AB916" s="675"/>
      <c r="AC916" s="675"/>
      <c r="AD916" s="675"/>
      <c r="AE916" s="675"/>
      <c r="AF916" s="675"/>
      <c r="AG916" s="675"/>
      <c r="AH916" s="675"/>
      <c r="AI916" s="675"/>
      <c r="AJ916" s="675"/>
      <c r="AK916" s="658"/>
    </row>
    <row r="917" spans="1:37" ht="15" customHeight="1">
      <c r="A917" s="5"/>
      <c r="B917" s="313"/>
      <c r="C917" s="835"/>
      <c r="D917" s="725" t="s">
        <v>750</v>
      </c>
      <c r="E917" s="131"/>
      <c r="F917" s="75"/>
      <c r="G917" s="111"/>
      <c r="H917" s="78"/>
      <c r="I917" s="79"/>
      <c r="J917" s="52"/>
      <c r="K917" s="156"/>
      <c r="L917" s="383"/>
      <c r="M917" s="542"/>
      <c r="N917" s="701">
        <f t="shared" si="218"/>
        <v>0</v>
      </c>
      <c r="O917" s="675"/>
      <c r="P917" s="675"/>
      <c r="Q917" s="675"/>
      <c r="R917" s="675"/>
      <c r="S917" s="675"/>
      <c r="T917" s="675"/>
      <c r="U917" s="675"/>
      <c r="V917" s="675"/>
      <c r="W917" s="675"/>
      <c r="X917" s="675"/>
      <c r="Y917" s="675"/>
      <c r="Z917" s="675"/>
      <c r="AA917" s="675"/>
      <c r="AB917" s="675"/>
      <c r="AC917" s="675"/>
      <c r="AD917" s="675"/>
      <c r="AE917" s="675"/>
      <c r="AF917" s="675"/>
      <c r="AG917" s="675"/>
      <c r="AH917" s="675"/>
      <c r="AI917" s="675"/>
      <c r="AJ917" s="675"/>
      <c r="AK917" s="658"/>
    </row>
    <row r="918" spans="1:37" ht="15" customHeight="1">
      <c r="A918" s="5"/>
      <c r="B918" s="313"/>
      <c r="C918" s="835"/>
      <c r="D918" s="725" t="s">
        <v>751</v>
      </c>
      <c r="E918" s="131"/>
      <c r="F918" s="75"/>
      <c r="G918" s="111"/>
      <c r="H918" s="78"/>
      <c r="I918" s="79"/>
      <c r="J918" s="52"/>
      <c r="K918" s="156"/>
      <c r="L918" s="383"/>
      <c r="M918" s="542"/>
      <c r="N918" s="701">
        <f t="shared" si="218"/>
        <v>0</v>
      </c>
      <c r="O918" s="675"/>
      <c r="P918" s="675"/>
      <c r="Q918" s="675"/>
      <c r="R918" s="675"/>
      <c r="S918" s="675"/>
      <c r="T918" s="675"/>
      <c r="U918" s="675"/>
      <c r="V918" s="675"/>
      <c r="W918" s="675"/>
      <c r="X918" s="675"/>
      <c r="Y918" s="675"/>
      <c r="Z918" s="675"/>
      <c r="AA918" s="675"/>
      <c r="AB918" s="675"/>
      <c r="AC918" s="675"/>
      <c r="AD918" s="675"/>
      <c r="AE918" s="675"/>
      <c r="AF918" s="675"/>
      <c r="AG918" s="675"/>
      <c r="AH918" s="675"/>
      <c r="AI918" s="675"/>
      <c r="AJ918" s="675"/>
      <c r="AK918" s="658"/>
    </row>
    <row r="919" spans="1:37" ht="15" customHeight="1">
      <c r="A919" s="5"/>
      <c r="B919" s="313"/>
      <c r="C919" s="835"/>
      <c r="D919" s="725" t="s">
        <v>752</v>
      </c>
      <c r="E919" s="131"/>
      <c r="F919" s="75"/>
      <c r="G919" s="111"/>
      <c r="H919" s="78"/>
      <c r="I919" s="79"/>
      <c r="J919" s="52"/>
      <c r="K919" s="156"/>
      <c r="L919" s="383"/>
      <c r="M919" s="542"/>
      <c r="N919" s="701">
        <f t="shared" si="218"/>
        <v>0</v>
      </c>
      <c r="O919" s="675"/>
      <c r="P919" s="675"/>
      <c r="Q919" s="675"/>
      <c r="R919" s="675"/>
      <c r="S919" s="675"/>
      <c r="T919" s="675"/>
      <c r="U919" s="675"/>
      <c r="V919" s="675"/>
      <c r="W919" s="675"/>
      <c r="X919" s="675"/>
      <c r="Y919" s="675"/>
      <c r="Z919" s="675"/>
      <c r="AA919" s="675"/>
      <c r="AB919" s="675"/>
      <c r="AC919" s="675"/>
      <c r="AD919" s="675"/>
      <c r="AE919" s="675"/>
      <c r="AF919" s="675"/>
      <c r="AG919" s="675"/>
      <c r="AH919" s="675"/>
      <c r="AI919" s="675"/>
      <c r="AJ919" s="675"/>
      <c r="AK919" s="658"/>
    </row>
    <row r="920" spans="1:37" ht="15" customHeight="1">
      <c r="A920" s="5"/>
      <c r="B920" s="313"/>
      <c r="C920" s="835"/>
      <c r="D920" s="725" t="s">
        <v>753</v>
      </c>
      <c r="E920" s="131"/>
      <c r="F920" s="75"/>
      <c r="G920" s="111"/>
      <c r="H920" s="78"/>
      <c r="I920" s="79"/>
      <c r="J920" s="52"/>
      <c r="K920" s="156"/>
      <c r="L920" s="383"/>
      <c r="M920" s="542"/>
      <c r="N920" s="701">
        <f t="shared" si="218"/>
        <v>0</v>
      </c>
      <c r="O920" s="675"/>
      <c r="P920" s="675"/>
      <c r="Q920" s="675"/>
      <c r="R920" s="675"/>
      <c r="S920" s="675"/>
      <c r="T920" s="675"/>
      <c r="U920" s="675"/>
      <c r="V920" s="675"/>
      <c r="W920" s="675"/>
      <c r="X920" s="675"/>
      <c r="Y920" s="675"/>
      <c r="Z920" s="675"/>
      <c r="AA920" s="675"/>
      <c r="AB920" s="675"/>
      <c r="AC920" s="675"/>
      <c r="AD920" s="675"/>
      <c r="AE920" s="675"/>
      <c r="AF920" s="675"/>
      <c r="AG920" s="675"/>
      <c r="AH920" s="675"/>
      <c r="AI920" s="675"/>
      <c r="AJ920" s="675"/>
      <c r="AK920" s="658"/>
    </row>
    <row r="921" spans="1:37">
      <c r="A921" s="5"/>
      <c r="B921" s="313"/>
      <c r="C921" s="835"/>
      <c r="D921" s="17"/>
      <c r="E921" s="131"/>
      <c r="F921" s="75"/>
      <c r="G921" s="111"/>
      <c r="H921" s="78"/>
      <c r="I921" s="79"/>
      <c r="J921" s="52"/>
      <c r="K921" s="156"/>
      <c r="L921" s="383"/>
      <c r="M921" s="542"/>
      <c r="N921" s="701">
        <f t="shared" si="218"/>
        <v>0</v>
      </c>
      <c r="O921" s="675"/>
      <c r="P921" s="675"/>
      <c r="Q921" s="675"/>
      <c r="R921" s="675"/>
      <c r="S921" s="675"/>
      <c r="T921" s="675"/>
      <c r="U921" s="675"/>
      <c r="V921" s="675"/>
      <c r="W921" s="675"/>
      <c r="X921" s="675"/>
      <c r="Y921" s="675"/>
      <c r="Z921" s="675"/>
      <c r="AA921" s="675"/>
      <c r="AB921" s="675"/>
      <c r="AC921" s="675"/>
      <c r="AD921" s="675"/>
      <c r="AE921" s="675"/>
      <c r="AF921" s="675"/>
      <c r="AG921" s="675"/>
      <c r="AH921" s="675"/>
      <c r="AI921" s="675"/>
      <c r="AJ921" s="675"/>
      <c r="AK921" s="658"/>
    </row>
    <row r="922" spans="1:37" ht="15" customHeight="1">
      <c r="A922" s="5"/>
      <c r="B922" s="313"/>
      <c r="C922" s="835"/>
      <c r="D922" s="17" t="s">
        <v>167</v>
      </c>
      <c r="E922" s="67" t="s">
        <v>27</v>
      </c>
      <c r="F922" s="253">
        <v>100000</v>
      </c>
      <c r="G922" s="64">
        <v>6</v>
      </c>
      <c r="H922" s="64">
        <f>F922*G922+325605</f>
        <v>925605</v>
      </c>
      <c r="I922" s="72"/>
      <c r="J922" s="52"/>
      <c r="K922" s="156"/>
      <c r="L922" s="383"/>
      <c r="M922" s="542"/>
      <c r="N922" s="701">
        <f t="shared" si="218"/>
        <v>0</v>
      </c>
      <c r="O922" s="675"/>
      <c r="P922" s="675"/>
      <c r="Q922" s="675"/>
      <c r="R922" s="675"/>
      <c r="S922" s="675"/>
      <c r="T922" s="675"/>
      <c r="U922" s="675"/>
      <c r="V922" s="675"/>
      <c r="W922" s="675"/>
      <c r="X922" s="675"/>
      <c r="Y922" s="675"/>
      <c r="Z922" s="675"/>
      <c r="AA922" s="675"/>
      <c r="AB922" s="675"/>
      <c r="AC922" s="675"/>
      <c r="AD922" s="675"/>
      <c r="AE922" s="675"/>
      <c r="AF922" s="675"/>
      <c r="AG922" s="675"/>
      <c r="AH922" s="675"/>
      <c r="AI922" s="675"/>
      <c r="AJ922" s="675"/>
      <c r="AK922" s="658"/>
    </row>
    <row r="923" spans="1:37" ht="15" customHeight="1">
      <c r="A923" s="5"/>
      <c r="B923" s="313"/>
      <c r="C923" s="835"/>
      <c r="D923" s="105" t="s">
        <v>51</v>
      </c>
      <c r="E923" s="127"/>
      <c r="F923" s="128"/>
      <c r="G923" s="121"/>
      <c r="H923" s="137"/>
      <c r="I923" s="79"/>
      <c r="J923" s="52"/>
      <c r="K923" s="156"/>
      <c r="L923" s="383"/>
      <c r="M923" s="542"/>
      <c r="N923" s="701">
        <f t="shared" si="218"/>
        <v>0</v>
      </c>
      <c r="O923" s="675"/>
      <c r="P923" s="675"/>
      <c r="Q923" s="675"/>
      <c r="R923" s="675"/>
      <c r="S923" s="675"/>
      <c r="T923" s="675"/>
      <c r="U923" s="675"/>
      <c r="V923" s="675"/>
      <c r="W923" s="675"/>
      <c r="X923" s="675"/>
      <c r="Y923" s="675"/>
      <c r="Z923" s="675"/>
      <c r="AA923" s="675"/>
      <c r="AB923" s="675"/>
      <c r="AC923" s="675"/>
      <c r="AD923" s="675"/>
      <c r="AE923" s="675"/>
      <c r="AF923" s="675"/>
      <c r="AG923" s="675"/>
      <c r="AH923" s="675"/>
      <c r="AI923" s="675"/>
      <c r="AJ923" s="675"/>
      <c r="AK923" s="658"/>
    </row>
    <row r="924" spans="1:37" ht="15" customHeight="1">
      <c r="A924" s="5"/>
      <c r="B924" s="313"/>
      <c r="C924" s="835"/>
      <c r="D924" s="725" t="s">
        <v>97</v>
      </c>
      <c r="E924" s="131"/>
      <c r="F924" s="75"/>
      <c r="G924" s="111"/>
      <c r="H924" s="78"/>
      <c r="I924" s="79"/>
      <c r="J924" s="52"/>
      <c r="K924" s="156"/>
      <c r="L924" s="383"/>
      <c r="M924" s="542"/>
      <c r="N924" s="701">
        <f t="shared" si="218"/>
        <v>0</v>
      </c>
      <c r="O924" s="675"/>
      <c r="P924" s="675"/>
      <c r="Q924" s="675"/>
      <c r="R924" s="675"/>
      <c r="S924" s="675"/>
      <c r="T924" s="675"/>
      <c r="U924" s="675"/>
      <c r="V924" s="675"/>
      <c r="W924" s="675"/>
      <c r="X924" s="675"/>
      <c r="Y924" s="675"/>
      <c r="Z924" s="675"/>
      <c r="AA924" s="675"/>
      <c r="AB924" s="675"/>
      <c r="AC924" s="675"/>
      <c r="AD924" s="675"/>
      <c r="AE924" s="675"/>
      <c r="AF924" s="675"/>
      <c r="AG924" s="675"/>
      <c r="AH924" s="675"/>
      <c r="AI924" s="675"/>
      <c r="AJ924" s="675"/>
      <c r="AK924" s="658"/>
    </row>
    <row r="925" spans="1:37" ht="15" customHeight="1">
      <c r="A925" s="5"/>
      <c r="B925" s="313"/>
      <c r="C925" s="835"/>
      <c r="D925" s="725"/>
      <c r="E925" s="131"/>
      <c r="F925" s="75"/>
      <c r="G925" s="111"/>
      <c r="H925" s="78"/>
      <c r="I925" s="79"/>
      <c r="J925" s="52"/>
      <c r="K925" s="156"/>
      <c r="L925" s="383"/>
      <c r="M925" s="542"/>
      <c r="N925" s="701">
        <f t="shared" si="218"/>
        <v>0</v>
      </c>
      <c r="O925" s="675"/>
      <c r="P925" s="675"/>
      <c r="Q925" s="675"/>
      <c r="R925" s="675"/>
      <c r="S925" s="675"/>
      <c r="T925" s="675"/>
      <c r="U925" s="675"/>
      <c r="V925" s="675"/>
      <c r="W925" s="675"/>
      <c r="X925" s="675"/>
      <c r="Y925" s="675"/>
      <c r="Z925" s="675"/>
      <c r="AA925" s="675"/>
      <c r="AB925" s="675"/>
      <c r="AC925" s="675"/>
      <c r="AD925" s="675"/>
      <c r="AE925" s="675"/>
      <c r="AF925" s="675"/>
      <c r="AG925" s="675"/>
      <c r="AH925" s="675"/>
      <c r="AI925" s="675"/>
      <c r="AJ925" s="675"/>
      <c r="AK925" s="658"/>
    </row>
    <row r="926" spans="1:37" ht="15" customHeight="1">
      <c r="A926" s="5"/>
      <c r="B926" s="313"/>
      <c r="C926" s="835"/>
      <c r="D926" s="725" t="s">
        <v>754</v>
      </c>
      <c r="E926" s="131"/>
      <c r="F926" s="75"/>
      <c r="G926" s="111"/>
      <c r="H926" s="78"/>
      <c r="I926" s="79"/>
      <c r="J926" s="52"/>
      <c r="K926" s="156"/>
      <c r="L926" s="383"/>
      <c r="M926" s="542"/>
      <c r="N926" s="701">
        <f t="shared" si="218"/>
        <v>0</v>
      </c>
      <c r="O926" s="675"/>
      <c r="P926" s="675"/>
      <c r="Q926" s="675"/>
      <c r="R926" s="675"/>
      <c r="S926" s="675"/>
      <c r="T926" s="675"/>
      <c r="U926" s="675"/>
      <c r="V926" s="675"/>
      <c r="W926" s="675"/>
      <c r="X926" s="675"/>
      <c r="Y926" s="675"/>
      <c r="Z926" s="675"/>
      <c r="AA926" s="675"/>
      <c r="AB926" s="675"/>
      <c r="AC926" s="675"/>
      <c r="AD926" s="675"/>
      <c r="AE926" s="675"/>
      <c r="AF926" s="675"/>
      <c r="AG926" s="675"/>
      <c r="AH926" s="675"/>
      <c r="AI926" s="675"/>
      <c r="AJ926" s="675"/>
      <c r="AK926" s="658"/>
    </row>
    <row r="927" spans="1:37" ht="15" customHeight="1">
      <c r="A927" s="5"/>
      <c r="B927" s="313"/>
      <c r="C927" s="835"/>
      <c r="D927" s="725" t="s">
        <v>755</v>
      </c>
      <c r="E927" s="131"/>
      <c r="F927" s="75"/>
      <c r="G927" s="111"/>
      <c r="H927" s="78"/>
      <c r="I927" s="79"/>
      <c r="J927" s="52"/>
      <c r="K927" s="156"/>
      <c r="L927" s="383"/>
      <c r="M927" s="542"/>
      <c r="N927" s="701">
        <f t="shared" si="218"/>
        <v>0</v>
      </c>
      <c r="O927" s="675"/>
      <c r="P927" s="675"/>
      <c r="Q927" s="675"/>
      <c r="R927" s="675"/>
      <c r="S927" s="675"/>
      <c r="T927" s="675"/>
      <c r="U927" s="675"/>
      <c r="V927" s="675"/>
      <c r="W927" s="675"/>
      <c r="X927" s="675"/>
      <c r="Y927" s="675"/>
      <c r="Z927" s="675"/>
      <c r="AA927" s="675"/>
      <c r="AB927" s="675"/>
      <c r="AC927" s="675"/>
      <c r="AD927" s="675"/>
      <c r="AE927" s="675"/>
      <c r="AF927" s="675"/>
      <c r="AG927" s="675"/>
      <c r="AH927" s="675"/>
      <c r="AI927" s="675"/>
      <c r="AJ927" s="675"/>
      <c r="AK927" s="658"/>
    </row>
    <row r="928" spans="1:37" ht="15" customHeight="1">
      <c r="A928" s="5"/>
      <c r="B928" s="313"/>
      <c r="C928" s="835"/>
      <c r="D928" s="725" t="s">
        <v>756</v>
      </c>
      <c r="E928" s="131"/>
      <c r="F928" s="75"/>
      <c r="G928" s="111"/>
      <c r="H928" s="78"/>
      <c r="I928" s="79"/>
      <c r="J928" s="52"/>
      <c r="K928" s="156"/>
      <c r="L928" s="383"/>
      <c r="M928" s="542"/>
      <c r="N928" s="701">
        <f t="shared" si="218"/>
        <v>0</v>
      </c>
      <c r="O928" s="675"/>
      <c r="P928" s="675"/>
      <c r="Q928" s="675"/>
      <c r="R928" s="675"/>
      <c r="S928" s="675"/>
      <c r="T928" s="675"/>
      <c r="U928" s="675"/>
      <c r="V928" s="675"/>
      <c r="W928" s="675"/>
      <c r="X928" s="675"/>
      <c r="Y928" s="675"/>
      <c r="Z928" s="675"/>
      <c r="AA928" s="675"/>
      <c r="AB928" s="675"/>
      <c r="AC928" s="675"/>
      <c r="AD928" s="675"/>
      <c r="AE928" s="675"/>
      <c r="AF928" s="675"/>
      <c r="AG928" s="675"/>
      <c r="AH928" s="675"/>
      <c r="AI928" s="675"/>
      <c r="AJ928" s="675"/>
      <c r="AK928" s="658"/>
    </row>
    <row r="929" spans="1:37" ht="15" customHeight="1">
      <c r="A929" s="5"/>
      <c r="B929" s="313"/>
      <c r="C929" s="835"/>
      <c r="D929" s="725" t="s">
        <v>757</v>
      </c>
      <c r="E929" s="131"/>
      <c r="F929" s="75"/>
      <c r="G929" s="111"/>
      <c r="H929" s="78"/>
      <c r="I929" s="79"/>
      <c r="J929" s="52"/>
      <c r="K929" s="156"/>
      <c r="L929" s="383"/>
      <c r="M929" s="542"/>
      <c r="N929" s="701">
        <f t="shared" si="218"/>
        <v>0</v>
      </c>
      <c r="O929" s="675"/>
      <c r="P929" s="675"/>
      <c r="Q929" s="675"/>
      <c r="R929" s="675"/>
      <c r="S929" s="675"/>
      <c r="T929" s="675"/>
      <c r="U929" s="675"/>
      <c r="V929" s="675"/>
      <c r="W929" s="675"/>
      <c r="X929" s="675"/>
      <c r="Y929" s="675"/>
      <c r="Z929" s="675"/>
      <c r="AA929" s="675"/>
      <c r="AB929" s="675"/>
      <c r="AC929" s="675"/>
      <c r="AD929" s="675"/>
      <c r="AE929" s="675"/>
      <c r="AF929" s="675"/>
      <c r="AG929" s="675"/>
      <c r="AH929" s="675"/>
      <c r="AI929" s="675"/>
      <c r="AJ929" s="675"/>
      <c r="AK929" s="658"/>
    </row>
    <row r="930" spans="1:37" ht="15" customHeight="1">
      <c r="A930" s="5"/>
      <c r="B930" s="313"/>
      <c r="C930" s="835"/>
      <c r="D930" s="725" t="s">
        <v>758</v>
      </c>
      <c r="E930" s="131"/>
      <c r="F930" s="75"/>
      <c r="G930" s="111"/>
      <c r="H930" s="78"/>
      <c r="I930" s="79"/>
      <c r="J930" s="52"/>
      <c r="K930" s="156"/>
      <c r="L930" s="383"/>
      <c r="M930" s="542"/>
      <c r="N930" s="701">
        <f t="shared" si="218"/>
        <v>0</v>
      </c>
      <c r="O930" s="675"/>
      <c r="P930" s="675"/>
      <c r="Q930" s="675"/>
      <c r="R930" s="675"/>
      <c r="S930" s="675"/>
      <c r="T930" s="675"/>
      <c r="U930" s="675"/>
      <c r="V930" s="675"/>
      <c r="W930" s="675"/>
      <c r="X930" s="675"/>
      <c r="Y930" s="675"/>
      <c r="Z930" s="675"/>
      <c r="AA930" s="675"/>
      <c r="AB930" s="675"/>
      <c r="AC930" s="675"/>
      <c r="AD930" s="675"/>
      <c r="AE930" s="675"/>
      <c r="AF930" s="675"/>
      <c r="AG930" s="675"/>
      <c r="AH930" s="675"/>
      <c r="AI930" s="675"/>
      <c r="AJ930" s="675"/>
      <c r="AK930" s="658"/>
    </row>
    <row r="931" spans="1:37" ht="15" customHeight="1">
      <c r="A931" s="5"/>
      <c r="B931" s="313"/>
      <c r="C931" s="835"/>
      <c r="D931" s="725" t="s">
        <v>759</v>
      </c>
      <c r="E931" s="131"/>
      <c r="F931" s="75"/>
      <c r="G931" s="111"/>
      <c r="H931" s="78"/>
      <c r="I931" s="79"/>
      <c r="J931" s="52"/>
      <c r="K931" s="156"/>
      <c r="L931" s="383"/>
      <c r="M931" s="542"/>
      <c r="N931" s="701">
        <f t="shared" si="218"/>
        <v>0</v>
      </c>
      <c r="O931" s="675"/>
      <c r="P931" s="675"/>
      <c r="Q931" s="675"/>
      <c r="R931" s="675"/>
      <c r="S931" s="675"/>
      <c r="T931" s="675"/>
      <c r="U931" s="675"/>
      <c r="V931" s="675"/>
      <c r="W931" s="675"/>
      <c r="X931" s="675"/>
      <c r="Y931" s="675"/>
      <c r="Z931" s="675"/>
      <c r="AA931" s="675"/>
      <c r="AB931" s="675"/>
      <c r="AC931" s="675"/>
      <c r="AD931" s="675"/>
      <c r="AE931" s="675"/>
      <c r="AF931" s="675"/>
      <c r="AG931" s="675"/>
      <c r="AH931" s="675"/>
      <c r="AI931" s="675"/>
      <c r="AJ931" s="675"/>
      <c r="AK931" s="658"/>
    </row>
    <row r="932" spans="1:37" ht="15" customHeight="1">
      <c r="A932" s="5"/>
      <c r="B932" s="313"/>
      <c r="C932" s="835"/>
      <c r="D932" s="725" t="s">
        <v>760</v>
      </c>
      <c r="E932" s="131"/>
      <c r="F932" s="75"/>
      <c r="G932" s="111"/>
      <c r="H932" s="78"/>
      <c r="I932" s="79"/>
      <c r="J932" s="52"/>
      <c r="K932" s="156"/>
      <c r="L932" s="383"/>
      <c r="M932" s="542"/>
      <c r="N932" s="701">
        <f t="shared" si="218"/>
        <v>0</v>
      </c>
      <c r="O932" s="675"/>
      <c r="P932" s="675"/>
      <c r="Q932" s="675"/>
      <c r="R932" s="675"/>
      <c r="S932" s="675"/>
      <c r="T932" s="675"/>
      <c r="U932" s="675"/>
      <c r="V932" s="675"/>
      <c r="W932" s="675"/>
      <c r="X932" s="675"/>
      <c r="Y932" s="675"/>
      <c r="Z932" s="675"/>
      <c r="AA932" s="675"/>
      <c r="AB932" s="675"/>
      <c r="AC932" s="675"/>
      <c r="AD932" s="675"/>
      <c r="AE932" s="675"/>
      <c r="AF932" s="675"/>
      <c r="AG932" s="675"/>
      <c r="AH932" s="675"/>
      <c r="AI932" s="675"/>
      <c r="AJ932" s="675"/>
      <c r="AK932" s="658"/>
    </row>
    <row r="933" spans="1:37" ht="15" customHeight="1">
      <c r="A933" s="5"/>
      <c r="B933" s="313"/>
      <c r="C933" s="835"/>
      <c r="D933" s="725" t="s">
        <v>761</v>
      </c>
      <c r="E933" s="131"/>
      <c r="F933" s="75"/>
      <c r="G933" s="111"/>
      <c r="H933" s="78"/>
      <c r="I933" s="79"/>
      <c r="J933" s="52"/>
      <c r="K933" s="156"/>
      <c r="L933" s="383"/>
      <c r="M933" s="542"/>
      <c r="N933" s="701">
        <f t="shared" si="218"/>
        <v>0</v>
      </c>
      <c r="O933" s="675"/>
      <c r="P933" s="675"/>
      <c r="Q933" s="675"/>
      <c r="R933" s="675"/>
      <c r="S933" s="675"/>
      <c r="T933" s="675"/>
      <c r="U933" s="675"/>
      <c r="V933" s="675"/>
      <c r="W933" s="675"/>
      <c r="X933" s="675"/>
      <c r="Y933" s="675"/>
      <c r="Z933" s="675"/>
      <c r="AA933" s="675"/>
      <c r="AB933" s="675"/>
      <c r="AC933" s="675"/>
      <c r="AD933" s="675"/>
      <c r="AE933" s="675"/>
      <c r="AF933" s="675"/>
      <c r="AG933" s="675"/>
      <c r="AH933" s="675"/>
      <c r="AI933" s="675"/>
      <c r="AJ933" s="675"/>
      <c r="AK933" s="658"/>
    </row>
    <row r="934" spans="1:37" ht="15" customHeight="1">
      <c r="A934" s="5"/>
      <c r="B934" s="313"/>
      <c r="C934" s="835"/>
      <c r="D934" s="725" t="s">
        <v>762</v>
      </c>
      <c r="E934" s="131"/>
      <c r="F934" s="75"/>
      <c r="G934" s="111"/>
      <c r="H934" s="78"/>
      <c r="I934" s="79"/>
      <c r="J934" s="52"/>
      <c r="K934" s="156"/>
      <c r="L934" s="383"/>
      <c r="M934" s="542"/>
      <c r="N934" s="701">
        <f t="shared" si="218"/>
        <v>0</v>
      </c>
      <c r="O934" s="675"/>
      <c r="P934" s="675"/>
      <c r="Q934" s="675"/>
      <c r="R934" s="675"/>
      <c r="S934" s="675"/>
      <c r="T934" s="675"/>
      <c r="U934" s="675"/>
      <c r="V934" s="675"/>
      <c r="W934" s="675"/>
      <c r="X934" s="675"/>
      <c r="Y934" s="675"/>
      <c r="Z934" s="675"/>
      <c r="AA934" s="675"/>
      <c r="AB934" s="675"/>
      <c r="AC934" s="675"/>
      <c r="AD934" s="675"/>
      <c r="AE934" s="675"/>
      <c r="AF934" s="675"/>
      <c r="AG934" s="675"/>
      <c r="AH934" s="675"/>
      <c r="AI934" s="675"/>
      <c r="AJ934" s="675"/>
      <c r="AK934" s="658"/>
    </row>
    <row r="935" spans="1:37" ht="15" customHeight="1">
      <c r="A935" s="5"/>
      <c r="B935" s="313"/>
      <c r="C935" s="835"/>
      <c r="D935" s="725" t="s">
        <v>763</v>
      </c>
      <c r="E935" s="131"/>
      <c r="F935" s="75"/>
      <c r="G935" s="111"/>
      <c r="H935" s="78"/>
      <c r="I935" s="79"/>
      <c r="J935" s="52"/>
      <c r="K935" s="156"/>
      <c r="L935" s="383"/>
      <c r="M935" s="542"/>
      <c r="N935" s="701">
        <f t="shared" si="218"/>
        <v>0</v>
      </c>
      <c r="O935" s="675"/>
      <c r="P935" s="675"/>
      <c r="Q935" s="675"/>
      <c r="R935" s="675"/>
      <c r="S935" s="675"/>
      <c r="T935" s="675"/>
      <c r="U935" s="675"/>
      <c r="V935" s="675"/>
      <c r="W935" s="675"/>
      <c r="X935" s="675"/>
      <c r="Y935" s="675"/>
      <c r="Z935" s="675"/>
      <c r="AA935" s="675"/>
      <c r="AB935" s="675"/>
      <c r="AC935" s="675"/>
      <c r="AD935" s="675"/>
      <c r="AE935" s="675"/>
      <c r="AF935" s="675"/>
      <c r="AG935" s="675"/>
      <c r="AH935" s="675"/>
      <c r="AI935" s="675"/>
      <c r="AJ935" s="675"/>
      <c r="AK935" s="658"/>
    </row>
    <row r="936" spans="1:37" ht="15" customHeight="1">
      <c r="A936" s="5"/>
      <c r="B936" s="313"/>
      <c r="C936" s="835"/>
      <c r="D936" s="725" t="s">
        <v>764</v>
      </c>
      <c r="E936" s="131"/>
      <c r="F936" s="75"/>
      <c r="G936" s="111"/>
      <c r="H936" s="78"/>
      <c r="I936" s="79"/>
      <c r="J936" s="52"/>
      <c r="K936" s="156"/>
      <c r="L936" s="383"/>
      <c r="M936" s="542"/>
      <c r="N936" s="701">
        <f t="shared" si="218"/>
        <v>0</v>
      </c>
      <c r="O936" s="675"/>
      <c r="P936" s="675"/>
      <c r="Q936" s="675"/>
      <c r="R936" s="675"/>
      <c r="S936" s="675"/>
      <c r="T936" s="675"/>
      <c r="U936" s="675"/>
      <c r="V936" s="675"/>
      <c r="W936" s="675"/>
      <c r="X936" s="675"/>
      <c r="Y936" s="675"/>
      <c r="Z936" s="675"/>
      <c r="AA936" s="675"/>
      <c r="AB936" s="675"/>
      <c r="AC936" s="675"/>
      <c r="AD936" s="675"/>
      <c r="AE936" s="675"/>
      <c r="AF936" s="675"/>
      <c r="AG936" s="675"/>
      <c r="AH936" s="675"/>
      <c r="AI936" s="675"/>
      <c r="AJ936" s="675"/>
      <c r="AK936" s="658"/>
    </row>
    <row r="937" spans="1:37" ht="15" customHeight="1">
      <c r="A937" s="5"/>
      <c r="B937" s="313"/>
      <c r="C937" s="835"/>
      <c r="D937" s="725" t="s">
        <v>765</v>
      </c>
      <c r="E937" s="131"/>
      <c r="F937" s="75"/>
      <c r="G937" s="111"/>
      <c r="H937" s="78"/>
      <c r="I937" s="79"/>
      <c r="J937" s="52"/>
      <c r="K937" s="156"/>
      <c r="L937" s="383"/>
      <c r="M937" s="542"/>
      <c r="N937" s="701">
        <f t="shared" si="218"/>
        <v>0</v>
      </c>
      <c r="O937" s="675"/>
      <c r="P937" s="675"/>
      <c r="Q937" s="675"/>
      <c r="R937" s="675"/>
      <c r="S937" s="675"/>
      <c r="T937" s="675"/>
      <c r="U937" s="675"/>
      <c r="V937" s="675"/>
      <c r="W937" s="675"/>
      <c r="X937" s="675"/>
      <c r="Y937" s="675"/>
      <c r="Z937" s="675"/>
      <c r="AA937" s="675"/>
      <c r="AB937" s="675"/>
      <c r="AC937" s="675"/>
      <c r="AD937" s="675"/>
      <c r="AE937" s="675"/>
      <c r="AF937" s="675"/>
      <c r="AG937" s="675"/>
      <c r="AH937" s="675"/>
      <c r="AI937" s="675"/>
      <c r="AJ937" s="675"/>
      <c r="AK937" s="658"/>
    </row>
    <row r="938" spans="1:37" ht="15" customHeight="1">
      <c r="A938" s="5"/>
      <c r="B938" s="313"/>
      <c r="C938" s="835"/>
      <c r="D938" s="725" t="s">
        <v>766</v>
      </c>
      <c r="E938" s="131"/>
      <c r="F938" s="75"/>
      <c r="G938" s="111"/>
      <c r="H938" s="78"/>
      <c r="I938" s="79"/>
      <c r="J938" s="52"/>
      <c r="K938" s="156"/>
      <c r="L938" s="383"/>
      <c r="M938" s="542"/>
      <c r="N938" s="701">
        <f t="shared" si="218"/>
        <v>0</v>
      </c>
      <c r="O938" s="675"/>
      <c r="P938" s="675"/>
      <c r="Q938" s="675"/>
      <c r="R938" s="675"/>
      <c r="S938" s="675"/>
      <c r="T938" s="675"/>
      <c r="U938" s="675"/>
      <c r="V938" s="675"/>
      <c r="W938" s="675"/>
      <c r="X938" s="675"/>
      <c r="Y938" s="675"/>
      <c r="Z938" s="675"/>
      <c r="AA938" s="675"/>
      <c r="AB938" s="675"/>
      <c r="AC938" s="675"/>
      <c r="AD938" s="675"/>
      <c r="AE938" s="675"/>
      <c r="AF938" s="675"/>
      <c r="AG938" s="675"/>
      <c r="AH938" s="675"/>
      <c r="AI938" s="675"/>
      <c r="AJ938" s="675"/>
      <c r="AK938" s="658"/>
    </row>
    <row r="939" spans="1:37" ht="15" customHeight="1">
      <c r="A939" s="5"/>
      <c r="B939" s="313"/>
      <c r="C939" s="835"/>
      <c r="D939" s="725" t="s">
        <v>767</v>
      </c>
      <c r="E939" s="131"/>
      <c r="F939" s="75"/>
      <c r="G939" s="111"/>
      <c r="H939" s="78"/>
      <c r="I939" s="79"/>
      <c r="J939" s="52"/>
      <c r="K939" s="156"/>
      <c r="L939" s="383"/>
      <c r="M939" s="542"/>
      <c r="N939" s="701">
        <f t="shared" ref="N939:N993" si="219">SUM(O939:AJ939)-I939</f>
        <v>0</v>
      </c>
      <c r="O939" s="675"/>
      <c r="P939" s="675"/>
      <c r="Q939" s="675"/>
      <c r="R939" s="675"/>
      <c r="S939" s="675"/>
      <c r="T939" s="675"/>
      <c r="U939" s="675"/>
      <c r="V939" s="675"/>
      <c r="W939" s="675"/>
      <c r="X939" s="675"/>
      <c r="Y939" s="675"/>
      <c r="Z939" s="675"/>
      <c r="AA939" s="675"/>
      <c r="AB939" s="675"/>
      <c r="AC939" s="675"/>
      <c r="AD939" s="675"/>
      <c r="AE939" s="675"/>
      <c r="AF939" s="675"/>
      <c r="AG939" s="675"/>
      <c r="AH939" s="675"/>
      <c r="AI939" s="675"/>
      <c r="AJ939" s="675"/>
      <c r="AK939" s="658"/>
    </row>
    <row r="940" spans="1:37" ht="15" customHeight="1">
      <c r="A940" s="5"/>
      <c r="B940" s="313"/>
      <c r="C940" s="835"/>
      <c r="D940" s="725" t="s">
        <v>768</v>
      </c>
      <c r="E940" s="131"/>
      <c r="F940" s="75"/>
      <c r="G940" s="111"/>
      <c r="H940" s="78"/>
      <c r="I940" s="79"/>
      <c r="J940" s="52"/>
      <c r="K940" s="156"/>
      <c r="L940" s="383"/>
      <c r="M940" s="542"/>
      <c r="N940" s="701">
        <f t="shared" si="219"/>
        <v>0</v>
      </c>
      <c r="O940" s="675"/>
      <c r="P940" s="675"/>
      <c r="Q940" s="675"/>
      <c r="R940" s="675"/>
      <c r="S940" s="675"/>
      <c r="T940" s="675"/>
      <c r="U940" s="675"/>
      <c r="V940" s="675"/>
      <c r="W940" s="675"/>
      <c r="X940" s="675"/>
      <c r="Y940" s="675"/>
      <c r="Z940" s="675"/>
      <c r="AA940" s="675"/>
      <c r="AB940" s="675"/>
      <c r="AC940" s="675"/>
      <c r="AD940" s="675"/>
      <c r="AE940" s="675"/>
      <c r="AF940" s="675"/>
      <c r="AG940" s="675"/>
      <c r="AH940" s="675"/>
      <c r="AI940" s="675"/>
      <c r="AJ940" s="675"/>
      <c r="AK940" s="658"/>
    </row>
    <row r="941" spans="1:37" ht="15" customHeight="1">
      <c r="A941" s="5"/>
      <c r="B941" s="313"/>
      <c r="C941" s="835"/>
      <c r="D941" s="725" t="s">
        <v>769</v>
      </c>
      <c r="E941" s="131"/>
      <c r="F941" s="75"/>
      <c r="G941" s="111"/>
      <c r="H941" s="78"/>
      <c r="I941" s="79"/>
      <c r="J941" s="52"/>
      <c r="K941" s="156"/>
      <c r="L941" s="383"/>
      <c r="M941" s="542"/>
      <c r="N941" s="701">
        <f t="shared" si="219"/>
        <v>0</v>
      </c>
      <c r="O941" s="675"/>
      <c r="P941" s="675"/>
      <c r="Q941" s="675"/>
      <c r="R941" s="675"/>
      <c r="S941" s="675"/>
      <c r="T941" s="675"/>
      <c r="U941" s="675"/>
      <c r="V941" s="675"/>
      <c r="W941" s="675"/>
      <c r="X941" s="675"/>
      <c r="Y941" s="675"/>
      <c r="Z941" s="675"/>
      <c r="AA941" s="675"/>
      <c r="AB941" s="675"/>
      <c r="AC941" s="675"/>
      <c r="AD941" s="675"/>
      <c r="AE941" s="675"/>
      <c r="AF941" s="675"/>
      <c r="AG941" s="675"/>
      <c r="AH941" s="675"/>
      <c r="AI941" s="675"/>
      <c r="AJ941" s="675"/>
      <c r="AK941" s="658"/>
    </row>
    <row r="942" spans="1:37" ht="15" customHeight="1">
      <c r="A942" s="5"/>
      <c r="B942" s="313"/>
      <c r="C942" s="835"/>
      <c r="D942" s="725" t="s">
        <v>770</v>
      </c>
      <c r="E942" s="131"/>
      <c r="F942" s="75"/>
      <c r="G942" s="111"/>
      <c r="H942" s="78"/>
      <c r="I942" s="79"/>
      <c r="J942" s="52"/>
      <c r="K942" s="156"/>
      <c r="L942" s="383"/>
      <c r="M942" s="542"/>
      <c r="N942" s="701">
        <f t="shared" si="219"/>
        <v>0</v>
      </c>
      <c r="O942" s="675"/>
      <c r="P942" s="675"/>
      <c r="Q942" s="675"/>
      <c r="R942" s="675"/>
      <c r="S942" s="675"/>
      <c r="T942" s="675"/>
      <c r="U942" s="675"/>
      <c r="V942" s="675"/>
      <c r="W942" s="675"/>
      <c r="X942" s="675"/>
      <c r="Y942" s="675"/>
      <c r="Z942" s="675"/>
      <c r="AA942" s="675"/>
      <c r="AB942" s="675"/>
      <c r="AC942" s="675"/>
      <c r="AD942" s="675"/>
      <c r="AE942" s="675"/>
      <c r="AF942" s="675"/>
      <c r="AG942" s="675"/>
      <c r="AH942" s="675"/>
      <c r="AI942" s="675"/>
      <c r="AJ942" s="675"/>
      <c r="AK942" s="658"/>
    </row>
    <row r="943" spans="1:37" ht="15" customHeight="1">
      <c r="A943" s="5"/>
      <c r="B943" s="313"/>
      <c r="C943" s="835"/>
      <c r="D943" s="725" t="s">
        <v>771</v>
      </c>
      <c r="E943" s="131"/>
      <c r="F943" s="75"/>
      <c r="G943" s="111"/>
      <c r="H943" s="78"/>
      <c r="I943" s="79"/>
      <c r="J943" s="52"/>
      <c r="K943" s="156"/>
      <c r="L943" s="383"/>
      <c r="M943" s="542"/>
      <c r="N943" s="701">
        <f t="shared" si="219"/>
        <v>0</v>
      </c>
      <c r="O943" s="675"/>
      <c r="P943" s="675"/>
      <c r="Q943" s="675"/>
      <c r="R943" s="675"/>
      <c r="S943" s="675"/>
      <c r="T943" s="675"/>
      <c r="U943" s="675"/>
      <c r="V943" s="675"/>
      <c r="W943" s="675"/>
      <c r="X943" s="675"/>
      <c r="Y943" s="675"/>
      <c r="Z943" s="675"/>
      <c r="AA943" s="675"/>
      <c r="AB943" s="675"/>
      <c r="AC943" s="675"/>
      <c r="AD943" s="675"/>
      <c r="AE943" s="675"/>
      <c r="AF943" s="675"/>
      <c r="AG943" s="675"/>
      <c r="AH943" s="675"/>
      <c r="AI943" s="675"/>
      <c r="AJ943" s="675"/>
      <c r="AK943" s="658"/>
    </row>
    <row r="944" spans="1:37" ht="15" customHeight="1">
      <c r="A944" s="5"/>
      <c r="B944" s="313"/>
      <c r="C944" s="835"/>
      <c r="D944" s="725"/>
      <c r="E944" s="131"/>
      <c r="F944" s="75"/>
      <c r="G944" s="111"/>
      <c r="H944" s="78"/>
      <c r="I944" s="79"/>
      <c r="J944" s="52"/>
      <c r="K944" s="156"/>
      <c r="L944" s="383"/>
      <c r="M944" s="542"/>
      <c r="N944" s="701">
        <f t="shared" si="219"/>
        <v>0</v>
      </c>
      <c r="O944" s="675"/>
      <c r="P944" s="675"/>
      <c r="Q944" s="675"/>
      <c r="R944" s="675"/>
      <c r="S944" s="675"/>
      <c r="T944" s="675"/>
      <c r="U944" s="675"/>
      <c r="V944" s="675"/>
      <c r="W944" s="675"/>
      <c r="X944" s="675"/>
      <c r="Y944" s="675"/>
      <c r="Z944" s="675"/>
      <c r="AA944" s="675"/>
      <c r="AB944" s="675"/>
      <c r="AC944" s="675"/>
      <c r="AD944" s="675"/>
      <c r="AE944" s="675"/>
      <c r="AF944" s="675"/>
      <c r="AG944" s="675"/>
      <c r="AH944" s="675"/>
      <c r="AI944" s="675"/>
      <c r="AJ944" s="675"/>
      <c r="AK944" s="658"/>
    </row>
    <row r="945" spans="1:37" ht="15" customHeight="1">
      <c r="A945" s="5"/>
      <c r="B945" s="313"/>
      <c r="C945" s="835"/>
      <c r="D945" s="725" t="s">
        <v>772</v>
      </c>
      <c r="E945" s="131"/>
      <c r="F945" s="75"/>
      <c r="G945" s="111"/>
      <c r="H945" s="78"/>
      <c r="I945" s="79"/>
      <c r="J945" s="52"/>
      <c r="K945" s="156"/>
      <c r="L945" s="383"/>
      <c r="M945" s="542"/>
      <c r="N945" s="701">
        <f t="shared" si="219"/>
        <v>0</v>
      </c>
      <c r="O945" s="675"/>
      <c r="P945" s="675"/>
      <c r="Q945" s="675"/>
      <c r="R945" s="675"/>
      <c r="S945" s="675"/>
      <c r="T945" s="675"/>
      <c r="U945" s="675"/>
      <c r="V945" s="675"/>
      <c r="W945" s="675"/>
      <c r="X945" s="675"/>
      <c r="Y945" s="675"/>
      <c r="Z945" s="675"/>
      <c r="AA945" s="675"/>
      <c r="AB945" s="675"/>
      <c r="AC945" s="675"/>
      <c r="AD945" s="675"/>
      <c r="AE945" s="675"/>
      <c r="AF945" s="675"/>
      <c r="AG945" s="675"/>
      <c r="AH945" s="675"/>
      <c r="AI945" s="675"/>
      <c r="AJ945" s="675"/>
      <c r="AK945" s="658"/>
    </row>
    <row r="946" spans="1:37" ht="15" customHeight="1">
      <c r="A946" s="5"/>
      <c r="B946" s="313"/>
      <c r="C946" s="835"/>
      <c r="D946" s="725"/>
      <c r="E946" s="131"/>
      <c r="F946" s="75"/>
      <c r="G946" s="111"/>
      <c r="H946" s="78"/>
      <c r="I946" s="79"/>
      <c r="J946" s="52"/>
      <c r="K946" s="156"/>
      <c r="L946" s="383"/>
      <c r="M946" s="542"/>
      <c r="N946" s="701">
        <f t="shared" si="219"/>
        <v>0</v>
      </c>
      <c r="O946" s="675"/>
      <c r="P946" s="675"/>
      <c r="Q946" s="675"/>
      <c r="R946" s="675"/>
      <c r="S946" s="675"/>
      <c r="T946" s="675"/>
      <c r="U946" s="675"/>
      <c r="V946" s="675"/>
      <c r="W946" s="675"/>
      <c r="X946" s="675"/>
      <c r="Y946" s="675"/>
      <c r="Z946" s="675"/>
      <c r="AA946" s="675"/>
      <c r="AB946" s="675"/>
      <c r="AC946" s="675"/>
      <c r="AD946" s="675"/>
      <c r="AE946" s="675"/>
      <c r="AF946" s="675"/>
      <c r="AG946" s="675"/>
      <c r="AH946" s="675"/>
      <c r="AI946" s="675"/>
      <c r="AJ946" s="675"/>
      <c r="AK946" s="658"/>
    </row>
    <row r="947" spans="1:37" ht="15" customHeight="1">
      <c r="A947" s="5"/>
      <c r="B947" s="313"/>
      <c r="C947" s="835"/>
      <c r="D947" s="725" t="s">
        <v>773</v>
      </c>
      <c r="E947" s="131"/>
      <c r="F947" s="75"/>
      <c r="G947" s="111"/>
      <c r="H947" s="78"/>
      <c r="I947" s="79"/>
      <c r="J947" s="52"/>
      <c r="K947" s="156"/>
      <c r="L947" s="383"/>
      <c r="M947" s="542"/>
      <c r="N947" s="701">
        <f t="shared" si="219"/>
        <v>0</v>
      </c>
      <c r="O947" s="675"/>
      <c r="P947" s="675"/>
      <c r="Q947" s="675"/>
      <c r="R947" s="675"/>
      <c r="S947" s="675"/>
      <c r="T947" s="675"/>
      <c r="U947" s="675"/>
      <c r="V947" s="675"/>
      <c r="W947" s="675"/>
      <c r="X947" s="675"/>
      <c r="Y947" s="675"/>
      <c r="Z947" s="675"/>
      <c r="AA947" s="675"/>
      <c r="AB947" s="675"/>
      <c r="AC947" s="675"/>
      <c r="AD947" s="675"/>
      <c r="AE947" s="675"/>
      <c r="AF947" s="675"/>
      <c r="AG947" s="675"/>
      <c r="AH947" s="675"/>
      <c r="AI947" s="675"/>
      <c r="AJ947" s="675"/>
      <c r="AK947" s="658"/>
    </row>
    <row r="948" spans="1:37" ht="15" customHeight="1">
      <c r="A948" s="5"/>
      <c r="B948" s="313"/>
      <c r="C948" s="835"/>
      <c r="D948" s="725" t="s">
        <v>774</v>
      </c>
      <c r="E948" s="131"/>
      <c r="F948" s="75"/>
      <c r="G948" s="111"/>
      <c r="H948" s="78"/>
      <c r="I948" s="79"/>
      <c r="J948" s="52"/>
      <c r="K948" s="156"/>
      <c r="L948" s="383"/>
      <c r="M948" s="542"/>
      <c r="N948" s="701">
        <f t="shared" si="219"/>
        <v>0</v>
      </c>
      <c r="O948" s="675"/>
      <c r="P948" s="675"/>
      <c r="Q948" s="675"/>
      <c r="R948" s="675"/>
      <c r="S948" s="675"/>
      <c r="T948" s="675"/>
      <c r="U948" s="675"/>
      <c r="V948" s="675"/>
      <c r="W948" s="675"/>
      <c r="X948" s="675"/>
      <c r="Y948" s="675"/>
      <c r="Z948" s="675"/>
      <c r="AA948" s="675"/>
      <c r="AB948" s="675"/>
      <c r="AC948" s="675"/>
      <c r="AD948" s="675"/>
      <c r="AE948" s="675"/>
      <c r="AF948" s="675"/>
      <c r="AG948" s="675"/>
      <c r="AH948" s="675"/>
      <c r="AI948" s="675"/>
      <c r="AJ948" s="675"/>
      <c r="AK948" s="658"/>
    </row>
    <row r="949" spans="1:37" ht="15" customHeight="1">
      <c r="A949" s="5"/>
      <c r="B949" s="313"/>
      <c r="C949" s="835"/>
      <c r="D949" s="725" t="s">
        <v>775</v>
      </c>
      <c r="E949" s="131"/>
      <c r="F949" s="75"/>
      <c r="G949" s="111"/>
      <c r="H949" s="78"/>
      <c r="I949" s="79"/>
      <c r="J949" s="52"/>
      <c r="K949" s="156"/>
      <c r="L949" s="383"/>
      <c r="M949" s="542"/>
      <c r="N949" s="701">
        <f t="shared" si="219"/>
        <v>0</v>
      </c>
      <c r="O949" s="675"/>
      <c r="P949" s="675"/>
      <c r="Q949" s="675"/>
      <c r="R949" s="675"/>
      <c r="S949" s="675"/>
      <c r="T949" s="675"/>
      <c r="U949" s="675"/>
      <c r="V949" s="675"/>
      <c r="W949" s="675"/>
      <c r="X949" s="675"/>
      <c r="Y949" s="675"/>
      <c r="Z949" s="675"/>
      <c r="AA949" s="675"/>
      <c r="AB949" s="675"/>
      <c r="AC949" s="675"/>
      <c r="AD949" s="675"/>
      <c r="AE949" s="675"/>
      <c r="AF949" s="675"/>
      <c r="AG949" s="675"/>
      <c r="AH949" s="675"/>
      <c r="AI949" s="675"/>
      <c r="AJ949" s="675"/>
      <c r="AK949" s="658"/>
    </row>
    <row r="950" spans="1:37" ht="15" customHeight="1">
      <c r="A950" s="5"/>
      <c r="B950" s="313"/>
      <c r="C950" s="835"/>
      <c r="D950" s="725" t="s">
        <v>776</v>
      </c>
      <c r="E950" s="131"/>
      <c r="F950" s="75"/>
      <c r="G950" s="111"/>
      <c r="H950" s="78"/>
      <c r="I950" s="79"/>
      <c r="J950" s="52"/>
      <c r="K950" s="156"/>
      <c r="L950" s="383"/>
      <c r="M950" s="542"/>
      <c r="N950" s="701">
        <f t="shared" si="219"/>
        <v>0</v>
      </c>
      <c r="O950" s="675"/>
      <c r="P950" s="675"/>
      <c r="Q950" s="675"/>
      <c r="R950" s="675"/>
      <c r="S950" s="675"/>
      <c r="T950" s="675"/>
      <c r="U950" s="675"/>
      <c r="V950" s="675"/>
      <c r="W950" s="675"/>
      <c r="X950" s="675"/>
      <c r="Y950" s="675"/>
      <c r="Z950" s="675"/>
      <c r="AA950" s="675"/>
      <c r="AB950" s="675"/>
      <c r="AC950" s="675"/>
      <c r="AD950" s="675"/>
      <c r="AE950" s="675"/>
      <c r="AF950" s="675"/>
      <c r="AG950" s="675"/>
      <c r="AH950" s="675"/>
      <c r="AI950" s="675"/>
      <c r="AJ950" s="675"/>
      <c r="AK950" s="658"/>
    </row>
    <row r="951" spans="1:37" ht="15" customHeight="1">
      <c r="A951" s="5"/>
      <c r="B951" s="313"/>
      <c r="C951" s="835"/>
      <c r="D951" s="725" t="s">
        <v>777</v>
      </c>
      <c r="E951" s="131"/>
      <c r="F951" s="75"/>
      <c r="G951" s="111"/>
      <c r="H951" s="78"/>
      <c r="I951" s="79"/>
      <c r="J951" s="52"/>
      <c r="K951" s="156"/>
      <c r="L951" s="383"/>
      <c r="M951" s="542"/>
      <c r="N951" s="701">
        <f t="shared" si="219"/>
        <v>0</v>
      </c>
      <c r="O951" s="675"/>
      <c r="P951" s="675"/>
      <c r="Q951" s="675"/>
      <c r="R951" s="675"/>
      <c r="S951" s="675"/>
      <c r="T951" s="675"/>
      <c r="U951" s="675"/>
      <c r="V951" s="675"/>
      <c r="W951" s="675"/>
      <c r="X951" s="675"/>
      <c r="Y951" s="675"/>
      <c r="Z951" s="675"/>
      <c r="AA951" s="675"/>
      <c r="AB951" s="675"/>
      <c r="AC951" s="675"/>
      <c r="AD951" s="675"/>
      <c r="AE951" s="675"/>
      <c r="AF951" s="675"/>
      <c r="AG951" s="675"/>
      <c r="AH951" s="675"/>
      <c r="AI951" s="675"/>
      <c r="AJ951" s="675"/>
      <c r="AK951" s="658"/>
    </row>
    <row r="952" spans="1:37" ht="15" customHeight="1">
      <c r="A952" s="5"/>
      <c r="B952" s="313"/>
      <c r="C952" s="835"/>
      <c r="D952" s="725" t="s">
        <v>778</v>
      </c>
      <c r="E952" s="131"/>
      <c r="F952" s="75"/>
      <c r="G952" s="111"/>
      <c r="H952" s="78"/>
      <c r="I952" s="79"/>
      <c r="J952" s="52"/>
      <c r="K952" s="156"/>
      <c r="L952" s="383"/>
      <c r="M952" s="542"/>
      <c r="N952" s="701">
        <f t="shared" si="219"/>
        <v>0</v>
      </c>
      <c r="O952" s="675"/>
      <c r="P952" s="675"/>
      <c r="Q952" s="675"/>
      <c r="R952" s="675"/>
      <c r="S952" s="675"/>
      <c r="T952" s="675"/>
      <c r="U952" s="675"/>
      <c r="V952" s="675"/>
      <c r="W952" s="675"/>
      <c r="X952" s="675"/>
      <c r="Y952" s="675"/>
      <c r="Z952" s="675"/>
      <c r="AA952" s="675"/>
      <c r="AB952" s="675"/>
      <c r="AC952" s="675"/>
      <c r="AD952" s="675"/>
      <c r="AE952" s="675"/>
      <c r="AF952" s="675"/>
      <c r="AG952" s="675"/>
      <c r="AH952" s="675"/>
      <c r="AI952" s="675"/>
      <c r="AJ952" s="675"/>
      <c r="AK952" s="658"/>
    </row>
    <row r="953" spans="1:37" ht="15" customHeight="1">
      <c r="A953" s="5"/>
      <c r="B953" s="313"/>
      <c r="C953" s="835"/>
      <c r="D953" s="725" t="s">
        <v>779</v>
      </c>
      <c r="E953" s="131"/>
      <c r="F953" s="75"/>
      <c r="G953" s="111"/>
      <c r="H953" s="78"/>
      <c r="I953" s="79"/>
      <c r="J953" s="52"/>
      <c r="K953" s="156"/>
      <c r="L953" s="383"/>
      <c r="M953" s="542"/>
      <c r="N953" s="701">
        <f t="shared" si="219"/>
        <v>0</v>
      </c>
      <c r="O953" s="675"/>
      <c r="P953" s="675"/>
      <c r="Q953" s="675"/>
      <c r="R953" s="675"/>
      <c r="S953" s="675"/>
      <c r="T953" s="675"/>
      <c r="U953" s="675"/>
      <c r="V953" s="675"/>
      <c r="W953" s="675"/>
      <c r="X953" s="675"/>
      <c r="Y953" s="675"/>
      <c r="Z953" s="675"/>
      <c r="AA953" s="675"/>
      <c r="AB953" s="675"/>
      <c r="AC953" s="675"/>
      <c r="AD953" s="675"/>
      <c r="AE953" s="675"/>
      <c r="AF953" s="675"/>
      <c r="AG953" s="675"/>
      <c r="AH953" s="675"/>
      <c r="AI953" s="675"/>
      <c r="AJ953" s="675"/>
      <c r="AK953" s="658"/>
    </row>
    <row r="954" spans="1:37" ht="15" customHeight="1">
      <c r="A954" s="5"/>
      <c r="B954" s="313"/>
      <c r="C954" s="835"/>
      <c r="D954" s="725" t="s">
        <v>780</v>
      </c>
      <c r="E954" s="131"/>
      <c r="F954" s="75"/>
      <c r="G954" s="111"/>
      <c r="H954" s="78"/>
      <c r="I954" s="79"/>
      <c r="J954" s="52"/>
      <c r="K954" s="156"/>
      <c r="L954" s="383"/>
      <c r="M954" s="542"/>
      <c r="N954" s="701">
        <f t="shared" si="219"/>
        <v>0</v>
      </c>
      <c r="O954" s="675"/>
      <c r="P954" s="675"/>
      <c r="Q954" s="675"/>
      <c r="R954" s="675"/>
      <c r="S954" s="675"/>
      <c r="T954" s="675"/>
      <c r="U954" s="675"/>
      <c r="V954" s="675"/>
      <c r="W954" s="675"/>
      <c r="X954" s="675"/>
      <c r="Y954" s="675"/>
      <c r="Z954" s="675"/>
      <c r="AA954" s="675"/>
      <c r="AB954" s="675"/>
      <c r="AC954" s="675"/>
      <c r="AD954" s="675"/>
      <c r="AE954" s="675"/>
      <c r="AF954" s="675"/>
      <c r="AG954" s="675"/>
      <c r="AH954" s="675"/>
      <c r="AI954" s="675"/>
      <c r="AJ954" s="675"/>
      <c r="AK954" s="658"/>
    </row>
    <row r="955" spans="1:37" ht="15" customHeight="1">
      <c r="A955" s="5"/>
      <c r="B955" s="313"/>
      <c r="C955" s="835"/>
      <c r="D955" s="725" t="s">
        <v>781</v>
      </c>
      <c r="E955" s="131"/>
      <c r="F955" s="75"/>
      <c r="G955" s="111"/>
      <c r="H955" s="78"/>
      <c r="I955" s="79"/>
      <c r="J955" s="52"/>
      <c r="K955" s="156"/>
      <c r="L955" s="383"/>
      <c r="M955" s="542"/>
      <c r="N955" s="701">
        <f t="shared" si="219"/>
        <v>0</v>
      </c>
      <c r="O955" s="675"/>
      <c r="P955" s="675"/>
      <c r="Q955" s="675"/>
      <c r="R955" s="675"/>
      <c r="S955" s="675"/>
      <c r="T955" s="675"/>
      <c r="U955" s="675"/>
      <c r="V955" s="675"/>
      <c r="W955" s="675"/>
      <c r="X955" s="675"/>
      <c r="Y955" s="675"/>
      <c r="Z955" s="675"/>
      <c r="AA955" s="675"/>
      <c r="AB955" s="675"/>
      <c r="AC955" s="675"/>
      <c r="AD955" s="675"/>
      <c r="AE955" s="675"/>
      <c r="AF955" s="675"/>
      <c r="AG955" s="675"/>
      <c r="AH955" s="675"/>
      <c r="AI955" s="675"/>
      <c r="AJ955" s="675"/>
      <c r="AK955" s="658"/>
    </row>
    <row r="956" spans="1:37" ht="15" customHeight="1">
      <c r="A956" s="5"/>
      <c r="B956" s="313"/>
      <c r="C956" s="835"/>
      <c r="D956" s="725" t="s">
        <v>782</v>
      </c>
      <c r="E956" s="131"/>
      <c r="F956" s="75"/>
      <c r="G956" s="111"/>
      <c r="H956" s="78"/>
      <c r="I956" s="79"/>
      <c r="J956" s="52"/>
      <c r="K956" s="156"/>
      <c r="L956" s="383"/>
      <c r="M956" s="542"/>
      <c r="N956" s="701">
        <f t="shared" si="219"/>
        <v>0</v>
      </c>
      <c r="O956" s="675"/>
      <c r="P956" s="675"/>
      <c r="Q956" s="675"/>
      <c r="R956" s="675"/>
      <c r="S956" s="675"/>
      <c r="T956" s="675"/>
      <c r="U956" s="675"/>
      <c r="V956" s="675"/>
      <c r="W956" s="675"/>
      <c r="X956" s="675"/>
      <c r="Y956" s="675"/>
      <c r="Z956" s="675"/>
      <c r="AA956" s="675"/>
      <c r="AB956" s="675"/>
      <c r="AC956" s="675"/>
      <c r="AD956" s="675"/>
      <c r="AE956" s="675"/>
      <c r="AF956" s="675"/>
      <c r="AG956" s="675"/>
      <c r="AH956" s="675"/>
      <c r="AI956" s="675"/>
      <c r="AJ956" s="675"/>
      <c r="AK956" s="658"/>
    </row>
    <row r="957" spans="1:37" ht="15" customHeight="1">
      <c r="A957" s="5"/>
      <c r="B957" s="313"/>
      <c r="C957" s="835"/>
      <c r="D957" s="725" t="s">
        <v>783</v>
      </c>
      <c r="E957" s="131"/>
      <c r="F957" s="75"/>
      <c r="G957" s="111"/>
      <c r="H957" s="78"/>
      <c r="I957" s="79"/>
      <c r="J957" s="52"/>
      <c r="K957" s="156"/>
      <c r="L957" s="383"/>
      <c r="M957" s="542"/>
      <c r="N957" s="701">
        <f t="shared" si="219"/>
        <v>0</v>
      </c>
      <c r="O957" s="675"/>
      <c r="P957" s="675"/>
      <c r="Q957" s="675"/>
      <c r="R957" s="675"/>
      <c r="S957" s="675"/>
      <c r="T957" s="675"/>
      <c r="U957" s="675"/>
      <c r="V957" s="675"/>
      <c r="W957" s="675"/>
      <c r="X957" s="675"/>
      <c r="Y957" s="675"/>
      <c r="Z957" s="675"/>
      <c r="AA957" s="675"/>
      <c r="AB957" s="675"/>
      <c r="AC957" s="675"/>
      <c r="AD957" s="675"/>
      <c r="AE957" s="675"/>
      <c r="AF957" s="675"/>
      <c r="AG957" s="675"/>
      <c r="AH957" s="675"/>
      <c r="AI957" s="675"/>
      <c r="AJ957" s="675"/>
      <c r="AK957" s="658"/>
    </row>
    <row r="958" spans="1:37" ht="15" customHeight="1">
      <c r="A958" s="5"/>
      <c r="B958" s="313"/>
      <c r="C958" s="835"/>
      <c r="D958" s="725" t="s">
        <v>784</v>
      </c>
      <c r="E958" s="131"/>
      <c r="F958" s="75"/>
      <c r="G958" s="111"/>
      <c r="H958" s="78"/>
      <c r="I958" s="79"/>
      <c r="J958" s="52"/>
      <c r="K958" s="156"/>
      <c r="L958" s="383"/>
      <c r="M958" s="542"/>
      <c r="N958" s="701">
        <f t="shared" si="219"/>
        <v>0</v>
      </c>
      <c r="O958" s="675"/>
      <c r="P958" s="675"/>
      <c r="Q958" s="675"/>
      <c r="R958" s="675"/>
      <c r="S958" s="675"/>
      <c r="T958" s="675"/>
      <c r="U958" s="675"/>
      <c r="V958" s="675"/>
      <c r="W958" s="675"/>
      <c r="X958" s="675"/>
      <c r="Y958" s="675"/>
      <c r="Z958" s="675"/>
      <c r="AA958" s="675"/>
      <c r="AB958" s="675"/>
      <c r="AC958" s="675"/>
      <c r="AD958" s="675"/>
      <c r="AE958" s="675"/>
      <c r="AF958" s="675"/>
      <c r="AG958" s="675"/>
      <c r="AH958" s="675"/>
      <c r="AI958" s="675"/>
      <c r="AJ958" s="675"/>
      <c r="AK958" s="658"/>
    </row>
    <row r="959" spans="1:37" ht="15" customHeight="1">
      <c r="A959" s="5"/>
      <c r="B959" s="313"/>
      <c r="C959" s="835"/>
      <c r="D959" s="725" t="s">
        <v>785</v>
      </c>
      <c r="E959" s="131"/>
      <c r="F959" s="75"/>
      <c r="G959" s="111"/>
      <c r="H959" s="78"/>
      <c r="I959" s="79"/>
      <c r="J959" s="52"/>
      <c r="K959" s="156"/>
      <c r="L959" s="383"/>
      <c r="M959" s="542"/>
      <c r="N959" s="701">
        <f t="shared" si="219"/>
        <v>0</v>
      </c>
      <c r="O959" s="675"/>
      <c r="P959" s="675"/>
      <c r="Q959" s="675"/>
      <c r="R959" s="675"/>
      <c r="S959" s="675"/>
      <c r="T959" s="675"/>
      <c r="U959" s="675"/>
      <c r="V959" s="675"/>
      <c r="W959" s="675"/>
      <c r="X959" s="675"/>
      <c r="Y959" s="675"/>
      <c r="Z959" s="675"/>
      <c r="AA959" s="675"/>
      <c r="AB959" s="675"/>
      <c r="AC959" s="675"/>
      <c r="AD959" s="675"/>
      <c r="AE959" s="675"/>
      <c r="AF959" s="675"/>
      <c r="AG959" s="675"/>
      <c r="AH959" s="675"/>
      <c r="AI959" s="675"/>
      <c r="AJ959" s="675"/>
      <c r="AK959" s="658"/>
    </row>
    <row r="960" spans="1:37" ht="15" customHeight="1">
      <c r="A960" s="5"/>
      <c r="B960" s="313"/>
      <c r="C960" s="835"/>
      <c r="D960" s="725" t="s">
        <v>786</v>
      </c>
      <c r="E960" s="131"/>
      <c r="F960" s="75"/>
      <c r="G960" s="111"/>
      <c r="H960" s="78"/>
      <c r="I960" s="79"/>
      <c r="J960" s="52"/>
      <c r="K960" s="156"/>
      <c r="L960" s="383"/>
      <c r="M960" s="542"/>
      <c r="N960" s="701">
        <f t="shared" si="219"/>
        <v>0</v>
      </c>
      <c r="O960" s="675"/>
      <c r="P960" s="675"/>
      <c r="Q960" s="675"/>
      <c r="R960" s="675"/>
      <c r="S960" s="675"/>
      <c r="T960" s="675"/>
      <c r="U960" s="675"/>
      <c r="V960" s="675"/>
      <c r="W960" s="675"/>
      <c r="X960" s="675"/>
      <c r="Y960" s="675"/>
      <c r="Z960" s="675"/>
      <c r="AA960" s="675"/>
      <c r="AB960" s="675"/>
      <c r="AC960" s="675"/>
      <c r="AD960" s="675"/>
      <c r="AE960" s="675"/>
      <c r="AF960" s="675"/>
      <c r="AG960" s="675"/>
      <c r="AH960" s="675"/>
      <c r="AI960" s="675"/>
      <c r="AJ960" s="675"/>
      <c r="AK960" s="658"/>
    </row>
    <row r="961" spans="1:37" ht="15" customHeight="1">
      <c r="A961" s="5"/>
      <c r="B961" s="313"/>
      <c r="C961" s="835"/>
      <c r="D961" s="725" t="s">
        <v>787</v>
      </c>
      <c r="E961" s="131"/>
      <c r="F961" s="75"/>
      <c r="G961" s="111"/>
      <c r="H961" s="78"/>
      <c r="I961" s="79"/>
      <c r="J961" s="52"/>
      <c r="K961" s="156"/>
      <c r="L961" s="383"/>
      <c r="M961" s="542"/>
      <c r="N961" s="701">
        <f t="shared" si="219"/>
        <v>0</v>
      </c>
      <c r="O961" s="675"/>
      <c r="P961" s="675"/>
      <c r="Q961" s="675"/>
      <c r="R961" s="675"/>
      <c r="S961" s="675"/>
      <c r="T961" s="675"/>
      <c r="U961" s="675"/>
      <c r="V961" s="675"/>
      <c r="W961" s="675"/>
      <c r="X961" s="675"/>
      <c r="Y961" s="675"/>
      <c r="Z961" s="675"/>
      <c r="AA961" s="675"/>
      <c r="AB961" s="675"/>
      <c r="AC961" s="675"/>
      <c r="AD961" s="675"/>
      <c r="AE961" s="675"/>
      <c r="AF961" s="675"/>
      <c r="AG961" s="675"/>
      <c r="AH961" s="675"/>
      <c r="AI961" s="675"/>
      <c r="AJ961" s="675"/>
      <c r="AK961" s="658"/>
    </row>
    <row r="962" spans="1:37" ht="15" customHeight="1">
      <c r="A962" s="5"/>
      <c r="B962" s="313"/>
      <c r="C962" s="835"/>
      <c r="D962" s="725" t="s">
        <v>788</v>
      </c>
      <c r="E962" s="131"/>
      <c r="F962" s="75"/>
      <c r="G962" s="111"/>
      <c r="H962" s="78"/>
      <c r="I962" s="79"/>
      <c r="J962" s="52"/>
      <c r="K962" s="156"/>
      <c r="L962" s="383"/>
      <c r="M962" s="542"/>
      <c r="N962" s="701">
        <f t="shared" si="219"/>
        <v>0</v>
      </c>
      <c r="O962" s="675"/>
      <c r="P962" s="675"/>
      <c r="Q962" s="675"/>
      <c r="R962" s="675"/>
      <c r="S962" s="675"/>
      <c r="T962" s="675"/>
      <c r="U962" s="675"/>
      <c r="V962" s="675"/>
      <c r="W962" s="675"/>
      <c r="X962" s="675"/>
      <c r="Y962" s="675"/>
      <c r="Z962" s="675"/>
      <c r="AA962" s="675"/>
      <c r="AB962" s="675"/>
      <c r="AC962" s="675"/>
      <c r="AD962" s="675"/>
      <c r="AE962" s="675"/>
      <c r="AF962" s="675"/>
      <c r="AG962" s="675"/>
      <c r="AH962" s="675"/>
      <c r="AI962" s="675"/>
      <c r="AJ962" s="675"/>
      <c r="AK962" s="658"/>
    </row>
    <row r="963" spans="1:37" ht="15" customHeight="1">
      <c r="A963" s="5"/>
      <c r="B963" s="313"/>
      <c r="C963" s="835"/>
      <c r="D963" s="725" t="s">
        <v>789</v>
      </c>
      <c r="E963" s="131"/>
      <c r="F963" s="75"/>
      <c r="G963" s="111"/>
      <c r="H963" s="78"/>
      <c r="I963" s="79"/>
      <c r="J963" s="52"/>
      <c r="K963" s="156"/>
      <c r="L963" s="383"/>
      <c r="M963" s="542"/>
      <c r="N963" s="701">
        <f t="shared" si="219"/>
        <v>0</v>
      </c>
      <c r="O963" s="675"/>
      <c r="P963" s="675"/>
      <c r="Q963" s="675"/>
      <c r="R963" s="675"/>
      <c r="S963" s="675"/>
      <c r="T963" s="675"/>
      <c r="U963" s="675"/>
      <c r="V963" s="675"/>
      <c r="W963" s="675"/>
      <c r="X963" s="675"/>
      <c r="Y963" s="675"/>
      <c r="Z963" s="675"/>
      <c r="AA963" s="675"/>
      <c r="AB963" s="675"/>
      <c r="AC963" s="675"/>
      <c r="AD963" s="675"/>
      <c r="AE963" s="675"/>
      <c r="AF963" s="675"/>
      <c r="AG963" s="675"/>
      <c r="AH963" s="675"/>
      <c r="AI963" s="675"/>
      <c r="AJ963" s="675"/>
      <c r="AK963" s="658"/>
    </row>
    <row r="964" spans="1:37" ht="15" customHeight="1">
      <c r="A964" s="5"/>
      <c r="B964" s="313"/>
      <c r="C964" s="835"/>
      <c r="D964" s="725" t="s">
        <v>790</v>
      </c>
      <c r="E964" s="131"/>
      <c r="F964" s="75"/>
      <c r="G964" s="111"/>
      <c r="H964" s="78"/>
      <c r="I964" s="79"/>
      <c r="J964" s="52"/>
      <c r="K964" s="156"/>
      <c r="L964" s="383"/>
      <c r="M964" s="542"/>
      <c r="N964" s="701">
        <f t="shared" si="219"/>
        <v>0</v>
      </c>
      <c r="O964" s="675"/>
      <c r="P964" s="675"/>
      <c r="Q964" s="675"/>
      <c r="R964" s="675"/>
      <c r="S964" s="675"/>
      <c r="T964" s="675"/>
      <c r="U964" s="675"/>
      <c r="V964" s="675"/>
      <c r="W964" s="675"/>
      <c r="X964" s="675"/>
      <c r="Y964" s="675"/>
      <c r="Z964" s="675"/>
      <c r="AA964" s="675"/>
      <c r="AB964" s="675"/>
      <c r="AC964" s="675"/>
      <c r="AD964" s="675"/>
      <c r="AE964" s="675"/>
      <c r="AF964" s="675"/>
      <c r="AG964" s="675"/>
      <c r="AH964" s="675"/>
      <c r="AI964" s="675"/>
      <c r="AJ964" s="675"/>
      <c r="AK964" s="658"/>
    </row>
    <row r="965" spans="1:37" ht="15" customHeight="1">
      <c r="A965" s="5"/>
      <c r="B965" s="313"/>
      <c r="C965" s="835"/>
      <c r="D965" s="725" t="s">
        <v>791</v>
      </c>
      <c r="E965" s="131"/>
      <c r="F965" s="75"/>
      <c r="G965" s="111"/>
      <c r="H965" s="78"/>
      <c r="I965" s="79"/>
      <c r="J965" s="52"/>
      <c r="K965" s="156"/>
      <c r="L965" s="383"/>
      <c r="M965" s="542"/>
      <c r="N965" s="701">
        <f t="shared" si="219"/>
        <v>0</v>
      </c>
      <c r="O965" s="675"/>
      <c r="P965" s="675"/>
      <c r="Q965" s="675"/>
      <c r="R965" s="675"/>
      <c r="S965" s="675"/>
      <c r="T965" s="675"/>
      <c r="U965" s="675"/>
      <c r="V965" s="675"/>
      <c r="W965" s="675"/>
      <c r="X965" s="675"/>
      <c r="Y965" s="675"/>
      <c r="Z965" s="675"/>
      <c r="AA965" s="675"/>
      <c r="AB965" s="675"/>
      <c r="AC965" s="675"/>
      <c r="AD965" s="675"/>
      <c r="AE965" s="675"/>
      <c r="AF965" s="675"/>
      <c r="AG965" s="675"/>
      <c r="AH965" s="675"/>
      <c r="AI965" s="675"/>
      <c r="AJ965" s="675"/>
      <c r="AK965" s="658"/>
    </row>
    <row r="966" spans="1:37" ht="15" customHeight="1">
      <c r="A966" s="5"/>
      <c r="B966" s="313"/>
      <c r="C966" s="835"/>
      <c r="D966" s="725" t="s">
        <v>792</v>
      </c>
      <c r="E966" s="131"/>
      <c r="F966" s="75"/>
      <c r="G966" s="111"/>
      <c r="H966" s="78"/>
      <c r="I966" s="79"/>
      <c r="J966" s="52"/>
      <c r="K966" s="156"/>
      <c r="L966" s="383"/>
      <c r="M966" s="542"/>
      <c r="N966" s="701">
        <f t="shared" si="219"/>
        <v>0</v>
      </c>
      <c r="O966" s="675"/>
      <c r="P966" s="675"/>
      <c r="Q966" s="675"/>
      <c r="R966" s="675"/>
      <c r="S966" s="675"/>
      <c r="T966" s="675"/>
      <c r="U966" s="675"/>
      <c r="V966" s="675"/>
      <c r="W966" s="675"/>
      <c r="X966" s="675"/>
      <c r="Y966" s="675"/>
      <c r="Z966" s="675"/>
      <c r="AA966" s="675"/>
      <c r="AB966" s="675"/>
      <c r="AC966" s="675"/>
      <c r="AD966" s="675"/>
      <c r="AE966" s="675"/>
      <c r="AF966" s="675"/>
      <c r="AG966" s="675"/>
      <c r="AH966" s="675"/>
      <c r="AI966" s="675"/>
      <c r="AJ966" s="675"/>
      <c r="AK966" s="658"/>
    </row>
    <row r="967" spans="1:37" ht="15" customHeight="1">
      <c r="A967" s="5"/>
      <c r="B967" s="313"/>
      <c r="C967" s="835"/>
      <c r="D967" s="725" t="s">
        <v>793</v>
      </c>
      <c r="E967" s="131"/>
      <c r="F967" s="75"/>
      <c r="G967" s="111"/>
      <c r="H967" s="78"/>
      <c r="I967" s="79"/>
      <c r="J967" s="52"/>
      <c r="K967" s="156"/>
      <c r="L967" s="383"/>
      <c r="M967" s="542"/>
      <c r="N967" s="701">
        <f t="shared" si="219"/>
        <v>0</v>
      </c>
      <c r="O967" s="675"/>
      <c r="P967" s="675"/>
      <c r="Q967" s="675"/>
      <c r="R967" s="675"/>
      <c r="S967" s="675"/>
      <c r="T967" s="675"/>
      <c r="U967" s="675"/>
      <c r="V967" s="675"/>
      <c r="W967" s="675"/>
      <c r="X967" s="675"/>
      <c r="Y967" s="675"/>
      <c r="Z967" s="675"/>
      <c r="AA967" s="675"/>
      <c r="AB967" s="675"/>
      <c r="AC967" s="675"/>
      <c r="AD967" s="675"/>
      <c r="AE967" s="675"/>
      <c r="AF967" s="675"/>
      <c r="AG967" s="675"/>
      <c r="AH967" s="675"/>
      <c r="AI967" s="675"/>
      <c r="AJ967" s="675"/>
      <c r="AK967" s="658"/>
    </row>
    <row r="968" spans="1:37" ht="15" customHeight="1">
      <c r="A968" s="5"/>
      <c r="B968" s="313"/>
      <c r="C968" s="835"/>
      <c r="D968" s="725" t="s">
        <v>794</v>
      </c>
      <c r="E968" s="131"/>
      <c r="F968" s="75"/>
      <c r="G968" s="111"/>
      <c r="H968" s="78"/>
      <c r="I968" s="79"/>
      <c r="J968" s="52"/>
      <c r="K968" s="156"/>
      <c r="L968" s="383"/>
      <c r="M968" s="542"/>
      <c r="N968" s="701">
        <f t="shared" si="219"/>
        <v>0</v>
      </c>
      <c r="O968" s="675"/>
      <c r="P968" s="675"/>
      <c r="Q968" s="675"/>
      <c r="R968" s="675"/>
      <c r="S968" s="675"/>
      <c r="T968" s="675"/>
      <c r="U968" s="675"/>
      <c r="V968" s="675"/>
      <c r="W968" s="675"/>
      <c r="X968" s="675"/>
      <c r="Y968" s="675"/>
      <c r="Z968" s="675"/>
      <c r="AA968" s="675"/>
      <c r="AB968" s="675"/>
      <c r="AC968" s="675"/>
      <c r="AD968" s="675"/>
      <c r="AE968" s="675"/>
      <c r="AF968" s="675"/>
      <c r="AG968" s="675"/>
      <c r="AH968" s="675"/>
      <c r="AI968" s="675"/>
      <c r="AJ968" s="675"/>
      <c r="AK968" s="658"/>
    </row>
    <row r="969" spans="1:37" ht="15" customHeight="1">
      <c r="A969" s="5"/>
      <c r="B969" s="313"/>
      <c r="C969" s="835"/>
      <c r="D969" s="725" t="s">
        <v>795</v>
      </c>
      <c r="E969" s="131"/>
      <c r="F969" s="75"/>
      <c r="G969" s="111"/>
      <c r="H969" s="78"/>
      <c r="I969" s="79"/>
      <c r="J969" s="52"/>
      <c r="K969" s="156"/>
      <c r="L969" s="383"/>
      <c r="M969" s="542"/>
      <c r="N969" s="701">
        <f t="shared" si="219"/>
        <v>0</v>
      </c>
      <c r="O969" s="675"/>
      <c r="P969" s="675"/>
      <c r="Q969" s="675"/>
      <c r="R969" s="675"/>
      <c r="S969" s="675"/>
      <c r="T969" s="675"/>
      <c r="U969" s="675"/>
      <c r="V969" s="675"/>
      <c r="W969" s="675"/>
      <c r="X969" s="675"/>
      <c r="Y969" s="675"/>
      <c r="Z969" s="675"/>
      <c r="AA969" s="675"/>
      <c r="AB969" s="675"/>
      <c r="AC969" s="675"/>
      <c r="AD969" s="675"/>
      <c r="AE969" s="675"/>
      <c r="AF969" s="675"/>
      <c r="AG969" s="675"/>
      <c r="AH969" s="675"/>
      <c r="AI969" s="675"/>
      <c r="AJ969" s="675"/>
      <c r="AK969" s="658"/>
    </row>
    <row r="970" spans="1:37" ht="15" customHeight="1">
      <c r="A970" s="5"/>
      <c r="B970" s="313"/>
      <c r="C970" s="835"/>
      <c r="D970" s="725" t="s">
        <v>796</v>
      </c>
      <c r="E970" s="131"/>
      <c r="F970" s="75"/>
      <c r="G970" s="111"/>
      <c r="H970" s="78"/>
      <c r="I970" s="79"/>
      <c r="J970" s="52"/>
      <c r="K970" s="156"/>
      <c r="L970" s="383"/>
      <c r="M970" s="542"/>
      <c r="N970" s="701">
        <f t="shared" si="219"/>
        <v>0</v>
      </c>
      <c r="O970" s="675"/>
      <c r="P970" s="675"/>
      <c r="Q970" s="675"/>
      <c r="R970" s="675"/>
      <c r="S970" s="675"/>
      <c r="T970" s="675"/>
      <c r="U970" s="675"/>
      <c r="V970" s="675"/>
      <c r="W970" s="675"/>
      <c r="X970" s="675"/>
      <c r="Y970" s="675"/>
      <c r="Z970" s="675"/>
      <c r="AA970" s="675"/>
      <c r="AB970" s="675"/>
      <c r="AC970" s="675"/>
      <c r="AD970" s="675"/>
      <c r="AE970" s="675"/>
      <c r="AF970" s="675"/>
      <c r="AG970" s="675"/>
      <c r="AH970" s="675"/>
      <c r="AI970" s="675"/>
      <c r="AJ970" s="675"/>
      <c r="AK970" s="658"/>
    </row>
    <row r="971" spans="1:37" ht="15" customHeight="1">
      <c r="A971" s="5"/>
      <c r="B971" s="313"/>
      <c r="C971" s="835"/>
      <c r="D971" s="725" t="s">
        <v>797</v>
      </c>
      <c r="E971" s="131"/>
      <c r="F971" s="75"/>
      <c r="G971" s="111"/>
      <c r="H971" s="78"/>
      <c r="I971" s="79"/>
      <c r="J971" s="52"/>
      <c r="K971" s="156"/>
      <c r="L971" s="383"/>
      <c r="M971" s="542"/>
      <c r="N971" s="701">
        <f t="shared" si="219"/>
        <v>0</v>
      </c>
      <c r="O971" s="675"/>
      <c r="P971" s="675"/>
      <c r="Q971" s="675"/>
      <c r="R971" s="675"/>
      <c r="S971" s="675"/>
      <c r="T971" s="675"/>
      <c r="U971" s="675"/>
      <c r="V971" s="675"/>
      <c r="W971" s="675"/>
      <c r="X971" s="675"/>
      <c r="Y971" s="675"/>
      <c r="Z971" s="675"/>
      <c r="AA971" s="675"/>
      <c r="AB971" s="675"/>
      <c r="AC971" s="675"/>
      <c r="AD971" s="675"/>
      <c r="AE971" s="675"/>
      <c r="AF971" s="675"/>
      <c r="AG971" s="675"/>
      <c r="AH971" s="675"/>
      <c r="AI971" s="675"/>
      <c r="AJ971" s="675"/>
      <c r="AK971" s="658"/>
    </row>
    <row r="972" spans="1:37" ht="15" customHeight="1">
      <c r="A972" s="5"/>
      <c r="B972" s="313"/>
      <c r="C972" s="835"/>
      <c r="D972" s="725" t="s">
        <v>798</v>
      </c>
      <c r="E972" s="131"/>
      <c r="F972" s="75"/>
      <c r="G972" s="111"/>
      <c r="H972" s="78"/>
      <c r="I972" s="79"/>
      <c r="J972" s="52"/>
      <c r="K972" s="156"/>
      <c r="L972" s="383"/>
      <c r="M972" s="542"/>
      <c r="N972" s="701">
        <f t="shared" si="219"/>
        <v>0</v>
      </c>
      <c r="O972" s="675"/>
      <c r="P972" s="675"/>
      <c r="Q972" s="675"/>
      <c r="R972" s="675"/>
      <c r="S972" s="675"/>
      <c r="T972" s="675"/>
      <c r="U972" s="675"/>
      <c r="V972" s="675"/>
      <c r="W972" s="675"/>
      <c r="X972" s="675"/>
      <c r="Y972" s="675"/>
      <c r="Z972" s="675"/>
      <c r="AA972" s="675"/>
      <c r="AB972" s="675"/>
      <c r="AC972" s="675"/>
      <c r="AD972" s="675"/>
      <c r="AE972" s="675"/>
      <c r="AF972" s="675"/>
      <c r="AG972" s="675"/>
      <c r="AH972" s="675"/>
      <c r="AI972" s="675"/>
      <c r="AJ972" s="675"/>
      <c r="AK972" s="658"/>
    </row>
    <row r="973" spans="1:37" ht="15" customHeight="1">
      <c r="A973" s="5"/>
      <c r="B973" s="313"/>
      <c r="C973" s="835"/>
      <c r="D973" s="725" t="s">
        <v>799</v>
      </c>
      <c r="E973" s="131"/>
      <c r="F973" s="75"/>
      <c r="G973" s="111"/>
      <c r="H973" s="78"/>
      <c r="I973" s="79"/>
      <c r="J973" s="52"/>
      <c r="K973" s="156"/>
      <c r="L973" s="383"/>
      <c r="M973" s="542"/>
      <c r="N973" s="701">
        <f t="shared" si="219"/>
        <v>0</v>
      </c>
      <c r="O973" s="675"/>
      <c r="P973" s="675"/>
      <c r="Q973" s="675"/>
      <c r="R973" s="675"/>
      <c r="S973" s="675"/>
      <c r="T973" s="675"/>
      <c r="U973" s="675"/>
      <c r="V973" s="675"/>
      <c r="W973" s="675"/>
      <c r="X973" s="675"/>
      <c r="Y973" s="675"/>
      <c r="Z973" s="675"/>
      <c r="AA973" s="675"/>
      <c r="AB973" s="675"/>
      <c r="AC973" s="675"/>
      <c r="AD973" s="675"/>
      <c r="AE973" s="675"/>
      <c r="AF973" s="675"/>
      <c r="AG973" s="675"/>
      <c r="AH973" s="675"/>
      <c r="AI973" s="675"/>
      <c r="AJ973" s="675"/>
      <c r="AK973" s="658"/>
    </row>
    <row r="974" spans="1:37" ht="15" customHeight="1">
      <c r="A974" s="5"/>
      <c r="B974" s="313"/>
      <c r="C974" s="835"/>
      <c r="D974" s="725" t="s">
        <v>800</v>
      </c>
      <c r="E974" s="131"/>
      <c r="F974" s="75"/>
      <c r="G974" s="111"/>
      <c r="H974" s="78"/>
      <c r="I974" s="79"/>
      <c r="J974" s="52"/>
      <c r="K974" s="156"/>
      <c r="L974" s="383"/>
      <c r="M974" s="542"/>
      <c r="N974" s="701">
        <f t="shared" si="219"/>
        <v>0</v>
      </c>
      <c r="O974" s="675"/>
      <c r="P974" s="675"/>
      <c r="Q974" s="675"/>
      <c r="R974" s="675"/>
      <c r="S974" s="675"/>
      <c r="T974" s="675"/>
      <c r="U974" s="675"/>
      <c r="V974" s="675"/>
      <c r="W974" s="675"/>
      <c r="X974" s="675"/>
      <c r="Y974" s="675"/>
      <c r="Z974" s="675"/>
      <c r="AA974" s="675"/>
      <c r="AB974" s="675"/>
      <c r="AC974" s="675"/>
      <c r="AD974" s="675"/>
      <c r="AE974" s="675"/>
      <c r="AF974" s="675"/>
      <c r="AG974" s="675"/>
      <c r="AH974" s="675"/>
      <c r="AI974" s="675"/>
      <c r="AJ974" s="675"/>
      <c r="AK974" s="658"/>
    </row>
    <row r="975" spans="1:37" ht="15" customHeight="1">
      <c r="A975" s="5"/>
      <c r="B975" s="313"/>
      <c r="C975" s="835"/>
      <c r="D975" s="725" t="s">
        <v>801</v>
      </c>
      <c r="E975" s="131"/>
      <c r="F975" s="75"/>
      <c r="G975" s="111"/>
      <c r="H975" s="78"/>
      <c r="I975" s="79"/>
      <c r="J975" s="52"/>
      <c r="K975" s="156"/>
      <c r="L975" s="383"/>
      <c r="M975" s="542"/>
      <c r="N975" s="701">
        <f t="shared" si="219"/>
        <v>0</v>
      </c>
      <c r="O975" s="675"/>
      <c r="P975" s="675"/>
      <c r="Q975" s="675"/>
      <c r="R975" s="675"/>
      <c r="S975" s="675"/>
      <c r="T975" s="675"/>
      <c r="U975" s="675"/>
      <c r="V975" s="675"/>
      <c r="W975" s="675"/>
      <c r="X975" s="675"/>
      <c r="Y975" s="675"/>
      <c r="Z975" s="675"/>
      <c r="AA975" s="675"/>
      <c r="AB975" s="675"/>
      <c r="AC975" s="675"/>
      <c r="AD975" s="675"/>
      <c r="AE975" s="675"/>
      <c r="AF975" s="675"/>
      <c r="AG975" s="675"/>
      <c r="AH975" s="675"/>
      <c r="AI975" s="675"/>
      <c r="AJ975" s="675"/>
      <c r="AK975" s="658"/>
    </row>
    <row r="976" spans="1:37" ht="15" customHeight="1">
      <c r="A976" s="5"/>
      <c r="B976" s="313"/>
      <c r="C976" s="835"/>
      <c r="D976" s="725" t="s">
        <v>802</v>
      </c>
      <c r="E976" s="131"/>
      <c r="F976" s="75"/>
      <c r="G976" s="111"/>
      <c r="H976" s="78"/>
      <c r="I976" s="79"/>
      <c r="J976" s="52"/>
      <c r="K976" s="156"/>
      <c r="L976" s="383"/>
      <c r="M976" s="542"/>
      <c r="N976" s="701">
        <f t="shared" si="219"/>
        <v>0</v>
      </c>
      <c r="O976" s="675"/>
      <c r="P976" s="675"/>
      <c r="Q976" s="675"/>
      <c r="R976" s="675"/>
      <c r="S976" s="675"/>
      <c r="T976" s="675"/>
      <c r="U976" s="675"/>
      <c r="V976" s="675"/>
      <c r="W976" s="675"/>
      <c r="X976" s="675"/>
      <c r="Y976" s="675"/>
      <c r="Z976" s="675"/>
      <c r="AA976" s="675"/>
      <c r="AB976" s="675"/>
      <c r="AC976" s="675"/>
      <c r="AD976" s="675"/>
      <c r="AE976" s="675"/>
      <c r="AF976" s="675"/>
      <c r="AG976" s="675"/>
      <c r="AH976" s="675"/>
      <c r="AI976" s="675"/>
      <c r="AJ976" s="675"/>
      <c r="AK976" s="658"/>
    </row>
    <row r="977" spans="1:37" ht="15" customHeight="1">
      <c r="A977" s="5"/>
      <c r="B977" s="313"/>
      <c r="C977" s="835"/>
      <c r="D977" s="725" t="s">
        <v>803</v>
      </c>
      <c r="E977" s="131"/>
      <c r="F977" s="75"/>
      <c r="G977" s="111"/>
      <c r="H977" s="78"/>
      <c r="I977" s="79"/>
      <c r="J977" s="52"/>
      <c r="K977" s="156"/>
      <c r="L977" s="383"/>
      <c r="M977" s="542"/>
      <c r="N977" s="701">
        <f t="shared" si="219"/>
        <v>0</v>
      </c>
      <c r="O977" s="675"/>
      <c r="P977" s="675"/>
      <c r="Q977" s="675"/>
      <c r="R977" s="675"/>
      <c r="S977" s="675"/>
      <c r="T977" s="675"/>
      <c r="U977" s="675"/>
      <c r="V977" s="675"/>
      <c r="W977" s="675"/>
      <c r="X977" s="675"/>
      <c r="Y977" s="675"/>
      <c r="Z977" s="675"/>
      <c r="AA977" s="675"/>
      <c r="AB977" s="675"/>
      <c r="AC977" s="675"/>
      <c r="AD977" s="675"/>
      <c r="AE977" s="675"/>
      <c r="AF977" s="675"/>
      <c r="AG977" s="675"/>
      <c r="AH977" s="675"/>
      <c r="AI977" s="675"/>
      <c r="AJ977" s="675"/>
      <c r="AK977" s="658"/>
    </row>
    <row r="978" spans="1:37" ht="15" customHeight="1">
      <c r="A978" s="5"/>
      <c r="B978" s="313"/>
      <c r="C978" s="835"/>
      <c r="D978" s="17"/>
      <c r="E978" s="67" t="s">
        <v>27</v>
      </c>
      <c r="F978" s="253">
        <v>900000</v>
      </c>
      <c r="G978" s="64">
        <v>6</v>
      </c>
      <c r="H978" s="64">
        <f>F978*G978+147000</f>
        <v>5547000</v>
      </c>
      <c r="I978" s="72"/>
      <c r="J978" s="52"/>
      <c r="K978" s="156"/>
      <c r="L978" s="383"/>
      <c r="M978" s="542"/>
      <c r="N978" s="701">
        <f t="shared" si="219"/>
        <v>0</v>
      </c>
      <c r="O978" s="675"/>
      <c r="P978" s="675"/>
      <c r="Q978" s="675"/>
      <c r="R978" s="675"/>
      <c r="S978" s="675"/>
      <c r="T978" s="675"/>
      <c r="U978" s="675"/>
      <c r="V978" s="675"/>
      <c r="W978" s="675"/>
      <c r="X978" s="675"/>
      <c r="Y978" s="675"/>
      <c r="Z978" s="675"/>
      <c r="AA978" s="675"/>
      <c r="AB978" s="675"/>
      <c r="AC978" s="675"/>
      <c r="AD978" s="675"/>
      <c r="AE978" s="675"/>
      <c r="AF978" s="675"/>
      <c r="AG978" s="675"/>
      <c r="AH978" s="675"/>
      <c r="AI978" s="675"/>
      <c r="AJ978" s="675"/>
      <c r="AK978" s="658"/>
    </row>
    <row r="979" spans="1:37" ht="15" customHeight="1">
      <c r="A979" s="5"/>
      <c r="B979" s="313"/>
      <c r="C979" s="835"/>
      <c r="D979" s="138" t="s">
        <v>168</v>
      </c>
      <c r="E979" s="120"/>
      <c r="F979" s="91"/>
      <c r="G979" s="121"/>
      <c r="H979" s="64"/>
      <c r="I979" s="94"/>
      <c r="J979" s="52"/>
      <c r="K979" s="156"/>
      <c r="L979" s="383"/>
      <c r="M979" s="542"/>
      <c r="N979" s="701">
        <f t="shared" si="219"/>
        <v>0</v>
      </c>
      <c r="O979" s="675"/>
      <c r="P979" s="675"/>
      <c r="Q979" s="675"/>
      <c r="R979" s="675"/>
      <c r="S979" s="675"/>
      <c r="T979" s="675"/>
      <c r="U979" s="675"/>
      <c r="V979" s="675"/>
      <c r="W979" s="675"/>
      <c r="X979" s="675"/>
      <c r="Y979" s="675"/>
      <c r="Z979" s="675"/>
      <c r="AA979" s="675"/>
      <c r="AB979" s="675"/>
      <c r="AC979" s="675"/>
      <c r="AD979" s="675"/>
      <c r="AE979" s="675"/>
      <c r="AF979" s="675"/>
      <c r="AG979" s="675"/>
      <c r="AH979" s="675"/>
      <c r="AI979" s="675"/>
      <c r="AJ979" s="675"/>
      <c r="AK979" s="658"/>
    </row>
    <row r="980" spans="1:37" ht="15" customHeight="1">
      <c r="A980" s="5"/>
      <c r="B980" s="313"/>
      <c r="C980" s="835"/>
      <c r="D980" s="260"/>
      <c r="E980" s="81" t="s">
        <v>348</v>
      </c>
      <c r="F980" s="253">
        <v>2500000</v>
      </c>
      <c r="G980" s="92">
        <v>7.0000000000000007E-2</v>
      </c>
      <c r="H980" s="64">
        <f>F980*G980+44100</f>
        <v>219100.00000000003</v>
      </c>
      <c r="I980" s="72"/>
      <c r="J980" s="52"/>
      <c r="K980" s="156"/>
      <c r="L980" s="383"/>
      <c r="M980" s="542"/>
      <c r="N980" s="701">
        <f t="shared" si="219"/>
        <v>0</v>
      </c>
      <c r="O980" s="675"/>
      <c r="P980" s="675"/>
      <c r="Q980" s="675"/>
      <c r="R980" s="675"/>
      <c r="S980" s="675"/>
      <c r="T980" s="675"/>
      <c r="U980" s="675"/>
      <c r="V980" s="675"/>
      <c r="W980" s="675"/>
      <c r="X980" s="675"/>
      <c r="Y980" s="675"/>
      <c r="Z980" s="675"/>
      <c r="AA980" s="675"/>
      <c r="AB980" s="675"/>
      <c r="AC980" s="675"/>
      <c r="AD980" s="675"/>
      <c r="AE980" s="675"/>
      <c r="AF980" s="675"/>
      <c r="AG980" s="675"/>
      <c r="AH980" s="675"/>
      <c r="AI980" s="675"/>
      <c r="AJ980" s="675"/>
      <c r="AK980" s="658"/>
    </row>
    <row r="981" spans="1:37" ht="15" customHeight="1">
      <c r="A981" s="5"/>
      <c r="B981" s="313"/>
      <c r="C981" s="833" t="s">
        <v>941</v>
      </c>
      <c r="D981" s="80" t="s">
        <v>169</v>
      </c>
      <c r="E981" s="131"/>
      <c r="F981" s="132"/>
      <c r="G981" s="111"/>
      <c r="H981" s="75"/>
      <c r="I981" s="126"/>
      <c r="J981" s="52"/>
      <c r="K981" s="156"/>
      <c r="L981" s="383"/>
      <c r="M981" s="542"/>
      <c r="N981" s="701">
        <f t="shared" si="219"/>
        <v>0</v>
      </c>
      <c r="O981" s="675"/>
      <c r="P981" s="675"/>
      <c r="Q981" s="675"/>
      <c r="R981" s="675"/>
      <c r="S981" s="675"/>
      <c r="T981" s="675"/>
      <c r="U981" s="675"/>
      <c r="V981" s="675"/>
      <c r="W981" s="675"/>
      <c r="X981" s="675"/>
      <c r="Y981" s="675"/>
      <c r="Z981" s="675"/>
      <c r="AA981" s="675"/>
      <c r="AB981" s="675"/>
      <c r="AC981" s="675"/>
      <c r="AD981" s="675"/>
      <c r="AE981" s="675"/>
      <c r="AF981" s="675"/>
      <c r="AG981" s="675"/>
      <c r="AH981" s="675"/>
      <c r="AI981" s="675"/>
      <c r="AJ981" s="675"/>
      <c r="AK981" s="658"/>
    </row>
    <row r="982" spans="1:37" ht="15" customHeight="1">
      <c r="A982" s="5"/>
      <c r="B982" s="313"/>
      <c r="C982" s="835"/>
      <c r="D982" s="17"/>
      <c r="E982" s="81" t="s">
        <v>27</v>
      </c>
      <c r="F982" s="253">
        <f>205000+1.2</f>
        <v>205001.2</v>
      </c>
      <c r="G982" s="64">
        <v>6</v>
      </c>
      <c r="H982" s="64">
        <f>F982*G982+151410</f>
        <v>1381417.2000000002</v>
      </c>
      <c r="I982" s="72"/>
      <c r="J982" s="52"/>
      <c r="K982" s="156"/>
      <c r="L982" s="383"/>
      <c r="M982" s="542"/>
      <c r="N982" s="701">
        <f t="shared" si="219"/>
        <v>0</v>
      </c>
      <c r="O982" s="675"/>
      <c r="P982" s="675"/>
      <c r="Q982" s="675"/>
      <c r="R982" s="675"/>
      <c r="S982" s="675"/>
      <c r="T982" s="675"/>
      <c r="U982" s="675"/>
      <c r="V982" s="675"/>
      <c r="W982" s="675"/>
      <c r="X982" s="675"/>
      <c r="Y982" s="675"/>
      <c r="Z982" s="675"/>
      <c r="AA982" s="675"/>
      <c r="AB982" s="675"/>
      <c r="AC982" s="675"/>
      <c r="AD982" s="675"/>
      <c r="AE982" s="675"/>
      <c r="AF982" s="675"/>
      <c r="AG982" s="675"/>
      <c r="AH982" s="675"/>
      <c r="AI982" s="675"/>
      <c r="AJ982" s="675"/>
      <c r="AK982" s="658"/>
    </row>
    <row r="983" spans="1:37" ht="15" customHeight="1">
      <c r="A983" s="5"/>
      <c r="B983" s="313"/>
      <c r="C983" s="833" t="s">
        <v>942</v>
      </c>
      <c r="D983" s="80" t="s">
        <v>852</v>
      </c>
      <c r="E983" s="131"/>
      <c r="F983" s="132"/>
      <c r="G983" s="111"/>
      <c r="H983" s="75"/>
      <c r="I983" s="126"/>
      <c r="J983" s="52"/>
      <c r="K983" s="156"/>
      <c r="L983" s="383"/>
      <c r="M983" s="542"/>
      <c r="N983" s="701">
        <f t="shared" ref="N983:N984" si="220">SUM(O983:AJ983)-I983</f>
        <v>0</v>
      </c>
      <c r="O983" s="675"/>
      <c r="P983" s="675"/>
      <c r="Q983" s="675"/>
      <c r="R983" s="675"/>
      <c r="S983" s="675"/>
      <c r="T983" s="675"/>
      <c r="U983" s="675"/>
      <c r="V983" s="675"/>
      <c r="W983" s="675"/>
      <c r="X983" s="675"/>
      <c r="Y983" s="675"/>
      <c r="Z983" s="675"/>
      <c r="AA983" s="675"/>
      <c r="AB983" s="675"/>
      <c r="AC983" s="675"/>
      <c r="AD983" s="675"/>
      <c r="AE983" s="675"/>
      <c r="AF983" s="675"/>
      <c r="AG983" s="675"/>
      <c r="AH983" s="675"/>
      <c r="AI983" s="675"/>
      <c r="AJ983" s="675"/>
      <c r="AK983" s="658"/>
    </row>
    <row r="984" spans="1:37" ht="15" customHeight="1">
      <c r="A984" s="5"/>
      <c r="B984" s="313"/>
      <c r="C984" s="835"/>
      <c r="D984" s="17"/>
      <c r="E984" s="81" t="s">
        <v>27</v>
      </c>
      <c r="F984" s="253">
        <v>45</v>
      </c>
      <c r="G984" s="64">
        <v>7</v>
      </c>
      <c r="H984" s="64">
        <f>F984*G984+151410</f>
        <v>151725</v>
      </c>
      <c r="I984" s="72"/>
      <c r="J984" s="52"/>
      <c r="K984" s="156"/>
      <c r="L984" s="383"/>
      <c r="M984" s="542"/>
      <c r="N984" s="701">
        <f t="shared" si="220"/>
        <v>0</v>
      </c>
      <c r="O984" s="675"/>
      <c r="P984" s="675"/>
      <c r="Q984" s="675"/>
      <c r="R984" s="675"/>
      <c r="S984" s="675"/>
      <c r="T984" s="675"/>
      <c r="U984" s="675"/>
      <c r="V984" s="675"/>
      <c r="W984" s="675"/>
      <c r="X984" s="675"/>
      <c r="Y984" s="675"/>
      <c r="Z984" s="675"/>
      <c r="AA984" s="675"/>
      <c r="AB984" s="675"/>
      <c r="AC984" s="675"/>
      <c r="AD984" s="675"/>
      <c r="AE984" s="675"/>
      <c r="AF984" s="675"/>
      <c r="AG984" s="675"/>
      <c r="AH984" s="675"/>
      <c r="AI984" s="675"/>
      <c r="AJ984" s="675"/>
      <c r="AK984" s="658"/>
    </row>
    <row r="985" spans="1:37" ht="15" customHeight="1">
      <c r="A985" s="5"/>
      <c r="B985" s="313"/>
      <c r="C985" s="835"/>
      <c r="D985" s="17"/>
      <c r="E985" s="131"/>
      <c r="F985" s="800"/>
      <c r="G985" s="111"/>
      <c r="H985" s="75"/>
      <c r="I985" s="126"/>
      <c r="J985" s="52"/>
      <c r="K985" s="156"/>
      <c r="L985" s="383"/>
      <c r="M985" s="542"/>
      <c r="N985" s="701"/>
      <c r="O985" s="675"/>
      <c r="P985" s="675"/>
      <c r="Q985" s="675"/>
      <c r="R985" s="675"/>
      <c r="S985" s="675"/>
      <c r="T985" s="675"/>
      <c r="U985" s="675"/>
      <c r="V985" s="675"/>
      <c r="W985" s="675"/>
      <c r="X985" s="675"/>
      <c r="Y985" s="675"/>
      <c r="Z985" s="675"/>
      <c r="AA985" s="675"/>
      <c r="AB985" s="675"/>
      <c r="AC985" s="675"/>
      <c r="AD985" s="675"/>
      <c r="AE985" s="675"/>
      <c r="AF985" s="675"/>
      <c r="AG985" s="675"/>
      <c r="AH985" s="675"/>
      <c r="AI985" s="675"/>
      <c r="AJ985" s="675"/>
      <c r="AK985" s="658"/>
    </row>
    <row r="986" spans="1:37" ht="15" customHeight="1">
      <c r="A986" s="5"/>
      <c r="B986" s="313"/>
      <c r="C986" s="833" t="s">
        <v>943</v>
      </c>
      <c r="D986" s="80" t="s">
        <v>170</v>
      </c>
      <c r="E986" s="131"/>
      <c r="F986" s="132"/>
      <c r="G986" s="111"/>
      <c r="H986" s="75"/>
      <c r="I986" s="126"/>
      <c r="J986" s="52"/>
      <c r="K986" s="156"/>
      <c r="L986" s="383"/>
      <c r="M986" s="542"/>
      <c r="N986" s="701">
        <f t="shared" si="219"/>
        <v>0</v>
      </c>
      <c r="O986" s="675"/>
      <c r="P986" s="675"/>
      <c r="Q986" s="675"/>
      <c r="R986" s="675"/>
      <c r="S986" s="675"/>
      <c r="T986" s="675"/>
      <c r="U986" s="675"/>
      <c r="V986" s="675"/>
      <c r="W986" s="675"/>
      <c r="X986" s="675"/>
      <c r="Y986" s="675"/>
      <c r="Z986" s="675"/>
      <c r="AA986" s="675"/>
      <c r="AB986" s="675"/>
      <c r="AC986" s="675"/>
      <c r="AD986" s="675"/>
      <c r="AE986" s="675"/>
      <c r="AF986" s="675"/>
      <c r="AG986" s="675"/>
      <c r="AH986" s="675"/>
      <c r="AI986" s="675"/>
      <c r="AJ986" s="675"/>
      <c r="AK986" s="658"/>
    </row>
    <row r="987" spans="1:37" ht="14">
      <c r="A987" s="5"/>
      <c r="B987" s="313"/>
      <c r="C987" s="833"/>
      <c r="D987" s="277" t="s">
        <v>523</v>
      </c>
      <c r="E987" s="131"/>
      <c r="F987" s="75"/>
      <c r="G987" s="111"/>
      <c r="H987" s="78"/>
      <c r="I987" s="79"/>
      <c r="J987" s="52"/>
      <c r="K987" s="156"/>
      <c r="L987" s="383"/>
      <c r="M987" s="542"/>
      <c r="N987" s="701">
        <f t="shared" si="219"/>
        <v>0</v>
      </c>
      <c r="O987" s="675"/>
      <c r="P987" s="675"/>
      <c r="Q987" s="675"/>
      <c r="R987" s="675"/>
      <c r="S987" s="675"/>
      <c r="T987" s="675"/>
      <c r="U987" s="675"/>
      <c r="V987" s="675"/>
      <c r="W987" s="675"/>
      <c r="X987" s="675"/>
      <c r="Y987" s="675"/>
      <c r="Z987" s="675"/>
      <c r="AA987" s="675"/>
      <c r="AB987" s="675"/>
      <c r="AC987" s="675"/>
      <c r="AD987" s="675"/>
      <c r="AE987" s="675"/>
      <c r="AF987" s="675"/>
      <c r="AG987" s="675"/>
      <c r="AH987" s="675"/>
      <c r="AI987" s="675"/>
      <c r="AJ987" s="675"/>
      <c r="AK987" s="658"/>
    </row>
    <row r="988" spans="1:37" ht="14">
      <c r="A988" s="5"/>
      <c r="B988" s="313"/>
      <c r="C988" s="833"/>
      <c r="D988" s="278"/>
      <c r="E988" s="81" t="s">
        <v>16</v>
      </c>
      <c r="F988" s="253">
        <v>30</v>
      </c>
      <c r="G988" s="64">
        <f>30*300</f>
        <v>9000</v>
      </c>
      <c r="H988" s="64">
        <f>F988*G988</f>
        <v>270000</v>
      </c>
      <c r="I988" s="72"/>
      <c r="J988" s="52"/>
      <c r="K988" s="156"/>
      <c r="L988" s="383"/>
      <c r="M988" s="542"/>
      <c r="N988" s="701">
        <f t="shared" si="219"/>
        <v>0</v>
      </c>
      <c r="O988" s="675"/>
      <c r="P988" s="675"/>
      <c r="Q988" s="675"/>
      <c r="R988" s="675"/>
      <c r="S988" s="675"/>
      <c r="T988" s="675"/>
      <c r="U988" s="675"/>
      <c r="V988" s="675"/>
      <c r="W988" s="675"/>
      <c r="X988" s="675"/>
      <c r="Y988" s="675"/>
      <c r="Z988" s="675"/>
      <c r="AA988" s="675"/>
      <c r="AB988" s="675"/>
      <c r="AC988" s="675"/>
      <c r="AD988" s="675"/>
      <c r="AE988" s="675"/>
      <c r="AF988" s="675"/>
      <c r="AG988" s="675"/>
      <c r="AH988" s="675"/>
      <c r="AI988" s="675"/>
      <c r="AJ988" s="675"/>
      <c r="AK988" s="658"/>
    </row>
    <row r="989" spans="1:37" ht="15" customHeight="1">
      <c r="A989" s="5"/>
      <c r="B989" s="313"/>
      <c r="C989" s="835" t="s">
        <v>944</v>
      </c>
      <c r="D989" s="138" t="s">
        <v>133</v>
      </c>
      <c r="E989" s="120"/>
      <c r="F989" s="91"/>
      <c r="G989" s="121"/>
      <c r="H989" s="64"/>
      <c r="I989" s="94"/>
      <c r="J989" s="52"/>
      <c r="K989" s="156"/>
      <c r="L989" s="383"/>
      <c r="M989" s="542"/>
      <c r="N989" s="701">
        <f t="shared" si="219"/>
        <v>0</v>
      </c>
      <c r="O989" s="675"/>
      <c r="P989" s="675"/>
      <c r="Q989" s="675"/>
      <c r="R989" s="675"/>
      <c r="S989" s="675"/>
      <c r="T989" s="675"/>
      <c r="U989" s="675"/>
      <c r="V989" s="675"/>
      <c r="W989" s="675"/>
      <c r="X989" s="675"/>
      <c r="Y989" s="675"/>
      <c r="Z989" s="675"/>
      <c r="AA989" s="675"/>
      <c r="AB989" s="675"/>
      <c r="AC989" s="675"/>
      <c r="AD989" s="675"/>
      <c r="AE989" s="675"/>
      <c r="AF989" s="675"/>
      <c r="AG989" s="675"/>
      <c r="AH989" s="675"/>
      <c r="AI989" s="675"/>
      <c r="AJ989" s="675"/>
      <c r="AK989" s="658"/>
    </row>
    <row r="990" spans="1:37" s="543" customFormat="1" ht="15" customHeight="1">
      <c r="A990" s="532"/>
      <c r="B990" s="533"/>
      <c r="C990" s="847"/>
      <c r="D990" s="544" t="s">
        <v>171</v>
      </c>
      <c r="E990" s="545" t="s">
        <v>60</v>
      </c>
      <c r="F990" s="530"/>
      <c r="G990" s="537"/>
      <c r="H990" s="537"/>
      <c r="I990" s="546"/>
      <c r="J990" s="547"/>
      <c r="K990" s="540"/>
      <c r="L990" s="541"/>
      <c r="M990" s="542"/>
      <c r="N990" s="701">
        <f t="shared" si="219"/>
        <v>0</v>
      </c>
      <c r="O990" s="687"/>
      <c r="P990" s="687"/>
      <c r="Q990" s="687"/>
      <c r="R990" s="687"/>
      <c r="S990" s="687"/>
      <c r="T990" s="687"/>
      <c r="U990" s="687"/>
      <c r="V990" s="687"/>
      <c r="W990" s="687"/>
      <c r="X990" s="687"/>
      <c r="Y990" s="687"/>
      <c r="Z990" s="687"/>
      <c r="AA990" s="687"/>
      <c r="AB990" s="687"/>
      <c r="AC990" s="687"/>
      <c r="AD990" s="687"/>
      <c r="AE990" s="687"/>
      <c r="AF990" s="687"/>
      <c r="AG990" s="687"/>
      <c r="AH990" s="687"/>
      <c r="AI990" s="687"/>
      <c r="AJ990" s="687"/>
      <c r="AK990" s="658"/>
    </row>
    <row r="991" spans="1:37" ht="15" customHeight="1">
      <c r="A991" s="5"/>
      <c r="B991" s="313"/>
      <c r="C991" s="835"/>
      <c r="D991" s="19" t="s">
        <v>491</v>
      </c>
      <c r="E991" s="81" t="s">
        <v>60</v>
      </c>
      <c r="F991" s="124">
        <v>150000</v>
      </c>
      <c r="G991" s="64">
        <v>2</v>
      </c>
      <c r="H991" s="64">
        <f>G991*F991</f>
        <v>300000</v>
      </c>
      <c r="I991" s="72"/>
      <c r="J991" s="52"/>
      <c r="K991" s="156"/>
      <c r="L991" s="383"/>
      <c r="M991" s="542"/>
      <c r="N991" s="701">
        <f t="shared" si="219"/>
        <v>0</v>
      </c>
      <c r="O991" s="675"/>
      <c r="P991" s="675"/>
      <c r="Q991" s="675"/>
      <c r="R991" s="675"/>
      <c r="S991" s="675"/>
      <c r="T991" s="675"/>
      <c r="U991" s="675"/>
      <c r="V991" s="675"/>
      <c r="W991" s="675"/>
      <c r="X991" s="675"/>
      <c r="Y991" s="675"/>
      <c r="Z991" s="675"/>
      <c r="AA991" s="675"/>
      <c r="AB991" s="675"/>
      <c r="AC991" s="675"/>
      <c r="AD991" s="675"/>
      <c r="AE991" s="675"/>
      <c r="AF991" s="675"/>
      <c r="AG991" s="675"/>
      <c r="AH991" s="675"/>
      <c r="AI991" s="675"/>
      <c r="AJ991" s="675"/>
      <c r="AK991" s="658"/>
    </row>
    <row r="992" spans="1:37" ht="15" customHeight="1">
      <c r="A992" s="5"/>
      <c r="B992" s="313"/>
      <c r="C992" s="835"/>
      <c r="D992" s="19" t="s">
        <v>439</v>
      </c>
      <c r="E992" s="81" t="s">
        <v>60</v>
      </c>
      <c r="F992" s="124">
        <v>230000</v>
      </c>
      <c r="G992" s="64">
        <v>2</v>
      </c>
      <c r="H992" s="64">
        <f>F992*G992+25200</f>
        <v>485200</v>
      </c>
      <c r="I992" s="72"/>
      <c r="J992" s="52"/>
      <c r="K992" s="156"/>
      <c r="L992" s="383"/>
      <c r="M992" s="542"/>
      <c r="N992" s="701">
        <f t="shared" si="219"/>
        <v>0</v>
      </c>
      <c r="O992" s="675"/>
      <c r="P992" s="675"/>
      <c r="Q992" s="675"/>
      <c r="R992" s="675"/>
      <c r="S992" s="675"/>
      <c r="T992" s="675"/>
      <c r="U992" s="675"/>
      <c r="V992" s="675"/>
      <c r="W992" s="675"/>
      <c r="X992" s="675"/>
      <c r="Y992" s="675"/>
      <c r="Z992" s="675"/>
      <c r="AA992" s="675"/>
      <c r="AB992" s="675"/>
      <c r="AC992" s="675"/>
      <c r="AD992" s="675"/>
      <c r="AE992" s="675"/>
      <c r="AF992" s="675"/>
      <c r="AG992" s="675"/>
      <c r="AH992" s="675"/>
      <c r="AI992" s="675"/>
      <c r="AJ992" s="675"/>
      <c r="AK992" s="658"/>
    </row>
    <row r="993" spans="1:37" ht="15" customHeight="1">
      <c r="A993" s="5"/>
      <c r="B993" s="313"/>
      <c r="C993" s="835"/>
      <c r="D993" s="103" t="s">
        <v>172</v>
      </c>
      <c r="E993" s="67" t="s">
        <v>16</v>
      </c>
      <c r="F993" s="253">
        <v>500000</v>
      </c>
      <c r="G993" s="64">
        <v>1</v>
      </c>
      <c r="H993" s="64">
        <f>F993*G993+31500</f>
        <v>531500</v>
      </c>
      <c r="I993" s="72"/>
      <c r="J993" s="52"/>
      <c r="K993" s="156"/>
      <c r="L993" s="383"/>
      <c r="M993" s="542"/>
      <c r="N993" s="701">
        <f t="shared" si="219"/>
        <v>0</v>
      </c>
      <c r="O993" s="675"/>
      <c r="P993" s="675"/>
      <c r="Q993" s="675"/>
      <c r="R993" s="675"/>
      <c r="S993" s="675"/>
      <c r="T993" s="675"/>
      <c r="U993" s="675"/>
      <c r="V993" s="675"/>
      <c r="W993" s="675"/>
      <c r="X993" s="675"/>
      <c r="Y993" s="675"/>
      <c r="Z993" s="675"/>
      <c r="AA993" s="675"/>
      <c r="AB993" s="675"/>
      <c r="AC993" s="675"/>
      <c r="AD993" s="675"/>
      <c r="AE993" s="675"/>
      <c r="AF993" s="675"/>
      <c r="AG993" s="675"/>
      <c r="AH993" s="675"/>
      <c r="AI993" s="675"/>
      <c r="AJ993" s="675"/>
      <c r="AK993" s="658"/>
    </row>
    <row r="994" spans="1:37" s="48" customFormat="1" ht="15" customHeight="1">
      <c r="A994" s="45"/>
      <c r="B994" s="314"/>
      <c r="C994" s="836"/>
      <c r="D994" s="73"/>
      <c r="E994" s="71"/>
      <c r="F994" s="906" t="s">
        <v>173</v>
      </c>
      <c r="G994" s="906"/>
      <c r="H994" s="191"/>
      <c r="I994" s="651">
        <f>SUM(H867:H993)</f>
        <v>14439197.199999999</v>
      </c>
      <c r="J994" s="294">
        <v>64</v>
      </c>
      <c r="K994" s="158"/>
      <c r="L994" s="386"/>
      <c r="M994" s="593"/>
      <c r="N994" s="701">
        <f>SUM(O994:AJ994)-I994</f>
        <v>0</v>
      </c>
      <c r="O994" s="676"/>
      <c r="P994" s="676"/>
      <c r="Q994" s="676"/>
      <c r="R994" s="676"/>
      <c r="S994" s="676"/>
      <c r="T994" s="676"/>
      <c r="U994" s="676"/>
      <c r="V994" s="676">
        <f>+I994/6</f>
        <v>2406532.8666666667</v>
      </c>
      <c r="W994" s="676">
        <v>2406532.8666666667</v>
      </c>
      <c r="X994" s="676">
        <v>2406532.8666666667</v>
      </c>
      <c r="Y994" s="676">
        <v>2406532.8666666667</v>
      </c>
      <c r="Z994" s="676">
        <v>2406532.8666666667</v>
      </c>
      <c r="AA994" s="676">
        <v>2406532.8666666667</v>
      </c>
      <c r="AB994" s="676"/>
      <c r="AC994" s="676"/>
      <c r="AD994" s="676"/>
      <c r="AE994" s="676"/>
      <c r="AF994" s="676"/>
      <c r="AG994" s="676"/>
      <c r="AH994" s="676"/>
      <c r="AI994" s="676"/>
      <c r="AJ994" s="676"/>
      <c r="AK994" s="658"/>
    </row>
    <row r="995" spans="1:37" s="53" customFormat="1" ht="30" customHeight="1">
      <c r="A995" s="5"/>
      <c r="B995" s="309"/>
      <c r="C995" s="832"/>
      <c r="D995" s="49"/>
      <c r="E995" s="9"/>
      <c r="F995" s="8"/>
      <c r="G995" s="8"/>
      <c r="H995" s="50"/>
      <c r="I995" s="51"/>
      <c r="J995" s="51"/>
      <c r="K995" s="156"/>
      <c r="L995" s="383"/>
      <c r="M995" s="542"/>
      <c r="N995" s="701"/>
      <c r="O995" s="677"/>
      <c r="P995" s="677"/>
      <c r="Q995" s="677"/>
      <c r="R995" s="677"/>
      <c r="S995" s="677"/>
      <c r="T995" s="677"/>
      <c r="U995" s="677"/>
      <c r="V995" s="677"/>
      <c r="W995" s="677"/>
      <c r="X995" s="677"/>
      <c r="Y995" s="677"/>
      <c r="Z995" s="677"/>
      <c r="AA995" s="677"/>
      <c r="AB995" s="677"/>
      <c r="AC995" s="677"/>
      <c r="AD995" s="677"/>
      <c r="AE995" s="677"/>
      <c r="AF995" s="677"/>
      <c r="AG995" s="677"/>
      <c r="AH995" s="677"/>
      <c r="AI995" s="677"/>
      <c r="AJ995" s="677"/>
      <c r="AK995" s="658"/>
    </row>
    <row r="996" spans="1:37" s="48" customFormat="1" ht="15" customHeight="1">
      <c r="A996" s="45"/>
      <c r="B996" s="312"/>
      <c r="C996" s="834"/>
      <c r="D996" s="33" t="s">
        <v>174</v>
      </c>
      <c r="E996" s="56" t="s">
        <v>13</v>
      </c>
      <c r="F996" s="57" t="s">
        <v>14</v>
      </c>
      <c r="G996" s="58" t="s">
        <v>15</v>
      </c>
      <c r="H996" s="192" t="s">
        <v>8</v>
      </c>
      <c r="I996" s="59"/>
      <c r="J996" s="292"/>
      <c r="K996" s="158"/>
      <c r="L996" s="386"/>
      <c r="M996" s="593"/>
      <c r="N996" s="701"/>
      <c r="O996" s="676"/>
      <c r="P996" s="676"/>
      <c r="Q996" s="676"/>
      <c r="R996" s="676"/>
      <c r="S996" s="676"/>
      <c r="T996" s="676"/>
      <c r="U996" s="676"/>
      <c r="V996" s="676"/>
      <c r="W996" s="676"/>
      <c r="X996" s="676"/>
      <c r="Y996" s="676"/>
      <c r="Z996" s="676"/>
      <c r="AA996" s="676"/>
      <c r="AB996" s="676"/>
      <c r="AC996" s="676"/>
      <c r="AD996" s="676"/>
      <c r="AE996" s="676"/>
      <c r="AF996" s="676"/>
      <c r="AG996" s="676"/>
      <c r="AH996" s="676"/>
      <c r="AI996" s="676"/>
      <c r="AJ996" s="676"/>
      <c r="AK996" s="658"/>
    </row>
    <row r="997" spans="1:37" s="543" customFormat="1" ht="15" customHeight="1">
      <c r="A997" s="532"/>
      <c r="B997" s="533"/>
      <c r="C997" s="835" t="s">
        <v>945</v>
      </c>
      <c r="D997" s="534" t="s">
        <v>470</v>
      </c>
      <c r="E997" s="535" t="s">
        <v>16</v>
      </c>
      <c r="F997" s="531">
        <v>250000</v>
      </c>
      <c r="G997" s="536">
        <v>1</v>
      </c>
      <c r="H997" s="537">
        <f>F997</f>
        <v>250000</v>
      </c>
      <c r="I997" s="538"/>
      <c r="J997" s="539"/>
      <c r="K997" s="540"/>
      <c r="L997" s="541"/>
      <c r="M997" s="542"/>
      <c r="N997" s="701"/>
      <c r="O997" s="687"/>
      <c r="P997" s="687"/>
      <c r="Q997" s="687"/>
      <c r="R997" s="687"/>
      <c r="S997" s="687"/>
      <c r="T997" s="687"/>
      <c r="U997" s="687"/>
      <c r="V997" s="687"/>
      <c r="W997" s="687"/>
      <c r="X997" s="687">
        <f>+H997</f>
        <v>250000</v>
      </c>
      <c r="Y997" s="687"/>
      <c r="Z997" s="687"/>
      <c r="AA997" s="687"/>
      <c r="AB997" s="687"/>
      <c r="AC997" s="687"/>
      <c r="AD997" s="687"/>
      <c r="AE997" s="687"/>
      <c r="AF997" s="687"/>
      <c r="AG997" s="687"/>
      <c r="AH997" s="687"/>
      <c r="AI997" s="687"/>
      <c r="AJ997" s="687"/>
      <c r="AK997" s="658"/>
    </row>
    <row r="998" spans="1:37" ht="15" customHeight="1">
      <c r="A998" s="5"/>
      <c r="B998" s="313"/>
      <c r="C998" s="837"/>
      <c r="D998" s="70" t="s">
        <v>284</v>
      </c>
      <c r="E998" s="67" t="s">
        <v>16</v>
      </c>
      <c r="F998" s="65"/>
      <c r="G998" s="65">
        <v>1</v>
      </c>
      <c r="H998" s="64">
        <f>F998*G998</f>
        <v>0</v>
      </c>
      <c r="I998" s="123"/>
      <c r="J998" s="297"/>
      <c r="K998" s="156"/>
      <c r="L998" s="383"/>
      <c r="M998" s="542"/>
      <c r="N998" s="701"/>
      <c r="O998" s="675"/>
      <c r="P998" s="675"/>
      <c r="Q998" s="675"/>
      <c r="R998" s="675"/>
      <c r="S998" s="675"/>
      <c r="T998" s="675"/>
      <c r="U998" s="675"/>
      <c r="V998" s="675"/>
      <c r="W998" s="675"/>
      <c r="X998" s="675"/>
      <c r="Y998" s="675"/>
      <c r="Z998" s="675"/>
      <c r="AA998" s="675"/>
      <c r="AB998" s="675"/>
      <c r="AC998" s="675"/>
      <c r="AD998" s="675"/>
      <c r="AE998" s="675"/>
      <c r="AF998" s="675"/>
      <c r="AG998" s="675"/>
      <c r="AH998" s="675"/>
      <c r="AI998" s="675"/>
      <c r="AJ998" s="675"/>
      <c r="AK998" s="658"/>
    </row>
    <row r="999" spans="1:37" s="48" customFormat="1" ht="15" customHeight="1">
      <c r="A999" s="45"/>
      <c r="B999" s="314"/>
      <c r="C999" s="836"/>
      <c r="D999" s="73"/>
      <c r="E999" s="71"/>
      <c r="F999" s="906" t="s">
        <v>175</v>
      </c>
      <c r="G999" s="906"/>
      <c r="H999" s="191"/>
      <c r="I999" s="472">
        <f>SUM(H997:H998)</f>
        <v>250000</v>
      </c>
      <c r="J999" s="294">
        <v>4</v>
      </c>
      <c r="K999" s="158"/>
      <c r="L999" s="386"/>
      <c r="M999" s="593"/>
      <c r="N999" s="701"/>
      <c r="O999" s="676"/>
      <c r="P999" s="676"/>
      <c r="Q999" s="676"/>
      <c r="R999" s="676"/>
      <c r="S999" s="676"/>
      <c r="T999" s="676"/>
      <c r="U999" s="676"/>
      <c r="V999" s="676"/>
      <c r="W999" s="676"/>
      <c r="X999" s="676"/>
      <c r="Y999" s="676"/>
      <c r="Z999" s="676"/>
      <c r="AA999" s="676"/>
      <c r="AB999" s="676"/>
      <c r="AC999" s="676"/>
      <c r="AD999" s="676"/>
      <c r="AE999" s="676"/>
      <c r="AF999" s="676"/>
      <c r="AG999" s="676"/>
      <c r="AH999" s="676"/>
      <c r="AI999" s="676"/>
      <c r="AJ999" s="676"/>
      <c r="AK999" s="658"/>
    </row>
    <row r="1000" spans="1:37" s="53" customFormat="1" ht="30" customHeight="1">
      <c r="A1000" s="5"/>
      <c r="B1000" s="309"/>
      <c r="C1000" s="832"/>
      <c r="D1000" s="49"/>
      <c r="E1000" s="9"/>
      <c r="F1000" s="8"/>
      <c r="G1000" s="8"/>
      <c r="H1000" s="50"/>
      <c r="I1000" s="51"/>
      <c r="J1000" s="51"/>
      <c r="K1000" s="156"/>
      <c r="L1000" s="383"/>
      <c r="M1000" s="542"/>
      <c r="N1000" s="701"/>
      <c r="O1000" s="677"/>
      <c r="P1000" s="677"/>
      <c r="Q1000" s="677"/>
      <c r="R1000" s="677"/>
      <c r="S1000" s="677"/>
      <c r="T1000" s="677"/>
      <c r="U1000" s="677"/>
      <c r="V1000" s="677"/>
      <c r="W1000" s="677"/>
      <c r="X1000" s="677"/>
      <c r="Y1000" s="677"/>
      <c r="Z1000" s="677"/>
      <c r="AA1000" s="677"/>
      <c r="AB1000" s="677"/>
      <c r="AC1000" s="677"/>
      <c r="AD1000" s="677"/>
      <c r="AE1000" s="677"/>
      <c r="AF1000" s="677"/>
      <c r="AG1000" s="677"/>
      <c r="AH1000" s="677"/>
      <c r="AI1000" s="677"/>
      <c r="AJ1000" s="677"/>
      <c r="AK1000" s="658"/>
    </row>
    <row r="1001" spans="1:37" s="48" customFormat="1" ht="15" customHeight="1">
      <c r="A1001" s="45"/>
      <c r="B1001" s="312"/>
      <c r="C1001" s="834"/>
      <c r="D1001" s="33" t="s">
        <v>176</v>
      </c>
      <c r="E1001" s="56" t="s">
        <v>13</v>
      </c>
      <c r="F1001" s="57" t="s">
        <v>14</v>
      </c>
      <c r="G1001" s="58" t="s">
        <v>15</v>
      </c>
      <c r="H1001" s="192" t="s">
        <v>8</v>
      </c>
      <c r="I1001" s="59"/>
      <c r="J1001" s="292"/>
      <c r="K1001" s="158"/>
      <c r="L1001" s="386"/>
      <c r="M1001" s="593"/>
      <c r="N1001" s="701"/>
      <c r="O1001" s="676"/>
      <c r="P1001" s="676"/>
      <c r="Q1001" s="676"/>
      <c r="R1001" s="676"/>
      <c r="S1001" s="676"/>
      <c r="T1001" s="676"/>
      <c r="U1001" s="676"/>
      <c r="V1001" s="676"/>
      <c r="W1001" s="676"/>
      <c r="X1001" s="676"/>
      <c r="Y1001" s="676"/>
      <c r="Z1001" s="676"/>
      <c r="AA1001" s="676"/>
      <c r="AB1001" s="676"/>
      <c r="AC1001" s="676"/>
      <c r="AD1001" s="676"/>
      <c r="AE1001" s="676"/>
      <c r="AF1001" s="676"/>
      <c r="AG1001" s="676"/>
      <c r="AH1001" s="676"/>
      <c r="AI1001" s="676"/>
      <c r="AJ1001" s="676"/>
      <c r="AK1001" s="658"/>
    </row>
    <row r="1002" spans="1:37" s="104" customFormat="1" ht="15" customHeight="1">
      <c r="B1002" s="313"/>
      <c r="C1002" s="835" t="s">
        <v>946</v>
      </c>
      <c r="D1002" s="105" t="s">
        <v>177</v>
      </c>
      <c r="E1002" s="120"/>
      <c r="F1002" s="529"/>
      <c r="G1002" s="121"/>
      <c r="H1002" s="64"/>
      <c r="I1002" s="134"/>
      <c r="J1002" s="296"/>
      <c r="K1002" s="156"/>
      <c r="L1002" s="383"/>
      <c r="M1002" s="542"/>
      <c r="N1002" s="701">
        <f t="shared" ref="N1002:N1031" si="221">SUM(O1002:AJ1002)-H1002</f>
        <v>0</v>
      </c>
      <c r="O1002" s="688"/>
      <c r="P1002" s="688"/>
      <c r="Q1002" s="688"/>
      <c r="R1002" s="688"/>
      <c r="S1002" s="688"/>
      <c r="T1002" s="688"/>
      <c r="U1002" s="688"/>
      <c r="V1002" s="688"/>
      <c r="W1002" s="688"/>
      <c r="X1002" s="688"/>
      <c r="Y1002" s="688"/>
      <c r="Z1002" s="688"/>
      <c r="AA1002" s="688"/>
      <c r="AB1002" s="688"/>
      <c r="AC1002" s="688"/>
      <c r="AD1002" s="688"/>
      <c r="AE1002" s="688"/>
      <c r="AF1002" s="688"/>
      <c r="AG1002" s="688"/>
      <c r="AH1002" s="688"/>
      <c r="AI1002" s="688"/>
      <c r="AJ1002" s="688"/>
      <c r="AK1002" s="658"/>
    </row>
    <row r="1003" spans="1:37" ht="15" customHeight="1">
      <c r="A1003" s="5"/>
      <c r="B1003" s="313"/>
      <c r="C1003" s="837"/>
      <c r="D1003" s="17" t="s">
        <v>315</v>
      </c>
      <c r="E1003" s="243" t="s">
        <v>27</v>
      </c>
      <c r="F1003" s="530">
        <v>65000</v>
      </c>
      <c r="G1003" s="64">
        <v>14</v>
      </c>
      <c r="H1003" s="64">
        <f>+F1003*G1003</f>
        <v>910000</v>
      </c>
      <c r="I1003" s="72">
        <f t="shared" ref="I1003:I1009" si="222">SUM(H1003)</f>
        <v>910000</v>
      </c>
      <c r="J1003" s="52"/>
      <c r="K1003" s="156"/>
      <c r="L1003" s="383"/>
      <c r="M1003" s="542"/>
      <c r="N1003" s="701">
        <f t="shared" si="221"/>
        <v>0</v>
      </c>
      <c r="O1003" s="675"/>
      <c r="P1003" s="675"/>
      <c r="Q1003" s="675">
        <f>+I1003/14</f>
        <v>65000</v>
      </c>
      <c r="R1003" s="675">
        <v>65000</v>
      </c>
      <c r="S1003" s="675">
        <v>65000</v>
      </c>
      <c r="T1003" s="675">
        <v>65000</v>
      </c>
      <c r="U1003" s="675">
        <v>65000</v>
      </c>
      <c r="V1003" s="675">
        <v>65000</v>
      </c>
      <c r="W1003" s="675">
        <v>65000</v>
      </c>
      <c r="X1003" s="675">
        <v>65000</v>
      </c>
      <c r="Y1003" s="675">
        <v>65000</v>
      </c>
      <c r="Z1003" s="675">
        <v>65000</v>
      </c>
      <c r="AA1003" s="675">
        <v>65000</v>
      </c>
      <c r="AB1003" s="675">
        <v>65000</v>
      </c>
      <c r="AC1003" s="675">
        <v>65000</v>
      </c>
      <c r="AD1003" s="675">
        <v>65000</v>
      </c>
      <c r="AE1003" s="675"/>
      <c r="AF1003" s="675"/>
      <c r="AG1003" s="675"/>
      <c r="AH1003" s="675"/>
      <c r="AI1003" s="675"/>
      <c r="AJ1003" s="675"/>
      <c r="AK1003" s="658"/>
    </row>
    <row r="1004" spans="1:37" ht="15" customHeight="1">
      <c r="A1004" s="5"/>
      <c r="B1004" s="313"/>
      <c r="C1004" s="837"/>
      <c r="D1004" s="17" t="s">
        <v>178</v>
      </c>
      <c r="E1004" s="243" t="s">
        <v>27</v>
      </c>
      <c r="F1004" s="530">
        <v>70000</v>
      </c>
      <c r="G1004" s="64">
        <v>6</v>
      </c>
      <c r="H1004" s="64">
        <f>+F1004*G1004</f>
        <v>420000</v>
      </c>
      <c r="I1004" s="72">
        <f t="shared" si="222"/>
        <v>420000</v>
      </c>
      <c r="J1004" s="52"/>
      <c r="K1004" s="156"/>
      <c r="L1004" s="383"/>
      <c r="M1004" s="542"/>
      <c r="N1004" s="701">
        <f t="shared" si="221"/>
        <v>0</v>
      </c>
      <c r="O1004" s="675"/>
      <c r="P1004" s="675"/>
      <c r="Q1004" s="675"/>
      <c r="R1004" s="675"/>
      <c r="S1004" s="675"/>
      <c r="T1004" s="675"/>
      <c r="U1004" s="675"/>
      <c r="V1004" s="675"/>
      <c r="W1004" s="675">
        <f>+I1004/6</f>
        <v>70000</v>
      </c>
      <c r="X1004" s="675">
        <v>70000</v>
      </c>
      <c r="Y1004" s="675">
        <v>70000</v>
      </c>
      <c r="Z1004" s="675">
        <v>70000</v>
      </c>
      <c r="AA1004" s="675">
        <v>70000</v>
      </c>
      <c r="AB1004" s="675">
        <v>70000</v>
      </c>
      <c r="AC1004" s="675"/>
      <c r="AD1004" s="675"/>
      <c r="AE1004" s="675"/>
      <c r="AF1004" s="675"/>
      <c r="AG1004" s="675"/>
      <c r="AH1004" s="675"/>
      <c r="AI1004" s="675"/>
      <c r="AJ1004" s="675"/>
      <c r="AK1004" s="658"/>
    </row>
    <row r="1005" spans="1:37" ht="15" customHeight="1">
      <c r="A1005" s="5"/>
      <c r="B1005" s="313"/>
      <c r="C1005" s="837"/>
      <c r="D1005" s="17" t="s">
        <v>179</v>
      </c>
      <c r="E1005" s="243" t="s">
        <v>27</v>
      </c>
      <c r="F1005" s="530">
        <v>60000</v>
      </c>
      <c r="G1005" s="64">
        <v>14</v>
      </c>
      <c r="H1005" s="64">
        <f>+F1005*G1005</f>
        <v>840000</v>
      </c>
      <c r="I1005" s="72">
        <f t="shared" si="222"/>
        <v>840000</v>
      </c>
      <c r="J1005" s="52"/>
      <c r="K1005" s="156"/>
      <c r="L1005" s="383"/>
      <c r="M1005" s="542"/>
      <c r="N1005" s="701">
        <f t="shared" si="221"/>
        <v>0</v>
      </c>
      <c r="O1005" s="694">
        <v>60000</v>
      </c>
      <c r="P1005" s="694">
        <f>+O1005</f>
        <v>60000</v>
      </c>
      <c r="Q1005" s="675">
        <v>60000</v>
      </c>
      <c r="R1005" s="675">
        <v>60000</v>
      </c>
      <c r="S1005" s="675">
        <v>60000</v>
      </c>
      <c r="T1005" s="675">
        <v>60000</v>
      </c>
      <c r="U1005" s="675">
        <v>60000</v>
      </c>
      <c r="V1005" s="675">
        <v>60000</v>
      </c>
      <c r="W1005" s="675">
        <v>60000</v>
      </c>
      <c r="X1005" s="675">
        <v>60000</v>
      </c>
      <c r="Y1005" s="675">
        <v>60000</v>
      </c>
      <c r="Z1005" s="675">
        <v>60000</v>
      </c>
      <c r="AA1005" s="675">
        <v>60000</v>
      </c>
      <c r="AB1005" s="675">
        <v>60000</v>
      </c>
      <c r="AC1005" s="675"/>
      <c r="AD1005" s="675"/>
      <c r="AE1005" s="675"/>
      <c r="AF1005" s="675"/>
      <c r="AG1005" s="675"/>
      <c r="AH1005" s="675"/>
      <c r="AI1005" s="675"/>
      <c r="AJ1005" s="675"/>
      <c r="AK1005" s="658"/>
    </row>
    <row r="1006" spans="1:37" ht="15" customHeight="1">
      <c r="A1006" s="5"/>
      <c r="B1006" s="313"/>
      <c r="C1006" s="837"/>
      <c r="D1006" s="17" t="s">
        <v>180</v>
      </c>
      <c r="E1006" s="243" t="s">
        <v>27</v>
      </c>
      <c r="F1006" s="530">
        <v>90000</v>
      </c>
      <c r="G1006" s="64">
        <v>8</v>
      </c>
      <c r="H1006" s="64">
        <f>+G1006*F1006</f>
        <v>720000</v>
      </c>
      <c r="I1006" s="72">
        <f t="shared" si="222"/>
        <v>720000</v>
      </c>
      <c r="J1006" s="52"/>
      <c r="K1006" s="156"/>
      <c r="L1006" s="383"/>
      <c r="M1006" s="542"/>
      <c r="N1006" s="701">
        <f t="shared" si="221"/>
        <v>0</v>
      </c>
      <c r="O1006" s="675"/>
      <c r="P1006" s="675"/>
      <c r="Q1006" s="675"/>
      <c r="R1006" s="675"/>
      <c r="S1006" s="675"/>
      <c r="T1006" s="675"/>
      <c r="U1006" s="675">
        <f>+I1006/8</f>
        <v>90000</v>
      </c>
      <c r="V1006" s="675">
        <v>90000</v>
      </c>
      <c r="W1006" s="675">
        <v>90000</v>
      </c>
      <c r="X1006" s="675">
        <v>90000</v>
      </c>
      <c r="Y1006" s="675">
        <v>90000</v>
      </c>
      <c r="Z1006" s="675">
        <v>90000</v>
      </c>
      <c r="AA1006" s="675">
        <v>90000</v>
      </c>
      <c r="AB1006" s="675">
        <v>90000</v>
      </c>
      <c r="AC1006" s="675"/>
      <c r="AD1006" s="675"/>
      <c r="AE1006" s="675"/>
      <c r="AF1006" s="675"/>
      <c r="AG1006" s="675"/>
      <c r="AH1006" s="675"/>
      <c r="AI1006" s="675"/>
      <c r="AJ1006" s="675"/>
      <c r="AK1006" s="658"/>
    </row>
    <row r="1007" spans="1:37" ht="15" customHeight="1">
      <c r="A1007" s="5"/>
      <c r="B1007" s="313"/>
      <c r="C1007" s="837"/>
      <c r="D1007" s="17" t="s">
        <v>811</v>
      </c>
      <c r="E1007" s="81" t="s">
        <v>27</v>
      </c>
      <c r="F1007" s="531">
        <v>100000</v>
      </c>
      <c r="G1007" s="64">
        <v>8</v>
      </c>
      <c r="H1007" s="64">
        <f>+G1007*F1007</f>
        <v>800000</v>
      </c>
      <c r="I1007" s="72">
        <f t="shared" ref="I1007" si="223">SUM(H1007)</f>
        <v>800000</v>
      </c>
      <c r="J1007" s="52"/>
      <c r="K1007" s="156"/>
      <c r="L1007" s="383"/>
      <c r="M1007" s="542"/>
      <c r="N1007" s="701">
        <f t="shared" si="221"/>
        <v>0</v>
      </c>
      <c r="O1007" s="675">
        <f>+H1007/8</f>
        <v>100000</v>
      </c>
      <c r="P1007" s="675">
        <v>100000</v>
      </c>
      <c r="Q1007" s="675">
        <v>100000</v>
      </c>
      <c r="R1007" s="675">
        <v>100000</v>
      </c>
      <c r="S1007" s="675">
        <v>100000</v>
      </c>
      <c r="T1007" s="675">
        <v>100000</v>
      </c>
      <c r="U1007" s="675">
        <v>100000</v>
      </c>
      <c r="V1007" s="675">
        <v>100000</v>
      </c>
      <c r="W1007" s="675"/>
      <c r="X1007" s="675"/>
      <c r="Y1007" s="675"/>
      <c r="Z1007" s="675"/>
      <c r="AA1007" s="675"/>
      <c r="AB1007" s="675"/>
      <c r="AC1007" s="675"/>
      <c r="AD1007" s="675"/>
      <c r="AE1007" s="675"/>
      <c r="AF1007" s="675"/>
      <c r="AG1007" s="675"/>
      <c r="AH1007" s="675"/>
      <c r="AI1007" s="675"/>
      <c r="AJ1007" s="675"/>
      <c r="AK1007" s="658"/>
    </row>
    <row r="1008" spans="1:37" ht="15" customHeight="1">
      <c r="A1008" s="5"/>
      <c r="B1008" s="313"/>
      <c r="C1008" s="837"/>
      <c r="D1008" s="70" t="s">
        <v>181</v>
      </c>
      <c r="E1008" s="243" t="s">
        <v>27</v>
      </c>
      <c r="F1008" s="530">
        <v>30000</v>
      </c>
      <c r="G1008" s="279">
        <v>10</v>
      </c>
      <c r="H1008" s="64">
        <f>+F1008*G1008</f>
        <v>300000</v>
      </c>
      <c r="I1008" s="72">
        <f t="shared" si="222"/>
        <v>300000</v>
      </c>
      <c r="J1008" s="52"/>
      <c r="K1008" s="156"/>
      <c r="L1008" s="383"/>
      <c r="M1008" s="542"/>
      <c r="N1008" s="701">
        <f t="shared" si="221"/>
        <v>0</v>
      </c>
      <c r="O1008" s="675">
        <f>+H1008/10</f>
        <v>30000</v>
      </c>
      <c r="P1008" s="675">
        <v>30000</v>
      </c>
      <c r="Q1008" s="675">
        <v>30000</v>
      </c>
      <c r="R1008" s="675">
        <v>30000</v>
      </c>
      <c r="S1008" s="675">
        <v>30000</v>
      </c>
      <c r="T1008" s="675">
        <v>30000</v>
      </c>
      <c r="U1008" s="675">
        <v>30000</v>
      </c>
      <c r="V1008" s="675">
        <v>30000</v>
      </c>
      <c r="W1008" s="675">
        <v>30000</v>
      </c>
      <c r="X1008" s="675">
        <v>30000</v>
      </c>
      <c r="Y1008" s="675"/>
      <c r="Z1008" s="675"/>
      <c r="AA1008" s="675"/>
      <c r="AB1008" s="675"/>
      <c r="AC1008" s="675"/>
      <c r="AD1008" s="675"/>
      <c r="AE1008" s="675"/>
      <c r="AF1008" s="675"/>
      <c r="AG1008" s="675"/>
      <c r="AH1008" s="675"/>
      <c r="AI1008" s="675"/>
      <c r="AJ1008" s="675"/>
      <c r="AK1008" s="658"/>
    </row>
    <row r="1009" spans="1:37" ht="15" customHeight="1">
      <c r="A1009" s="5"/>
      <c r="B1009" s="313"/>
      <c r="C1009" s="837"/>
      <c r="D1009" s="70" t="s">
        <v>182</v>
      </c>
      <c r="E1009" s="243" t="s">
        <v>27</v>
      </c>
      <c r="F1009" s="530">
        <v>50000</v>
      </c>
      <c r="G1009" s="279">
        <v>8</v>
      </c>
      <c r="H1009" s="64">
        <f>+F1009*G1009</f>
        <v>400000</v>
      </c>
      <c r="I1009" s="72">
        <f t="shared" si="222"/>
        <v>400000</v>
      </c>
      <c r="J1009" s="52"/>
      <c r="K1009" s="156"/>
      <c r="L1009" s="383"/>
      <c r="M1009" s="542"/>
      <c r="N1009" s="701">
        <f t="shared" si="221"/>
        <v>0</v>
      </c>
      <c r="O1009" s="675"/>
      <c r="P1009" s="675"/>
      <c r="Q1009" s="675"/>
      <c r="R1009" s="675"/>
      <c r="S1009" s="675"/>
      <c r="T1009" s="675"/>
      <c r="U1009" s="675">
        <f>+I1009/8</f>
        <v>50000</v>
      </c>
      <c r="V1009" s="675">
        <v>50000</v>
      </c>
      <c r="W1009" s="675">
        <v>50000</v>
      </c>
      <c r="X1009" s="675">
        <v>50000</v>
      </c>
      <c r="Y1009" s="675">
        <v>50000</v>
      </c>
      <c r="Z1009" s="675">
        <v>50000</v>
      </c>
      <c r="AA1009" s="675">
        <v>50000</v>
      </c>
      <c r="AB1009" s="675">
        <v>50000</v>
      </c>
      <c r="AC1009" s="675"/>
      <c r="AD1009" s="675"/>
      <c r="AE1009" s="675"/>
      <c r="AF1009" s="675"/>
      <c r="AG1009" s="675"/>
      <c r="AH1009" s="675"/>
      <c r="AI1009" s="675"/>
      <c r="AJ1009" s="675"/>
      <c r="AK1009" s="658"/>
    </row>
    <row r="1010" spans="1:37" s="104" customFormat="1" ht="15" customHeight="1">
      <c r="B1010" s="313"/>
      <c r="C1010" s="835" t="s">
        <v>947</v>
      </c>
      <c r="D1010" s="105" t="s">
        <v>183</v>
      </c>
      <c r="E1010" s="120"/>
      <c r="F1010" s="531"/>
      <c r="G1010" s="726"/>
      <c r="H1010" s="537"/>
      <c r="I1010" s="109"/>
      <c r="J1010" s="296"/>
      <c r="K1010" s="156"/>
      <c r="L1010" s="383"/>
      <c r="M1010" s="542"/>
      <c r="N1010" s="701">
        <f t="shared" si="221"/>
        <v>0</v>
      </c>
      <c r="O1010" s="688"/>
      <c r="P1010" s="688"/>
      <c r="Q1010" s="688"/>
      <c r="R1010" s="688"/>
      <c r="S1010" s="688"/>
      <c r="T1010" s="688"/>
      <c r="U1010" s="688"/>
      <c r="V1010" s="688"/>
      <c r="W1010" s="688"/>
      <c r="X1010" s="688"/>
      <c r="Y1010" s="688"/>
      <c r="Z1010" s="688"/>
      <c r="AA1010" s="688"/>
      <c r="AB1010" s="688"/>
      <c r="AC1010" s="688"/>
      <c r="AD1010" s="688"/>
      <c r="AE1010" s="688"/>
      <c r="AF1010" s="688"/>
      <c r="AG1010" s="688"/>
      <c r="AH1010" s="688"/>
      <c r="AI1010" s="688"/>
      <c r="AJ1010" s="688"/>
      <c r="AK1010" s="658"/>
    </row>
    <row r="1011" spans="1:37" ht="15" customHeight="1">
      <c r="A1011" s="5"/>
      <c r="B1011" s="313"/>
      <c r="C1011" s="837"/>
      <c r="D1011" s="17" t="s">
        <v>447</v>
      </c>
      <c r="E1011" s="243" t="s">
        <v>27</v>
      </c>
      <c r="F1011" s="530">
        <v>160000</v>
      </c>
      <c r="G1011" s="280">
        <v>6.5</v>
      </c>
      <c r="H1011" s="755">
        <f>+F1011*G1011+176400</f>
        <v>1216400</v>
      </c>
      <c r="I1011" s="79"/>
      <c r="J1011" s="52"/>
      <c r="K1011" s="156"/>
      <c r="L1011" s="383"/>
      <c r="M1011" s="542"/>
      <c r="N1011" s="701">
        <f t="shared" si="221"/>
        <v>0</v>
      </c>
      <c r="O1011" s="675"/>
      <c r="P1011" s="675"/>
      <c r="Q1011" s="675"/>
      <c r="R1011" s="675"/>
      <c r="S1011" s="675"/>
      <c r="T1011" s="675"/>
      <c r="U1011" s="675"/>
      <c r="V1011" s="675">
        <f t="shared" ref="V1011:V1019" si="224">+H1011/6</f>
        <v>202733.33333333334</v>
      </c>
      <c r="W1011" s="675">
        <v>202733.33333333334</v>
      </c>
      <c r="X1011" s="675">
        <v>202733.33333333334</v>
      </c>
      <c r="Y1011" s="675">
        <v>202733.33333333334</v>
      </c>
      <c r="Z1011" s="675">
        <v>202733.33333333334</v>
      </c>
      <c r="AA1011" s="675">
        <v>202733.33333333334</v>
      </c>
      <c r="AB1011" s="675"/>
      <c r="AC1011" s="675"/>
      <c r="AD1011" s="675"/>
      <c r="AE1011" s="675"/>
      <c r="AF1011" s="675"/>
      <c r="AG1011" s="675"/>
      <c r="AH1011" s="675"/>
      <c r="AI1011" s="675"/>
      <c r="AJ1011" s="675"/>
      <c r="AK1011" s="658"/>
    </row>
    <row r="1012" spans="1:37" ht="15" customHeight="1">
      <c r="A1012" s="5"/>
      <c r="B1012" s="313"/>
      <c r="C1012" s="837"/>
      <c r="D1012" s="17" t="s">
        <v>471</v>
      </c>
      <c r="E1012" s="243"/>
      <c r="F1012" s="530"/>
      <c r="G1012" s="280"/>
      <c r="H1012" s="755"/>
      <c r="I1012" s="79"/>
      <c r="J1012" s="52"/>
      <c r="K1012" s="156"/>
      <c r="L1012" s="383"/>
      <c r="M1012" s="542"/>
      <c r="N1012" s="701">
        <f t="shared" si="221"/>
        <v>0</v>
      </c>
      <c r="O1012" s="675"/>
      <c r="P1012" s="675"/>
      <c r="Q1012" s="675"/>
      <c r="R1012" s="675"/>
      <c r="S1012" s="675"/>
      <c r="T1012" s="675"/>
      <c r="U1012" s="675"/>
      <c r="V1012" s="675">
        <f t="shared" si="224"/>
        <v>0</v>
      </c>
      <c r="W1012" s="675">
        <v>0</v>
      </c>
      <c r="X1012" s="675">
        <v>0</v>
      </c>
      <c r="Y1012" s="675">
        <v>0</v>
      </c>
      <c r="Z1012" s="675">
        <v>0</v>
      </c>
      <c r="AA1012" s="675">
        <v>0</v>
      </c>
      <c r="AB1012" s="675"/>
      <c r="AC1012" s="675"/>
      <c r="AD1012" s="675"/>
      <c r="AE1012" s="675"/>
      <c r="AF1012" s="675"/>
      <c r="AG1012" s="675"/>
      <c r="AH1012" s="675"/>
      <c r="AI1012" s="675"/>
      <c r="AJ1012" s="675"/>
      <c r="AK1012" s="658"/>
    </row>
    <row r="1013" spans="1:37" ht="15" customHeight="1">
      <c r="A1013" s="5"/>
      <c r="B1013" s="313"/>
      <c r="C1013" s="837"/>
      <c r="D1013" s="17" t="s">
        <v>314</v>
      </c>
      <c r="E1013" s="243" t="s">
        <v>27</v>
      </c>
      <c r="F1013" s="253">
        <v>160000</v>
      </c>
      <c r="G1013" s="280">
        <v>6.5</v>
      </c>
      <c r="H1013" s="755">
        <f>+G1013*F1013+189050</f>
        <v>1229050</v>
      </c>
      <c r="I1013" s="79"/>
      <c r="J1013" s="52"/>
      <c r="K1013" s="156"/>
      <c r="L1013" s="383"/>
      <c r="M1013" s="542"/>
      <c r="N1013" s="701">
        <f t="shared" si="221"/>
        <v>0</v>
      </c>
      <c r="O1013" s="675"/>
      <c r="P1013" s="675"/>
      <c r="Q1013" s="675"/>
      <c r="R1013" s="675"/>
      <c r="S1013" s="675"/>
      <c r="T1013" s="675"/>
      <c r="U1013" s="675"/>
      <c r="V1013" s="675">
        <f t="shared" si="224"/>
        <v>204841.66666666666</v>
      </c>
      <c r="W1013" s="675">
        <v>204841.66666666666</v>
      </c>
      <c r="X1013" s="675">
        <v>204841.66666666666</v>
      </c>
      <c r="Y1013" s="675">
        <v>204841.66666666666</v>
      </c>
      <c r="Z1013" s="675">
        <v>204841.66666666666</v>
      </c>
      <c r="AA1013" s="675">
        <v>204841.66666666666</v>
      </c>
      <c r="AB1013" s="675"/>
      <c r="AC1013" s="675"/>
      <c r="AD1013" s="675"/>
      <c r="AE1013" s="675"/>
      <c r="AF1013" s="675"/>
      <c r="AG1013" s="675"/>
      <c r="AH1013" s="675"/>
      <c r="AI1013" s="675"/>
      <c r="AJ1013" s="675"/>
      <c r="AK1013" s="658"/>
    </row>
    <row r="1014" spans="1:37" ht="15" customHeight="1">
      <c r="A1014" s="5"/>
      <c r="B1014" s="313"/>
      <c r="C1014" s="837"/>
      <c r="D1014" s="17" t="s">
        <v>448</v>
      </c>
      <c r="E1014" s="243"/>
      <c r="F1014" s="253">
        <f>F1012</f>
        <v>0</v>
      </c>
      <c r="G1014" s="280"/>
      <c r="H1014" s="755"/>
      <c r="I1014" s="79"/>
      <c r="J1014" s="52"/>
      <c r="K1014" s="156"/>
      <c r="L1014" s="383"/>
      <c r="M1014" s="542"/>
      <c r="N1014" s="701">
        <f t="shared" si="221"/>
        <v>0</v>
      </c>
      <c r="O1014" s="675"/>
      <c r="P1014" s="675"/>
      <c r="Q1014" s="675"/>
      <c r="R1014" s="675"/>
      <c r="S1014" s="675"/>
      <c r="T1014" s="675"/>
      <c r="U1014" s="675"/>
      <c r="V1014" s="675">
        <f t="shared" si="224"/>
        <v>0</v>
      </c>
      <c r="W1014" s="675">
        <v>0</v>
      </c>
      <c r="X1014" s="675">
        <v>0</v>
      </c>
      <c r="Y1014" s="675">
        <v>0</v>
      </c>
      <c r="Z1014" s="675">
        <v>0</v>
      </c>
      <c r="AA1014" s="675">
        <v>0</v>
      </c>
      <c r="AB1014" s="675"/>
      <c r="AC1014" s="675"/>
      <c r="AD1014" s="675"/>
      <c r="AE1014" s="675"/>
      <c r="AF1014" s="675"/>
      <c r="AG1014" s="675"/>
      <c r="AH1014" s="675"/>
      <c r="AI1014" s="675"/>
      <c r="AJ1014" s="675"/>
      <c r="AK1014" s="658"/>
    </row>
    <row r="1015" spans="1:37" ht="15" customHeight="1">
      <c r="A1015" s="5"/>
      <c r="B1015" s="313"/>
      <c r="C1015" s="837"/>
      <c r="D1015" s="17" t="s">
        <v>330</v>
      </c>
      <c r="E1015" s="243" t="s">
        <v>27</v>
      </c>
      <c r="F1015" s="253">
        <v>160000</v>
      </c>
      <c r="G1015" s="280">
        <v>6.5</v>
      </c>
      <c r="H1015" s="755">
        <f>+G1015*F1015+181125</f>
        <v>1221125</v>
      </c>
      <c r="I1015" s="79"/>
      <c r="J1015" s="52"/>
      <c r="K1015" s="156"/>
      <c r="L1015" s="383"/>
      <c r="M1015" s="542"/>
      <c r="N1015" s="701">
        <f t="shared" si="221"/>
        <v>0</v>
      </c>
      <c r="O1015" s="675"/>
      <c r="P1015" s="675"/>
      <c r="Q1015" s="675"/>
      <c r="R1015" s="675"/>
      <c r="S1015" s="675"/>
      <c r="T1015" s="675"/>
      <c r="U1015" s="675"/>
      <c r="V1015" s="675">
        <f t="shared" si="224"/>
        <v>203520.83333333334</v>
      </c>
      <c r="W1015" s="675">
        <v>203520.83333333334</v>
      </c>
      <c r="X1015" s="675">
        <v>203520.83333333334</v>
      </c>
      <c r="Y1015" s="675">
        <v>203520.83333333334</v>
      </c>
      <c r="Z1015" s="675">
        <v>203520.83333333334</v>
      </c>
      <c r="AA1015" s="675">
        <v>203520.83333333334</v>
      </c>
      <c r="AB1015" s="675"/>
      <c r="AC1015" s="675"/>
      <c r="AD1015" s="675"/>
      <c r="AE1015" s="675"/>
      <c r="AF1015" s="675"/>
      <c r="AG1015" s="675"/>
      <c r="AH1015" s="675"/>
      <c r="AI1015" s="675"/>
      <c r="AJ1015" s="675"/>
      <c r="AK1015" s="658"/>
    </row>
    <row r="1016" spans="1:37" ht="15" customHeight="1">
      <c r="A1016" s="5"/>
      <c r="B1016" s="313"/>
      <c r="C1016" s="837"/>
      <c r="D1016" s="17" t="s">
        <v>184</v>
      </c>
      <c r="E1016" s="243" t="s">
        <v>27</v>
      </c>
      <c r="F1016" s="253">
        <v>180000</v>
      </c>
      <c r="G1016" s="280">
        <v>6.5</v>
      </c>
      <c r="H1016" s="755">
        <f>+G1016*F1016+181125</f>
        <v>1351125</v>
      </c>
      <c r="I1016" s="79"/>
      <c r="J1016" s="52"/>
      <c r="K1016" s="156"/>
      <c r="L1016" s="383"/>
      <c r="M1016" s="542"/>
      <c r="N1016" s="701">
        <f t="shared" si="221"/>
        <v>0</v>
      </c>
      <c r="O1016" s="675"/>
      <c r="P1016" s="675"/>
      <c r="Q1016" s="675"/>
      <c r="R1016" s="675"/>
      <c r="S1016" s="675"/>
      <c r="T1016" s="675"/>
      <c r="U1016" s="675"/>
      <c r="V1016" s="675">
        <f t="shared" si="224"/>
        <v>225187.5</v>
      </c>
      <c r="W1016" s="675">
        <v>225187.5</v>
      </c>
      <c r="X1016" s="675">
        <v>225187.5</v>
      </c>
      <c r="Y1016" s="675">
        <v>225187.5</v>
      </c>
      <c r="Z1016" s="675">
        <v>225187.5</v>
      </c>
      <c r="AA1016" s="675">
        <v>225187.5</v>
      </c>
      <c r="AB1016" s="675"/>
      <c r="AC1016" s="675"/>
      <c r="AD1016" s="675"/>
      <c r="AE1016" s="675"/>
      <c r="AF1016" s="675"/>
      <c r="AG1016" s="675"/>
      <c r="AH1016" s="675"/>
      <c r="AI1016" s="675"/>
      <c r="AJ1016" s="675"/>
      <c r="AK1016" s="658"/>
    </row>
    <row r="1017" spans="1:37" s="543" customFormat="1" ht="15" customHeight="1">
      <c r="A1017" s="532"/>
      <c r="B1017" s="533"/>
      <c r="C1017" s="839"/>
      <c r="D1017" s="556" t="s">
        <v>185</v>
      </c>
      <c r="E1017" s="545" t="s">
        <v>27</v>
      </c>
      <c r="F1017" s="531">
        <v>360000</v>
      </c>
      <c r="G1017" s="755">
        <v>6</v>
      </c>
      <c r="H1017" s="755">
        <f>+F1017*G1017</f>
        <v>2160000</v>
      </c>
      <c r="I1017" s="624"/>
      <c r="J1017" s="547"/>
      <c r="K1017" s="540"/>
      <c r="L1017" s="541"/>
      <c r="M1017" s="542"/>
      <c r="N1017" s="701">
        <f t="shared" si="221"/>
        <v>0</v>
      </c>
      <c r="O1017" s="687"/>
      <c r="P1017" s="687"/>
      <c r="Q1017" s="687"/>
      <c r="R1017" s="687"/>
      <c r="S1017" s="687"/>
      <c r="T1017" s="687"/>
      <c r="U1017" s="687"/>
      <c r="V1017" s="687">
        <f t="shared" si="224"/>
        <v>360000</v>
      </c>
      <c r="W1017" s="687">
        <v>360000</v>
      </c>
      <c r="X1017" s="687">
        <v>360000</v>
      </c>
      <c r="Y1017" s="687">
        <v>360000</v>
      </c>
      <c r="Z1017" s="687">
        <v>360000</v>
      </c>
      <c r="AA1017" s="687">
        <v>360000</v>
      </c>
      <c r="AB1017" s="687"/>
      <c r="AC1017" s="687"/>
      <c r="AD1017" s="687"/>
      <c r="AE1017" s="687"/>
      <c r="AF1017" s="687"/>
      <c r="AG1017" s="687"/>
      <c r="AH1017" s="687"/>
      <c r="AI1017" s="687"/>
      <c r="AJ1017" s="687"/>
      <c r="AK1017" s="750"/>
    </row>
    <row r="1018" spans="1:37" s="543" customFormat="1" ht="15" customHeight="1">
      <c r="A1018" s="532"/>
      <c r="B1018" s="533"/>
      <c r="C1018" s="839"/>
      <c r="D1018" s="556" t="s">
        <v>472</v>
      </c>
      <c r="E1018" s="545" t="s">
        <v>27</v>
      </c>
      <c r="F1018" s="531">
        <v>180000</v>
      </c>
      <c r="G1018" s="755">
        <v>6</v>
      </c>
      <c r="H1018" s="755">
        <f>+G1018*F1018</f>
        <v>1080000</v>
      </c>
      <c r="I1018" s="546">
        <f>SUM(H1011:H1018)</f>
        <v>8257700</v>
      </c>
      <c r="J1018" s="547">
        <f>SUM(G1003:G1018)</f>
        <v>106</v>
      </c>
      <c r="K1018" s="540"/>
      <c r="L1018" s="541"/>
      <c r="M1018" s="542"/>
      <c r="N1018" s="701">
        <f t="shared" si="221"/>
        <v>0</v>
      </c>
      <c r="O1018" s="687"/>
      <c r="P1018" s="687"/>
      <c r="Q1018" s="687"/>
      <c r="R1018" s="687"/>
      <c r="S1018" s="687"/>
      <c r="T1018" s="687"/>
      <c r="U1018" s="687"/>
      <c r="V1018" s="687">
        <f t="shared" si="224"/>
        <v>180000</v>
      </c>
      <c r="W1018" s="687">
        <v>180000</v>
      </c>
      <c r="X1018" s="687">
        <v>180000</v>
      </c>
      <c r="Y1018" s="687">
        <v>180000</v>
      </c>
      <c r="Z1018" s="687">
        <v>180000</v>
      </c>
      <c r="AA1018" s="687">
        <v>180000</v>
      </c>
      <c r="AB1018" s="687"/>
      <c r="AC1018" s="687"/>
      <c r="AD1018" s="687"/>
      <c r="AE1018" s="687"/>
      <c r="AF1018" s="687"/>
      <c r="AG1018" s="687"/>
      <c r="AH1018" s="687"/>
      <c r="AI1018" s="687"/>
      <c r="AJ1018" s="687"/>
      <c r="AK1018" s="750"/>
    </row>
    <row r="1019" spans="1:37" s="104" customFormat="1" ht="15" customHeight="1">
      <c r="B1019" s="313"/>
      <c r="C1019" s="848"/>
      <c r="D1019" s="174" t="s">
        <v>186</v>
      </c>
      <c r="E1019" s="120"/>
      <c r="F1019" s="91"/>
      <c r="G1019" s="121"/>
      <c r="H1019" s="64"/>
      <c r="I1019" s="134"/>
      <c r="J1019" s="296"/>
      <c r="K1019" s="156"/>
      <c r="L1019" s="383"/>
      <c r="M1019" s="542"/>
      <c r="N1019" s="701">
        <f t="shared" si="221"/>
        <v>0</v>
      </c>
      <c r="O1019" s="688"/>
      <c r="P1019" s="688"/>
      <c r="Q1019" s="688"/>
      <c r="R1019" s="688"/>
      <c r="S1019" s="688"/>
      <c r="T1019" s="688"/>
      <c r="U1019" s="688"/>
      <c r="V1019" s="675">
        <f t="shared" si="224"/>
        <v>0</v>
      </c>
      <c r="W1019" s="688">
        <v>0</v>
      </c>
      <c r="X1019" s="688">
        <v>0</v>
      </c>
      <c r="Y1019" s="688">
        <v>0</v>
      </c>
      <c r="Z1019" s="688">
        <v>0</v>
      </c>
      <c r="AA1019" s="688">
        <v>0</v>
      </c>
      <c r="AB1019" s="688"/>
      <c r="AC1019" s="688"/>
      <c r="AD1019" s="688"/>
      <c r="AE1019" s="688"/>
      <c r="AF1019" s="688"/>
      <c r="AG1019" s="688"/>
      <c r="AH1019" s="688"/>
      <c r="AI1019" s="688"/>
      <c r="AJ1019" s="688"/>
      <c r="AK1019" s="658"/>
    </row>
    <row r="1020" spans="1:37" ht="15" customHeight="1">
      <c r="A1020" s="5"/>
      <c r="B1020" s="313"/>
      <c r="C1020" s="837"/>
      <c r="D1020" s="175" t="s">
        <v>187</v>
      </c>
      <c r="E1020" s="81" t="s">
        <v>188</v>
      </c>
      <c r="F1020" s="124">
        <v>0</v>
      </c>
      <c r="G1020" s="64">
        <v>0</v>
      </c>
      <c r="H1020" s="64">
        <f>+G1020*F1020</f>
        <v>0</v>
      </c>
      <c r="I1020" s="72">
        <f>H1020</f>
        <v>0</v>
      </c>
      <c r="J1020" s="52"/>
      <c r="K1020" s="156"/>
      <c r="L1020" s="383"/>
      <c r="M1020" s="542"/>
      <c r="N1020" s="701">
        <f t="shared" si="221"/>
        <v>0</v>
      </c>
      <c r="O1020" s="675"/>
      <c r="P1020" s="675"/>
      <c r="Q1020" s="675"/>
      <c r="R1020" s="675"/>
      <c r="S1020" s="675"/>
      <c r="T1020" s="675"/>
      <c r="U1020" s="675"/>
      <c r="V1020" s="675"/>
      <c r="W1020" s="675"/>
      <c r="X1020" s="675"/>
      <c r="Y1020" s="675"/>
      <c r="Z1020" s="675"/>
      <c r="AA1020" s="675"/>
      <c r="AB1020" s="675"/>
      <c r="AC1020" s="675"/>
      <c r="AD1020" s="675"/>
      <c r="AE1020" s="675"/>
      <c r="AF1020" s="675"/>
      <c r="AG1020" s="675"/>
      <c r="AH1020" s="675"/>
      <c r="AI1020" s="675"/>
      <c r="AJ1020" s="675"/>
      <c r="AK1020" s="658"/>
    </row>
    <row r="1021" spans="1:37" s="53" customFormat="1" ht="15" customHeight="1">
      <c r="A1021" s="5"/>
      <c r="B1021" s="313"/>
      <c r="C1021" s="837"/>
      <c r="D1021" s="175" t="s">
        <v>189</v>
      </c>
      <c r="E1021" s="81" t="s">
        <v>188</v>
      </c>
      <c r="F1021" s="124">
        <v>0</v>
      </c>
      <c r="G1021" s="64">
        <v>0</v>
      </c>
      <c r="H1021" s="64">
        <f>+G1021*F1021</f>
        <v>0</v>
      </c>
      <c r="I1021" s="72">
        <f>H1021</f>
        <v>0</v>
      </c>
      <c r="J1021" s="52"/>
      <c r="K1021" s="156"/>
      <c r="L1021" s="383"/>
      <c r="M1021" s="542"/>
      <c r="N1021" s="701">
        <f t="shared" si="221"/>
        <v>0</v>
      </c>
      <c r="O1021" s="677"/>
      <c r="P1021" s="677"/>
      <c r="Q1021" s="677"/>
      <c r="R1021" s="677"/>
      <c r="S1021" s="677"/>
      <c r="T1021" s="677"/>
      <c r="U1021" s="677"/>
      <c r="V1021" s="677"/>
      <c r="W1021" s="677"/>
      <c r="X1021" s="677"/>
      <c r="Y1021" s="677"/>
      <c r="Z1021" s="677"/>
      <c r="AA1021" s="677"/>
      <c r="AB1021" s="677"/>
      <c r="AC1021" s="677"/>
      <c r="AD1021" s="677"/>
      <c r="AE1021" s="677"/>
      <c r="AF1021" s="677"/>
      <c r="AG1021" s="677"/>
      <c r="AH1021" s="677"/>
      <c r="AI1021" s="677"/>
      <c r="AJ1021" s="677"/>
      <c r="AK1021" s="658"/>
    </row>
    <row r="1022" spans="1:37" s="104" customFormat="1" ht="15" customHeight="1">
      <c r="B1022" s="313"/>
      <c r="C1022" s="848"/>
      <c r="D1022" s="105" t="s">
        <v>190</v>
      </c>
      <c r="E1022" s="120"/>
      <c r="F1022" s="91"/>
      <c r="G1022" s="121"/>
      <c r="H1022" s="64"/>
      <c r="I1022" s="134"/>
      <c r="J1022" s="296"/>
      <c r="K1022" s="156"/>
      <c r="L1022" s="383"/>
      <c r="M1022" s="542"/>
      <c r="N1022" s="701">
        <f t="shared" si="221"/>
        <v>0</v>
      </c>
      <c r="O1022" s="688"/>
      <c r="P1022" s="688"/>
      <c r="Q1022" s="688"/>
      <c r="R1022" s="688"/>
      <c r="S1022" s="688"/>
      <c r="T1022" s="688"/>
      <c r="U1022" s="688"/>
      <c r="V1022" s="688"/>
      <c r="W1022" s="688"/>
      <c r="X1022" s="688"/>
      <c r="Y1022" s="688"/>
      <c r="Z1022" s="688"/>
      <c r="AA1022" s="688"/>
      <c r="AB1022" s="688"/>
      <c r="AC1022" s="688"/>
      <c r="AD1022" s="688"/>
      <c r="AE1022" s="688"/>
      <c r="AF1022" s="688"/>
      <c r="AG1022" s="688"/>
      <c r="AH1022" s="688"/>
      <c r="AI1022" s="688"/>
      <c r="AJ1022" s="688"/>
      <c r="AK1022" s="658"/>
    </row>
    <row r="1023" spans="1:37" ht="15" customHeight="1">
      <c r="A1023" s="5"/>
      <c r="B1023" s="313"/>
      <c r="C1023" s="837"/>
      <c r="D1023" s="17" t="s">
        <v>191</v>
      </c>
      <c r="E1023" s="67" t="s">
        <v>16</v>
      </c>
      <c r="F1023" s="124"/>
      <c r="G1023" s="64"/>
      <c r="H1023" s="64"/>
      <c r="I1023" s="72"/>
      <c r="J1023" s="52"/>
      <c r="K1023" s="156"/>
      <c r="L1023" s="383"/>
      <c r="M1023" s="542"/>
      <c r="N1023" s="701">
        <f t="shared" si="221"/>
        <v>0</v>
      </c>
      <c r="O1023" s="675"/>
      <c r="P1023" s="675"/>
      <c r="Q1023" s="675"/>
      <c r="R1023" s="675"/>
      <c r="S1023" s="675"/>
      <c r="T1023" s="675"/>
      <c r="U1023" s="675"/>
      <c r="V1023" s="675"/>
      <c r="W1023" s="675"/>
      <c r="X1023" s="675"/>
      <c r="Y1023" s="675"/>
      <c r="Z1023" s="675"/>
      <c r="AA1023" s="675"/>
      <c r="AB1023" s="675"/>
      <c r="AC1023" s="675"/>
      <c r="AD1023" s="675"/>
      <c r="AE1023" s="675"/>
      <c r="AF1023" s="675"/>
      <c r="AG1023" s="675"/>
      <c r="AH1023" s="675"/>
      <c r="AI1023" s="675"/>
      <c r="AJ1023" s="675"/>
      <c r="AK1023" s="658"/>
    </row>
    <row r="1024" spans="1:37" ht="15" customHeight="1">
      <c r="A1024" s="5"/>
      <c r="B1024" s="313"/>
      <c r="C1024" s="837"/>
      <c r="D1024" s="17" t="s">
        <v>192</v>
      </c>
      <c r="E1024" s="81" t="s">
        <v>188</v>
      </c>
      <c r="F1024" s="124"/>
      <c r="G1024" s="64"/>
      <c r="H1024" s="64"/>
      <c r="I1024" s="72"/>
      <c r="J1024" s="52"/>
      <c r="K1024" s="156"/>
      <c r="L1024" s="383"/>
      <c r="M1024" s="542"/>
      <c r="N1024" s="701">
        <f t="shared" si="221"/>
        <v>0</v>
      </c>
      <c r="O1024" s="675"/>
      <c r="P1024" s="675"/>
      <c r="Q1024" s="675"/>
      <c r="R1024" s="675"/>
      <c r="S1024" s="675"/>
      <c r="T1024" s="675"/>
      <c r="U1024" s="675"/>
      <c r="V1024" s="675"/>
      <c r="W1024" s="675"/>
      <c r="X1024" s="675"/>
      <c r="Y1024" s="675"/>
      <c r="Z1024" s="675"/>
      <c r="AA1024" s="675"/>
      <c r="AB1024" s="675"/>
      <c r="AC1024" s="675"/>
      <c r="AD1024" s="675"/>
      <c r="AE1024" s="675"/>
      <c r="AF1024" s="675"/>
      <c r="AG1024" s="675"/>
      <c r="AH1024" s="675"/>
      <c r="AI1024" s="675"/>
      <c r="AJ1024" s="675"/>
      <c r="AK1024" s="658"/>
    </row>
    <row r="1025" spans="1:37" s="104" customFormat="1" ht="15" customHeight="1">
      <c r="B1025" s="313"/>
      <c r="C1025" s="835" t="s">
        <v>948</v>
      </c>
      <c r="D1025" s="105" t="s">
        <v>193</v>
      </c>
      <c r="E1025" s="120"/>
      <c r="F1025" s="91"/>
      <c r="G1025" s="121"/>
      <c r="H1025" s="64"/>
      <c r="I1025" s="134"/>
      <c r="J1025" s="296"/>
      <c r="K1025" s="156"/>
      <c r="L1025" s="383"/>
      <c r="M1025" s="542"/>
      <c r="N1025" s="701">
        <f t="shared" si="221"/>
        <v>0</v>
      </c>
      <c r="O1025" s="688"/>
      <c r="P1025" s="688"/>
      <c r="Q1025" s="688"/>
      <c r="R1025" s="688"/>
      <c r="S1025" s="688"/>
      <c r="T1025" s="688"/>
      <c r="U1025" s="688"/>
      <c r="V1025" s="688"/>
      <c r="W1025" s="688"/>
      <c r="X1025" s="688"/>
      <c r="Y1025" s="688"/>
      <c r="Z1025" s="688"/>
      <c r="AA1025" s="688"/>
      <c r="AB1025" s="688"/>
      <c r="AC1025" s="688"/>
      <c r="AD1025" s="688"/>
      <c r="AE1025" s="688"/>
      <c r="AF1025" s="688"/>
      <c r="AG1025" s="688"/>
      <c r="AH1025" s="688"/>
      <c r="AI1025" s="688"/>
      <c r="AJ1025" s="688"/>
      <c r="AK1025" s="658"/>
    </row>
    <row r="1026" spans="1:37" ht="15" customHeight="1">
      <c r="A1026" s="5"/>
      <c r="B1026" s="313"/>
      <c r="C1026" s="837"/>
      <c r="D1026" s="17" t="s">
        <v>521</v>
      </c>
      <c r="E1026" s="245" t="s">
        <v>60</v>
      </c>
      <c r="F1026" s="253">
        <v>22500</v>
      </c>
      <c r="G1026" s="279">
        <v>18</v>
      </c>
      <c r="H1026" s="279">
        <f>+G1026*F1026+27720</f>
        <v>432720</v>
      </c>
      <c r="I1026" s="72">
        <f>H1026</f>
        <v>432720</v>
      </c>
      <c r="J1026" s="52"/>
      <c r="K1026" s="156"/>
      <c r="L1026" s="383"/>
      <c r="M1026" s="542"/>
      <c r="N1026" s="701">
        <f t="shared" si="221"/>
        <v>0</v>
      </c>
      <c r="O1026" s="675"/>
      <c r="P1026" s="675"/>
      <c r="Q1026" s="675"/>
      <c r="R1026" s="675"/>
      <c r="S1026" s="675"/>
      <c r="T1026" s="675"/>
      <c r="U1026" s="675">
        <f>+I1026/8</f>
        <v>54090</v>
      </c>
      <c r="V1026" s="675">
        <v>54090</v>
      </c>
      <c r="W1026" s="675">
        <v>54090</v>
      </c>
      <c r="X1026" s="675">
        <v>54090</v>
      </c>
      <c r="Y1026" s="675">
        <v>54090</v>
      </c>
      <c r="Z1026" s="675">
        <v>54090</v>
      </c>
      <c r="AA1026" s="675">
        <v>54090</v>
      </c>
      <c r="AB1026" s="675">
        <v>54090</v>
      </c>
      <c r="AC1026" s="675"/>
      <c r="AD1026" s="675"/>
      <c r="AE1026" s="675"/>
      <c r="AF1026" s="675"/>
      <c r="AG1026" s="675"/>
      <c r="AH1026" s="675"/>
      <c r="AI1026" s="675"/>
      <c r="AJ1026" s="675"/>
      <c r="AK1026" s="658"/>
    </row>
    <row r="1027" spans="1:37" ht="15" customHeight="1">
      <c r="A1027" s="5"/>
      <c r="B1027" s="313"/>
      <c r="C1027" s="837"/>
      <c r="D1027" s="17" t="s">
        <v>522</v>
      </c>
      <c r="E1027" s="245" t="s">
        <v>60</v>
      </c>
      <c r="F1027" s="253">
        <v>8000</v>
      </c>
      <c r="G1027" s="279">
        <v>20</v>
      </c>
      <c r="H1027" s="279">
        <f>+G1027*F1027+6468</f>
        <v>166468</v>
      </c>
      <c r="I1027" s="72">
        <f>H1027</f>
        <v>166468</v>
      </c>
      <c r="J1027" s="52"/>
      <c r="K1027" s="156"/>
      <c r="L1027" s="383"/>
      <c r="M1027" s="542"/>
      <c r="N1027" s="701">
        <f t="shared" si="221"/>
        <v>0</v>
      </c>
      <c r="O1027" s="675"/>
      <c r="P1027" s="675"/>
      <c r="Q1027" s="675"/>
      <c r="R1027" s="675"/>
      <c r="S1027" s="675"/>
      <c r="T1027" s="675"/>
      <c r="U1027" s="675">
        <f>+I1027/8</f>
        <v>20808.5</v>
      </c>
      <c r="V1027" s="675">
        <f>+U1027</f>
        <v>20808.5</v>
      </c>
      <c r="W1027" s="675">
        <f>+V1027</f>
        <v>20808.5</v>
      </c>
      <c r="X1027" s="675">
        <v>20808.5</v>
      </c>
      <c r="Y1027" s="675">
        <v>20808.5</v>
      </c>
      <c r="Z1027" s="675">
        <v>20808.5</v>
      </c>
      <c r="AA1027" s="675">
        <v>20808.5</v>
      </c>
      <c r="AB1027" s="675">
        <v>20808.5</v>
      </c>
      <c r="AC1027" s="675"/>
      <c r="AD1027" s="675"/>
      <c r="AE1027" s="675"/>
      <c r="AF1027" s="675"/>
      <c r="AG1027" s="675"/>
      <c r="AH1027" s="675"/>
      <c r="AI1027" s="675"/>
      <c r="AJ1027" s="675"/>
      <c r="AK1027" s="658"/>
    </row>
    <row r="1028" spans="1:37" s="104" customFormat="1" ht="15" customHeight="1">
      <c r="B1028" s="313"/>
      <c r="C1028" s="848"/>
      <c r="D1028" s="105" t="s">
        <v>133</v>
      </c>
      <c r="E1028" s="120"/>
      <c r="F1028" s="91"/>
      <c r="G1028" s="121"/>
      <c r="H1028" s="64"/>
      <c r="I1028" s="134"/>
      <c r="J1028" s="296"/>
      <c r="K1028" s="156"/>
      <c r="L1028" s="383"/>
      <c r="M1028" s="542"/>
      <c r="N1028" s="701">
        <f t="shared" si="221"/>
        <v>0</v>
      </c>
      <c r="O1028" s="688"/>
      <c r="P1028" s="688"/>
      <c r="Q1028" s="688"/>
      <c r="R1028" s="688"/>
      <c r="S1028" s="688"/>
      <c r="T1028" s="688"/>
      <c r="U1028" s="688"/>
      <c r="V1028" s="688"/>
      <c r="W1028" s="688"/>
      <c r="X1028" s="688"/>
      <c r="Y1028" s="688"/>
      <c r="Z1028" s="688"/>
      <c r="AA1028" s="688"/>
      <c r="AB1028" s="688"/>
      <c r="AC1028" s="688"/>
      <c r="AD1028" s="688"/>
      <c r="AE1028" s="688"/>
      <c r="AF1028" s="688"/>
      <c r="AG1028" s="688"/>
      <c r="AH1028" s="688"/>
      <c r="AI1028" s="688"/>
      <c r="AJ1028" s="688"/>
      <c r="AK1028" s="658"/>
    </row>
    <row r="1029" spans="1:37" ht="15" customHeight="1">
      <c r="A1029" s="5"/>
      <c r="B1029" s="313"/>
      <c r="C1029" s="837"/>
      <c r="D1029" s="17" t="s">
        <v>194</v>
      </c>
      <c r="E1029" s="67" t="s">
        <v>16</v>
      </c>
      <c r="F1029" s="124"/>
      <c r="G1029" s="64"/>
      <c r="H1029" s="64"/>
      <c r="I1029" s="79"/>
      <c r="J1029" s="52"/>
      <c r="K1029" s="156"/>
      <c r="L1029" s="383"/>
      <c r="M1029" s="542"/>
      <c r="N1029" s="701">
        <f t="shared" si="221"/>
        <v>0</v>
      </c>
      <c r="O1029" s="675"/>
      <c r="P1029" s="675"/>
      <c r="Q1029" s="675"/>
      <c r="R1029" s="675"/>
      <c r="S1029" s="675"/>
      <c r="T1029" s="675"/>
      <c r="U1029" s="675"/>
      <c r="V1029" s="675"/>
      <c r="W1029" s="675"/>
      <c r="X1029" s="675"/>
      <c r="Y1029" s="675"/>
      <c r="Z1029" s="675"/>
      <c r="AA1029" s="675"/>
      <c r="AB1029" s="675"/>
      <c r="AC1029" s="675"/>
      <c r="AD1029" s="675"/>
      <c r="AE1029" s="675"/>
      <c r="AF1029" s="675"/>
      <c r="AG1029" s="675"/>
      <c r="AH1029" s="675"/>
      <c r="AI1029" s="675"/>
      <c r="AJ1029" s="675"/>
      <c r="AK1029" s="658"/>
    </row>
    <row r="1030" spans="1:37" ht="15" customHeight="1">
      <c r="A1030" s="5"/>
      <c r="B1030" s="313"/>
      <c r="C1030" s="837"/>
      <c r="D1030" s="119" t="s">
        <v>195</v>
      </c>
      <c r="E1030" s="67" t="s">
        <v>16</v>
      </c>
      <c r="F1030" s="124"/>
      <c r="G1030" s="64"/>
      <c r="H1030" s="62"/>
      <c r="I1030" s="72"/>
      <c r="J1030" s="52">
        <v>35</v>
      </c>
      <c r="K1030" s="156"/>
      <c r="L1030" s="383"/>
      <c r="M1030" s="542"/>
      <c r="N1030" s="701">
        <f t="shared" si="221"/>
        <v>0</v>
      </c>
      <c r="O1030" s="675"/>
      <c r="P1030" s="675"/>
      <c r="Q1030" s="675"/>
      <c r="R1030" s="675"/>
      <c r="S1030" s="675"/>
      <c r="T1030" s="675"/>
      <c r="U1030" s="675"/>
      <c r="V1030" s="675"/>
      <c r="W1030" s="675"/>
      <c r="X1030" s="675"/>
      <c r="Y1030" s="675"/>
      <c r="Z1030" s="675"/>
      <c r="AA1030" s="675"/>
      <c r="AB1030" s="675"/>
      <c r="AC1030" s="675"/>
      <c r="AD1030" s="675"/>
      <c r="AE1030" s="675"/>
      <c r="AF1030" s="675"/>
      <c r="AG1030" s="675"/>
      <c r="AH1030" s="675"/>
      <c r="AI1030" s="675"/>
      <c r="AJ1030" s="675"/>
      <c r="AK1030" s="658"/>
    </row>
    <row r="1031" spans="1:37" s="48" customFormat="1" ht="15" customHeight="1">
      <c r="A1031" s="45"/>
      <c r="B1031" s="314"/>
      <c r="C1031" s="836"/>
      <c r="D1031" s="73"/>
      <c r="E1031" s="71"/>
      <c r="F1031" s="906" t="s">
        <v>196</v>
      </c>
      <c r="G1031" s="906"/>
      <c r="H1031" s="191"/>
      <c r="I1031" s="472">
        <f>SUM(I1002:I1030)</f>
        <v>13246888</v>
      </c>
      <c r="J1031" s="294"/>
      <c r="K1031" s="158"/>
      <c r="L1031" s="386"/>
      <c r="M1031" s="593"/>
      <c r="N1031" s="701">
        <f t="shared" si="221"/>
        <v>0</v>
      </c>
      <c r="O1031" s="676"/>
      <c r="P1031" s="676"/>
      <c r="Q1031" s="676"/>
      <c r="R1031" s="676"/>
      <c r="S1031" s="676"/>
      <c r="T1031" s="676"/>
      <c r="U1031" s="676"/>
      <c r="V1031" s="676"/>
      <c r="W1031" s="676"/>
      <c r="X1031" s="676"/>
      <c r="Y1031" s="676"/>
      <c r="Z1031" s="676"/>
      <c r="AA1031" s="676"/>
      <c r="AB1031" s="676"/>
      <c r="AC1031" s="676"/>
      <c r="AD1031" s="676"/>
      <c r="AE1031" s="676"/>
      <c r="AF1031" s="676"/>
      <c r="AG1031" s="676"/>
      <c r="AH1031" s="676"/>
      <c r="AI1031" s="676"/>
      <c r="AJ1031" s="676"/>
      <c r="AK1031" s="658"/>
    </row>
    <row r="1032" spans="1:37" s="53" customFormat="1" ht="30" customHeight="1">
      <c r="A1032" s="5"/>
      <c r="B1032" s="309"/>
      <c r="C1032" s="832"/>
      <c r="D1032" s="49"/>
      <c r="E1032" s="9"/>
      <c r="F1032" s="8"/>
      <c r="G1032" s="8"/>
      <c r="H1032" s="50"/>
      <c r="I1032" s="51"/>
      <c r="J1032" s="51"/>
      <c r="K1032" s="156"/>
      <c r="L1032" s="383"/>
      <c r="M1032" s="542"/>
      <c r="N1032" s="701"/>
      <c r="O1032" s="677"/>
      <c r="P1032" s="677"/>
      <c r="Q1032" s="677"/>
      <c r="R1032" s="677"/>
      <c r="S1032" s="677"/>
      <c r="T1032" s="677"/>
      <c r="U1032" s="677"/>
      <c r="V1032" s="677"/>
      <c r="W1032" s="677"/>
      <c r="X1032" s="677"/>
      <c r="Y1032" s="677"/>
      <c r="Z1032" s="677"/>
      <c r="AA1032" s="677"/>
      <c r="AB1032" s="677"/>
      <c r="AC1032" s="677"/>
      <c r="AD1032" s="677"/>
      <c r="AE1032" s="677"/>
      <c r="AF1032" s="677"/>
      <c r="AG1032" s="677"/>
      <c r="AH1032" s="677"/>
      <c r="AI1032" s="677"/>
      <c r="AJ1032" s="677"/>
      <c r="AK1032" s="658"/>
    </row>
    <row r="1033" spans="1:37" s="48" customFormat="1" ht="15" customHeight="1">
      <c r="A1033" s="45"/>
      <c r="B1033" s="312"/>
      <c r="C1033" s="834"/>
      <c r="D1033" s="33" t="s">
        <v>197</v>
      </c>
      <c r="E1033" s="56" t="s">
        <v>13</v>
      </c>
      <c r="F1033" s="57" t="s">
        <v>14</v>
      </c>
      <c r="G1033" s="58" t="s">
        <v>15</v>
      </c>
      <c r="H1033" s="192" t="s">
        <v>8</v>
      </c>
      <c r="I1033" s="59"/>
      <c r="J1033" s="292"/>
      <c r="K1033" s="158"/>
      <c r="L1033" s="386"/>
      <c r="M1033" s="593"/>
      <c r="N1033" s="701"/>
      <c r="O1033" s="676"/>
      <c r="P1033" s="676"/>
      <c r="Q1033" s="676"/>
      <c r="R1033" s="676"/>
      <c r="S1033" s="676"/>
      <c r="T1033" s="676"/>
      <c r="U1033" s="676"/>
      <c r="V1033" s="676"/>
      <c r="W1033" s="676"/>
      <c r="X1033" s="676"/>
      <c r="Y1033" s="676"/>
      <c r="Z1033" s="676"/>
      <c r="AA1033" s="676"/>
      <c r="AB1033" s="676"/>
      <c r="AC1033" s="676"/>
      <c r="AD1033" s="676"/>
      <c r="AE1033" s="676"/>
      <c r="AF1033" s="676"/>
      <c r="AG1033" s="676"/>
      <c r="AH1033" s="676"/>
      <c r="AI1033" s="676"/>
      <c r="AJ1033" s="676"/>
      <c r="AK1033" s="658"/>
    </row>
    <row r="1034" spans="1:37" ht="15" customHeight="1">
      <c r="A1034" s="5"/>
      <c r="B1034" s="313"/>
      <c r="C1034" s="835" t="s">
        <v>940</v>
      </c>
      <c r="D1034" s="105" t="s">
        <v>198</v>
      </c>
      <c r="E1034" s="54"/>
      <c r="F1034" s="54"/>
      <c r="G1034" s="121"/>
      <c r="H1034" s="137"/>
      <c r="I1034" s="79"/>
      <c r="J1034" s="52"/>
      <c r="K1034" s="156"/>
      <c r="L1034" s="383"/>
      <c r="M1034" s="542"/>
      <c r="N1034" s="701"/>
      <c r="O1034" s="675"/>
      <c r="P1034" s="675"/>
      <c r="Q1034" s="675"/>
      <c r="R1034" s="675"/>
      <c r="S1034" s="675"/>
      <c r="T1034" s="675"/>
      <c r="U1034" s="675"/>
      <c r="V1034" s="675"/>
      <c r="W1034" s="675"/>
      <c r="X1034" s="675"/>
      <c r="Y1034" s="675"/>
      <c r="Z1034" s="675"/>
      <c r="AA1034" s="675"/>
      <c r="AB1034" s="675"/>
      <c r="AC1034" s="675"/>
      <c r="AD1034" s="675"/>
      <c r="AE1034" s="675"/>
      <c r="AF1034" s="675"/>
      <c r="AG1034" s="675"/>
      <c r="AH1034" s="675"/>
      <c r="AI1034" s="675"/>
      <c r="AJ1034" s="675"/>
      <c r="AK1034" s="658"/>
    </row>
    <row r="1035" spans="1:37" ht="15" customHeight="1">
      <c r="A1035" s="5"/>
      <c r="B1035" s="313"/>
      <c r="C1035" s="835"/>
      <c r="D1035" s="471" t="s">
        <v>524</v>
      </c>
      <c r="E1035" s="281" t="s">
        <v>27</v>
      </c>
      <c r="F1035" s="282">
        <v>250000</v>
      </c>
      <c r="G1035" s="283">
        <v>6</v>
      </c>
      <c r="H1035" s="758">
        <f>G1035*F1035</f>
        <v>1500000</v>
      </c>
      <c r="I1035" s="72"/>
      <c r="J1035" s="52"/>
      <c r="K1035" s="156"/>
      <c r="L1035" s="383"/>
      <c r="M1035" s="542"/>
      <c r="N1035" s="701"/>
      <c r="O1035" s="675"/>
      <c r="P1035" s="675"/>
      <c r="Q1035" s="675"/>
      <c r="R1035" s="675"/>
      <c r="S1035" s="675"/>
      <c r="T1035" s="675"/>
      <c r="U1035" s="675"/>
      <c r="V1035" s="675"/>
      <c r="W1035" s="675"/>
      <c r="X1035" s="675"/>
      <c r="Y1035" s="675"/>
      <c r="Z1035" s="675"/>
      <c r="AA1035" s="675"/>
      <c r="AB1035" s="675"/>
      <c r="AC1035" s="675"/>
      <c r="AD1035" s="675"/>
      <c r="AE1035" s="675"/>
      <c r="AF1035" s="675"/>
      <c r="AG1035" s="675"/>
      <c r="AH1035" s="675"/>
      <c r="AI1035" s="675"/>
      <c r="AJ1035" s="675"/>
      <c r="AK1035" s="658"/>
    </row>
    <row r="1036" spans="1:37" ht="15" customHeight="1">
      <c r="A1036" s="5"/>
      <c r="B1036" s="313"/>
      <c r="C1036" s="835" t="s">
        <v>940</v>
      </c>
      <c r="D1036" s="66" t="s">
        <v>199</v>
      </c>
      <c r="E1036" s="281" t="s">
        <v>27</v>
      </c>
      <c r="F1036" s="282">
        <v>55000</v>
      </c>
      <c r="G1036" s="283">
        <v>6</v>
      </c>
      <c r="H1036" s="283">
        <f>+F1036*G1036</f>
        <v>330000</v>
      </c>
      <c r="I1036" s="72"/>
      <c r="J1036" s="52"/>
      <c r="K1036" s="156"/>
      <c r="L1036" s="383"/>
      <c r="M1036" s="542"/>
      <c r="N1036" s="701"/>
      <c r="O1036" s="675"/>
      <c r="P1036" s="675"/>
      <c r="Q1036" s="675"/>
      <c r="R1036" s="675"/>
      <c r="S1036" s="675"/>
      <c r="T1036" s="675"/>
      <c r="U1036" s="675"/>
      <c r="V1036" s="675"/>
      <c r="W1036" s="675"/>
      <c r="X1036" s="675"/>
      <c r="Y1036" s="675"/>
      <c r="Z1036" s="675"/>
      <c r="AA1036" s="675"/>
      <c r="AB1036" s="675"/>
      <c r="AC1036" s="675"/>
      <c r="AD1036" s="675"/>
      <c r="AE1036" s="675"/>
      <c r="AF1036" s="675"/>
      <c r="AG1036" s="675"/>
      <c r="AH1036" s="675"/>
      <c r="AI1036" s="675"/>
      <c r="AJ1036" s="675"/>
      <c r="AK1036" s="658"/>
    </row>
    <row r="1037" spans="1:37" ht="15" customHeight="1">
      <c r="A1037" s="5"/>
      <c r="B1037" s="313"/>
      <c r="C1037" s="835" t="s">
        <v>946</v>
      </c>
      <c r="D1037" s="138" t="s">
        <v>200</v>
      </c>
      <c r="E1037" s="281" t="s">
        <v>27</v>
      </c>
      <c r="F1037" s="283">
        <v>250000</v>
      </c>
      <c r="G1037" s="283">
        <v>1</v>
      </c>
      <c r="H1037" s="283">
        <f>F1037*1</f>
        <v>250000</v>
      </c>
      <c r="I1037" s="72"/>
      <c r="J1037" s="52"/>
      <c r="K1037" s="156"/>
      <c r="L1037" s="383"/>
      <c r="M1037" s="542"/>
      <c r="N1037" s="701"/>
      <c r="O1037" s="675"/>
      <c r="P1037" s="675"/>
      <c r="Q1037" s="675"/>
      <c r="R1037" s="675"/>
      <c r="S1037" s="675"/>
      <c r="T1037" s="675"/>
      <c r="U1037" s="675"/>
      <c r="V1037" s="675"/>
      <c r="W1037" s="675"/>
      <c r="X1037" s="675"/>
      <c r="Y1037" s="675"/>
      <c r="Z1037" s="675"/>
      <c r="AA1037" s="675"/>
      <c r="AB1037" s="675"/>
      <c r="AC1037" s="675"/>
      <c r="AD1037" s="675"/>
      <c r="AE1037" s="675"/>
      <c r="AF1037" s="675"/>
      <c r="AG1037" s="675"/>
      <c r="AH1037" s="675"/>
      <c r="AI1037" s="675"/>
      <c r="AJ1037" s="675"/>
      <c r="AK1037" s="658"/>
    </row>
    <row r="1038" spans="1:37" ht="15" customHeight="1">
      <c r="A1038" s="5"/>
      <c r="B1038" s="313"/>
      <c r="C1038" s="835"/>
      <c r="D1038" s="103"/>
      <c r="E1038" s="61"/>
      <c r="F1038" s="261"/>
      <c r="G1038" s="62"/>
      <c r="H1038" s="62">
        <f>+F1038*G1038</f>
        <v>0</v>
      </c>
      <c r="I1038" s="72"/>
      <c r="J1038" s="52">
        <v>15</v>
      </c>
      <c r="K1038" s="156"/>
      <c r="L1038" s="383"/>
      <c r="M1038" s="542"/>
      <c r="N1038" s="701">
        <f t="shared" ref="N1038:N1066" si="225">SUM(O1038:AJ1038)-H1038</f>
        <v>0</v>
      </c>
      <c r="O1038" s="675"/>
      <c r="P1038" s="675"/>
      <c r="Q1038" s="675"/>
      <c r="R1038" s="675"/>
      <c r="S1038" s="675"/>
      <c r="T1038" s="675"/>
      <c r="U1038" s="675"/>
      <c r="V1038" s="675"/>
      <c r="W1038" s="675"/>
      <c r="X1038" s="675"/>
      <c r="Y1038" s="675"/>
      <c r="Z1038" s="675"/>
      <c r="AA1038" s="675"/>
      <c r="AB1038" s="675"/>
      <c r="AC1038" s="675"/>
      <c r="AD1038" s="675"/>
      <c r="AE1038" s="675"/>
      <c r="AF1038" s="675"/>
      <c r="AG1038" s="675"/>
      <c r="AH1038" s="675"/>
      <c r="AI1038" s="675"/>
      <c r="AJ1038" s="675"/>
      <c r="AK1038" s="658"/>
    </row>
    <row r="1039" spans="1:37" s="48" customFormat="1" ht="12" customHeight="1">
      <c r="A1039" s="45"/>
      <c r="B1039" s="314"/>
      <c r="C1039" s="836"/>
      <c r="D1039" s="73"/>
      <c r="E1039" s="71"/>
      <c r="F1039" s="906" t="s">
        <v>202</v>
      </c>
      <c r="G1039" s="906"/>
      <c r="H1039" s="191"/>
      <c r="I1039" s="472">
        <f>SUM(H1035:H1038)</f>
        <v>2080000</v>
      </c>
      <c r="J1039" s="294"/>
      <c r="K1039" s="158"/>
      <c r="L1039" s="386"/>
      <c r="M1039" s="593"/>
      <c r="N1039" s="701">
        <f>SUM(O1039:AJ1039)-I1039</f>
        <v>-22299.999999999534</v>
      </c>
      <c r="O1039" s="676"/>
      <c r="P1039" s="676"/>
      <c r="Q1039" s="676"/>
      <c r="R1039" s="676"/>
      <c r="S1039" s="676"/>
      <c r="T1039" s="676"/>
      <c r="U1039" s="676"/>
      <c r="V1039" s="676">
        <f>+I1039/6</f>
        <v>346666.66666666669</v>
      </c>
      <c r="W1039" s="676">
        <v>346666.66666666669</v>
      </c>
      <c r="X1039" s="676">
        <f>346666.666666667-22300</f>
        <v>324366.66666666698</v>
      </c>
      <c r="Y1039" s="676">
        <v>346666.66666666669</v>
      </c>
      <c r="Z1039" s="676">
        <v>346666.66666666669</v>
      </c>
      <c r="AA1039" s="676">
        <v>346666.66666666669</v>
      </c>
      <c r="AB1039" s="676"/>
      <c r="AC1039" s="676"/>
      <c r="AD1039" s="676"/>
      <c r="AE1039" s="676"/>
      <c r="AF1039" s="676"/>
      <c r="AG1039" s="676"/>
      <c r="AH1039" s="676"/>
      <c r="AI1039" s="676"/>
      <c r="AJ1039" s="676"/>
      <c r="AK1039" s="658"/>
    </row>
    <row r="1040" spans="1:37" s="53" customFormat="1" ht="30" customHeight="1">
      <c r="A1040" s="5"/>
      <c r="B1040" s="309"/>
      <c r="C1040" s="832"/>
      <c r="D1040" s="49"/>
      <c r="E1040" s="9"/>
      <c r="F1040" s="8"/>
      <c r="G1040" s="8"/>
      <c r="H1040" s="50"/>
      <c r="I1040" s="51"/>
      <c r="J1040" s="51"/>
      <c r="K1040" s="156"/>
      <c r="L1040" s="383"/>
      <c r="M1040" s="542"/>
      <c r="N1040" s="701">
        <f t="shared" si="225"/>
        <v>0</v>
      </c>
      <c r="O1040" s="677"/>
      <c r="P1040" s="677"/>
      <c r="Q1040" s="677"/>
      <c r="R1040" s="677"/>
      <c r="S1040" s="677"/>
      <c r="T1040" s="677"/>
      <c r="U1040" s="677"/>
      <c r="V1040" s="677"/>
      <c r="W1040" s="677"/>
      <c r="X1040" s="677"/>
      <c r="Y1040" s="677"/>
      <c r="Z1040" s="677"/>
      <c r="AA1040" s="677"/>
      <c r="AB1040" s="677"/>
      <c r="AC1040" s="677"/>
      <c r="AD1040" s="677"/>
      <c r="AE1040" s="677"/>
      <c r="AF1040" s="677"/>
      <c r="AG1040" s="677"/>
      <c r="AH1040" s="677"/>
      <c r="AI1040" s="677"/>
      <c r="AJ1040" s="677"/>
      <c r="AK1040" s="658"/>
    </row>
    <row r="1041" spans="1:37" s="48" customFormat="1" ht="15" customHeight="1">
      <c r="A1041" s="45"/>
      <c r="B1041" s="312"/>
      <c r="C1041" s="834"/>
      <c r="D1041" s="33" t="s">
        <v>203</v>
      </c>
      <c r="E1041" s="56" t="s">
        <v>13</v>
      </c>
      <c r="F1041" s="57" t="s">
        <v>14</v>
      </c>
      <c r="G1041" s="58" t="s">
        <v>15</v>
      </c>
      <c r="H1041" s="192" t="s">
        <v>8</v>
      </c>
      <c r="I1041" s="59"/>
      <c r="J1041" s="292"/>
      <c r="K1041" s="158"/>
      <c r="L1041" s="386"/>
      <c r="M1041" s="593"/>
      <c r="N1041" s="701"/>
      <c r="O1041" s="676"/>
      <c r="P1041" s="676"/>
      <c r="Q1041" s="676"/>
      <c r="R1041" s="676"/>
      <c r="S1041" s="676"/>
      <c r="T1041" s="676"/>
      <c r="U1041" s="676"/>
      <c r="V1041" s="676"/>
      <c r="W1041" s="676"/>
      <c r="X1041" s="676"/>
      <c r="Y1041" s="676"/>
      <c r="Z1041" s="676"/>
      <c r="AA1041" s="676"/>
      <c r="AB1041" s="676"/>
      <c r="AC1041" s="676"/>
      <c r="AD1041" s="676"/>
      <c r="AE1041" s="676"/>
      <c r="AF1041" s="676"/>
      <c r="AG1041" s="676"/>
      <c r="AH1041" s="676"/>
      <c r="AI1041" s="676"/>
      <c r="AJ1041" s="676"/>
      <c r="AK1041" s="658"/>
    </row>
    <row r="1042" spans="1:37" s="5" customFormat="1" ht="15" customHeight="1">
      <c r="B1042" s="313"/>
      <c r="C1042" s="835" t="s">
        <v>949</v>
      </c>
      <c r="D1042" s="105" t="s">
        <v>204</v>
      </c>
      <c r="E1042" s="139" t="s">
        <v>205</v>
      </c>
      <c r="F1042" s="140"/>
      <c r="G1042" s="141" t="s">
        <v>206</v>
      </c>
      <c r="H1042" s="85"/>
      <c r="I1042" s="126"/>
      <c r="J1042" s="52"/>
      <c r="K1042" s="156"/>
      <c r="L1042" s="383"/>
      <c r="M1042" s="542"/>
      <c r="N1042" s="701">
        <f t="shared" si="225"/>
        <v>0</v>
      </c>
      <c r="O1042" s="678"/>
      <c r="P1042" s="678"/>
      <c r="Q1042" s="678"/>
      <c r="R1042" s="678"/>
      <c r="S1042" s="678"/>
      <c r="T1042" s="678"/>
      <c r="U1042" s="678"/>
      <c r="V1042" s="678"/>
      <c r="W1042" s="678"/>
      <c r="X1042" s="678"/>
      <c r="Y1042" s="678"/>
      <c r="Z1042" s="678"/>
      <c r="AA1042" s="678"/>
      <c r="AB1042" s="678"/>
      <c r="AC1042" s="678"/>
      <c r="AD1042" s="678"/>
      <c r="AE1042" s="678"/>
      <c r="AF1042" s="678"/>
      <c r="AG1042" s="678"/>
      <c r="AH1042" s="678"/>
      <c r="AI1042" s="678"/>
      <c r="AJ1042" s="678"/>
      <c r="AK1042" s="658"/>
    </row>
    <row r="1043" spans="1:37" ht="15" customHeight="1">
      <c r="A1043" s="5"/>
      <c r="B1043" s="313"/>
      <c r="C1043" s="835"/>
      <c r="D1043" s="96" t="s">
        <v>207</v>
      </c>
      <c r="E1043" s="142">
        <v>65</v>
      </c>
      <c r="F1043" s="531">
        <v>4000</v>
      </c>
      <c r="G1043" s="142">
        <v>30</v>
      </c>
      <c r="H1043" s="64">
        <f>+G1043*F1043*E1043</f>
        <v>7800000</v>
      </c>
      <c r="I1043" s="118"/>
      <c r="J1043" s="52"/>
      <c r="K1043" s="156"/>
      <c r="L1043" s="383"/>
      <c r="M1043" s="542"/>
      <c r="N1043" s="701">
        <f t="shared" si="225"/>
        <v>0</v>
      </c>
      <c r="O1043" s="675"/>
      <c r="P1043" s="675"/>
      <c r="Q1043" s="675"/>
      <c r="R1043" s="675"/>
      <c r="S1043" s="675"/>
      <c r="T1043" s="675"/>
      <c r="U1043" s="675">
        <f>+H1043/7</f>
        <v>1114285.7142857143</v>
      </c>
      <c r="V1043" s="675">
        <v>1114285.7142857143</v>
      </c>
      <c r="W1043" s="675">
        <v>1114285.7142857143</v>
      </c>
      <c r="X1043" s="675">
        <v>1114285.7142857143</v>
      </c>
      <c r="Y1043" s="675">
        <v>1114285.7142857143</v>
      </c>
      <c r="Z1043" s="675">
        <v>1114285.7142857143</v>
      </c>
      <c r="AA1043" s="675">
        <v>1114285.7142857143</v>
      </c>
      <c r="AB1043" s="675"/>
      <c r="AC1043" s="675"/>
      <c r="AD1043" s="675"/>
      <c r="AE1043" s="675"/>
      <c r="AF1043" s="675"/>
      <c r="AG1043" s="675"/>
      <c r="AH1043" s="675"/>
      <c r="AI1043" s="675"/>
      <c r="AJ1043" s="675"/>
      <c r="AK1043" s="658"/>
    </row>
    <row r="1044" spans="1:37" ht="15" customHeight="1">
      <c r="A1044" s="5"/>
      <c r="B1044" s="313"/>
      <c r="C1044" s="835"/>
      <c r="D1044" s="19" t="s">
        <v>285</v>
      </c>
      <c r="E1044" s="143">
        <v>520</v>
      </c>
      <c r="F1044" s="531">
        <v>4000</v>
      </c>
      <c r="G1044" s="144">
        <v>1</v>
      </c>
      <c r="H1044" s="64">
        <f>+G1044*F1044*E1044</f>
        <v>2080000</v>
      </c>
      <c r="I1044" s="72">
        <f>SUM(H1043:H1046)</f>
        <v>11530000</v>
      </c>
      <c r="J1044" s="52">
        <v>8.3333333333333339</v>
      </c>
      <c r="K1044" s="156"/>
      <c r="L1044" s="383"/>
      <c r="M1044" s="542"/>
      <c r="N1044" s="701">
        <f t="shared" si="225"/>
        <v>0</v>
      </c>
      <c r="O1044" s="675"/>
      <c r="P1044" s="675"/>
      <c r="Q1044" s="675"/>
      <c r="R1044" s="675"/>
      <c r="S1044" s="675"/>
      <c r="T1044" s="675"/>
      <c r="U1044" s="675">
        <f>+H1044/7</f>
        <v>297142.85714285716</v>
      </c>
      <c r="V1044" s="675">
        <v>297142.85714285716</v>
      </c>
      <c r="W1044" s="675">
        <v>297142.85714285716</v>
      </c>
      <c r="X1044" s="675">
        <v>297142.85714285716</v>
      </c>
      <c r="Y1044" s="675">
        <v>297142.85714285716</v>
      </c>
      <c r="Z1044" s="675">
        <v>297142.85714285716</v>
      </c>
      <c r="AA1044" s="675">
        <v>297142.85714285716</v>
      </c>
      <c r="AB1044" s="675"/>
      <c r="AC1044" s="675"/>
      <c r="AD1044" s="675"/>
      <c r="AE1044" s="675"/>
      <c r="AF1044" s="675"/>
      <c r="AG1044" s="675"/>
      <c r="AH1044" s="675"/>
      <c r="AI1044" s="675"/>
      <c r="AJ1044" s="675"/>
      <c r="AK1044" s="658"/>
    </row>
    <row r="1045" spans="1:37" s="104" customFormat="1" ht="15" customHeight="1">
      <c r="B1045" s="313"/>
      <c r="C1045" s="848"/>
      <c r="D1045" s="105" t="s">
        <v>812</v>
      </c>
      <c r="E1045" s="106">
        <v>12</v>
      </c>
      <c r="F1045" s="759">
        <v>2500</v>
      </c>
      <c r="G1045" s="759">
        <v>40</v>
      </c>
      <c r="H1045" s="64">
        <f>+G1045*F1045*E1045</f>
        <v>1200000</v>
      </c>
      <c r="I1045" s="126"/>
      <c r="J1045" s="52"/>
      <c r="K1045" s="156"/>
      <c r="L1045" s="383"/>
      <c r="M1045" s="542"/>
      <c r="N1045" s="701">
        <f t="shared" si="225"/>
        <v>0</v>
      </c>
      <c r="O1045" s="688">
        <f>+H1045/12</f>
        <v>100000</v>
      </c>
      <c r="P1045" s="688">
        <v>100000</v>
      </c>
      <c r="Q1045" s="688">
        <v>100000</v>
      </c>
      <c r="R1045" s="688">
        <v>100000</v>
      </c>
      <c r="S1045" s="688">
        <v>100000</v>
      </c>
      <c r="T1045" s="688">
        <v>100000</v>
      </c>
      <c r="U1045" s="688">
        <v>100000</v>
      </c>
      <c r="V1045" s="688">
        <v>100000</v>
      </c>
      <c r="W1045" s="688">
        <v>100000</v>
      </c>
      <c r="X1045" s="688">
        <v>100000</v>
      </c>
      <c r="Y1045" s="688">
        <v>100000</v>
      </c>
      <c r="Z1045" s="688">
        <v>100000</v>
      </c>
      <c r="AA1045" s="688"/>
      <c r="AB1045" s="688"/>
      <c r="AC1045" s="688"/>
      <c r="AD1045" s="688"/>
      <c r="AE1045" s="688"/>
      <c r="AF1045" s="688"/>
      <c r="AG1045" s="688"/>
      <c r="AH1045" s="688"/>
      <c r="AI1045" s="688"/>
      <c r="AJ1045" s="688"/>
      <c r="AK1045" s="658"/>
    </row>
    <row r="1046" spans="1:37" s="104" customFormat="1" ht="15" customHeight="1">
      <c r="B1046" s="313"/>
      <c r="C1046" s="835" t="s">
        <v>949</v>
      </c>
      <c r="D1046" s="105" t="s">
        <v>133</v>
      </c>
      <c r="E1046" s="120">
        <v>1</v>
      </c>
      <c r="F1046" s="91">
        <v>30000</v>
      </c>
      <c r="G1046" s="121">
        <v>15</v>
      </c>
      <c r="H1046" s="64">
        <f>+G1046*F1046*E1046</f>
        <v>450000</v>
      </c>
      <c r="I1046" s="134"/>
      <c r="J1046" s="296"/>
      <c r="K1046" s="156"/>
      <c r="L1046" s="383"/>
      <c r="M1046" s="542"/>
      <c r="N1046" s="701">
        <f t="shared" si="225"/>
        <v>0</v>
      </c>
      <c r="O1046" s="688"/>
      <c r="P1046" s="688"/>
      <c r="Q1046" s="688"/>
      <c r="R1046" s="688"/>
      <c r="S1046" s="688">
        <f>+H1046/6</f>
        <v>75000</v>
      </c>
      <c r="T1046" s="688">
        <v>75000</v>
      </c>
      <c r="U1046" s="688">
        <v>75000</v>
      </c>
      <c r="V1046" s="688">
        <v>75000</v>
      </c>
      <c r="W1046" s="688">
        <v>75000</v>
      </c>
      <c r="X1046" s="688">
        <v>75000</v>
      </c>
      <c r="Y1046" s="688"/>
      <c r="Z1046" s="688"/>
      <c r="AA1046" s="688"/>
      <c r="AB1046" s="688"/>
      <c r="AC1046" s="688"/>
      <c r="AD1046" s="688"/>
      <c r="AE1046" s="688"/>
      <c r="AF1046" s="688"/>
      <c r="AG1046" s="688"/>
      <c r="AH1046" s="688"/>
      <c r="AI1046" s="688"/>
      <c r="AJ1046" s="688"/>
      <c r="AK1046" s="658"/>
    </row>
    <row r="1047" spans="1:37" ht="15" customHeight="1">
      <c r="A1047" s="5"/>
      <c r="B1047" s="313"/>
      <c r="C1047" s="835" t="s">
        <v>950</v>
      </c>
      <c r="D1047" s="17" t="s">
        <v>345</v>
      </c>
      <c r="E1047" s="67" t="s">
        <v>16</v>
      </c>
      <c r="F1047" s="124">
        <v>120000</v>
      </c>
      <c r="G1047" s="64">
        <v>6</v>
      </c>
      <c r="H1047" s="64">
        <f>+G1047*F1047</f>
        <v>720000</v>
      </c>
      <c r="I1047" s="72"/>
      <c r="J1047" s="52"/>
      <c r="K1047" s="156"/>
      <c r="L1047" s="383"/>
      <c r="M1047" s="542"/>
      <c r="N1047" s="701">
        <f t="shared" si="225"/>
        <v>0</v>
      </c>
      <c r="O1047" s="675"/>
      <c r="P1047" s="675"/>
      <c r="Q1047" s="675"/>
      <c r="R1047" s="675"/>
      <c r="S1047" s="675"/>
      <c r="T1047" s="675"/>
      <c r="U1047" s="675"/>
      <c r="V1047" s="675">
        <f>+H1047/6</f>
        <v>120000</v>
      </c>
      <c r="W1047" s="675">
        <v>120000</v>
      </c>
      <c r="X1047" s="675">
        <v>120000</v>
      </c>
      <c r="Y1047" s="675">
        <v>120000</v>
      </c>
      <c r="Z1047" s="675">
        <v>120000</v>
      </c>
      <c r="AA1047" s="675">
        <v>120000</v>
      </c>
      <c r="AB1047" s="675"/>
      <c r="AC1047" s="675"/>
      <c r="AD1047" s="675"/>
      <c r="AE1047" s="675"/>
      <c r="AF1047" s="675"/>
      <c r="AG1047" s="675"/>
      <c r="AH1047" s="675"/>
      <c r="AI1047" s="675"/>
      <c r="AJ1047" s="675"/>
      <c r="AK1047" s="658"/>
    </row>
    <row r="1048" spans="1:37" ht="15" customHeight="1">
      <c r="A1048" s="5"/>
      <c r="B1048" s="313"/>
      <c r="C1048" s="835" t="s">
        <v>951</v>
      </c>
      <c r="D1048" s="119" t="s">
        <v>346</v>
      </c>
      <c r="E1048" s="67" t="s">
        <v>208</v>
      </c>
      <c r="F1048" s="124">
        <v>20000</v>
      </c>
      <c r="G1048" s="64">
        <v>6</v>
      </c>
      <c r="H1048" s="64">
        <f>F1048*G1048</f>
        <v>120000</v>
      </c>
      <c r="I1048" s="72"/>
      <c r="J1048" s="52"/>
      <c r="K1048" s="156"/>
      <c r="L1048" s="383"/>
      <c r="M1048" s="542"/>
      <c r="N1048" s="701">
        <f t="shared" si="225"/>
        <v>0</v>
      </c>
      <c r="O1048" s="675"/>
      <c r="P1048" s="675"/>
      <c r="Q1048" s="675"/>
      <c r="R1048" s="675"/>
      <c r="S1048" s="675"/>
      <c r="T1048" s="675"/>
      <c r="U1048" s="675"/>
      <c r="V1048" s="675">
        <f>+H1048/6</f>
        <v>20000</v>
      </c>
      <c r="W1048" s="675">
        <v>20000</v>
      </c>
      <c r="X1048" s="675">
        <v>20000</v>
      </c>
      <c r="Y1048" s="675">
        <v>20000</v>
      </c>
      <c r="Z1048" s="675">
        <v>20000</v>
      </c>
      <c r="AA1048" s="675">
        <v>20000</v>
      </c>
      <c r="AB1048" s="675"/>
      <c r="AC1048" s="675"/>
      <c r="AD1048" s="675"/>
      <c r="AE1048" s="675"/>
      <c r="AF1048" s="675"/>
      <c r="AG1048" s="675"/>
      <c r="AH1048" s="675"/>
      <c r="AI1048" s="675"/>
      <c r="AJ1048" s="675"/>
      <c r="AK1048" s="658"/>
    </row>
    <row r="1049" spans="1:37" s="48" customFormat="1" ht="15" customHeight="1">
      <c r="A1049" s="45"/>
      <c r="B1049" s="314"/>
      <c r="C1049" s="836"/>
      <c r="D1049" s="73"/>
      <c r="E1049" s="71"/>
      <c r="F1049" s="906" t="s">
        <v>209</v>
      </c>
      <c r="G1049" s="906"/>
      <c r="H1049" s="191"/>
      <c r="I1049" s="472">
        <f>SUM(H1042:H1048)</f>
        <v>12370000</v>
      </c>
      <c r="J1049" s="294">
        <f>SUM(G1046:G1048)</f>
        <v>27</v>
      </c>
      <c r="K1049" s="158"/>
      <c r="L1049" s="386"/>
      <c r="M1049" s="593"/>
      <c r="N1049" s="701">
        <f t="shared" si="225"/>
        <v>0</v>
      </c>
      <c r="O1049" s="676"/>
      <c r="P1049" s="676"/>
      <c r="Q1049" s="676"/>
      <c r="R1049" s="676"/>
      <c r="S1049" s="676"/>
      <c r="T1049" s="676"/>
      <c r="U1049" s="676"/>
      <c r="V1049" s="676"/>
      <c r="W1049" s="676"/>
      <c r="X1049" s="676"/>
      <c r="Y1049" s="676"/>
      <c r="Z1049" s="676"/>
      <c r="AA1049" s="676"/>
      <c r="AB1049" s="676"/>
      <c r="AC1049" s="676"/>
      <c r="AD1049" s="676"/>
      <c r="AE1049" s="676"/>
      <c r="AF1049" s="676"/>
      <c r="AG1049" s="676"/>
      <c r="AH1049" s="676"/>
      <c r="AI1049" s="676"/>
      <c r="AJ1049" s="676"/>
      <c r="AK1049" s="658"/>
    </row>
    <row r="1050" spans="1:37" s="53" customFormat="1" ht="30" customHeight="1">
      <c r="A1050" s="5"/>
      <c r="B1050" s="309"/>
      <c r="C1050" s="832"/>
      <c r="D1050" s="49"/>
      <c r="E1050" s="9"/>
      <c r="F1050" s="8"/>
      <c r="G1050" s="8"/>
      <c r="H1050" s="50"/>
      <c r="I1050" s="51"/>
      <c r="J1050" s="51"/>
      <c r="K1050" s="156"/>
      <c r="L1050" s="383"/>
      <c r="M1050" s="542"/>
      <c r="N1050" s="701"/>
      <c r="O1050" s="677"/>
      <c r="P1050" s="677"/>
      <c r="Q1050" s="677"/>
      <c r="R1050" s="677"/>
      <c r="S1050" s="677"/>
      <c r="T1050" s="677"/>
      <c r="U1050" s="677"/>
      <c r="V1050" s="677"/>
      <c r="W1050" s="677"/>
      <c r="X1050" s="677"/>
      <c r="Y1050" s="677"/>
      <c r="Z1050" s="677"/>
      <c r="AA1050" s="677"/>
      <c r="AB1050" s="677"/>
      <c r="AC1050" s="677"/>
      <c r="AD1050" s="677"/>
      <c r="AE1050" s="677"/>
      <c r="AF1050" s="677"/>
      <c r="AG1050" s="677"/>
      <c r="AH1050" s="677"/>
      <c r="AI1050" s="677"/>
      <c r="AJ1050" s="677"/>
      <c r="AK1050" s="658"/>
    </row>
    <row r="1051" spans="1:37" s="48" customFormat="1" ht="15" customHeight="1">
      <c r="A1051" s="45"/>
      <c r="B1051" s="312"/>
      <c r="C1051" s="834"/>
      <c r="D1051" s="33" t="s">
        <v>344</v>
      </c>
      <c r="E1051" s="56" t="s">
        <v>13</v>
      </c>
      <c r="F1051" s="57" t="s">
        <v>14</v>
      </c>
      <c r="G1051" s="58" t="s">
        <v>15</v>
      </c>
      <c r="H1051" s="192" t="s">
        <v>8</v>
      </c>
      <c r="I1051" s="59"/>
      <c r="J1051" s="292"/>
      <c r="K1051" s="158"/>
      <c r="L1051" s="386"/>
      <c r="M1051" s="593"/>
      <c r="N1051" s="701"/>
      <c r="O1051" s="676"/>
      <c r="P1051" s="676"/>
      <c r="Q1051" s="676"/>
      <c r="R1051" s="676"/>
      <c r="S1051" s="676"/>
      <c r="T1051" s="676"/>
      <c r="U1051" s="676"/>
      <c r="V1051" s="676"/>
      <c r="W1051" s="676"/>
      <c r="X1051" s="676"/>
      <c r="Y1051" s="676"/>
      <c r="Z1051" s="676"/>
      <c r="AA1051" s="676"/>
      <c r="AB1051" s="676"/>
      <c r="AC1051" s="676"/>
      <c r="AD1051" s="676"/>
      <c r="AE1051" s="676"/>
      <c r="AF1051" s="676"/>
      <c r="AG1051" s="676"/>
      <c r="AH1051" s="676"/>
      <c r="AI1051" s="676"/>
      <c r="AJ1051" s="676"/>
      <c r="AK1051" s="658"/>
    </row>
    <row r="1052" spans="1:37" ht="15" customHeight="1">
      <c r="A1052" s="5"/>
      <c r="B1052" s="313"/>
      <c r="C1052" s="835" t="s">
        <v>952</v>
      </c>
      <c r="D1052" s="66" t="s">
        <v>804</v>
      </c>
      <c r="E1052" s="146" t="s">
        <v>210</v>
      </c>
      <c r="F1052" s="576">
        <v>250000</v>
      </c>
      <c r="G1052" s="64">
        <v>4</v>
      </c>
      <c r="H1052" s="652">
        <f>+G1052*F1052</f>
        <v>1000000</v>
      </c>
      <c r="I1052" s="72"/>
      <c r="J1052" s="52"/>
      <c r="K1052" s="156"/>
      <c r="L1052" s="383"/>
      <c r="M1052" s="542"/>
      <c r="N1052" s="701">
        <f t="shared" si="225"/>
        <v>-35552</v>
      </c>
      <c r="O1052" s="675">
        <f>+H1052/4</f>
        <v>250000</v>
      </c>
      <c r="P1052" s="675"/>
      <c r="Q1052" s="675"/>
      <c r="R1052" s="675"/>
      <c r="S1052" s="675"/>
      <c r="T1052" s="675">
        <f>+O1052</f>
        <v>250000</v>
      </c>
      <c r="U1052" s="675"/>
      <c r="V1052" s="675"/>
      <c r="W1052" s="675"/>
      <c r="X1052" s="675">
        <v>250000</v>
      </c>
      <c r="Y1052" s="675"/>
      <c r="Z1052" s="675">
        <v>-35552</v>
      </c>
      <c r="AA1052" s="675"/>
      <c r="AB1052" s="675">
        <v>250000</v>
      </c>
      <c r="AC1052" s="675"/>
      <c r="AD1052" s="675"/>
      <c r="AE1052" s="675"/>
      <c r="AF1052" s="675"/>
      <c r="AG1052" s="675"/>
      <c r="AH1052" s="675"/>
      <c r="AI1052" s="675"/>
      <c r="AJ1052" s="675"/>
      <c r="AK1052" s="658"/>
    </row>
    <row r="1053" spans="1:37" ht="15" customHeight="1">
      <c r="A1053" s="5"/>
      <c r="B1053" s="313"/>
      <c r="C1053" s="835" t="s">
        <v>953</v>
      </c>
      <c r="D1053" s="60" t="s">
        <v>211</v>
      </c>
      <c r="E1053" s="147" t="s">
        <v>210</v>
      </c>
      <c r="F1053" s="576">
        <v>220000</v>
      </c>
      <c r="G1053" s="64">
        <v>5</v>
      </c>
      <c r="H1053" s="537">
        <f>F1053*G1053</f>
        <v>1100000</v>
      </c>
      <c r="I1053" s="72"/>
      <c r="J1053" s="52"/>
      <c r="K1053" s="156"/>
      <c r="L1053" s="383"/>
      <c r="M1053" s="542"/>
      <c r="N1053" s="701">
        <f t="shared" si="225"/>
        <v>0</v>
      </c>
      <c r="O1053" s="675"/>
      <c r="P1053" s="675"/>
      <c r="Q1053" s="675"/>
      <c r="R1053" s="675"/>
      <c r="S1053" s="675"/>
      <c r="T1053" s="675">
        <f>+H1053/5</f>
        <v>220000</v>
      </c>
      <c r="U1053" s="675"/>
      <c r="V1053" s="675"/>
      <c r="W1053" s="675"/>
      <c r="X1053" s="675">
        <v>220000</v>
      </c>
      <c r="Y1053" s="675"/>
      <c r="Z1053" s="675"/>
      <c r="AA1053" s="675"/>
      <c r="AB1053" s="675">
        <v>220000</v>
      </c>
      <c r="AC1053" s="675"/>
      <c r="AD1053" s="675"/>
      <c r="AE1053" s="675"/>
      <c r="AF1053" s="675"/>
      <c r="AG1053" s="675">
        <v>220000</v>
      </c>
      <c r="AH1053" s="675"/>
      <c r="AI1053" s="675"/>
      <c r="AJ1053" s="675">
        <v>220000</v>
      </c>
      <c r="AK1053" s="658"/>
    </row>
    <row r="1054" spans="1:37" ht="15" customHeight="1">
      <c r="A1054" s="5"/>
      <c r="B1054" s="313"/>
      <c r="C1054" s="835" t="s">
        <v>953</v>
      </c>
      <c r="D1054" s="60" t="s">
        <v>810</v>
      </c>
      <c r="E1054" s="147" t="s">
        <v>210</v>
      </c>
      <c r="F1054" s="576">
        <v>150000</v>
      </c>
      <c r="G1054" s="64">
        <v>5</v>
      </c>
      <c r="H1054" s="537">
        <f>F1054*G1054</f>
        <v>750000</v>
      </c>
      <c r="I1054" s="72"/>
      <c r="J1054" s="52"/>
      <c r="K1054" s="156"/>
      <c r="L1054" s="383"/>
      <c r="M1054" s="542"/>
      <c r="N1054" s="701">
        <f t="shared" ref="N1054" si="226">SUM(O1054:AJ1054)-H1054</f>
        <v>0</v>
      </c>
      <c r="O1054" s="675"/>
      <c r="P1054" s="675"/>
      <c r="Q1054" s="675"/>
      <c r="R1054" s="675"/>
      <c r="S1054" s="675"/>
      <c r="T1054" s="675">
        <f t="shared" ref="T1054:T1061" si="227">+H1054/5</f>
        <v>150000</v>
      </c>
      <c r="U1054" s="675"/>
      <c r="V1054" s="675"/>
      <c r="W1054" s="675"/>
      <c r="X1054" s="675">
        <v>150000</v>
      </c>
      <c r="Y1054" s="675"/>
      <c r="Z1054" s="675"/>
      <c r="AA1054" s="675"/>
      <c r="AB1054" s="675">
        <v>150000</v>
      </c>
      <c r="AC1054" s="675"/>
      <c r="AD1054" s="675"/>
      <c r="AE1054" s="675"/>
      <c r="AF1054" s="675"/>
      <c r="AG1054" s="675">
        <v>150000</v>
      </c>
      <c r="AH1054" s="675"/>
      <c r="AI1054" s="675"/>
      <c r="AJ1054" s="675">
        <v>150000</v>
      </c>
      <c r="AK1054" s="658"/>
    </row>
    <row r="1055" spans="1:37" ht="15" customHeight="1">
      <c r="A1055" s="5"/>
      <c r="B1055" s="313"/>
      <c r="C1055" s="835" t="s">
        <v>954</v>
      </c>
      <c r="D1055" s="60" t="s">
        <v>848</v>
      </c>
      <c r="E1055" s="147" t="s">
        <v>210</v>
      </c>
      <c r="F1055" s="576">
        <v>150000</v>
      </c>
      <c r="G1055" s="64">
        <v>5</v>
      </c>
      <c r="H1055" s="537">
        <f>F1055*G1055</f>
        <v>750000</v>
      </c>
      <c r="I1055" s="72"/>
      <c r="J1055" s="52"/>
      <c r="K1055" s="156"/>
      <c r="L1055" s="383"/>
      <c r="M1055" s="542"/>
      <c r="N1055" s="701">
        <f t="shared" ref="N1055" si="228">SUM(O1055:AJ1055)-H1055</f>
        <v>0</v>
      </c>
      <c r="O1055" s="675"/>
      <c r="P1055" s="675"/>
      <c r="Q1055" s="675"/>
      <c r="R1055" s="675"/>
      <c r="S1055" s="675"/>
      <c r="T1055" s="675">
        <f t="shared" ref="T1055" si="229">+H1055/5</f>
        <v>150000</v>
      </c>
      <c r="U1055" s="675"/>
      <c r="V1055" s="675"/>
      <c r="W1055" s="675"/>
      <c r="X1055" s="675">
        <v>150000</v>
      </c>
      <c r="Y1055" s="675"/>
      <c r="Z1055" s="675"/>
      <c r="AA1055" s="675"/>
      <c r="AB1055" s="675">
        <v>150000</v>
      </c>
      <c r="AC1055" s="675"/>
      <c r="AD1055" s="675"/>
      <c r="AE1055" s="675"/>
      <c r="AF1055" s="675"/>
      <c r="AG1055" s="675">
        <v>150000</v>
      </c>
      <c r="AH1055" s="675"/>
      <c r="AI1055" s="675"/>
      <c r="AJ1055" s="675">
        <v>150000</v>
      </c>
      <c r="AK1055" s="658"/>
    </row>
    <row r="1056" spans="1:37" ht="15" customHeight="1">
      <c r="A1056" s="5"/>
      <c r="B1056" s="313"/>
      <c r="C1056" s="835" t="s">
        <v>955</v>
      </c>
      <c r="D1056" s="66" t="s">
        <v>212</v>
      </c>
      <c r="E1056" s="146" t="s">
        <v>210</v>
      </c>
      <c r="F1056" s="576">
        <v>30000</v>
      </c>
      <c r="G1056" s="64">
        <v>5</v>
      </c>
      <c r="H1056" s="64">
        <f>F1056*G1056</f>
        <v>150000</v>
      </c>
      <c r="I1056" s="72"/>
      <c r="J1056" s="52"/>
      <c r="K1056" s="156"/>
      <c r="L1056" s="383"/>
      <c r="M1056" s="542"/>
      <c r="N1056" s="701">
        <f t="shared" si="225"/>
        <v>0</v>
      </c>
      <c r="O1056" s="675"/>
      <c r="P1056" s="675"/>
      <c r="Q1056" s="675"/>
      <c r="R1056" s="675"/>
      <c r="S1056" s="675"/>
      <c r="T1056" s="675">
        <f t="shared" si="227"/>
        <v>30000</v>
      </c>
      <c r="U1056" s="675"/>
      <c r="V1056" s="675"/>
      <c r="W1056" s="675"/>
      <c r="X1056" s="675">
        <v>30000</v>
      </c>
      <c r="Y1056" s="675"/>
      <c r="Z1056" s="675"/>
      <c r="AA1056" s="675"/>
      <c r="AB1056" s="675">
        <v>30000</v>
      </c>
      <c r="AC1056" s="675"/>
      <c r="AD1056" s="675"/>
      <c r="AE1056" s="675"/>
      <c r="AF1056" s="675"/>
      <c r="AG1056" s="675">
        <v>30000</v>
      </c>
      <c r="AH1056" s="675"/>
      <c r="AI1056" s="675"/>
      <c r="AJ1056" s="675">
        <v>30000</v>
      </c>
      <c r="AK1056" s="658"/>
    </row>
    <row r="1057" spans="1:37" ht="15" customHeight="1">
      <c r="A1057" s="5"/>
      <c r="B1057" s="313"/>
      <c r="C1057" s="835" t="s">
        <v>956</v>
      </c>
      <c r="D1057" s="66" t="s">
        <v>213</v>
      </c>
      <c r="E1057" s="146" t="s">
        <v>210</v>
      </c>
      <c r="F1057" s="576">
        <v>40000</v>
      </c>
      <c r="G1057" s="64">
        <v>5</v>
      </c>
      <c r="H1057" s="64">
        <f>F1057*G1057+117600</f>
        <v>317600</v>
      </c>
      <c r="I1057" s="72"/>
      <c r="J1057" s="52"/>
      <c r="K1057" s="156"/>
      <c r="L1057" s="383"/>
      <c r="M1057" s="542"/>
      <c r="N1057" s="701">
        <f t="shared" si="225"/>
        <v>0</v>
      </c>
      <c r="O1057" s="675"/>
      <c r="P1057" s="675"/>
      <c r="Q1057" s="675"/>
      <c r="R1057" s="675"/>
      <c r="S1057" s="675"/>
      <c r="T1057" s="675">
        <f t="shared" si="227"/>
        <v>63520</v>
      </c>
      <c r="U1057" s="675"/>
      <c r="V1057" s="675"/>
      <c r="W1057" s="675"/>
      <c r="X1057" s="675">
        <v>63520</v>
      </c>
      <c r="Y1057" s="675"/>
      <c r="Z1057" s="675"/>
      <c r="AA1057" s="675"/>
      <c r="AB1057" s="675">
        <v>63520</v>
      </c>
      <c r="AC1057" s="675"/>
      <c r="AD1057" s="675"/>
      <c r="AE1057" s="675"/>
      <c r="AF1057" s="675"/>
      <c r="AG1057" s="675">
        <v>63520</v>
      </c>
      <c r="AH1057" s="675"/>
      <c r="AI1057" s="675"/>
      <c r="AJ1057" s="675">
        <v>63520</v>
      </c>
      <c r="AK1057" s="658"/>
    </row>
    <row r="1058" spans="1:37" ht="15" customHeight="1">
      <c r="A1058" s="5"/>
      <c r="B1058" s="313"/>
      <c r="C1058" s="835" t="s">
        <v>957</v>
      </c>
      <c r="D1058" s="66" t="s">
        <v>214</v>
      </c>
      <c r="E1058" s="146" t="s">
        <v>210</v>
      </c>
      <c r="F1058" s="576">
        <v>10000</v>
      </c>
      <c r="G1058" s="64">
        <v>5</v>
      </c>
      <c r="H1058" s="64">
        <f>F1058*G1058+25200</f>
        <v>75200</v>
      </c>
      <c r="I1058" s="72"/>
      <c r="J1058" s="52"/>
      <c r="K1058" s="156"/>
      <c r="L1058" s="383"/>
      <c r="M1058" s="542"/>
      <c r="N1058" s="701">
        <f t="shared" si="225"/>
        <v>0</v>
      </c>
      <c r="O1058" s="675"/>
      <c r="P1058" s="675"/>
      <c r="Q1058" s="675"/>
      <c r="R1058" s="675"/>
      <c r="S1058" s="675"/>
      <c r="T1058" s="675">
        <f t="shared" si="227"/>
        <v>15040</v>
      </c>
      <c r="U1058" s="675"/>
      <c r="V1058" s="675"/>
      <c r="W1058" s="675"/>
      <c r="X1058" s="675">
        <v>15040</v>
      </c>
      <c r="Y1058" s="675"/>
      <c r="Z1058" s="675"/>
      <c r="AA1058" s="675"/>
      <c r="AB1058" s="675">
        <v>15040</v>
      </c>
      <c r="AC1058" s="675"/>
      <c r="AD1058" s="675"/>
      <c r="AE1058" s="675"/>
      <c r="AF1058" s="675"/>
      <c r="AG1058" s="675">
        <v>15040</v>
      </c>
      <c r="AH1058" s="675"/>
      <c r="AI1058" s="675"/>
      <c r="AJ1058" s="675">
        <v>15040</v>
      </c>
      <c r="AK1058" s="658"/>
    </row>
    <row r="1059" spans="1:37" s="53" customFormat="1" ht="15" customHeight="1">
      <c r="B1059" s="315"/>
      <c r="C1059" s="835" t="s">
        <v>958</v>
      </c>
      <c r="D1059" s="122" t="s">
        <v>806</v>
      </c>
      <c r="E1059" s="301" t="s">
        <v>16</v>
      </c>
      <c r="F1059" s="577">
        <v>200000</v>
      </c>
      <c r="G1059" s="65">
        <v>6</v>
      </c>
      <c r="H1059" s="65">
        <f>F1059*G1059</f>
        <v>1200000</v>
      </c>
      <c r="I1059" s="300"/>
      <c r="J1059" s="170"/>
      <c r="K1059" s="302"/>
      <c r="L1059" s="393"/>
      <c r="M1059" s="603"/>
      <c r="N1059" s="701">
        <f t="shared" si="225"/>
        <v>0</v>
      </c>
      <c r="O1059" s="677"/>
      <c r="P1059" s="677">
        <f>+T1059</f>
        <v>200000</v>
      </c>
      <c r="Q1059" s="677"/>
      <c r="R1059" s="677"/>
      <c r="S1059" s="677"/>
      <c r="T1059" s="675">
        <f>+H1059/6</f>
        <v>200000</v>
      </c>
      <c r="U1059" s="677"/>
      <c r="V1059" s="677"/>
      <c r="W1059" s="677"/>
      <c r="X1059" s="677">
        <v>200000</v>
      </c>
      <c r="Y1059" s="677"/>
      <c r="Z1059" s="677"/>
      <c r="AA1059" s="677"/>
      <c r="AB1059" s="677">
        <v>200000</v>
      </c>
      <c r="AC1059" s="677"/>
      <c r="AD1059" s="677"/>
      <c r="AE1059" s="677"/>
      <c r="AF1059" s="677"/>
      <c r="AG1059" s="677">
        <v>200000</v>
      </c>
      <c r="AH1059" s="677"/>
      <c r="AI1059" s="677"/>
      <c r="AJ1059" s="677">
        <v>200000</v>
      </c>
      <c r="AK1059" s="658"/>
    </row>
    <row r="1060" spans="1:37" s="53" customFormat="1" ht="15" customHeight="1">
      <c r="B1060" s="315"/>
      <c r="C1060" s="835" t="s">
        <v>959</v>
      </c>
      <c r="D1060" s="122" t="s">
        <v>805</v>
      </c>
      <c r="E1060" s="301" t="s">
        <v>16</v>
      </c>
      <c r="F1060" s="577">
        <v>120000</v>
      </c>
      <c r="G1060" s="65">
        <v>5</v>
      </c>
      <c r="H1060" s="65">
        <f>F1060*G1060</f>
        <v>600000</v>
      </c>
      <c r="I1060" s="300"/>
      <c r="J1060" s="170"/>
      <c r="K1060" s="302"/>
      <c r="L1060" s="393"/>
      <c r="M1060" s="603"/>
      <c r="N1060" s="701">
        <f t="shared" si="225"/>
        <v>0</v>
      </c>
      <c r="O1060" s="677"/>
      <c r="P1060" s="677"/>
      <c r="Q1060" s="677"/>
      <c r="R1060" s="677"/>
      <c r="S1060" s="677"/>
      <c r="T1060" s="675">
        <f t="shared" si="227"/>
        <v>120000</v>
      </c>
      <c r="U1060" s="677"/>
      <c r="V1060" s="677"/>
      <c r="W1060" s="677"/>
      <c r="X1060" s="677">
        <v>120000</v>
      </c>
      <c r="Y1060" s="677"/>
      <c r="Z1060" s="677"/>
      <c r="AA1060" s="677"/>
      <c r="AB1060" s="677">
        <v>120000</v>
      </c>
      <c r="AC1060" s="677"/>
      <c r="AD1060" s="677"/>
      <c r="AE1060" s="677"/>
      <c r="AF1060" s="677"/>
      <c r="AG1060" s="677">
        <v>120000</v>
      </c>
      <c r="AH1060" s="677"/>
      <c r="AI1060" s="677"/>
      <c r="AJ1060" s="677">
        <v>120000</v>
      </c>
      <c r="AK1060" s="658"/>
    </row>
    <row r="1061" spans="1:37" s="53" customFormat="1" ht="15" customHeight="1">
      <c r="B1061" s="315"/>
      <c r="C1061" s="835" t="s">
        <v>960</v>
      </c>
      <c r="D1061" s="299" t="s">
        <v>455</v>
      </c>
      <c r="E1061" s="301" t="s">
        <v>16</v>
      </c>
      <c r="F1061" s="577">
        <v>1500000</v>
      </c>
      <c r="G1061" s="65">
        <v>0</v>
      </c>
      <c r="H1061" s="653">
        <v>0</v>
      </c>
      <c r="I1061" s="300"/>
      <c r="J1061" s="170"/>
      <c r="K1061" s="302"/>
      <c r="L1061" s="393"/>
      <c r="M1061" s="603"/>
      <c r="N1061" s="701">
        <f t="shared" si="225"/>
        <v>0</v>
      </c>
      <c r="O1061" s="677"/>
      <c r="P1061" s="677"/>
      <c r="Q1061" s="677"/>
      <c r="R1061" s="677"/>
      <c r="S1061" s="677"/>
      <c r="T1061" s="675">
        <f t="shared" si="227"/>
        <v>0</v>
      </c>
      <c r="U1061" s="677"/>
      <c r="V1061" s="677"/>
      <c r="W1061" s="677"/>
      <c r="X1061" s="677">
        <v>0</v>
      </c>
      <c r="Y1061" s="677"/>
      <c r="Z1061" s="677"/>
      <c r="AA1061" s="677"/>
      <c r="AB1061" s="677">
        <v>0</v>
      </c>
      <c r="AC1061" s="677"/>
      <c r="AD1061" s="677"/>
      <c r="AE1061" s="677"/>
      <c r="AF1061" s="677"/>
      <c r="AG1061" s="677">
        <v>0</v>
      </c>
      <c r="AH1061" s="677"/>
      <c r="AI1061" s="677"/>
      <c r="AJ1061" s="677">
        <v>0</v>
      </c>
      <c r="AK1061" s="658"/>
    </row>
    <row r="1062" spans="1:37" s="48" customFormat="1" ht="15" customHeight="1">
      <c r="A1062" s="45"/>
      <c r="B1062" s="314"/>
      <c r="C1062" s="836"/>
      <c r="D1062" s="73"/>
      <c r="E1062" s="71"/>
      <c r="F1062" s="906" t="s">
        <v>215</v>
      </c>
      <c r="G1062" s="906"/>
      <c r="H1062" s="191"/>
      <c r="I1062" s="472">
        <f>SUM(H1052:H1061)</f>
        <v>5942800</v>
      </c>
      <c r="J1062" s="294">
        <f>SUM(G1052:G1061)</f>
        <v>45</v>
      </c>
      <c r="K1062" s="158"/>
      <c r="L1062" s="386"/>
      <c r="M1062" s="593"/>
      <c r="N1062" s="701">
        <f t="shared" si="225"/>
        <v>0</v>
      </c>
      <c r="O1062" s="676"/>
      <c r="P1062" s="676"/>
      <c r="Q1062" s="676"/>
      <c r="R1062" s="676"/>
      <c r="S1062" s="676"/>
      <c r="T1062" s="676"/>
      <c r="U1062" s="676"/>
      <c r="V1062" s="676"/>
      <c r="W1062" s="676"/>
      <c r="X1062" s="676"/>
      <c r="Y1062" s="676"/>
      <c r="Z1062" s="676"/>
      <c r="AA1062" s="676"/>
      <c r="AB1062" s="676"/>
      <c r="AC1062" s="676"/>
      <c r="AD1062" s="676"/>
      <c r="AE1062" s="676"/>
      <c r="AF1062" s="676"/>
      <c r="AG1062" s="676"/>
      <c r="AH1062" s="676"/>
      <c r="AI1062" s="676"/>
      <c r="AJ1062" s="676"/>
      <c r="AK1062" s="658"/>
    </row>
    <row r="1063" spans="1:37" s="53" customFormat="1" ht="30" customHeight="1">
      <c r="A1063" s="5"/>
      <c r="B1063" s="309"/>
      <c r="C1063" s="832"/>
      <c r="D1063" s="49"/>
      <c r="E1063" s="9"/>
      <c r="F1063" s="8"/>
      <c r="G1063" s="8"/>
      <c r="H1063" s="50"/>
      <c r="I1063" s="51"/>
      <c r="J1063" s="51"/>
      <c r="K1063" s="156"/>
      <c r="L1063" s="383"/>
      <c r="M1063" s="542"/>
      <c r="N1063" s="701">
        <f t="shared" si="225"/>
        <v>0</v>
      </c>
      <c r="O1063" s="677"/>
      <c r="P1063" s="677"/>
      <c r="Q1063" s="677"/>
      <c r="R1063" s="677"/>
      <c r="S1063" s="677"/>
      <c r="T1063" s="677"/>
      <c r="U1063" s="677"/>
      <c r="V1063" s="677"/>
      <c r="W1063" s="677"/>
      <c r="X1063" s="677"/>
      <c r="Y1063" s="677"/>
      <c r="Z1063" s="677"/>
      <c r="AA1063" s="677"/>
      <c r="AB1063" s="677"/>
      <c r="AC1063" s="677"/>
      <c r="AD1063" s="677"/>
      <c r="AE1063" s="677"/>
      <c r="AF1063" s="677"/>
      <c r="AG1063" s="677"/>
      <c r="AH1063" s="677"/>
      <c r="AI1063" s="677"/>
      <c r="AJ1063" s="677"/>
      <c r="AK1063" s="658"/>
    </row>
    <row r="1064" spans="1:37" s="48" customFormat="1" ht="15" customHeight="1">
      <c r="A1064" s="45"/>
      <c r="B1064" s="312"/>
      <c r="C1064" s="834"/>
      <c r="D1064" s="284" t="s">
        <v>216</v>
      </c>
      <c r="E1064" s="263" t="s">
        <v>13</v>
      </c>
      <c r="F1064" s="264" t="s">
        <v>14</v>
      </c>
      <c r="G1064" s="265" t="s">
        <v>15</v>
      </c>
      <c r="H1064" s="266" t="s">
        <v>8</v>
      </c>
      <c r="I1064" s="267"/>
      <c r="J1064" s="292"/>
      <c r="K1064" s="158"/>
      <c r="L1064" s="386"/>
      <c r="M1064" s="593"/>
      <c r="N1064" s="701"/>
      <c r="O1064" s="676"/>
      <c r="P1064" s="676"/>
      <c r="Q1064" s="676"/>
      <c r="R1064" s="676"/>
      <c r="S1064" s="676"/>
      <c r="T1064" s="676"/>
      <c r="U1064" s="676"/>
      <c r="V1064" s="676"/>
      <c r="W1064" s="676"/>
      <c r="X1064" s="676"/>
      <c r="Y1064" s="676"/>
      <c r="Z1064" s="676"/>
      <c r="AA1064" s="676"/>
      <c r="AB1064" s="676"/>
      <c r="AC1064" s="676"/>
      <c r="AD1064" s="676"/>
      <c r="AE1064" s="676"/>
      <c r="AF1064" s="676"/>
      <c r="AG1064" s="676"/>
      <c r="AH1064" s="676"/>
      <c r="AI1064" s="676"/>
      <c r="AJ1064" s="676"/>
      <c r="AK1064" s="658"/>
    </row>
    <row r="1065" spans="1:37" s="104" customFormat="1" ht="15" customHeight="1">
      <c r="B1065" s="313"/>
      <c r="C1065" s="835" t="s">
        <v>961</v>
      </c>
      <c r="D1065" s="268" t="s">
        <v>440</v>
      </c>
      <c r="E1065" s="269"/>
      <c r="F1065" s="270"/>
      <c r="G1065" s="270"/>
      <c r="H1065" s="269"/>
      <c r="I1065" s="270"/>
      <c r="J1065" s="145"/>
      <c r="K1065" s="156"/>
      <c r="L1065" s="383"/>
      <c r="M1065" s="542"/>
      <c r="N1065" s="701">
        <f t="shared" si="225"/>
        <v>0</v>
      </c>
      <c r="O1065" s="688"/>
      <c r="P1065" s="688"/>
      <c r="Q1065" s="688"/>
      <c r="R1065" s="688"/>
      <c r="S1065" s="688"/>
      <c r="T1065" s="688"/>
      <c r="U1065" s="688"/>
      <c r="V1065" s="688"/>
      <c r="W1065" s="688"/>
      <c r="X1065" s="688"/>
      <c r="Y1065" s="688"/>
      <c r="Z1065" s="688"/>
      <c r="AA1065" s="688"/>
      <c r="AB1065" s="688"/>
      <c r="AC1065" s="688"/>
      <c r="AD1065" s="688"/>
      <c r="AE1065" s="688"/>
      <c r="AF1065" s="688"/>
      <c r="AG1065" s="688"/>
      <c r="AH1065" s="688"/>
      <c r="AI1065" s="688"/>
      <c r="AJ1065" s="688"/>
      <c r="AK1065" s="658"/>
    </row>
    <row r="1066" spans="1:37" s="543" customFormat="1" ht="15" customHeight="1">
      <c r="A1066" s="532"/>
      <c r="B1066" s="533"/>
      <c r="C1066" s="835"/>
      <c r="D1066" s="574" t="s">
        <v>201</v>
      </c>
      <c r="E1066" s="772" t="s">
        <v>16</v>
      </c>
      <c r="F1066" s="773">
        <v>3500000</v>
      </c>
      <c r="G1066" s="774">
        <v>1</v>
      </c>
      <c r="H1066" s="575">
        <f>F1066*G1066:G1066+105000</f>
        <v>3605000</v>
      </c>
      <c r="I1066" s="775"/>
      <c r="J1066" s="547"/>
      <c r="K1066" s="540"/>
      <c r="L1066" s="541"/>
      <c r="M1066" s="542"/>
      <c r="N1066" s="753">
        <f t="shared" si="225"/>
        <v>0</v>
      </c>
      <c r="O1066" s="687"/>
      <c r="P1066" s="687"/>
      <c r="Q1066" s="687"/>
      <c r="R1066" s="687"/>
      <c r="S1066" s="687"/>
      <c r="T1066" s="687"/>
      <c r="U1066" s="687"/>
      <c r="V1066" s="687">
        <f>+H1066</f>
        <v>3605000</v>
      </c>
      <c r="W1066" s="687"/>
      <c r="X1066" s="687"/>
      <c r="Y1066" s="687"/>
      <c r="Z1066" s="687"/>
      <c r="AA1066" s="687"/>
      <c r="AB1066" s="687"/>
      <c r="AC1066" s="687"/>
      <c r="AD1066" s="687"/>
      <c r="AE1066" s="687"/>
      <c r="AF1066" s="687"/>
      <c r="AG1066" s="687"/>
      <c r="AH1066" s="687"/>
      <c r="AI1066" s="687"/>
      <c r="AJ1066" s="687"/>
      <c r="AK1066" s="750"/>
    </row>
    <row r="1067" spans="1:37" s="543" customFormat="1" ht="15" customHeight="1">
      <c r="A1067" s="532"/>
      <c r="B1067" s="533"/>
      <c r="C1067" s="835"/>
      <c r="D1067" s="776" t="s">
        <v>511</v>
      </c>
      <c r="E1067" s="777"/>
      <c r="F1067" s="778"/>
      <c r="G1067" s="774"/>
      <c r="H1067" s="575">
        <f>+H1066/2</f>
        <v>1802500</v>
      </c>
      <c r="I1067" s="775"/>
      <c r="J1067" s="547"/>
      <c r="K1067" s="540"/>
      <c r="L1067" s="541"/>
      <c r="M1067" s="542"/>
      <c r="N1067" s="753">
        <f t="shared" ref="N1067:N1076" si="230">SUM(O1067:AJ1067)-H1067</f>
        <v>0</v>
      </c>
      <c r="O1067" s="687"/>
      <c r="P1067" s="687"/>
      <c r="Q1067" s="687"/>
      <c r="R1067" s="687">
        <f>+H1067</f>
        <v>1802500</v>
      </c>
      <c r="S1067" s="687"/>
      <c r="T1067" s="687"/>
      <c r="U1067" s="687"/>
      <c r="W1067" s="687"/>
      <c r="X1067" s="687"/>
      <c r="Y1067" s="687"/>
      <c r="Z1067" s="687"/>
      <c r="AA1067" s="687"/>
      <c r="AB1067" s="687"/>
      <c r="AC1067" s="687"/>
      <c r="AD1067" s="687"/>
      <c r="AE1067" s="687"/>
      <c r="AF1067" s="687"/>
      <c r="AG1067" s="687"/>
      <c r="AH1067" s="687"/>
      <c r="AI1067" s="687"/>
      <c r="AJ1067" s="687"/>
      <c r="AK1067" s="750"/>
    </row>
    <row r="1068" spans="1:37" s="532" customFormat="1" ht="15" customHeight="1">
      <c r="B1068" s="533"/>
      <c r="C1068" s="835"/>
      <c r="D1068" s="779" t="s">
        <v>217</v>
      </c>
      <c r="E1068" s="756" t="s">
        <v>16</v>
      </c>
      <c r="F1068" s="757">
        <v>180000</v>
      </c>
      <c r="G1068" s="537">
        <v>1</v>
      </c>
      <c r="H1068" s="537">
        <f>F1068*G1068+5250</f>
        <v>185250</v>
      </c>
      <c r="I1068" s="546"/>
      <c r="J1068" s="547"/>
      <c r="K1068" s="540"/>
      <c r="L1068" s="541"/>
      <c r="M1068" s="542"/>
      <c r="N1068" s="753">
        <f t="shared" si="230"/>
        <v>0</v>
      </c>
      <c r="O1068" s="690"/>
      <c r="P1068" s="690"/>
      <c r="Q1068" s="690"/>
      <c r="R1068" s="690"/>
      <c r="S1068" s="690"/>
      <c r="T1068" s="690"/>
      <c r="U1068" s="690">
        <f>+H1068/8</f>
        <v>23156.25</v>
      </c>
      <c r="V1068" s="690">
        <v>23156.25</v>
      </c>
      <c r="W1068" s="690">
        <v>23156.25</v>
      </c>
      <c r="X1068" s="690">
        <v>23156.25</v>
      </c>
      <c r="Y1068" s="690">
        <v>23156.25</v>
      </c>
      <c r="Z1068" s="690">
        <v>23156.25</v>
      </c>
      <c r="AA1068" s="690">
        <v>23156.25</v>
      </c>
      <c r="AB1068" s="690">
        <v>23156.25</v>
      </c>
      <c r="AC1068" s="690"/>
      <c r="AD1068" s="690"/>
      <c r="AE1068" s="690"/>
      <c r="AF1068" s="690"/>
      <c r="AG1068" s="690"/>
      <c r="AH1068" s="690"/>
      <c r="AI1068" s="690"/>
      <c r="AJ1068" s="690"/>
      <c r="AK1068" s="750"/>
    </row>
    <row r="1069" spans="1:37" s="532" customFormat="1" ht="15" customHeight="1">
      <c r="B1069" s="533"/>
      <c r="C1069" s="835" t="s">
        <v>962</v>
      </c>
      <c r="D1069" s="779" t="s">
        <v>518</v>
      </c>
      <c r="E1069" s="780" t="s">
        <v>16</v>
      </c>
      <c r="F1069" s="537"/>
      <c r="G1069" s="781"/>
      <c r="H1069" s="537">
        <f>+'PROTOCOLO COVID'!D10</f>
        <v>1495000</v>
      </c>
      <c r="I1069" s="546"/>
      <c r="J1069" s="547"/>
      <c r="K1069" s="540"/>
      <c r="L1069" s="541"/>
      <c r="M1069" s="542"/>
      <c r="N1069" s="753">
        <f t="shared" si="230"/>
        <v>0</v>
      </c>
      <c r="O1069" s="690"/>
      <c r="P1069" s="690"/>
      <c r="Q1069" s="690"/>
      <c r="R1069" s="690"/>
      <c r="S1069" s="690"/>
      <c r="T1069" s="690"/>
      <c r="U1069" s="690"/>
      <c r="V1069" s="690"/>
      <c r="W1069" s="690">
        <f>+H1069/6</f>
        <v>249166.66666666666</v>
      </c>
      <c r="X1069" s="690">
        <v>249166.66666666666</v>
      </c>
      <c r="Y1069" s="690">
        <v>249166.66666666666</v>
      </c>
      <c r="Z1069" s="690">
        <v>249166.66666666666</v>
      </c>
      <c r="AA1069" s="690">
        <v>249166.66666666666</v>
      </c>
      <c r="AB1069" s="690">
        <v>249166.66666666666</v>
      </c>
      <c r="AC1069" s="690"/>
      <c r="AD1069" s="690"/>
      <c r="AE1069" s="690"/>
      <c r="AF1069" s="690"/>
      <c r="AG1069" s="690"/>
      <c r="AH1069" s="690"/>
      <c r="AI1069" s="690"/>
      <c r="AJ1069" s="690"/>
      <c r="AK1069" s="750"/>
    </row>
    <row r="1070" spans="1:37" s="48" customFormat="1" ht="15" customHeight="1">
      <c r="A1070" s="45"/>
      <c r="B1070" s="314"/>
      <c r="C1070" s="836"/>
      <c r="D1070" s="73"/>
      <c r="E1070" s="71"/>
      <c r="F1070" s="906" t="s">
        <v>218</v>
      </c>
      <c r="G1070" s="906"/>
      <c r="H1070" s="191"/>
      <c r="I1070" s="472">
        <f>SUM(H1066:H1069)</f>
        <v>7087750</v>
      </c>
      <c r="J1070" s="294">
        <v>6</v>
      </c>
      <c r="K1070" s="158"/>
      <c r="L1070" s="386"/>
      <c r="M1070" s="593"/>
      <c r="N1070" s="701">
        <f t="shared" si="230"/>
        <v>0</v>
      </c>
      <c r="O1070" s="676"/>
      <c r="P1070" s="676"/>
      <c r="Q1070" s="676"/>
      <c r="R1070" s="676"/>
      <c r="S1070" s="676"/>
      <c r="T1070" s="676"/>
      <c r="U1070" s="676"/>
      <c r="V1070" s="676"/>
      <c r="W1070" s="676"/>
      <c r="X1070" s="676"/>
      <c r="Y1070" s="676"/>
      <c r="Z1070" s="676"/>
      <c r="AA1070" s="676"/>
      <c r="AB1070" s="676"/>
      <c r="AC1070" s="676"/>
      <c r="AD1070" s="676"/>
      <c r="AE1070" s="676"/>
      <c r="AF1070" s="676"/>
      <c r="AG1070" s="676"/>
      <c r="AH1070" s="676"/>
      <c r="AI1070" s="676"/>
      <c r="AJ1070" s="676"/>
      <c r="AK1070" s="658"/>
    </row>
    <row r="1071" spans="1:37" s="53" customFormat="1" ht="30" customHeight="1">
      <c r="A1071" s="5"/>
      <c r="B1071" s="309"/>
      <c r="C1071" s="832"/>
      <c r="D1071" s="49"/>
      <c r="E1071" s="9"/>
      <c r="F1071" s="8"/>
      <c r="G1071" s="8"/>
      <c r="H1071" s="50"/>
      <c r="I1071" s="51"/>
      <c r="J1071" s="51"/>
      <c r="K1071" s="156"/>
      <c r="L1071" s="383"/>
      <c r="M1071" s="542"/>
      <c r="N1071" s="701">
        <f t="shared" si="230"/>
        <v>0</v>
      </c>
      <c r="O1071" s="677"/>
      <c r="P1071" s="677"/>
      <c r="Q1071" s="677"/>
      <c r="R1071" s="677"/>
      <c r="S1071" s="677"/>
      <c r="T1071" s="677"/>
      <c r="U1071" s="677"/>
      <c r="V1071" s="677"/>
      <c r="W1071" s="677"/>
      <c r="X1071" s="677"/>
      <c r="Y1071" s="677"/>
      <c r="Z1071" s="677"/>
      <c r="AA1071" s="677"/>
      <c r="AB1071" s="677"/>
      <c r="AC1071" s="677"/>
      <c r="AD1071" s="677"/>
      <c r="AE1071" s="677"/>
      <c r="AF1071" s="677"/>
      <c r="AG1071" s="677"/>
      <c r="AH1071" s="677"/>
      <c r="AI1071" s="677"/>
      <c r="AJ1071" s="677"/>
      <c r="AK1071" s="658"/>
    </row>
    <row r="1072" spans="1:37" s="48" customFormat="1" ht="15" customHeight="1">
      <c r="A1072" s="45"/>
      <c r="B1072" s="312"/>
      <c r="C1072" s="834"/>
      <c r="D1072" s="33" t="s">
        <v>219</v>
      </c>
      <c r="E1072" s="56" t="s">
        <v>13</v>
      </c>
      <c r="F1072" s="57" t="s">
        <v>14</v>
      </c>
      <c r="G1072" s="58" t="s">
        <v>15</v>
      </c>
      <c r="H1072" s="192" t="s">
        <v>8</v>
      </c>
      <c r="I1072" s="59"/>
      <c r="J1072" s="292"/>
      <c r="K1072" s="158"/>
      <c r="L1072" s="386"/>
      <c r="M1072" s="593"/>
      <c r="N1072" s="701"/>
      <c r="O1072" s="676"/>
      <c r="P1072" s="676"/>
      <c r="Q1072" s="676"/>
      <c r="R1072" s="676"/>
      <c r="S1072" s="676"/>
      <c r="T1072" s="676"/>
      <c r="U1072" s="676"/>
      <c r="V1072" s="676"/>
      <c r="W1072" s="676"/>
      <c r="X1072" s="676"/>
      <c r="Y1072" s="676"/>
      <c r="Z1072" s="676"/>
      <c r="AA1072" s="676"/>
      <c r="AB1072" s="676"/>
      <c r="AC1072" s="676"/>
      <c r="AD1072" s="676"/>
      <c r="AE1072" s="676"/>
      <c r="AF1072" s="676"/>
      <c r="AG1072" s="676"/>
      <c r="AH1072" s="676"/>
      <c r="AI1072" s="676"/>
      <c r="AJ1072" s="676"/>
      <c r="AK1072" s="658"/>
    </row>
    <row r="1073" spans="1:37" ht="15" customHeight="1">
      <c r="A1073" s="5"/>
      <c r="B1073" s="313"/>
      <c r="C1073" s="851" t="s">
        <v>963</v>
      </c>
      <c r="D1073" s="66" t="s">
        <v>328</v>
      </c>
      <c r="E1073" s="67" t="s">
        <v>27</v>
      </c>
      <c r="F1073" s="253">
        <v>25000</v>
      </c>
      <c r="G1073" s="527">
        <v>30</v>
      </c>
      <c r="H1073" s="64">
        <f>G1073*F1073</f>
        <v>750000</v>
      </c>
      <c r="I1073" s="72"/>
      <c r="J1073" s="52"/>
      <c r="K1073" s="156"/>
      <c r="L1073" s="383"/>
      <c r="M1073" s="542"/>
      <c r="N1073" s="701">
        <f t="shared" si="230"/>
        <v>0</v>
      </c>
      <c r="O1073" s="675"/>
      <c r="P1073" s="675"/>
      <c r="Q1073" s="675"/>
      <c r="R1073" s="675"/>
      <c r="S1073" s="675"/>
      <c r="T1073" s="675"/>
      <c r="U1073" s="675"/>
      <c r="V1073" s="675">
        <f>+H1073/6</f>
        <v>125000</v>
      </c>
      <c r="W1073" s="675">
        <v>125000</v>
      </c>
      <c r="X1073" s="675">
        <v>125000</v>
      </c>
      <c r="Y1073" s="675">
        <v>125000</v>
      </c>
      <c r="Z1073" s="675">
        <v>125000</v>
      </c>
      <c r="AA1073" s="675">
        <v>125000</v>
      </c>
      <c r="AB1073" s="675"/>
      <c r="AC1073" s="675"/>
      <c r="AD1073" s="675"/>
      <c r="AE1073" s="675"/>
      <c r="AF1073" s="675"/>
      <c r="AG1073" s="675"/>
      <c r="AH1073" s="675"/>
      <c r="AI1073" s="675"/>
      <c r="AJ1073" s="675"/>
      <c r="AK1073" s="658"/>
    </row>
    <row r="1074" spans="1:37" ht="15" customHeight="1">
      <c r="A1074" s="5"/>
      <c r="B1074" s="313"/>
      <c r="C1074" s="851" t="s">
        <v>964</v>
      </c>
      <c r="D1074" s="66" t="s">
        <v>441</v>
      </c>
      <c r="E1074" s="67" t="s">
        <v>329</v>
      </c>
      <c r="F1074" s="124">
        <v>8500</v>
      </c>
      <c r="G1074" s="64">
        <v>55</v>
      </c>
      <c r="H1074" s="64">
        <f>F1074*G1074</f>
        <v>467500</v>
      </c>
      <c r="I1074" s="72"/>
      <c r="J1074" s="52"/>
      <c r="K1074" s="156"/>
      <c r="L1074" s="383"/>
      <c r="M1074" s="542"/>
      <c r="N1074" s="701">
        <f t="shared" si="230"/>
        <v>0</v>
      </c>
      <c r="O1074" s="675"/>
      <c r="P1074" s="675"/>
      <c r="Q1074" s="675"/>
      <c r="R1074" s="675"/>
      <c r="S1074" s="675"/>
      <c r="T1074" s="675"/>
      <c r="U1074" s="675"/>
      <c r="V1074" s="675"/>
      <c r="W1074" s="675">
        <f>+H1074/6</f>
        <v>77916.666666666672</v>
      </c>
      <c r="X1074" s="675">
        <v>77916.666666666672</v>
      </c>
      <c r="Y1074" s="675">
        <v>77916.666666666672</v>
      </c>
      <c r="Z1074" s="675">
        <v>77916.666666666672</v>
      </c>
      <c r="AA1074" s="675">
        <v>77916.666666666672</v>
      </c>
      <c r="AB1074" s="675">
        <v>77916.666666666672</v>
      </c>
      <c r="AC1074" s="675"/>
      <c r="AD1074" s="675"/>
      <c r="AE1074" s="675"/>
      <c r="AF1074" s="675"/>
      <c r="AG1074" s="675"/>
      <c r="AH1074" s="675"/>
      <c r="AI1074" s="675"/>
      <c r="AJ1074" s="675"/>
      <c r="AK1074" s="658"/>
    </row>
    <row r="1075" spans="1:37" ht="15" customHeight="1">
      <c r="A1075" s="5"/>
      <c r="B1075" s="313"/>
      <c r="C1075" s="851" t="s">
        <v>965</v>
      </c>
      <c r="D1075" s="66" t="s">
        <v>839</v>
      </c>
      <c r="E1075" s="67" t="s">
        <v>329</v>
      </c>
      <c r="F1075" s="124">
        <v>15000</v>
      </c>
      <c r="G1075" s="64">
        <v>30</v>
      </c>
      <c r="H1075" s="64">
        <f>F1075*G1075</f>
        <v>450000</v>
      </c>
      <c r="I1075" s="72"/>
      <c r="J1075" s="52"/>
      <c r="K1075" s="156"/>
      <c r="L1075" s="383"/>
      <c r="M1075" s="542"/>
      <c r="N1075" s="701">
        <f t="shared" si="230"/>
        <v>0</v>
      </c>
      <c r="O1075" s="675"/>
      <c r="P1075" s="675"/>
      <c r="Q1075" s="675"/>
      <c r="R1075" s="675"/>
      <c r="S1075" s="675"/>
      <c r="T1075" s="675"/>
      <c r="U1075" s="675"/>
      <c r="V1075" s="675"/>
      <c r="W1075" s="675">
        <f>+H1075/6</f>
        <v>75000</v>
      </c>
      <c r="X1075" s="675">
        <v>75000</v>
      </c>
      <c r="Y1075" s="675">
        <v>75000</v>
      </c>
      <c r="Z1075" s="675">
        <v>75000</v>
      </c>
      <c r="AA1075" s="675">
        <v>75000</v>
      </c>
      <c r="AB1075" s="675">
        <v>75000</v>
      </c>
      <c r="AC1075" s="675"/>
      <c r="AD1075" s="675"/>
      <c r="AE1075" s="675"/>
      <c r="AF1075" s="675"/>
      <c r="AG1075" s="675"/>
      <c r="AH1075" s="675"/>
      <c r="AI1075" s="675"/>
      <c r="AJ1075" s="675"/>
      <c r="AK1075" s="658"/>
    </row>
    <row r="1076" spans="1:37" ht="15" customHeight="1">
      <c r="A1076" s="5"/>
      <c r="B1076" s="313"/>
      <c r="C1076" s="851" t="s">
        <v>966</v>
      </c>
      <c r="D1076" s="105" t="s">
        <v>220</v>
      </c>
      <c r="E1076" s="259" t="s">
        <v>16</v>
      </c>
      <c r="F1076" s="257">
        <v>10000</v>
      </c>
      <c r="G1076" s="90">
        <v>5</v>
      </c>
      <c r="H1076" s="64">
        <f>F1076*G1076</f>
        <v>50000</v>
      </c>
      <c r="I1076" s="93"/>
      <c r="J1076" s="52"/>
      <c r="K1076" s="156"/>
      <c r="L1076" s="383"/>
      <c r="M1076" s="542"/>
      <c r="N1076" s="701">
        <f t="shared" si="230"/>
        <v>0</v>
      </c>
      <c r="O1076" s="675"/>
      <c r="P1076" s="675"/>
      <c r="Q1076" s="675"/>
      <c r="R1076" s="675"/>
      <c r="S1076" s="675"/>
      <c r="T1076" s="675"/>
      <c r="U1076" s="675"/>
      <c r="V1076" s="675"/>
      <c r="W1076" s="675">
        <f>+H1076</f>
        <v>50000</v>
      </c>
      <c r="X1076" s="675"/>
      <c r="Y1076" s="675"/>
      <c r="Z1076" s="675"/>
      <c r="AA1076" s="675"/>
      <c r="AB1076" s="675"/>
      <c r="AC1076" s="675"/>
      <c r="AD1076" s="675"/>
      <c r="AE1076" s="675"/>
      <c r="AF1076" s="675"/>
      <c r="AG1076" s="675"/>
      <c r="AH1076" s="675"/>
      <c r="AI1076" s="675"/>
      <c r="AJ1076" s="675"/>
      <c r="AK1076" s="658"/>
    </row>
    <row r="1077" spans="1:37" ht="15" customHeight="1">
      <c r="A1077" s="5"/>
      <c r="B1077" s="313"/>
      <c r="C1077" s="835"/>
      <c r="D1077" s="258"/>
      <c r="E1077" s="259"/>
      <c r="F1077" s="257"/>
      <c r="G1077" s="90"/>
      <c r="H1077" s="62"/>
      <c r="I1077" s="93"/>
      <c r="J1077" s="52"/>
      <c r="K1077" s="156"/>
      <c r="L1077" s="383"/>
      <c r="M1077" s="542"/>
      <c r="N1077" s="701"/>
      <c r="O1077" s="675"/>
      <c r="P1077" s="675"/>
      <c r="Q1077" s="675"/>
      <c r="R1077" s="675"/>
      <c r="S1077" s="675"/>
      <c r="T1077" s="675"/>
      <c r="U1077" s="675"/>
      <c r="V1077" s="675"/>
      <c r="W1077" s="675"/>
      <c r="X1077" s="675"/>
      <c r="Y1077" s="675"/>
      <c r="Z1077" s="675"/>
      <c r="AA1077" s="675"/>
      <c r="AB1077" s="675"/>
      <c r="AC1077" s="675"/>
      <c r="AD1077" s="675"/>
      <c r="AE1077" s="675"/>
      <c r="AF1077" s="675"/>
      <c r="AG1077" s="675"/>
      <c r="AH1077" s="675"/>
      <c r="AI1077" s="675"/>
      <c r="AJ1077" s="675"/>
      <c r="AK1077" s="658"/>
    </row>
    <row r="1078" spans="1:37" s="48" customFormat="1" ht="15" customHeight="1">
      <c r="A1078" s="45"/>
      <c r="B1078" s="314"/>
      <c r="C1078" s="836"/>
      <c r="D1078" s="73"/>
      <c r="E1078" s="71"/>
      <c r="F1078" s="906" t="s">
        <v>221</v>
      </c>
      <c r="G1078" s="906"/>
      <c r="H1078" s="191"/>
      <c r="I1078" s="472">
        <f>SUM(H1073:H1076)</f>
        <v>1717500</v>
      </c>
      <c r="J1078" s="294">
        <v>10</v>
      </c>
      <c r="K1078" s="158"/>
      <c r="L1078" s="386"/>
      <c r="M1078" s="593"/>
      <c r="N1078" s="701"/>
      <c r="O1078" s="676"/>
      <c r="P1078" s="676"/>
      <c r="Q1078" s="676"/>
      <c r="R1078" s="676"/>
      <c r="S1078" s="676"/>
      <c r="T1078" s="676"/>
      <c r="U1078" s="676"/>
      <c r="V1078" s="676"/>
      <c r="W1078" s="676"/>
      <c r="X1078" s="676"/>
      <c r="Y1078" s="676"/>
      <c r="Z1078" s="676"/>
      <c r="AA1078" s="676"/>
      <c r="AB1078" s="676"/>
      <c r="AC1078" s="676"/>
      <c r="AD1078" s="676"/>
      <c r="AE1078" s="676"/>
      <c r="AF1078" s="676"/>
      <c r="AG1078" s="676"/>
      <c r="AH1078" s="676"/>
      <c r="AI1078" s="676"/>
      <c r="AJ1078" s="676"/>
      <c r="AK1078" s="658"/>
    </row>
    <row r="1079" spans="1:37" ht="15.75" customHeight="1" thickBot="1">
      <c r="A1079" s="5"/>
      <c r="B1079" s="320"/>
      <c r="C1079" s="854"/>
      <c r="D1079" s="148"/>
      <c r="E1079" s="149"/>
      <c r="F1079" s="148"/>
      <c r="G1079" s="148"/>
      <c r="H1079" s="148"/>
      <c r="I1079" s="150"/>
      <c r="J1079" s="150"/>
      <c r="K1079" s="159"/>
      <c r="L1079" s="394"/>
      <c r="M1079" s="604"/>
      <c r="N1079" s="701"/>
      <c r="O1079" s="675"/>
      <c r="P1079" s="675"/>
      <c r="Q1079" s="675"/>
      <c r="R1079" s="675"/>
      <c r="S1079" s="675"/>
      <c r="T1079" s="675"/>
      <c r="U1079" s="675"/>
      <c r="V1079" s="675"/>
      <c r="W1079" s="675"/>
      <c r="X1079" s="675"/>
      <c r="Y1079" s="675"/>
      <c r="Z1079" s="675"/>
      <c r="AA1079" s="675"/>
      <c r="AB1079" s="675"/>
      <c r="AC1079" s="675"/>
      <c r="AD1079" s="675"/>
      <c r="AE1079" s="675"/>
      <c r="AF1079" s="675"/>
      <c r="AG1079" s="675"/>
      <c r="AH1079" s="675"/>
      <c r="AI1079" s="675"/>
      <c r="AJ1079" s="675"/>
      <c r="AK1079" s="658"/>
    </row>
    <row r="1080" spans="1:37" ht="23" customHeight="1" thickTop="1" thickBot="1">
      <c r="A1080" s="532"/>
      <c r="B1080" s="640"/>
      <c r="C1080" s="855"/>
      <c r="D1080" s="641"/>
      <c r="E1080" s="639"/>
      <c r="F1080" s="641"/>
      <c r="G1080" s="641"/>
      <c r="H1080" s="1"/>
      <c r="I1080" s="1"/>
      <c r="J1080" s="586">
        <f>SUM(J3:J1078)</f>
        <v>2635.7482333333332</v>
      </c>
      <c r="K1080" s="155"/>
      <c r="L1080" s="395"/>
      <c r="M1080" s="605"/>
      <c r="N1080" s="701"/>
      <c r="AK1080" s="658"/>
    </row>
    <row r="1081" spans="1:37" ht="17" thickBot="1">
      <c r="A1081" s="543"/>
      <c r="B1081" s="642"/>
      <c r="C1081" s="856"/>
      <c r="D1081" s="643"/>
      <c r="E1081" s="644"/>
      <c r="F1081" s="643"/>
      <c r="G1081" s="645"/>
      <c r="H1081" s="307" t="s">
        <v>8</v>
      </c>
      <c r="I1081" s="307">
        <f>SUM(I1078+I1070+I1062+I1049+I1039+I1031+I999+I994+I864+I815+I804+I772+I765+I755+I750+I720+I714+I709+I700+I682+I672+I622+I30+I23+I17)</f>
        <v>179969869.13973367</v>
      </c>
      <c r="J1081" s="587">
        <f>+J1080*108.66</f>
        <v>286400.40303399996</v>
      </c>
      <c r="L1081" s="395"/>
      <c r="M1081" s="605"/>
      <c r="N1081" s="701">
        <f>SUM(O1081:AJ1081)-I1081</f>
        <v>126178.86037412286</v>
      </c>
      <c r="O1081" s="795">
        <f t="shared" ref="O1081:AJ1081" si="231">SUM(O11:O1080)</f>
        <v>1375299.0592980804</v>
      </c>
      <c r="P1081" s="795">
        <f t="shared" si="231"/>
        <v>1325299.0592980804</v>
      </c>
      <c r="Q1081" s="795">
        <f t="shared" si="231"/>
        <v>1983016.6640052455</v>
      </c>
      <c r="R1081" s="795">
        <f t="shared" si="231"/>
        <v>6156906.664005246</v>
      </c>
      <c r="S1081" s="795">
        <f t="shared" si="231"/>
        <v>2335950.214326065</v>
      </c>
      <c r="T1081" s="795">
        <f t="shared" si="231"/>
        <v>3987094.0540611967</v>
      </c>
      <c r="U1081" s="795">
        <f t="shared" si="231"/>
        <v>10985292.196576683</v>
      </c>
      <c r="V1081" s="795">
        <f t="shared" si="231"/>
        <v>17111224.127138153</v>
      </c>
      <c r="W1081" s="795">
        <f t="shared" si="231"/>
        <v>20312152.211858578</v>
      </c>
      <c r="X1081" s="795">
        <f t="shared" si="231"/>
        <v>22051600.277236469</v>
      </c>
      <c r="Y1081" s="795">
        <f t="shared" si="231"/>
        <v>16097890.608857526</v>
      </c>
      <c r="Z1081" s="795">
        <f t="shared" si="231"/>
        <v>16460595.194045808</v>
      </c>
      <c r="AA1081" s="795">
        <f t="shared" si="231"/>
        <v>25389658.194507387</v>
      </c>
      <c r="AB1081" s="795">
        <f t="shared" si="231"/>
        <v>14645882.634103738</v>
      </c>
      <c r="AC1081" s="795">
        <f t="shared" si="231"/>
        <v>3690261.7863266235</v>
      </c>
      <c r="AD1081" s="795">
        <f t="shared" si="231"/>
        <v>8710241.281955909</v>
      </c>
      <c r="AE1081" s="795">
        <f t="shared" si="231"/>
        <v>587274.27727672993</v>
      </c>
      <c r="AF1081" s="795">
        <f t="shared" si="231"/>
        <v>272111.01473326498</v>
      </c>
      <c r="AG1081" s="795">
        <f t="shared" si="231"/>
        <v>2606366.0147332652</v>
      </c>
      <c r="AH1081" s="795">
        <f t="shared" si="231"/>
        <v>272111.01473326498</v>
      </c>
      <c r="AI1081" s="795">
        <f t="shared" si="231"/>
        <v>552111.01473326504</v>
      </c>
      <c r="AJ1081" s="795">
        <f t="shared" si="231"/>
        <v>3187710.4362972649</v>
      </c>
      <c r="AK1081" s="658"/>
    </row>
    <row r="1082" spans="1:37" hidden="1">
      <c r="A1082" s="532"/>
      <c r="B1082" s="640"/>
      <c r="C1082" s="855"/>
      <c r="D1082" s="641"/>
      <c r="E1082" s="639"/>
      <c r="F1082" s="641"/>
      <c r="G1082" s="641"/>
      <c r="J1082" s="4">
        <f>+J1081/I1081</f>
        <v>1.5913797370804921E-3</v>
      </c>
      <c r="L1082" s="395"/>
      <c r="M1082" s="605"/>
      <c r="N1082" s="701"/>
      <c r="AK1082" s="658"/>
    </row>
    <row r="1083" spans="1:37" ht="14" hidden="1">
      <c r="A1083" s="543"/>
      <c r="B1083" s="642"/>
      <c r="C1083" s="856"/>
      <c r="D1083" s="643"/>
      <c r="E1083" s="644"/>
      <c r="F1083" s="643"/>
      <c r="G1083" s="645"/>
      <c r="I1083" s="287">
        <f>+I1081*1.2%</f>
        <v>2159638.4296768042</v>
      </c>
      <c r="J1083" s="287"/>
      <c r="L1083" s="395"/>
      <c r="M1083" s="605"/>
      <c r="N1083" s="701"/>
      <c r="AK1083" s="658"/>
    </row>
    <row r="1084" spans="1:37" hidden="1">
      <c r="A1084" s="532"/>
      <c r="B1084" s="640"/>
      <c r="C1084" s="855"/>
      <c r="D1084" s="641"/>
      <c r="E1084" s="639"/>
      <c r="F1084" s="641"/>
      <c r="G1084" s="641"/>
      <c r="I1084" s="287">
        <f>+I1081*1%</f>
        <v>1799698.6913973368</v>
      </c>
      <c r="J1084" s="287"/>
      <c r="L1084" s="395"/>
      <c r="M1084" s="605"/>
      <c r="N1084" s="701"/>
      <c r="AK1084" s="658"/>
    </row>
    <row r="1085" spans="1:37" ht="14" hidden="1">
      <c r="A1085" s="543"/>
      <c r="B1085" s="642"/>
      <c r="C1085" s="856"/>
      <c r="D1085" s="643"/>
      <c r="E1085" s="644"/>
      <c r="F1085" s="643"/>
      <c r="G1085" s="645"/>
      <c r="I1085" s="4" t="e">
        <f>+H1081*0.75/100</f>
        <v>#VALUE!</v>
      </c>
      <c r="L1085" s="395"/>
      <c r="M1085" s="605"/>
      <c r="N1085" s="701"/>
      <c r="AK1085" s="658"/>
    </row>
    <row r="1086" spans="1:37" hidden="1">
      <c r="A1086" s="532"/>
      <c r="B1086" s="640"/>
      <c r="C1086" s="855"/>
      <c r="D1086" s="641"/>
      <c r="E1086" s="639"/>
      <c r="F1086" s="641"/>
      <c r="G1086" s="641"/>
      <c r="L1086" s="395"/>
      <c r="M1086" s="605"/>
      <c r="N1086" s="701"/>
      <c r="AK1086" s="658"/>
    </row>
    <row r="1087" spans="1:37" ht="16">
      <c r="A1087" s="543"/>
      <c r="B1087" s="642"/>
      <c r="C1087" s="856"/>
      <c r="D1087" s="643"/>
      <c r="E1087" s="644"/>
      <c r="F1087" s="798" t="s">
        <v>814</v>
      </c>
      <c r="G1087" s="798"/>
      <c r="H1087" s="801">
        <v>135.75</v>
      </c>
      <c r="I1087" s="802">
        <f>+I1081/H1087</f>
        <v>1325744.8923737288</v>
      </c>
      <c r="J1087" s="646"/>
      <c r="K1087" s="650"/>
      <c r="L1087" s="605"/>
      <c r="M1087" s="605"/>
      <c r="N1087" s="701"/>
      <c r="O1087" s="796" t="s">
        <v>541</v>
      </c>
      <c r="P1087" s="904" t="s">
        <v>542</v>
      </c>
      <c r="Q1087" s="904"/>
      <c r="R1087" s="904"/>
      <c r="S1087" s="904"/>
      <c r="T1087" s="904"/>
      <c r="U1087" s="904" t="s">
        <v>543</v>
      </c>
      <c r="V1087" s="904"/>
      <c r="W1087" s="904"/>
      <c r="X1087" s="904"/>
      <c r="Y1087" s="904" t="s">
        <v>544</v>
      </c>
      <c r="Z1087" s="904"/>
      <c r="AA1087" s="904"/>
      <c r="AB1087" s="904"/>
      <c r="AC1087" s="904"/>
      <c r="AD1087" s="904" t="s">
        <v>545</v>
      </c>
      <c r="AE1087" s="904"/>
      <c r="AF1087" s="904"/>
      <c r="AG1087" s="904"/>
      <c r="AH1087" s="904" t="s">
        <v>546</v>
      </c>
      <c r="AI1087" s="904"/>
      <c r="AJ1087" s="904"/>
      <c r="AK1087" s="658"/>
    </row>
    <row r="1088" spans="1:37" ht="14">
      <c r="A1088" s="532"/>
      <c r="B1088" s="640"/>
      <c r="C1088" s="855"/>
      <c r="D1088" s="641"/>
      <c r="E1088" s="639"/>
      <c r="F1088" s="798" t="s">
        <v>815</v>
      </c>
      <c r="G1088" s="798"/>
      <c r="H1088" s="801">
        <v>304</v>
      </c>
      <c r="I1088" s="803">
        <f>+I1081/H1088</f>
        <v>592006.14848596603</v>
      </c>
      <c r="J1088" s="1"/>
      <c r="K1088" s="1"/>
      <c r="L1088" s="1"/>
      <c r="M1088" s="1"/>
      <c r="N1088" s="1"/>
      <c r="O1088" s="657">
        <v>44767</v>
      </c>
      <c r="P1088" s="657">
        <v>44774</v>
      </c>
      <c r="Q1088" s="657">
        <v>44781</v>
      </c>
      <c r="R1088" s="657">
        <v>44788</v>
      </c>
      <c r="S1088" s="657">
        <v>44795</v>
      </c>
      <c r="T1088" s="657">
        <v>44802</v>
      </c>
      <c r="U1088" s="657">
        <v>44809</v>
      </c>
      <c r="V1088" s="657">
        <v>44816</v>
      </c>
      <c r="W1088" s="657">
        <v>44823</v>
      </c>
      <c r="X1088" s="657">
        <v>44830</v>
      </c>
      <c r="Y1088" s="657">
        <v>44837</v>
      </c>
      <c r="Z1088" s="657">
        <v>44844</v>
      </c>
      <c r="AA1088" s="657">
        <v>44851</v>
      </c>
      <c r="AB1088" s="657">
        <v>44858</v>
      </c>
      <c r="AC1088" s="657">
        <v>44865</v>
      </c>
      <c r="AD1088" s="657">
        <v>44872</v>
      </c>
      <c r="AE1088" s="657">
        <v>44879</v>
      </c>
      <c r="AF1088" s="657">
        <v>44886</v>
      </c>
      <c r="AG1088" s="657">
        <v>44893</v>
      </c>
      <c r="AH1088" s="657">
        <v>44900</v>
      </c>
      <c r="AI1088" s="657">
        <v>44907</v>
      </c>
      <c r="AJ1088" s="657">
        <v>44914</v>
      </c>
    </row>
    <row r="1089" spans="1:37">
      <c r="A1089" s="543"/>
      <c r="B1089" s="642"/>
      <c r="C1089" s="856"/>
      <c r="D1089" s="643"/>
      <c r="E1089" s="644"/>
      <c r="F1089" s="798" t="s">
        <v>816</v>
      </c>
      <c r="G1089" s="798"/>
      <c r="H1089" s="801">
        <v>317</v>
      </c>
      <c r="I1089" s="803">
        <f>+I1081/H1089</f>
        <v>567728.29381619452</v>
      </c>
      <c r="J1089" s="1"/>
      <c r="K1089" s="1"/>
      <c r="L1089" s="1"/>
      <c r="M1089" s="1"/>
      <c r="N1089" s="1"/>
      <c r="AF1089" s="658"/>
    </row>
    <row r="1090" spans="1:37">
      <c r="A1090" s="532"/>
      <c r="B1090" s="640"/>
      <c r="C1090" s="855"/>
      <c r="D1090" s="641"/>
      <c r="E1090" s="639"/>
      <c r="F1090" s="641"/>
      <c r="G1090" s="528"/>
      <c r="H1090" s="607"/>
      <c r="I1090" s="701"/>
      <c r="J1090" s="1"/>
      <c r="K1090" s="1"/>
      <c r="L1090" s="1"/>
      <c r="M1090" s="1"/>
      <c r="N1090" s="1"/>
      <c r="AF1090" s="658"/>
    </row>
    <row r="1091" spans="1:37">
      <c r="A1091" s="543"/>
      <c r="B1091" s="642"/>
      <c r="C1091" s="856"/>
      <c r="D1091" s="643"/>
      <c r="E1091" s="644"/>
      <c r="F1091" s="643"/>
      <c r="G1091" s="607"/>
      <c r="H1091" s="606" t="s">
        <v>8</v>
      </c>
      <c r="I1091" s="701"/>
      <c r="J1091" s="1"/>
      <c r="K1091" s="1"/>
      <c r="L1091" s="1"/>
      <c r="M1091" s="1"/>
      <c r="N1091" s="1"/>
      <c r="AF1091" s="658"/>
    </row>
    <row r="1092" spans="1:37" s="53" customFormat="1">
      <c r="A1092" s="532"/>
      <c r="B1092" s="640"/>
      <c r="C1092" s="855"/>
      <c r="D1092" s="641"/>
      <c r="E1092" s="639"/>
      <c r="F1092" s="641"/>
      <c r="G1092" s="641"/>
      <c r="H1092" s="646"/>
      <c r="I1092" s="647"/>
      <c r="J1092" s="647"/>
      <c r="K1092" s="607"/>
      <c r="L1092" s="607"/>
      <c r="M1092" s="606" t="s">
        <v>508</v>
      </c>
      <c r="N1092" s="701"/>
      <c r="AK1092" s="658"/>
    </row>
    <row r="1093" spans="1:37" ht="14">
      <c r="A1093" s="543"/>
      <c r="B1093" s="642"/>
      <c r="C1093" s="856"/>
      <c r="D1093" s="643"/>
      <c r="E1093" s="644"/>
      <c r="F1093" s="643"/>
      <c r="G1093" s="645"/>
      <c r="H1093" s="646"/>
      <c r="I1093" s="647"/>
      <c r="J1093" s="647"/>
      <c r="K1093" s="607"/>
      <c r="L1093" s="607"/>
      <c r="M1093" s="606" t="s">
        <v>8</v>
      </c>
      <c r="N1093" s="701">
        <f t="shared" ref="N1093:N1124" si="232">SUM(O1093:AJ1093)-H1093</f>
        <v>0</v>
      </c>
      <c r="AK1093" s="658"/>
    </row>
    <row r="1094" spans="1:37" hidden="1">
      <c r="A1094" s="532"/>
      <c r="B1094" s="640"/>
      <c r="C1094" s="855"/>
      <c r="D1094" s="641"/>
      <c r="E1094" s="639"/>
      <c r="F1094" s="641"/>
      <c r="G1094" s="641"/>
      <c r="H1094" s="646"/>
      <c r="I1094" s="647"/>
      <c r="J1094" s="647"/>
      <c r="K1094" s="607"/>
      <c r="L1094" s="607"/>
      <c r="M1094" s="608"/>
      <c r="N1094" s="701">
        <f t="shared" si="232"/>
        <v>0</v>
      </c>
      <c r="AK1094" s="658"/>
    </row>
    <row r="1095" spans="1:37" ht="14" hidden="1">
      <c r="A1095" s="543"/>
      <c r="B1095" s="642"/>
      <c r="C1095" s="856"/>
      <c r="D1095" s="643"/>
      <c r="E1095" s="644"/>
      <c r="F1095" s="643"/>
      <c r="G1095" s="645"/>
      <c r="H1095" s="648" t="s">
        <v>454</v>
      </c>
      <c r="I1095" s="606">
        <f>I1081/150</f>
        <v>1199799.1275982244</v>
      </c>
      <c r="J1095" s="649"/>
      <c r="K1095" s="606"/>
      <c r="L1095" s="649"/>
      <c r="M1095" s="606">
        <f>SUM(M532:M1088)</f>
        <v>0</v>
      </c>
      <c r="N1095" s="701" t="e">
        <f t="shared" si="232"/>
        <v>#VALUE!</v>
      </c>
      <c r="AK1095" s="658"/>
    </row>
    <row r="1096" spans="1:37" hidden="1">
      <c r="A1096" s="532"/>
      <c r="B1096" s="640"/>
      <c r="C1096" s="855"/>
      <c r="D1096" s="641"/>
      <c r="E1096" s="639"/>
      <c r="F1096" s="641"/>
      <c r="G1096" s="641"/>
      <c r="H1096" s="646" t="s">
        <v>512</v>
      </c>
      <c r="I1096" s="647"/>
      <c r="J1096" s="647"/>
      <c r="K1096" s="607"/>
      <c r="L1096" s="607"/>
      <c r="M1096" s="608"/>
      <c r="N1096" s="701" t="e">
        <f t="shared" si="232"/>
        <v>#VALUE!</v>
      </c>
      <c r="AK1096" s="658"/>
    </row>
    <row r="1097" spans="1:37" ht="14" hidden="1">
      <c r="A1097" s="543"/>
      <c r="B1097" s="642"/>
      <c r="C1097" s="856"/>
      <c r="D1097" s="643"/>
      <c r="E1097" s="644"/>
      <c r="F1097" s="643"/>
      <c r="G1097" s="645"/>
      <c r="H1097" s="646"/>
      <c r="I1097" s="647"/>
      <c r="J1097" s="647"/>
      <c r="K1097" s="607"/>
      <c r="L1097" s="607"/>
      <c r="M1097" s="606" t="s">
        <v>8</v>
      </c>
      <c r="N1097" s="701">
        <f t="shared" si="232"/>
        <v>0</v>
      </c>
      <c r="AK1097" s="658"/>
    </row>
    <row r="1098" spans="1:37" hidden="1">
      <c r="A1098" s="532"/>
      <c r="B1098" s="640"/>
      <c r="C1098" s="855"/>
      <c r="D1098" s="641"/>
      <c r="E1098" s="639"/>
      <c r="F1098" s="641"/>
      <c r="G1098" s="641"/>
      <c r="H1098" s="643"/>
      <c r="I1098" s="647"/>
      <c r="J1098" s="647"/>
      <c r="K1098" s="607"/>
      <c r="L1098" s="607"/>
      <c r="M1098" s="606" t="s">
        <v>508</v>
      </c>
      <c r="N1098" s="701">
        <f t="shared" si="232"/>
        <v>0</v>
      </c>
      <c r="AK1098" s="658"/>
    </row>
    <row r="1099" spans="1:37" ht="14" hidden="1">
      <c r="A1099" s="543"/>
      <c r="B1099" s="642"/>
      <c r="C1099" s="856"/>
      <c r="D1099" s="643"/>
      <c r="E1099" s="644"/>
      <c r="F1099" s="643"/>
      <c r="G1099" s="645"/>
      <c r="H1099" s="643"/>
      <c r="I1099" s="646"/>
      <c r="J1099" s="646"/>
      <c r="K1099" s="650"/>
      <c r="L1099" s="650"/>
      <c r="M1099" s="606" t="s">
        <v>8</v>
      </c>
      <c r="N1099" s="701">
        <f t="shared" si="232"/>
        <v>0</v>
      </c>
      <c r="AK1099" s="658"/>
    </row>
    <row r="1100" spans="1:37" hidden="1">
      <c r="A1100" s="532"/>
      <c r="B1100" s="640"/>
      <c r="C1100" s="855"/>
      <c r="D1100" s="641"/>
      <c r="E1100" s="639"/>
      <c r="F1100" s="641"/>
      <c r="G1100" s="641"/>
      <c r="H1100" s="543"/>
      <c r="I1100" s="543"/>
      <c r="J1100" s="543"/>
      <c r="K1100" s="543"/>
      <c r="L1100" s="650"/>
      <c r="N1100" s="701">
        <f t="shared" si="232"/>
        <v>0</v>
      </c>
      <c r="AK1100" s="658"/>
    </row>
    <row r="1101" spans="1:37" ht="14" hidden="1">
      <c r="A1101" s="543"/>
      <c r="B1101" s="642"/>
      <c r="C1101" s="856"/>
      <c r="D1101" s="643"/>
      <c r="E1101" s="644"/>
      <c r="F1101" s="643"/>
      <c r="G1101" s="645"/>
      <c r="H1101" s="543"/>
      <c r="I1101" s="543"/>
      <c r="J1101" s="543"/>
      <c r="K1101" s="543"/>
      <c r="L1101" s="650"/>
      <c r="N1101" s="701">
        <f t="shared" si="232"/>
        <v>0</v>
      </c>
      <c r="AK1101" s="658"/>
    </row>
    <row r="1102" spans="1:37" hidden="1">
      <c r="A1102" s="532"/>
      <c r="B1102" s="640"/>
      <c r="C1102" s="855"/>
      <c r="D1102" s="641"/>
      <c r="E1102" s="639"/>
      <c r="F1102" s="641"/>
      <c r="G1102" s="641"/>
      <c r="H1102" s="648" t="s">
        <v>454</v>
      </c>
      <c r="I1102" s="606">
        <f>I1081/160</f>
        <v>1124811.6821233355</v>
      </c>
      <c r="J1102" s="649"/>
      <c r="K1102" s="606"/>
      <c r="L1102" s="649"/>
      <c r="M1102" s="606">
        <f>+M1095</f>
        <v>0</v>
      </c>
      <c r="N1102" s="701" t="e">
        <f t="shared" si="232"/>
        <v>#VALUE!</v>
      </c>
      <c r="AK1102" s="658"/>
    </row>
    <row r="1103" spans="1:37" ht="14" hidden="1">
      <c r="A1103" s="543"/>
      <c r="B1103" s="642"/>
      <c r="C1103" s="856"/>
      <c r="D1103" s="643"/>
      <c r="E1103" s="644"/>
      <c r="F1103" s="643"/>
      <c r="G1103" s="645"/>
      <c r="H1103" s="646" t="s">
        <v>510</v>
      </c>
      <c r="I1103" s="647"/>
      <c r="J1103" s="647"/>
      <c r="K1103" s="607"/>
      <c r="L1103" s="607"/>
      <c r="M1103" s="608"/>
      <c r="N1103" s="701" t="e">
        <f t="shared" si="232"/>
        <v>#VALUE!</v>
      </c>
      <c r="AK1103" s="658"/>
    </row>
    <row r="1104" spans="1:37" hidden="1">
      <c r="A1104" s="532"/>
      <c r="B1104" s="640"/>
      <c r="C1104" s="855"/>
      <c r="D1104" s="641"/>
      <c r="E1104" s="639"/>
      <c r="F1104" s="641"/>
      <c r="G1104" s="641"/>
      <c r="H1104" s="646"/>
      <c r="I1104" s="647"/>
      <c r="J1104" s="647"/>
      <c r="K1104" s="607"/>
      <c r="L1104" s="607"/>
      <c r="M1104" s="606" t="s">
        <v>8</v>
      </c>
      <c r="N1104" s="701">
        <f t="shared" si="232"/>
        <v>0</v>
      </c>
      <c r="AK1104" s="658"/>
    </row>
    <row r="1105" spans="1:37" ht="14" hidden="1">
      <c r="A1105" s="543"/>
      <c r="B1105" s="642"/>
      <c r="C1105" s="856"/>
      <c r="D1105" s="643"/>
      <c r="E1105" s="644"/>
      <c r="F1105" s="643"/>
      <c r="G1105" s="645"/>
      <c r="H1105" s="643"/>
      <c r="I1105" s="647"/>
      <c r="J1105" s="647"/>
      <c r="K1105" s="607"/>
      <c r="L1105" s="607"/>
      <c r="M1105" s="606" t="s">
        <v>508</v>
      </c>
      <c r="N1105" s="701">
        <f t="shared" si="232"/>
        <v>0</v>
      </c>
      <c r="AK1105" s="658"/>
    </row>
    <row r="1106" spans="1:37" hidden="1">
      <c r="A1106" s="532"/>
      <c r="B1106" s="640"/>
      <c r="C1106" s="855"/>
      <c r="D1106" s="641"/>
      <c r="E1106" s="639"/>
      <c r="F1106" s="641"/>
      <c r="G1106" s="641"/>
      <c r="H1106" s="643"/>
      <c r="I1106" s="646"/>
      <c r="J1106" s="646"/>
      <c r="K1106" s="650"/>
      <c r="L1106" s="650"/>
      <c r="M1106" s="606" t="s">
        <v>8</v>
      </c>
      <c r="N1106" s="701">
        <f t="shared" si="232"/>
        <v>0</v>
      </c>
      <c r="AK1106" s="658"/>
    </row>
    <row r="1107" spans="1:37" ht="14" hidden="1">
      <c r="A1107" s="543"/>
      <c r="B1107" s="642"/>
      <c r="C1107" s="856"/>
      <c r="D1107" s="643"/>
      <c r="E1107" s="644"/>
      <c r="F1107" s="643"/>
      <c r="G1107" s="645"/>
      <c r="H1107" s="543"/>
      <c r="I1107" s="543"/>
      <c r="J1107" s="543"/>
      <c r="K1107" s="543"/>
      <c r="L1107" s="650"/>
      <c r="N1107" s="701">
        <f t="shared" si="232"/>
        <v>0</v>
      </c>
      <c r="AK1107" s="658"/>
    </row>
    <row r="1108" spans="1:37" hidden="1">
      <c r="A1108" s="532"/>
      <c r="B1108" s="640"/>
      <c r="C1108" s="855"/>
      <c r="D1108" s="641"/>
      <c r="E1108" s="639"/>
      <c r="F1108" s="641"/>
      <c r="G1108" s="641"/>
      <c r="H1108" s="543"/>
      <c r="I1108" s="543"/>
      <c r="J1108" s="543"/>
      <c r="K1108" s="543"/>
      <c r="L1108" s="650"/>
      <c r="N1108" s="701">
        <f t="shared" si="232"/>
        <v>0</v>
      </c>
      <c r="AK1108" s="658"/>
    </row>
    <row r="1109" spans="1:37" ht="14" hidden="1">
      <c r="A1109" s="543"/>
      <c r="B1109" s="642"/>
      <c r="C1109" s="856"/>
      <c r="D1109" s="643"/>
      <c r="E1109" s="644"/>
      <c r="F1109" s="643"/>
      <c r="G1109" s="645"/>
      <c r="H1109" s="543"/>
      <c r="I1109" s="543"/>
      <c r="J1109" s="543"/>
      <c r="K1109" s="543"/>
      <c r="L1109" s="650"/>
      <c r="N1109" s="701">
        <f t="shared" si="232"/>
        <v>0</v>
      </c>
      <c r="AK1109" s="658"/>
    </row>
    <row r="1110" spans="1:37" hidden="1">
      <c r="A1110" s="532"/>
      <c r="B1110" s="640"/>
      <c r="C1110" s="855"/>
      <c r="D1110" s="641"/>
      <c r="E1110" s="639"/>
      <c r="F1110" s="641"/>
      <c r="G1110" s="641"/>
      <c r="H1110" s="543"/>
      <c r="I1110" s="543"/>
      <c r="J1110" s="543"/>
      <c r="K1110" s="543"/>
      <c r="L1110" s="650"/>
      <c r="N1110" s="701">
        <f t="shared" si="232"/>
        <v>0</v>
      </c>
      <c r="AK1110" s="658"/>
    </row>
    <row r="1111" spans="1:37" ht="14" hidden="1">
      <c r="A1111" s="543"/>
      <c r="B1111" s="642"/>
      <c r="C1111" s="856"/>
      <c r="D1111" s="643"/>
      <c r="E1111" s="644"/>
      <c r="F1111" s="643"/>
      <c r="G1111" s="645"/>
      <c r="H1111" s="543"/>
      <c r="I1111" s="543"/>
      <c r="J1111" s="543"/>
      <c r="K1111" s="543"/>
      <c r="L1111" s="650"/>
      <c r="N1111" s="701">
        <f t="shared" si="232"/>
        <v>0</v>
      </c>
      <c r="AK1111" s="658"/>
    </row>
    <row r="1112" spans="1:37">
      <c r="A1112" s="532"/>
      <c r="B1112" s="640"/>
      <c r="C1112" s="855"/>
      <c r="D1112" s="641"/>
      <c r="E1112" s="639"/>
      <c r="F1112" s="641"/>
      <c r="G1112" s="641"/>
      <c r="H1112" s="543"/>
      <c r="I1112" s="543"/>
      <c r="J1112" s="543"/>
      <c r="K1112" s="543"/>
      <c r="L1112" s="650"/>
      <c r="N1112" s="701">
        <f t="shared" si="232"/>
        <v>0</v>
      </c>
      <c r="AK1112" s="658"/>
    </row>
    <row r="1113" spans="1:37" ht="14">
      <c r="A1113" s="543"/>
      <c r="B1113" s="642"/>
      <c r="C1113" s="856"/>
      <c r="D1113" s="643"/>
      <c r="E1113" s="644"/>
      <c r="F1113" s="643"/>
      <c r="G1113" s="645"/>
      <c r="H1113" s="543"/>
      <c r="I1113" s="543"/>
      <c r="J1113" s="543"/>
      <c r="K1113" s="543"/>
      <c r="L1113" s="650"/>
      <c r="N1113" s="701">
        <f t="shared" si="232"/>
        <v>0</v>
      </c>
      <c r="AK1113" s="658"/>
    </row>
    <row r="1114" spans="1:37">
      <c r="A1114" s="532"/>
      <c r="B1114" s="640"/>
      <c r="C1114" s="855"/>
      <c r="D1114" s="641"/>
      <c r="E1114" s="639"/>
      <c r="F1114" s="641"/>
      <c r="G1114" s="641"/>
      <c r="H1114" s="543"/>
      <c r="I1114" s="543"/>
      <c r="J1114" s="543"/>
      <c r="K1114" s="543"/>
      <c r="L1114" s="650"/>
      <c r="N1114" s="701">
        <f t="shared" si="232"/>
        <v>0</v>
      </c>
      <c r="AK1114" s="658"/>
    </row>
    <row r="1115" spans="1:37" ht="14">
      <c r="A1115" s="543"/>
      <c r="B1115" s="642"/>
      <c r="C1115" s="856"/>
      <c r="D1115" s="643"/>
      <c r="E1115" s="644"/>
      <c r="F1115" s="643"/>
      <c r="G1115" s="645"/>
      <c r="H1115" s="543"/>
      <c r="I1115" s="543"/>
      <c r="J1115" s="543"/>
      <c r="K1115" s="543"/>
      <c r="L1115" s="650"/>
      <c r="N1115" s="701">
        <f t="shared" si="232"/>
        <v>0</v>
      </c>
      <c r="AK1115" s="658"/>
    </row>
    <row r="1116" spans="1:37">
      <c r="A1116" s="532"/>
      <c r="B1116" s="640"/>
      <c r="C1116" s="855"/>
      <c r="D1116" s="641"/>
      <c r="E1116" s="639"/>
      <c r="F1116" s="641"/>
      <c r="G1116" s="641"/>
      <c r="H1116" s="543"/>
      <c r="I1116" s="543"/>
      <c r="J1116" s="543"/>
      <c r="K1116" s="543"/>
      <c r="L1116" s="650"/>
      <c r="N1116" s="701">
        <f t="shared" si="232"/>
        <v>0</v>
      </c>
      <c r="AK1116" s="658"/>
    </row>
    <row r="1117" spans="1:37" ht="14">
      <c r="A1117" s="543"/>
      <c r="B1117" s="642"/>
      <c r="C1117" s="856"/>
      <c r="D1117" s="643"/>
      <c r="E1117" s="644"/>
      <c r="F1117" s="643"/>
      <c r="G1117" s="645"/>
      <c r="H1117" s="543"/>
      <c r="I1117" s="543"/>
      <c r="J1117" s="543"/>
      <c r="K1117" s="543"/>
      <c r="L1117" s="650"/>
      <c r="N1117" s="701">
        <f t="shared" si="232"/>
        <v>0</v>
      </c>
      <c r="AK1117" s="658"/>
    </row>
    <row r="1118" spans="1:37">
      <c r="A1118" s="532"/>
      <c r="B1118" s="640"/>
      <c r="C1118" s="855"/>
      <c r="D1118" s="641"/>
      <c r="E1118" s="639"/>
      <c r="F1118" s="641"/>
      <c r="G1118" s="641"/>
      <c r="H1118" s="543"/>
      <c r="I1118" s="543"/>
      <c r="J1118" s="543"/>
      <c r="K1118" s="543"/>
      <c r="L1118" s="650"/>
      <c r="N1118" s="701">
        <f t="shared" si="232"/>
        <v>0</v>
      </c>
      <c r="AK1118" s="658"/>
    </row>
    <row r="1119" spans="1:37">
      <c r="A1119" s="543"/>
      <c r="B1119" s="543"/>
      <c r="C1119" s="857"/>
      <c r="D1119" s="543"/>
      <c r="E1119" s="543"/>
      <c r="F1119" s="543"/>
      <c r="G1119" s="543"/>
      <c r="H1119" s="543"/>
      <c r="I1119" s="543"/>
      <c r="J1119" s="543"/>
      <c r="K1119" s="543"/>
      <c r="L1119" s="650"/>
      <c r="N1119" s="701">
        <f t="shared" si="232"/>
        <v>0</v>
      </c>
      <c r="AK1119" s="658"/>
    </row>
    <row r="1120" spans="1:37">
      <c r="B1120" s="1"/>
      <c r="C1120" s="858"/>
      <c r="D1120" s="1"/>
      <c r="E1120" s="1"/>
      <c r="F1120" s="1"/>
      <c r="G1120" s="543"/>
      <c r="H1120" s="543"/>
      <c r="I1120" s="543"/>
      <c r="J1120" s="543"/>
      <c r="K1120" s="543"/>
      <c r="L1120" s="650"/>
      <c r="N1120" s="701">
        <f t="shared" si="232"/>
        <v>0</v>
      </c>
      <c r="AK1120" s="658"/>
    </row>
    <row r="1121" spans="2:37">
      <c r="B1121" s="1"/>
      <c r="C1121" s="858"/>
      <c r="D1121" s="1"/>
      <c r="E1121" s="1"/>
      <c r="F1121" s="1"/>
      <c r="G1121" s="1"/>
      <c r="H1121" s="1"/>
      <c r="I1121" s="1"/>
      <c r="J1121" s="1"/>
      <c r="K1121" s="1"/>
      <c r="L1121" s="430"/>
      <c r="N1121" s="701">
        <f t="shared" si="232"/>
        <v>0</v>
      </c>
      <c r="AK1121" s="658"/>
    </row>
    <row r="1122" spans="2:37">
      <c r="B1122" s="1"/>
      <c r="C1122" s="858"/>
      <c r="D1122" s="1"/>
      <c r="E1122" s="1"/>
      <c r="F1122" s="1"/>
      <c r="G1122" s="1"/>
      <c r="H1122" s="1"/>
      <c r="I1122" s="1"/>
      <c r="J1122" s="1"/>
      <c r="K1122" s="1"/>
      <c r="L1122" s="430"/>
      <c r="N1122" s="701">
        <f t="shared" si="232"/>
        <v>0</v>
      </c>
      <c r="AK1122" s="658"/>
    </row>
    <row r="1123" spans="2:37">
      <c r="B1123" s="1"/>
      <c r="C1123" s="858"/>
      <c r="D1123" s="1"/>
      <c r="E1123" s="1"/>
      <c r="F1123" s="1"/>
      <c r="G1123" s="1"/>
      <c r="H1123" s="1"/>
      <c r="I1123" s="1"/>
      <c r="J1123" s="1"/>
      <c r="K1123" s="1"/>
      <c r="L1123" s="430"/>
      <c r="N1123" s="701">
        <f t="shared" si="232"/>
        <v>0</v>
      </c>
      <c r="AK1123" s="658"/>
    </row>
    <row r="1124" spans="2:37">
      <c r="B1124" s="1"/>
      <c r="C1124" s="858"/>
      <c r="D1124" s="1"/>
      <c r="E1124" s="1"/>
      <c r="F1124" s="1"/>
      <c r="G1124" s="1"/>
      <c r="H1124" s="1"/>
      <c r="I1124" s="1"/>
      <c r="J1124" s="1"/>
      <c r="K1124" s="1"/>
      <c r="L1124" s="430"/>
      <c r="N1124" s="701">
        <f t="shared" si="232"/>
        <v>0</v>
      </c>
      <c r="AK1124" s="658"/>
    </row>
    <row r="1125" spans="2:37">
      <c r="B1125" s="1"/>
      <c r="C1125" s="858"/>
      <c r="D1125" s="1"/>
      <c r="E1125" s="1"/>
      <c r="F1125" s="1"/>
      <c r="G1125" s="1"/>
      <c r="H1125" s="1"/>
      <c r="I1125" s="1"/>
      <c r="J1125" s="1"/>
      <c r="K1125" s="1"/>
      <c r="L1125" s="430"/>
      <c r="N1125" s="701">
        <f t="shared" ref="N1125:N1141" si="233">SUM(O1125:AJ1125)-H1125</f>
        <v>0</v>
      </c>
      <c r="AK1125" s="658"/>
    </row>
    <row r="1126" spans="2:37">
      <c r="B1126" s="1"/>
      <c r="C1126" s="858"/>
      <c r="D1126" s="1"/>
      <c r="E1126" s="1"/>
      <c r="F1126" s="1"/>
      <c r="G1126" s="1"/>
      <c r="H1126" s="1"/>
      <c r="I1126" s="1"/>
      <c r="J1126" s="1"/>
      <c r="K1126" s="1"/>
      <c r="L1126" s="430"/>
      <c r="N1126" s="701">
        <f t="shared" si="233"/>
        <v>0</v>
      </c>
      <c r="AK1126" s="658"/>
    </row>
    <row r="1127" spans="2:37">
      <c r="B1127" s="1"/>
      <c r="C1127" s="858"/>
      <c r="D1127" s="1"/>
      <c r="E1127" s="1"/>
      <c r="F1127" s="1"/>
      <c r="G1127" s="1"/>
      <c r="H1127" s="1"/>
      <c r="I1127" s="1"/>
      <c r="J1127" s="1"/>
      <c r="K1127" s="1"/>
      <c r="L1127" s="430"/>
      <c r="N1127" s="701">
        <f t="shared" si="233"/>
        <v>0</v>
      </c>
      <c r="AK1127" s="658"/>
    </row>
    <row r="1128" spans="2:37">
      <c r="B1128" s="1"/>
      <c r="C1128" s="858"/>
      <c r="D1128" s="1"/>
      <c r="E1128" s="1"/>
      <c r="F1128" s="1"/>
      <c r="G1128" s="1"/>
      <c r="H1128" s="1"/>
      <c r="I1128" s="1"/>
      <c r="J1128" s="1"/>
      <c r="K1128" s="1"/>
      <c r="L1128" s="430"/>
      <c r="N1128" s="701">
        <f t="shared" si="233"/>
        <v>0</v>
      </c>
      <c r="AK1128" s="658"/>
    </row>
    <row r="1129" spans="2:37">
      <c r="B1129" s="1"/>
      <c r="C1129" s="858"/>
      <c r="D1129" s="1"/>
      <c r="E1129" s="1"/>
      <c r="F1129" s="1"/>
      <c r="G1129" s="1"/>
      <c r="H1129" s="1"/>
      <c r="I1129" s="1"/>
      <c r="J1129" s="1"/>
      <c r="K1129" s="1"/>
      <c r="L1129" s="430"/>
      <c r="N1129" s="701">
        <f t="shared" si="233"/>
        <v>0</v>
      </c>
      <c r="AK1129" s="658"/>
    </row>
    <row r="1130" spans="2:37">
      <c r="B1130" s="1"/>
      <c r="C1130" s="858"/>
      <c r="D1130" s="1"/>
      <c r="E1130" s="1"/>
      <c r="F1130" s="1"/>
      <c r="G1130" s="1"/>
      <c r="H1130" s="1"/>
      <c r="I1130" s="1"/>
      <c r="J1130" s="1"/>
      <c r="K1130" s="1"/>
      <c r="L1130" s="430"/>
      <c r="N1130" s="701">
        <f t="shared" si="233"/>
        <v>0</v>
      </c>
      <c r="AK1130" s="658"/>
    </row>
    <row r="1131" spans="2:37">
      <c r="B1131" s="1"/>
      <c r="C1131" s="858"/>
      <c r="D1131" s="1"/>
      <c r="E1131" s="1"/>
      <c r="F1131" s="1"/>
      <c r="G1131" s="1"/>
      <c r="H1131" s="1"/>
      <c r="I1131" s="1"/>
      <c r="J1131" s="1"/>
      <c r="K1131" s="1"/>
      <c r="L1131" s="430"/>
      <c r="N1131" s="701">
        <f t="shared" si="233"/>
        <v>0</v>
      </c>
      <c r="AK1131" s="658"/>
    </row>
    <row r="1132" spans="2:37">
      <c r="B1132" s="1"/>
      <c r="C1132" s="858"/>
      <c r="D1132" s="1"/>
      <c r="E1132" s="1"/>
      <c r="F1132" s="1"/>
      <c r="G1132" s="1"/>
      <c r="H1132" s="1"/>
      <c r="I1132" s="1"/>
      <c r="J1132" s="1"/>
      <c r="K1132" s="1"/>
      <c r="L1132" s="430"/>
      <c r="N1132" s="701">
        <f t="shared" si="233"/>
        <v>0</v>
      </c>
      <c r="AK1132" s="658"/>
    </row>
    <row r="1133" spans="2:37">
      <c r="B1133" s="1"/>
      <c r="C1133" s="858"/>
      <c r="D1133" s="1"/>
      <c r="E1133" s="1"/>
      <c r="F1133" s="1"/>
      <c r="G1133" s="1"/>
      <c r="H1133" s="1"/>
      <c r="I1133" s="1"/>
      <c r="J1133" s="1"/>
      <c r="K1133" s="1"/>
      <c r="L1133" s="430"/>
      <c r="N1133" s="701">
        <f t="shared" si="233"/>
        <v>0</v>
      </c>
      <c r="AK1133" s="658"/>
    </row>
    <row r="1134" spans="2:37">
      <c r="B1134" s="1"/>
      <c r="C1134" s="858"/>
      <c r="D1134" s="1"/>
      <c r="E1134" s="1"/>
      <c r="F1134" s="1"/>
      <c r="G1134" s="1"/>
      <c r="H1134" s="1"/>
      <c r="I1134" s="1"/>
      <c r="J1134" s="1"/>
      <c r="K1134" s="1"/>
      <c r="L1134" s="430"/>
      <c r="N1134" s="701">
        <f t="shared" si="233"/>
        <v>0</v>
      </c>
      <c r="AK1134" s="658"/>
    </row>
    <row r="1135" spans="2:37">
      <c r="B1135" s="1"/>
      <c r="C1135" s="858"/>
      <c r="D1135" s="1"/>
      <c r="E1135" s="1"/>
      <c r="F1135" s="1"/>
      <c r="G1135" s="1"/>
      <c r="H1135" s="1"/>
      <c r="I1135" s="1"/>
      <c r="J1135" s="1"/>
      <c r="K1135" s="1"/>
      <c r="L1135" s="430"/>
      <c r="N1135" s="701">
        <f t="shared" si="233"/>
        <v>0</v>
      </c>
      <c r="AK1135" s="658"/>
    </row>
    <row r="1136" spans="2:37">
      <c r="B1136" s="1"/>
      <c r="C1136" s="858"/>
      <c r="D1136" s="1"/>
      <c r="E1136" s="1"/>
      <c r="F1136" s="1"/>
      <c r="G1136" s="1"/>
      <c r="H1136" s="1"/>
      <c r="I1136" s="1"/>
      <c r="J1136" s="1"/>
      <c r="K1136" s="1"/>
      <c r="L1136" s="430"/>
      <c r="N1136" s="701">
        <f t="shared" si="233"/>
        <v>0</v>
      </c>
      <c r="AK1136" s="658"/>
    </row>
    <row r="1137" spans="2:37">
      <c r="B1137" s="1"/>
      <c r="C1137" s="858"/>
      <c r="D1137" s="1"/>
      <c r="E1137" s="1"/>
      <c r="F1137" s="1"/>
      <c r="G1137" s="1"/>
      <c r="H1137" s="1"/>
      <c r="I1137" s="1"/>
      <c r="J1137" s="1"/>
      <c r="K1137" s="1"/>
      <c r="L1137" s="430"/>
      <c r="N1137" s="701">
        <f t="shared" si="233"/>
        <v>0</v>
      </c>
      <c r="AK1137" s="658"/>
    </row>
    <row r="1138" spans="2:37">
      <c r="B1138" s="1"/>
      <c r="C1138" s="858"/>
      <c r="D1138" s="1"/>
      <c r="E1138" s="1"/>
      <c r="F1138" s="1"/>
      <c r="G1138" s="1"/>
      <c r="H1138" s="1"/>
      <c r="I1138" s="1"/>
      <c r="J1138" s="1"/>
      <c r="K1138" s="1"/>
      <c r="L1138" s="430"/>
      <c r="N1138" s="701">
        <f t="shared" si="233"/>
        <v>0</v>
      </c>
      <c r="AK1138" s="658"/>
    </row>
    <row r="1139" spans="2:37">
      <c r="B1139" s="1"/>
      <c r="C1139" s="858"/>
      <c r="D1139" s="1"/>
      <c r="E1139" s="1"/>
      <c r="F1139" s="1"/>
      <c r="G1139" s="1"/>
      <c r="H1139" s="1"/>
      <c r="I1139" s="1"/>
      <c r="J1139" s="1"/>
      <c r="K1139" s="1"/>
      <c r="L1139" s="430"/>
      <c r="N1139" s="701">
        <f t="shared" si="233"/>
        <v>0</v>
      </c>
      <c r="AK1139" s="658"/>
    </row>
    <row r="1140" spans="2:37">
      <c r="B1140" s="1"/>
      <c r="C1140" s="858"/>
      <c r="D1140" s="1"/>
      <c r="E1140" s="1"/>
      <c r="F1140" s="1"/>
      <c r="G1140" s="1"/>
      <c r="H1140" s="1"/>
      <c r="I1140" s="1"/>
      <c r="J1140" s="1"/>
      <c r="K1140" s="1"/>
      <c r="L1140" s="430"/>
      <c r="N1140" s="701">
        <f t="shared" si="233"/>
        <v>0</v>
      </c>
      <c r="AK1140" s="658"/>
    </row>
    <row r="1141" spans="2:37">
      <c r="B1141" s="1"/>
      <c r="C1141" s="858"/>
      <c r="D1141" s="1"/>
      <c r="E1141" s="1"/>
      <c r="F1141" s="1"/>
      <c r="G1141" s="1"/>
      <c r="H1141" s="1"/>
      <c r="I1141" s="1"/>
      <c r="J1141" s="1"/>
      <c r="K1141" s="1"/>
      <c r="L1141" s="430"/>
      <c r="N1141" s="701">
        <f t="shared" si="233"/>
        <v>0</v>
      </c>
      <c r="AK1141" s="658"/>
    </row>
    <row r="1142" spans="2:37">
      <c r="B1142" s="1"/>
      <c r="C1142" s="858"/>
      <c r="D1142" s="1"/>
      <c r="E1142" s="1"/>
      <c r="F1142" s="1"/>
      <c r="G1142" s="1"/>
      <c r="H1142" s="1"/>
      <c r="I1142" s="1"/>
      <c r="J1142" s="1"/>
      <c r="K1142" s="1"/>
      <c r="L1142" s="430"/>
      <c r="AK1142" s="658"/>
    </row>
    <row r="1143" spans="2:37">
      <c r="B1143" s="1"/>
      <c r="C1143" s="858"/>
      <c r="D1143" s="1"/>
      <c r="E1143" s="1"/>
      <c r="F1143" s="1"/>
      <c r="G1143" s="1"/>
      <c r="H1143" s="1"/>
      <c r="I1143" s="1"/>
      <c r="J1143" s="1"/>
      <c r="K1143" s="1"/>
      <c r="L1143" s="430"/>
      <c r="AK1143" s="658"/>
    </row>
    <row r="1144" spans="2:37">
      <c r="B1144" s="1"/>
      <c r="C1144" s="858"/>
      <c r="D1144" s="1"/>
      <c r="E1144" s="1"/>
      <c r="F1144" s="1"/>
      <c r="G1144" s="1"/>
      <c r="H1144" s="1"/>
      <c r="I1144" s="1"/>
      <c r="J1144" s="1"/>
      <c r="K1144" s="1"/>
      <c r="L1144" s="430"/>
      <c r="AK1144" s="658"/>
    </row>
    <row r="1145" spans="2:37">
      <c r="B1145" s="1"/>
      <c r="C1145" s="858"/>
      <c r="D1145" s="1"/>
      <c r="E1145" s="1"/>
      <c r="F1145" s="1"/>
      <c r="G1145" s="1"/>
      <c r="H1145" s="1"/>
      <c r="I1145" s="1"/>
      <c r="J1145" s="1"/>
      <c r="K1145" s="1"/>
      <c r="L1145" s="430"/>
      <c r="AK1145" s="658"/>
    </row>
    <row r="1146" spans="2:37">
      <c r="B1146" s="1"/>
      <c r="C1146" s="858"/>
      <c r="D1146" s="1"/>
      <c r="E1146" s="1"/>
      <c r="F1146" s="1"/>
      <c r="G1146" s="1"/>
      <c r="H1146" s="1"/>
      <c r="I1146" s="1"/>
      <c r="J1146" s="1"/>
      <c r="K1146" s="1"/>
      <c r="L1146" s="430"/>
      <c r="AK1146" s="658"/>
    </row>
    <row r="1147" spans="2:37">
      <c r="B1147" s="1"/>
      <c r="C1147" s="858"/>
      <c r="D1147" s="1"/>
      <c r="E1147" s="1"/>
      <c r="F1147" s="1"/>
      <c r="G1147" s="1"/>
      <c r="H1147" s="1"/>
      <c r="I1147" s="1"/>
      <c r="J1147" s="1"/>
      <c r="K1147" s="1"/>
      <c r="L1147" s="430"/>
      <c r="AK1147" s="658"/>
    </row>
    <row r="1148" spans="2:37">
      <c r="B1148" s="1"/>
      <c r="C1148" s="858"/>
      <c r="D1148" s="1"/>
      <c r="E1148" s="1"/>
      <c r="F1148" s="1"/>
      <c r="G1148" s="1"/>
      <c r="H1148" s="1"/>
      <c r="I1148" s="1"/>
      <c r="J1148" s="1"/>
      <c r="K1148" s="1"/>
      <c r="L1148" s="430"/>
      <c r="AK1148" s="658"/>
    </row>
    <row r="1149" spans="2:37">
      <c r="B1149" s="1"/>
      <c r="C1149" s="858"/>
      <c r="D1149" s="1"/>
      <c r="E1149" s="1"/>
      <c r="F1149" s="1"/>
      <c r="G1149" s="1"/>
      <c r="H1149" s="1"/>
      <c r="I1149" s="1"/>
      <c r="J1149" s="1"/>
      <c r="K1149" s="1"/>
      <c r="L1149" s="430"/>
      <c r="AK1149" s="658"/>
    </row>
    <row r="1150" spans="2:37">
      <c r="B1150" s="1"/>
      <c r="C1150" s="858"/>
      <c r="D1150" s="1"/>
      <c r="E1150" s="1"/>
      <c r="F1150" s="1"/>
      <c r="G1150" s="1"/>
      <c r="H1150" s="1"/>
      <c r="I1150" s="1"/>
      <c r="J1150" s="1"/>
      <c r="K1150" s="1"/>
      <c r="L1150" s="430"/>
      <c r="AK1150" s="658"/>
    </row>
    <row r="1151" spans="2:37">
      <c r="B1151" s="1"/>
      <c r="C1151" s="858"/>
      <c r="D1151" s="1"/>
      <c r="E1151" s="1"/>
      <c r="F1151" s="1"/>
      <c r="G1151" s="1"/>
      <c r="H1151" s="1"/>
      <c r="I1151" s="1"/>
      <c r="J1151" s="1"/>
      <c r="K1151" s="1"/>
      <c r="L1151" s="430"/>
      <c r="AK1151" s="658"/>
    </row>
    <row r="1152" spans="2:37">
      <c r="B1152" s="1"/>
      <c r="C1152" s="858"/>
      <c r="D1152" s="1"/>
      <c r="E1152" s="1"/>
      <c r="F1152" s="1"/>
      <c r="G1152" s="1"/>
      <c r="H1152" s="1"/>
      <c r="I1152" s="1"/>
      <c r="J1152" s="1"/>
      <c r="K1152" s="1"/>
      <c r="L1152" s="430"/>
      <c r="AK1152" s="658"/>
    </row>
    <row r="1153" spans="2:37">
      <c r="B1153" s="1"/>
      <c r="C1153" s="858"/>
      <c r="D1153" s="1"/>
      <c r="E1153" s="1"/>
      <c r="F1153" s="1"/>
      <c r="G1153" s="1"/>
      <c r="H1153" s="1"/>
      <c r="I1153" s="1"/>
      <c r="J1153" s="1"/>
      <c r="K1153" s="1"/>
      <c r="L1153" s="430"/>
      <c r="AK1153" s="658"/>
    </row>
    <row r="1154" spans="2:37">
      <c r="B1154" s="1"/>
      <c r="C1154" s="858"/>
      <c r="D1154" s="1"/>
      <c r="E1154" s="1"/>
      <c r="F1154" s="1"/>
      <c r="G1154" s="1"/>
      <c r="H1154" s="1"/>
      <c r="I1154" s="1"/>
      <c r="J1154" s="1"/>
      <c r="K1154" s="1"/>
      <c r="L1154" s="430"/>
      <c r="AK1154" s="658"/>
    </row>
    <row r="1155" spans="2:37">
      <c r="B1155" s="1"/>
      <c r="C1155" s="858"/>
      <c r="D1155" s="1"/>
      <c r="E1155" s="1"/>
      <c r="F1155" s="1"/>
      <c r="G1155" s="1"/>
      <c r="H1155" s="1"/>
      <c r="I1155" s="1"/>
      <c r="J1155" s="1"/>
      <c r="K1155" s="1"/>
      <c r="L1155" s="430"/>
      <c r="AK1155" s="658"/>
    </row>
    <row r="1156" spans="2:37">
      <c r="B1156" s="1"/>
      <c r="C1156" s="858"/>
      <c r="D1156" s="1"/>
      <c r="E1156" s="1"/>
      <c r="F1156" s="1"/>
      <c r="G1156" s="1"/>
      <c r="H1156" s="1"/>
      <c r="I1156" s="1"/>
      <c r="J1156" s="1"/>
      <c r="K1156" s="1"/>
      <c r="L1156" s="430"/>
      <c r="AK1156" s="658"/>
    </row>
    <row r="1157" spans="2:37">
      <c r="B1157" s="1"/>
      <c r="C1157" s="858"/>
      <c r="D1157" s="1"/>
      <c r="E1157" s="1"/>
      <c r="F1157" s="1"/>
      <c r="G1157" s="1"/>
      <c r="H1157" s="1"/>
      <c r="I1157" s="1"/>
      <c r="J1157" s="1"/>
      <c r="K1157" s="1"/>
      <c r="L1157" s="430"/>
      <c r="AK1157" s="658"/>
    </row>
    <row r="1158" spans="2:37">
      <c r="B1158" s="1"/>
      <c r="C1158" s="858"/>
      <c r="D1158" s="1"/>
      <c r="E1158" s="1"/>
      <c r="F1158" s="1"/>
      <c r="G1158" s="1"/>
      <c r="H1158" s="1"/>
      <c r="I1158" s="1"/>
      <c r="J1158" s="1"/>
      <c r="K1158" s="1"/>
      <c r="L1158" s="430"/>
      <c r="AK1158" s="658"/>
    </row>
    <row r="1159" spans="2:37">
      <c r="B1159" s="1"/>
      <c r="C1159" s="858"/>
      <c r="D1159" s="1"/>
      <c r="E1159" s="1"/>
      <c r="F1159" s="1"/>
      <c r="G1159" s="1"/>
      <c r="H1159" s="1"/>
      <c r="I1159" s="1"/>
      <c r="J1159" s="1"/>
      <c r="K1159" s="1"/>
      <c r="L1159" s="430"/>
      <c r="AK1159" s="658"/>
    </row>
    <row r="1160" spans="2:37">
      <c r="B1160" s="1"/>
      <c r="C1160" s="858"/>
      <c r="D1160" s="1"/>
      <c r="E1160" s="1"/>
      <c r="F1160" s="1"/>
      <c r="G1160" s="1"/>
      <c r="H1160" s="1"/>
      <c r="I1160" s="1"/>
      <c r="J1160" s="1"/>
      <c r="K1160" s="1"/>
      <c r="L1160" s="430"/>
      <c r="AK1160" s="658"/>
    </row>
    <row r="1161" spans="2:37">
      <c r="B1161" s="1"/>
      <c r="C1161" s="858"/>
      <c r="D1161" s="1"/>
      <c r="E1161" s="1"/>
      <c r="F1161" s="1"/>
      <c r="G1161" s="1"/>
      <c r="H1161" s="1"/>
      <c r="I1161" s="1"/>
      <c r="J1161" s="1"/>
      <c r="K1161" s="1"/>
      <c r="L1161" s="430"/>
      <c r="AK1161" s="658"/>
    </row>
    <row r="1162" spans="2:37">
      <c r="B1162" s="1"/>
      <c r="C1162" s="858"/>
      <c r="D1162" s="1"/>
      <c r="E1162" s="1"/>
      <c r="F1162" s="1"/>
      <c r="G1162" s="1"/>
      <c r="H1162" s="1"/>
      <c r="I1162" s="1"/>
      <c r="J1162" s="1"/>
      <c r="K1162" s="1"/>
      <c r="L1162" s="430"/>
      <c r="AK1162" s="658"/>
    </row>
    <row r="1163" spans="2:37">
      <c r="B1163" s="1"/>
      <c r="C1163" s="858"/>
      <c r="D1163" s="1"/>
      <c r="E1163" s="1"/>
      <c r="F1163" s="1"/>
      <c r="G1163" s="1"/>
      <c r="H1163" s="1"/>
      <c r="I1163" s="1"/>
      <c r="J1163" s="1"/>
      <c r="K1163" s="1"/>
      <c r="L1163" s="430"/>
      <c r="AK1163" s="658"/>
    </row>
    <row r="1164" spans="2:37">
      <c r="B1164" s="1"/>
      <c r="C1164" s="858"/>
      <c r="D1164" s="1"/>
      <c r="E1164" s="1"/>
      <c r="F1164" s="1"/>
      <c r="G1164" s="1"/>
      <c r="H1164" s="1"/>
      <c r="I1164" s="1"/>
      <c r="J1164" s="1"/>
      <c r="K1164" s="1"/>
      <c r="L1164" s="430"/>
      <c r="AK1164" s="658"/>
    </row>
    <row r="1165" spans="2:37">
      <c r="B1165" s="1"/>
      <c r="C1165" s="858"/>
      <c r="D1165" s="1"/>
      <c r="E1165" s="1"/>
      <c r="F1165" s="1"/>
      <c r="G1165" s="1"/>
      <c r="H1165" s="1"/>
      <c r="I1165" s="1"/>
      <c r="J1165" s="1"/>
      <c r="K1165" s="1"/>
      <c r="L1165" s="430"/>
      <c r="AK1165" s="658"/>
    </row>
    <row r="1166" spans="2:37">
      <c r="B1166" s="1"/>
      <c r="C1166" s="858"/>
      <c r="D1166" s="1"/>
      <c r="E1166" s="1"/>
      <c r="F1166" s="1"/>
      <c r="G1166" s="1"/>
      <c r="H1166" s="1"/>
      <c r="I1166" s="1"/>
      <c r="J1166" s="1"/>
      <c r="K1166" s="1"/>
      <c r="L1166" s="430"/>
      <c r="AK1166" s="658"/>
    </row>
    <row r="1167" spans="2:37">
      <c r="B1167" s="1"/>
      <c r="C1167" s="858"/>
      <c r="D1167" s="1"/>
      <c r="E1167" s="1"/>
      <c r="F1167" s="1"/>
      <c r="G1167" s="1"/>
      <c r="H1167" s="1"/>
      <c r="I1167" s="1"/>
      <c r="J1167" s="1"/>
      <c r="K1167" s="1"/>
      <c r="L1167" s="430"/>
      <c r="AK1167" s="658"/>
    </row>
    <row r="1168" spans="2:37">
      <c r="B1168" s="1"/>
      <c r="C1168" s="858"/>
      <c r="D1168" s="1"/>
      <c r="E1168" s="1"/>
      <c r="F1168" s="1"/>
      <c r="G1168" s="1"/>
      <c r="H1168" s="1"/>
      <c r="I1168" s="1"/>
      <c r="J1168" s="1"/>
      <c r="K1168" s="1"/>
      <c r="L1168" s="430"/>
      <c r="AK1168" s="658"/>
    </row>
    <row r="1169" spans="2:37">
      <c r="B1169" s="1"/>
      <c r="C1169" s="858"/>
      <c r="D1169" s="1"/>
      <c r="E1169" s="1"/>
      <c r="F1169" s="1"/>
      <c r="G1169" s="1"/>
      <c r="H1169" s="1"/>
      <c r="I1169" s="1"/>
      <c r="J1169" s="1"/>
      <c r="K1169" s="1"/>
      <c r="L1169" s="430"/>
      <c r="AK1169" s="658"/>
    </row>
    <row r="1170" spans="2:37">
      <c r="B1170" s="1"/>
      <c r="C1170" s="858"/>
      <c r="D1170" s="1"/>
      <c r="E1170" s="1"/>
      <c r="F1170" s="1"/>
      <c r="G1170" s="1"/>
      <c r="H1170" s="1"/>
      <c r="I1170" s="1"/>
      <c r="J1170" s="1"/>
      <c r="K1170" s="1"/>
      <c r="L1170" s="430"/>
      <c r="AK1170" s="658"/>
    </row>
    <row r="1171" spans="2:37">
      <c r="B1171" s="1"/>
      <c r="C1171" s="858"/>
      <c r="D1171" s="1"/>
      <c r="E1171" s="1"/>
      <c r="F1171" s="1"/>
      <c r="G1171" s="1"/>
      <c r="H1171" s="1"/>
      <c r="I1171" s="1"/>
      <c r="J1171" s="1"/>
      <c r="K1171" s="1"/>
      <c r="L1171" s="430"/>
      <c r="AK1171" s="658"/>
    </row>
    <row r="1172" spans="2:37">
      <c r="B1172" s="1"/>
      <c r="C1172" s="858"/>
      <c r="D1172" s="1"/>
      <c r="E1172" s="1"/>
      <c r="F1172" s="1"/>
      <c r="G1172" s="1"/>
      <c r="H1172" s="1"/>
      <c r="I1172" s="1"/>
      <c r="J1172" s="1"/>
      <c r="K1172" s="1"/>
      <c r="L1172" s="430"/>
      <c r="AK1172" s="658"/>
    </row>
    <row r="1173" spans="2:37">
      <c r="B1173" s="1"/>
      <c r="C1173" s="858"/>
      <c r="D1173" s="1"/>
      <c r="E1173" s="1"/>
      <c r="F1173" s="1"/>
      <c r="G1173" s="1"/>
      <c r="H1173" s="1"/>
      <c r="I1173" s="1"/>
      <c r="J1173" s="1"/>
      <c r="K1173" s="1"/>
      <c r="L1173" s="430"/>
      <c r="AK1173" s="658"/>
    </row>
    <row r="1174" spans="2:37">
      <c r="B1174" s="1"/>
      <c r="C1174" s="858"/>
      <c r="D1174" s="1"/>
      <c r="E1174" s="1"/>
      <c r="F1174" s="1"/>
      <c r="G1174" s="1"/>
      <c r="H1174" s="1"/>
      <c r="I1174" s="1"/>
      <c r="J1174" s="1"/>
      <c r="K1174" s="1"/>
      <c r="L1174" s="430"/>
      <c r="AK1174" s="658"/>
    </row>
    <row r="1175" spans="2:37">
      <c r="B1175" s="1"/>
      <c r="C1175" s="858"/>
      <c r="D1175" s="1"/>
      <c r="E1175" s="1"/>
      <c r="F1175" s="1"/>
      <c r="G1175" s="1"/>
      <c r="H1175" s="1"/>
      <c r="I1175" s="1"/>
      <c r="J1175" s="1"/>
      <c r="K1175" s="1"/>
      <c r="L1175" s="430"/>
      <c r="AK1175" s="658"/>
    </row>
    <row r="1176" spans="2:37">
      <c r="B1176" s="1"/>
      <c r="C1176" s="858"/>
      <c r="D1176" s="1"/>
      <c r="E1176" s="1"/>
      <c r="F1176" s="1"/>
      <c r="G1176" s="1"/>
      <c r="H1176" s="1"/>
      <c r="I1176" s="1"/>
      <c r="J1176" s="1"/>
      <c r="K1176" s="1"/>
      <c r="L1176" s="430"/>
      <c r="AK1176" s="658"/>
    </row>
    <row r="1177" spans="2:37">
      <c r="B1177" s="1"/>
      <c r="C1177" s="858"/>
      <c r="D1177" s="1"/>
      <c r="E1177" s="1"/>
      <c r="F1177" s="1"/>
      <c r="G1177" s="1"/>
      <c r="H1177" s="1"/>
      <c r="I1177" s="1"/>
      <c r="J1177" s="1"/>
      <c r="K1177" s="1"/>
      <c r="L1177" s="430"/>
      <c r="AK1177" s="658"/>
    </row>
    <row r="1178" spans="2:37">
      <c r="B1178" s="1"/>
      <c r="C1178" s="858"/>
      <c r="D1178" s="1"/>
      <c r="E1178" s="1"/>
      <c r="F1178" s="1"/>
      <c r="G1178" s="1"/>
      <c r="H1178" s="1"/>
      <c r="I1178" s="1"/>
      <c r="J1178" s="1"/>
      <c r="K1178" s="1"/>
      <c r="L1178" s="430"/>
      <c r="AK1178" s="658"/>
    </row>
    <row r="1179" spans="2:37">
      <c r="B1179" s="1"/>
      <c r="C1179" s="858"/>
      <c r="D1179" s="1"/>
      <c r="E1179" s="1"/>
      <c r="F1179" s="1"/>
      <c r="G1179" s="1"/>
      <c r="H1179" s="1"/>
      <c r="I1179" s="1"/>
      <c r="J1179" s="1"/>
      <c r="K1179" s="1"/>
      <c r="L1179" s="430"/>
      <c r="AK1179" s="658"/>
    </row>
    <row r="1180" spans="2:37">
      <c r="B1180" s="1"/>
      <c r="C1180" s="858"/>
      <c r="D1180" s="1"/>
      <c r="E1180" s="1"/>
      <c r="F1180" s="1"/>
      <c r="G1180" s="1"/>
      <c r="H1180" s="1"/>
      <c r="I1180" s="1"/>
      <c r="J1180" s="1"/>
      <c r="K1180" s="1"/>
      <c r="L1180" s="430"/>
      <c r="AK1180" s="658"/>
    </row>
    <row r="1181" spans="2:37">
      <c r="B1181" s="1"/>
      <c r="C1181" s="858"/>
      <c r="D1181" s="1"/>
      <c r="E1181" s="1"/>
      <c r="F1181" s="1"/>
      <c r="G1181" s="1"/>
      <c r="H1181" s="1"/>
      <c r="I1181" s="1"/>
      <c r="J1181" s="1"/>
      <c r="K1181" s="1"/>
      <c r="L1181" s="430"/>
      <c r="AK1181" s="658"/>
    </row>
    <row r="1182" spans="2:37">
      <c r="B1182" s="1"/>
      <c r="C1182" s="858"/>
      <c r="D1182" s="1"/>
      <c r="E1182" s="1"/>
      <c r="F1182" s="1"/>
      <c r="G1182" s="1"/>
      <c r="H1182" s="1"/>
      <c r="I1182" s="1"/>
      <c r="J1182" s="1"/>
      <c r="K1182" s="1"/>
      <c r="L1182" s="430"/>
      <c r="AK1182" s="658"/>
    </row>
    <row r="1183" spans="2:37">
      <c r="B1183" s="1"/>
      <c r="C1183" s="858"/>
      <c r="D1183" s="1"/>
      <c r="E1183" s="1"/>
      <c r="F1183" s="1"/>
      <c r="G1183" s="1"/>
      <c r="H1183" s="1"/>
      <c r="I1183" s="1"/>
      <c r="J1183" s="1"/>
      <c r="K1183" s="1"/>
      <c r="L1183" s="430"/>
      <c r="AK1183" s="658"/>
    </row>
    <row r="1184" spans="2:37">
      <c r="B1184" s="1"/>
      <c r="C1184" s="858"/>
      <c r="D1184" s="1"/>
      <c r="E1184" s="1"/>
      <c r="F1184" s="1"/>
      <c r="G1184" s="1"/>
      <c r="H1184" s="1"/>
      <c r="I1184" s="1"/>
      <c r="J1184" s="1"/>
      <c r="K1184" s="1"/>
      <c r="L1184" s="430"/>
      <c r="AK1184" s="658"/>
    </row>
    <row r="1185" spans="2:37">
      <c r="B1185" s="1"/>
      <c r="C1185" s="858"/>
      <c r="D1185" s="1"/>
      <c r="E1185" s="1"/>
      <c r="F1185" s="1"/>
      <c r="G1185" s="1"/>
      <c r="H1185" s="1"/>
      <c r="I1185" s="1"/>
      <c r="J1185" s="1"/>
      <c r="K1185" s="1"/>
      <c r="L1185" s="430"/>
      <c r="AK1185" s="658"/>
    </row>
    <row r="1186" spans="2:37">
      <c r="B1186" s="1"/>
      <c r="C1186" s="858"/>
      <c r="D1186" s="1"/>
      <c r="E1186" s="1"/>
      <c r="F1186" s="1"/>
      <c r="G1186" s="1"/>
      <c r="H1186" s="1"/>
      <c r="I1186" s="1"/>
      <c r="J1186" s="1"/>
      <c r="K1186" s="1"/>
      <c r="L1186" s="430"/>
      <c r="AK1186" s="658"/>
    </row>
    <row r="1187" spans="2:37">
      <c r="B1187" s="1"/>
      <c r="C1187" s="858"/>
      <c r="D1187" s="1"/>
      <c r="E1187" s="1"/>
      <c r="F1187" s="1"/>
      <c r="G1187" s="1"/>
      <c r="H1187" s="1"/>
      <c r="I1187" s="1"/>
      <c r="J1187" s="1"/>
      <c r="K1187" s="1"/>
      <c r="L1187" s="430"/>
      <c r="AK1187" s="658"/>
    </row>
    <row r="1188" spans="2:37">
      <c r="B1188" s="1"/>
      <c r="C1188" s="858"/>
      <c r="D1188" s="1"/>
      <c r="E1188" s="1"/>
      <c r="F1188" s="1"/>
      <c r="G1188" s="1"/>
      <c r="H1188" s="1"/>
      <c r="I1188" s="1"/>
      <c r="J1188" s="1"/>
      <c r="K1188" s="1"/>
      <c r="L1188" s="430"/>
      <c r="AK1188" s="658"/>
    </row>
    <row r="1189" spans="2:37">
      <c r="B1189" s="1"/>
      <c r="C1189" s="858"/>
      <c r="D1189" s="1"/>
      <c r="E1189" s="1"/>
      <c r="F1189" s="1"/>
      <c r="G1189" s="1"/>
      <c r="H1189" s="1"/>
      <c r="I1189" s="1"/>
      <c r="J1189" s="1"/>
      <c r="K1189" s="1"/>
      <c r="L1189" s="430"/>
      <c r="AK1189" s="658"/>
    </row>
    <row r="1190" spans="2:37">
      <c r="B1190" s="1"/>
      <c r="C1190" s="858"/>
      <c r="D1190" s="1"/>
      <c r="E1190" s="1"/>
      <c r="F1190" s="1"/>
      <c r="G1190" s="1"/>
      <c r="H1190" s="1"/>
      <c r="I1190" s="1"/>
      <c r="J1190" s="1"/>
      <c r="K1190" s="1"/>
      <c r="L1190" s="430"/>
      <c r="AK1190" s="658"/>
    </row>
    <row r="1191" spans="2:37">
      <c r="B1191" s="1"/>
      <c r="C1191" s="858"/>
      <c r="D1191" s="1"/>
      <c r="E1191" s="1"/>
      <c r="F1191" s="1"/>
      <c r="G1191" s="1"/>
      <c r="H1191" s="1"/>
      <c r="I1191" s="1"/>
      <c r="J1191" s="1"/>
      <c r="K1191" s="1"/>
      <c r="L1191" s="430"/>
      <c r="AK1191" s="658"/>
    </row>
    <row r="1192" spans="2:37">
      <c r="B1192" s="1"/>
      <c r="C1192" s="858"/>
      <c r="D1192" s="1"/>
      <c r="E1192" s="1"/>
      <c r="F1192" s="1"/>
      <c r="G1192" s="1"/>
      <c r="H1192" s="1"/>
      <c r="I1192" s="1"/>
      <c r="J1192" s="1"/>
      <c r="K1192" s="1"/>
      <c r="L1192" s="430"/>
      <c r="AK1192" s="658"/>
    </row>
    <row r="1193" spans="2:37">
      <c r="B1193" s="1"/>
      <c r="C1193" s="858"/>
      <c r="D1193" s="1"/>
      <c r="E1193" s="1"/>
      <c r="F1193" s="1"/>
      <c r="G1193" s="1"/>
      <c r="H1193" s="1"/>
      <c r="I1193" s="1"/>
      <c r="J1193" s="1"/>
      <c r="K1193" s="1"/>
      <c r="L1193" s="430"/>
      <c r="AK1193" s="658"/>
    </row>
    <row r="1194" spans="2:37">
      <c r="B1194" s="1"/>
      <c r="C1194" s="858"/>
      <c r="D1194" s="1"/>
      <c r="E1194" s="1"/>
      <c r="F1194" s="1"/>
      <c r="G1194" s="1"/>
      <c r="H1194" s="1"/>
      <c r="I1194" s="1"/>
      <c r="J1194" s="1"/>
      <c r="K1194" s="1"/>
      <c r="L1194" s="430"/>
      <c r="AK1194" s="658"/>
    </row>
    <row r="1195" spans="2:37">
      <c r="B1195" s="1"/>
      <c r="C1195" s="858"/>
      <c r="D1195" s="1"/>
      <c r="E1195" s="1"/>
      <c r="F1195" s="1"/>
      <c r="G1195" s="1"/>
      <c r="H1195" s="1"/>
      <c r="I1195" s="1"/>
      <c r="J1195" s="1"/>
      <c r="K1195" s="1"/>
      <c r="L1195" s="430"/>
      <c r="AK1195" s="658"/>
    </row>
    <row r="1196" spans="2:37">
      <c r="B1196" s="1"/>
      <c r="C1196" s="858"/>
      <c r="D1196" s="1"/>
      <c r="E1196" s="1"/>
      <c r="F1196" s="1"/>
      <c r="G1196" s="1"/>
      <c r="H1196" s="1"/>
      <c r="I1196" s="1"/>
      <c r="J1196" s="1"/>
      <c r="K1196" s="1"/>
      <c r="L1196" s="430"/>
      <c r="AK1196" s="658"/>
    </row>
    <row r="1197" spans="2:37">
      <c r="B1197" s="1"/>
      <c r="C1197" s="858"/>
      <c r="D1197" s="1"/>
      <c r="E1197" s="1"/>
      <c r="F1197" s="1"/>
      <c r="G1197" s="1"/>
      <c r="H1197" s="1"/>
      <c r="I1197" s="1"/>
      <c r="J1197" s="1"/>
      <c r="K1197" s="1"/>
      <c r="L1197" s="430"/>
      <c r="AK1197" s="658"/>
    </row>
    <row r="1198" spans="2:37">
      <c r="B1198" s="1"/>
      <c r="C1198" s="858"/>
      <c r="D1198" s="1"/>
      <c r="E1198" s="1"/>
      <c r="F1198" s="1"/>
      <c r="G1198" s="1"/>
      <c r="H1198" s="1"/>
      <c r="I1198" s="1"/>
      <c r="J1198" s="1"/>
      <c r="K1198" s="1"/>
      <c r="L1198" s="430"/>
      <c r="AK1198" s="658"/>
    </row>
    <row r="1199" spans="2:37">
      <c r="B1199" s="1"/>
      <c r="C1199" s="858"/>
      <c r="D1199" s="1"/>
      <c r="E1199" s="1"/>
      <c r="F1199" s="1"/>
      <c r="G1199" s="1"/>
      <c r="H1199" s="1"/>
      <c r="I1199" s="1"/>
      <c r="J1199" s="1"/>
      <c r="K1199" s="1"/>
      <c r="L1199" s="430"/>
      <c r="AK1199" s="658"/>
    </row>
    <row r="1200" spans="2:37">
      <c r="B1200" s="1"/>
      <c r="C1200" s="858"/>
      <c r="D1200" s="1"/>
      <c r="E1200" s="1"/>
      <c r="F1200" s="1"/>
      <c r="G1200" s="1"/>
      <c r="H1200" s="1"/>
      <c r="I1200" s="1"/>
      <c r="J1200" s="1"/>
      <c r="K1200" s="1"/>
      <c r="L1200" s="430"/>
      <c r="AK1200" s="658"/>
    </row>
    <row r="1201" spans="2:37">
      <c r="B1201" s="1"/>
      <c r="C1201" s="858"/>
      <c r="D1201" s="1"/>
      <c r="E1201" s="1"/>
      <c r="F1201" s="1"/>
      <c r="G1201" s="1"/>
      <c r="H1201" s="1"/>
      <c r="I1201" s="1"/>
      <c r="J1201" s="1"/>
      <c r="K1201" s="1"/>
      <c r="L1201" s="430"/>
      <c r="AK1201" s="658"/>
    </row>
    <row r="1202" spans="2:37">
      <c r="B1202" s="1"/>
      <c r="C1202" s="858"/>
      <c r="D1202" s="1"/>
      <c r="E1202" s="1"/>
      <c r="F1202" s="1"/>
      <c r="G1202" s="1"/>
      <c r="H1202" s="1"/>
      <c r="I1202" s="1"/>
      <c r="J1202" s="1"/>
      <c r="K1202" s="1"/>
      <c r="L1202" s="430"/>
      <c r="AK1202" s="658"/>
    </row>
    <row r="1203" spans="2:37">
      <c r="B1203" s="1"/>
      <c r="C1203" s="858"/>
      <c r="D1203" s="1"/>
      <c r="E1203" s="1"/>
      <c r="F1203" s="1"/>
      <c r="G1203" s="1"/>
      <c r="H1203" s="1"/>
      <c r="I1203" s="1"/>
      <c r="J1203" s="1"/>
      <c r="K1203" s="1"/>
      <c r="L1203" s="430"/>
      <c r="AK1203" s="658"/>
    </row>
    <row r="1204" spans="2:37">
      <c r="B1204" s="1"/>
      <c r="C1204" s="858"/>
      <c r="D1204" s="1"/>
      <c r="E1204" s="1"/>
      <c r="F1204" s="1"/>
      <c r="G1204" s="1"/>
      <c r="H1204" s="1"/>
      <c r="I1204" s="1"/>
      <c r="J1204" s="1"/>
      <c r="K1204" s="1"/>
      <c r="L1204" s="430"/>
      <c r="AK1204" s="658"/>
    </row>
    <row r="1205" spans="2:37">
      <c r="B1205" s="1"/>
      <c r="C1205" s="858"/>
      <c r="D1205" s="1"/>
      <c r="E1205" s="1"/>
      <c r="F1205" s="1"/>
      <c r="G1205" s="1"/>
      <c r="H1205" s="1"/>
      <c r="I1205" s="1"/>
      <c r="J1205" s="1"/>
      <c r="K1205" s="1"/>
      <c r="L1205" s="430"/>
      <c r="AK1205" s="658"/>
    </row>
    <row r="1206" spans="2:37">
      <c r="B1206" s="1"/>
      <c r="C1206" s="858"/>
      <c r="D1206" s="1"/>
      <c r="E1206" s="1"/>
      <c r="F1206" s="1"/>
      <c r="G1206" s="1"/>
      <c r="H1206" s="1"/>
      <c r="I1206" s="1"/>
      <c r="J1206" s="1"/>
      <c r="K1206" s="1"/>
      <c r="L1206" s="430"/>
      <c r="AK1206" s="658"/>
    </row>
    <row r="1207" spans="2:37">
      <c r="B1207" s="1"/>
      <c r="C1207" s="858"/>
      <c r="D1207" s="1"/>
      <c r="E1207" s="1"/>
      <c r="F1207" s="1"/>
      <c r="G1207" s="1"/>
      <c r="H1207" s="1"/>
      <c r="I1207" s="1"/>
      <c r="J1207" s="1"/>
      <c r="K1207" s="1"/>
      <c r="L1207" s="430"/>
      <c r="AK1207" s="658"/>
    </row>
    <row r="1208" spans="2:37">
      <c r="B1208" s="1"/>
      <c r="C1208" s="858"/>
      <c r="D1208" s="1"/>
      <c r="E1208" s="1"/>
      <c r="F1208" s="1"/>
      <c r="G1208" s="1"/>
      <c r="H1208" s="1"/>
      <c r="I1208" s="1"/>
      <c r="J1208" s="1"/>
      <c r="K1208" s="1"/>
      <c r="L1208" s="430"/>
      <c r="AK1208" s="658"/>
    </row>
    <row r="1209" spans="2:37">
      <c r="B1209" s="1"/>
      <c r="C1209" s="858"/>
      <c r="D1209" s="1"/>
      <c r="E1209" s="1"/>
      <c r="F1209" s="1"/>
      <c r="G1209" s="1"/>
      <c r="H1209" s="1"/>
      <c r="I1209" s="1"/>
      <c r="J1209" s="1"/>
      <c r="K1209" s="1"/>
      <c r="L1209" s="430"/>
      <c r="AK1209" s="658"/>
    </row>
    <row r="1210" spans="2:37">
      <c r="B1210" s="1"/>
      <c r="C1210" s="858"/>
      <c r="D1210" s="1"/>
      <c r="E1210" s="1"/>
      <c r="F1210" s="1"/>
      <c r="G1210" s="1"/>
      <c r="H1210" s="1"/>
      <c r="I1210" s="1"/>
      <c r="J1210" s="1"/>
      <c r="K1210" s="1"/>
      <c r="L1210" s="430"/>
      <c r="AK1210" s="658"/>
    </row>
    <row r="1211" spans="2:37">
      <c r="B1211" s="1"/>
      <c r="C1211" s="858"/>
      <c r="D1211" s="1"/>
      <c r="E1211" s="1"/>
      <c r="F1211" s="1"/>
      <c r="G1211" s="1"/>
      <c r="H1211" s="1"/>
      <c r="I1211" s="1"/>
      <c r="J1211" s="1"/>
      <c r="K1211" s="1"/>
      <c r="L1211" s="430"/>
      <c r="AK1211" s="658"/>
    </row>
    <row r="1212" spans="2:37">
      <c r="B1212" s="1"/>
      <c r="C1212" s="858"/>
      <c r="D1212" s="1"/>
      <c r="E1212" s="1"/>
      <c r="F1212" s="1"/>
      <c r="G1212" s="1"/>
      <c r="H1212" s="1"/>
      <c r="I1212" s="1"/>
      <c r="J1212" s="1"/>
      <c r="K1212" s="1"/>
      <c r="L1212" s="430"/>
      <c r="AK1212" s="658"/>
    </row>
    <row r="1213" spans="2:37">
      <c r="B1213" s="1"/>
      <c r="C1213" s="858"/>
      <c r="D1213" s="1"/>
      <c r="E1213" s="1"/>
      <c r="F1213" s="1"/>
      <c r="G1213" s="1"/>
      <c r="H1213" s="1"/>
      <c r="I1213" s="1"/>
      <c r="J1213" s="1"/>
      <c r="K1213" s="1"/>
      <c r="L1213" s="430"/>
      <c r="AK1213" s="658"/>
    </row>
    <row r="1214" spans="2:37">
      <c r="B1214" s="1"/>
      <c r="C1214" s="858"/>
      <c r="D1214" s="1"/>
      <c r="E1214" s="1"/>
      <c r="F1214" s="1"/>
      <c r="G1214" s="1"/>
      <c r="H1214" s="1"/>
      <c r="I1214" s="1"/>
      <c r="J1214" s="1"/>
      <c r="K1214" s="1"/>
      <c r="L1214" s="430"/>
      <c r="AK1214" s="658"/>
    </row>
    <row r="1215" spans="2:37">
      <c r="B1215" s="1"/>
      <c r="C1215" s="858"/>
      <c r="D1215" s="1"/>
      <c r="E1215" s="1"/>
      <c r="F1215" s="1"/>
      <c r="G1215" s="1"/>
      <c r="H1215" s="1"/>
      <c r="I1215" s="1"/>
      <c r="J1215" s="1"/>
      <c r="K1215" s="1"/>
      <c r="L1215" s="430"/>
      <c r="AK1215" s="658"/>
    </row>
    <row r="1216" spans="2:37">
      <c r="B1216" s="1"/>
      <c r="C1216" s="858"/>
      <c r="D1216" s="1"/>
      <c r="E1216" s="1"/>
      <c r="F1216" s="1"/>
      <c r="G1216" s="1"/>
      <c r="H1216" s="1"/>
      <c r="I1216" s="1"/>
      <c r="J1216" s="1"/>
      <c r="K1216" s="1"/>
      <c r="L1216" s="430"/>
      <c r="AK1216" s="658"/>
    </row>
    <row r="1217" spans="2:37">
      <c r="B1217" s="1"/>
      <c r="C1217" s="858"/>
      <c r="D1217" s="1"/>
      <c r="E1217" s="1"/>
      <c r="F1217" s="1"/>
      <c r="G1217" s="1"/>
      <c r="H1217" s="1"/>
      <c r="I1217" s="1"/>
      <c r="J1217" s="1"/>
      <c r="K1217" s="1"/>
      <c r="L1217" s="430"/>
      <c r="AK1217" s="658"/>
    </row>
    <row r="1218" spans="2:37">
      <c r="B1218" s="1"/>
      <c r="C1218" s="858"/>
      <c r="D1218" s="1"/>
      <c r="E1218" s="1"/>
      <c r="F1218" s="1"/>
      <c r="G1218" s="1"/>
      <c r="H1218" s="1"/>
      <c r="I1218" s="1"/>
      <c r="J1218" s="1"/>
      <c r="K1218" s="1"/>
      <c r="L1218" s="430"/>
      <c r="AK1218" s="658"/>
    </row>
    <row r="1219" spans="2:37">
      <c r="B1219" s="1"/>
      <c r="C1219" s="858"/>
      <c r="D1219" s="1"/>
      <c r="E1219" s="1"/>
      <c r="F1219" s="1"/>
      <c r="G1219" s="1"/>
      <c r="H1219" s="1"/>
      <c r="I1219" s="1"/>
      <c r="J1219" s="1"/>
      <c r="K1219" s="1"/>
      <c r="L1219" s="430"/>
      <c r="AK1219" s="658"/>
    </row>
    <row r="1220" spans="2:37">
      <c r="B1220" s="1"/>
      <c r="C1220" s="858"/>
      <c r="D1220" s="1"/>
      <c r="E1220" s="1"/>
      <c r="F1220" s="1"/>
      <c r="G1220" s="1"/>
      <c r="H1220" s="1"/>
      <c r="I1220" s="1"/>
      <c r="J1220" s="1"/>
      <c r="K1220" s="1"/>
      <c r="L1220" s="430"/>
      <c r="AK1220" s="658"/>
    </row>
    <row r="1221" spans="2:37">
      <c r="B1221" s="1"/>
      <c r="C1221" s="858"/>
      <c r="D1221" s="1"/>
      <c r="E1221" s="1"/>
      <c r="F1221" s="1"/>
      <c r="G1221" s="1"/>
      <c r="H1221" s="1"/>
      <c r="I1221" s="1"/>
      <c r="J1221" s="1"/>
      <c r="K1221" s="1"/>
      <c r="L1221" s="430"/>
      <c r="AK1221" s="658"/>
    </row>
    <row r="1222" spans="2:37">
      <c r="B1222" s="1"/>
      <c r="C1222" s="858"/>
      <c r="D1222" s="1"/>
      <c r="E1222" s="1"/>
      <c r="F1222" s="1"/>
      <c r="G1222" s="1"/>
      <c r="H1222" s="1"/>
      <c r="I1222" s="1"/>
      <c r="J1222" s="1"/>
      <c r="K1222" s="1"/>
      <c r="L1222" s="430"/>
      <c r="AK1222" s="658"/>
    </row>
    <row r="1223" spans="2:37">
      <c r="B1223" s="1"/>
      <c r="C1223" s="858"/>
      <c r="D1223" s="1"/>
      <c r="E1223" s="1"/>
      <c r="F1223" s="1"/>
      <c r="G1223" s="1"/>
      <c r="H1223" s="1"/>
      <c r="I1223" s="1"/>
      <c r="J1223" s="1"/>
      <c r="K1223" s="1"/>
      <c r="L1223" s="430"/>
      <c r="AK1223" s="658"/>
    </row>
    <row r="1224" spans="2:37">
      <c r="B1224" s="1"/>
      <c r="C1224" s="858"/>
      <c r="D1224" s="1"/>
      <c r="E1224" s="1"/>
      <c r="F1224" s="1"/>
      <c r="G1224" s="1"/>
      <c r="H1224" s="1"/>
      <c r="I1224" s="1"/>
      <c r="J1224" s="1"/>
      <c r="K1224" s="1"/>
      <c r="L1224" s="430"/>
      <c r="AK1224" s="658"/>
    </row>
    <row r="1225" spans="2:37">
      <c r="B1225" s="1"/>
      <c r="C1225" s="858"/>
      <c r="D1225" s="1"/>
      <c r="E1225" s="1"/>
      <c r="F1225" s="1"/>
      <c r="G1225" s="1"/>
      <c r="H1225" s="1"/>
      <c r="I1225" s="1"/>
      <c r="J1225" s="1"/>
      <c r="K1225" s="1"/>
      <c r="L1225" s="430"/>
      <c r="AK1225" s="658"/>
    </row>
    <row r="1226" spans="2:37">
      <c r="B1226" s="1"/>
      <c r="C1226" s="858"/>
      <c r="D1226" s="1"/>
      <c r="E1226" s="1"/>
      <c r="F1226" s="1"/>
      <c r="G1226" s="1"/>
      <c r="H1226" s="1"/>
      <c r="I1226" s="1"/>
      <c r="J1226" s="1"/>
      <c r="K1226" s="1"/>
      <c r="L1226" s="430"/>
      <c r="AK1226" s="658"/>
    </row>
    <row r="1227" spans="2:37">
      <c r="B1227" s="1"/>
      <c r="C1227" s="858"/>
      <c r="D1227" s="1"/>
      <c r="E1227" s="1"/>
      <c r="F1227" s="1"/>
      <c r="G1227" s="1"/>
      <c r="H1227" s="1"/>
      <c r="I1227" s="1"/>
      <c r="J1227" s="1"/>
      <c r="K1227" s="1"/>
      <c r="L1227" s="430"/>
      <c r="AK1227" s="658"/>
    </row>
    <row r="1228" spans="2:37">
      <c r="B1228" s="1"/>
      <c r="C1228" s="858"/>
      <c r="D1228" s="1"/>
      <c r="E1228" s="1"/>
      <c r="F1228" s="1"/>
      <c r="G1228" s="1"/>
      <c r="H1228" s="1"/>
      <c r="I1228" s="1"/>
      <c r="J1228" s="1"/>
      <c r="K1228" s="1"/>
      <c r="L1228" s="430"/>
      <c r="AK1228" s="658"/>
    </row>
    <row r="1229" spans="2:37">
      <c r="B1229" s="1"/>
      <c r="C1229" s="858"/>
      <c r="D1229" s="1"/>
      <c r="E1229" s="1"/>
      <c r="F1229" s="1"/>
      <c r="G1229" s="1"/>
      <c r="H1229" s="1"/>
      <c r="I1229" s="1"/>
      <c r="J1229" s="1"/>
      <c r="K1229" s="1"/>
      <c r="L1229" s="430"/>
      <c r="AK1229" s="658"/>
    </row>
    <row r="1230" spans="2:37">
      <c r="B1230" s="1"/>
      <c r="C1230" s="858"/>
      <c r="D1230" s="1"/>
      <c r="E1230" s="1"/>
      <c r="F1230" s="1"/>
      <c r="G1230" s="1"/>
      <c r="H1230" s="1"/>
      <c r="I1230" s="1"/>
      <c r="J1230" s="1"/>
      <c r="K1230" s="1"/>
      <c r="L1230" s="430"/>
      <c r="AK1230" s="658"/>
    </row>
    <row r="1231" spans="2:37">
      <c r="B1231" s="1"/>
      <c r="C1231" s="858"/>
      <c r="D1231" s="1"/>
      <c r="E1231" s="1"/>
      <c r="F1231" s="1"/>
      <c r="G1231" s="1"/>
      <c r="H1231" s="1"/>
      <c r="I1231" s="1"/>
      <c r="J1231" s="1"/>
      <c r="K1231" s="1"/>
      <c r="L1231" s="430"/>
      <c r="AK1231" s="658"/>
    </row>
    <row r="1232" spans="2:37">
      <c r="B1232" s="1"/>
      <c r="C1232" s="858"/>
      <c r="D1232" s="1"/>
      <c r="E1232" s="1"/>
      <c r="F1232" s="1"/>
      <c r="G1232" s="1"/>
      <c r="H1232" s="1"/>
      <c r="I1232" s="1"/>
      <c r="J1232" s="1"/>
      <c r="K1232" s="1"/>
      <c r="L1232" s="430"/>
      <c r="AK1232" s="658"/>
    </row>
    <row r="1233" spans="2:37">
      <c r="B1233" s="1"/>
      <c r="C1233" s="858"/>
      <c r="D1233" s="1"/>
      <c r="E1233" s="1"/>
      <c r="F1233" s="1"/>
      <c r="G1233" s="1"/>
      <c r="H1233" s="1"/>
      <c r="I1233" s="1"/>
      <c r="J1233" s="1"/>
      <c r="K1233" s="1"/>
      <c r="L1233" s="430"/>
      <c r="AK1233" s="658"/>
    </row>
    <row r="1234" spans="2:37">
      <c r="B1234" s="1"/>
      <c r="C1234" s="858"/>
      <c r="D1234" s="1"/>
      <c r="E1234" s="1"/>
      <c r="F1234" s="1"/>
      <c r="G1234" s="1"/>
      <c r="H1234" s="1"/>
      <c r="I1234" s="1"/>
      <c r="J1234" s="1"/>
      <c r="K1234" s="1"/>
      <c r="L1234" s="430"/>
      <c r="AK1234" s="658"/>
    </row>
    <row r="1235" spans="2:37">
      <c r="B1235" s="1"/>
      <c r="C1235" s="858"/>
      <c r="D1235" s="1"/>
      <c r="E1235" s="1"/>
      <c r="F1235" s="1"/>
      <c r="G1235" s="1"/>
      <c r="H1235" s="1"/>
      <c r="I1235" s="1"/>
      <c r="J1235" s="1"/>
      <c r="K1235" s="1"/>
      <c r="L1235" s="430"/>
      <c r="AK1235" s="658"/>
    </row>
    <row r="1236" spans="2:37">
      <c r="B1236" s="1"/>
      <c r="C1236" s="858"/>
      <c r="D1236" s="1"/>
      <c r="E1236" s="1"/>
      <c r="F1236" s="1"/>
      <c r="G1236" s="1"/>
      <c r="H1236" s="1"/>
      <c r="I1236" s="1"/>
      <c r="J1236" s="1"/>
      <c r="K1236" s="1"/>
      <c r="L1236" s="430"/>
      <c r="AK1236" s="658"/>
    </row>
    <row r="1237" spans="2:37">
      <c r="B1237" s="1"/>
      <c r="C1237" s="858"/>
      <c r="D1237" s="1"/>
      <c r="E1237" s="1"/>
      <c r="F1237" s="1"/>
      <c r="G1237" s="1"/>
      <c r="H1237" s="1"/>
      <c r="I1237" s="1"/>
      <c r="J1237" s="1"/>
      <c r="K1237" s="1"/>
      <c r="L1237" s="430"/>
      <c r="AK1237" s="658"/>
    </row>
    <row r="1238" spans="2:37">
      <c r="B1238" s="1"/>
      <c r="C1238" s="858"/>
      <c r="D1238" s="1"/>
      <c r="E1238" s="1"/>
      <c r="F1238" s="1"/>
      <c r="G1238" s="1"/>
      <c r="H1238" s="1"/>
      <c r="I1238" s="1"/>
      <c r="J1238" s="1"/>
      <c r="K1238" s="1"/>
      <c r="L1238" s="430"/>
      <c r="AK1238" s="658"/>
    </row>
    <row r="1239" spans="2:37">
      <c r="B1239" s="1"/>
      <c r="C1239" s="858"/>
      <c r="D1239" s="1"/>
      <c r="E1239" s="1"/>
      <c r="F1239" s="1"/>
      <c r="G1239" s="1"/>
      <c r="H1239" s="1"/>
      <c r="I1239" s="1"/>
      <c r="J1239" s="1"/>
      <c r="K1239" s="1"/>
      <c r="L1239" s="430"/>
      <c r="AK1239" s="658"/>
    </row>
    <row r="1240" spans="2:37">
      <c r="B1240" s="1"/>
      <c r="C1240" s="858"/>
      <c r="D1240" s="1"/>
      <c r="E1240" s="1"/>
      <c r="F1240" s="1"/>
      <c r="G1240" s="1"/>
      <c r="H1240" s="1"/>
      <c r="I1240" s="1"/>
      <c r="J1240" s="1"/>
      <c r="K1240" s="1"/>
      <c r="L1240" s="430"/>
      <c r="AK1240" s="658"/>
    </row>
    <row r="1241" spans="2:37">
      <c r="B1241" s="1"/>
      <c r="C1241" s="858"/>
      <c r="D1241" s="1"/>
      <c r="E1241" s="1"/>
      <c r="F1241" s="1"/>
      <c r="G1241" s="1"/>
      <c r="H1241" s="1"/>
      <c r="I1241" s="1"/>
      <c r="J1241" s="1"/>
      <c r="K1241" s="1"/>
      <c r="L1241" s="430"/>
      <c r="AK1241" s="658"/>
    </row>
    <row r="1242" spans="2:37">
      <c r="B1242" s="1"/>
      <c r="C1242" s="858"/>
      <c r="D1242" s="1"/>
      <c r="E1242" s="1"/>
      <c r="F1242" s="1"/>
      <c r="G1242" s="1"/>
      <c r="H1242" s="1"/>
      <c r="I1242" s="1"/>
      <c r="J1242" s="1"/>
      <c r="K1242" s="1"/>
      <c r="L1242" s="430"/>
      <c r="AK1242" s="658"/>
    </row>
    <row r="1243" spans="2:37">
      <c r="B1243" s="1"/>
      <c r="C1243" s="858"/>
      <c r="D1243" s="1"/>
      <c r="E1243" s="1"/>
      <c r="F1243" s="1"/>
      <c r="G1243" s="1"/>
      <c r="H1243" s="1"/>
      <c r="I1243" s="1"/>
      <c r="J1243" s="1"/>
      <c r="K1243" s="1"/>
      <c r="L1243" s="430"/>
      <c r="AK1243" s="658"/>
    </row>
    <row r="1244" spans="2:37">
      <c r="B1244" s="1"/>
      <c r="C1244" s="858"/>
      <c r="D1244" s="1"/>
      <c r="E1244" s="1"/>
      <c r="F1244" s="1"/>
      <c r="G1244" s="1"/>
      <c r="H1244" s="1"/>
      <c r="I1244" s="1"/>
      <c r="J1244" s="1"/>
      <c r="K1244" s="1"/>
      <c r="L1244" s="430"/>
      <c r="AK1244" s="658"/>
    </row>
    <row r="1245" spans="2:37">
      <c r="B1245" s="1"/>
      <c r="C1245" s="858"/>
      <c r="D1245" s="1"/>
      <c r="E1245" s="1"/>
      <c r="F1245" s="1"/>
      <c r="G1245" s="1"/>
      <c r="H1245" s="1"/>
      <c r="I1245" s="1"/>
      <c r="J1245" s="1"/>
      <c r="K1245" s="1"/>
      <c r="L1245" s="430"/>
      <c r="AK1245" s="658"/>
    </row>
    <row r="1246" spans="2:37">
      <c r="B1246" s="1"/>
      <c r="C1246" s="858"/>
      <c r="D1246" s="1"/>
      <c r="E1246" s="1"/>
      <c r="F1246" s="1"/>
      <c r="G1246" s="1"/>
      <c r="H1246" s="1"/>
      <c r="I1246" s="1"/>
      <c r="J1246" s="1"/>
      <c r="K1246" s="1"/>
      <c r="L1246" s="430"/>
      <c r="AK1246" s="658"/>
    </row>
    <row r="1247" spans="2:37">
      <c r="B1247" s="1"/>
      <c r="C1247" s="858"/>
      <c r="D1247" s="1"/>
      <c r="E1247" s="1"/>
      <c r="F1247" s="1"/>
      <c r="G1247" s="1"/>
      <c r="H1247" s="1"/>
      <c r="I1247" s="1"/>
      <c r="J1247" s="1"/>
      <c r="K1247" s="1"/>
      <c r="L1247" s="430"/>
      <c r="AK1247" s="658"/>
    </row>
    <row r="1248" spans="2:37">
      <c r="B1248" s="1"/>
      <c r="C1248" s="858"/>
      <c r="D1248" s="1"/>
      <c r="E1248" s="1"/>
      <c r="F1248" s="1"/>
      <c r="G1248" s="1"/>
      <c r="H1248" s="1"/>
      <c r="I1248" s="1"/>
      <c r="J1248" s="1"/>
      <c r="K1248" s="1"/>
      <c r="L1248" s="430"/>
      <c r="AK1248" s="658"/>
    </row>
    <row r="1249" spans="2:37">
      <c r="B1249" s="1"/>
      <c r="C1249" s="858"/>
      <c r="D1249" s="1"/>
      <c r="E1249" s="1"/>
      <c r="F1249" s="1"/>
      <c r="G1249" s="1"/>
      <c r="H1249" s="1"/>
      <c r="I1249" s="1"/>
      <c r="J1249" s="1"/>
      <c r="K1249" s="1"/>
      <c r="L1249" s="430"/>
      <c r="AK1249" s="658"/>
    </row>
    <row r="1250" spans="2:37">
      <c r="B1250" s="1"/>
      <c r="C1250" s="858"/>
      <c r="D1250" s="1"/>
      <c r="E1250" s="1"/>
      <c r="F1250" s="1"/>
      <c r="G1250" s="1"/>
      <c r="H1250" s="1"/>
      <c r="I1250" s="1"/>
      <c r="J1250" s="1"/>
      <c r="K1250" s="1"/>
      <c r="L1250" s="430"/>
      <c r="AK1250" s="658"/>
    </row>
    <row r="1251" spans="2:37">
      <c r="B1251" s="1"/>
      <c r="C1251" s="858"/>
      <c r="D1251" s="1"/>
      <c r="E1251" s="1"/>
      <c r="F1251" s="1"/>
      <c r="G1251" s="1"/>
      <c r="H1251" s="1"/>
      <c r="I1251" s="1"/>
      <c r="J1251" s="1"/>
      <c r="K1251" s="1"/>
      <c r="L1251" s="430"/>
      <c r="AK1251" s="658"/>
    </row>
    <row r="1252" spans="2:37">
      <c r="B1252" s="1"/>
      <c r="C1252" s="858"/>
      <c r="D1252" s="1"/>
      <c r="E1252" s="1"/>
      <c r="F1252" s="1"/>
      <c r="G1252" s="1"/>
      <c r="H1252" s="1"/>
      <c r="I1252" s="1"/>
      <c r="J1252" s="1"/>
      <c r="K1252" s="1"/>
      <c r="L1252" s="430"/>
      <c r="AK1252" s="658"/>
    </row>
    <row r="1253" spans="2:37">
      <c r="B1253" s="1"/>
      <c r="C1253" s="858"/>
      <c r="D1253" s="1"/>
      <c r="E1253" s="1"/>
      <c r="F1253" s="1"/>
      <c r="G1253" s="1"/>
      <c r="H1253" s="1"/>
      <c r="I1253" s="1"/>
      <c r="J1253" s="1"/>
      <c r="K1253" s="1"/>
      <c r="L1253" s="430"/>
      <c r="AK1253" s="658"/>
    </row>
    <row r="1254" spans="2:37">
      <c r="B1254" s="1"/>
      <c r="C1254" s="858"/>
      <c r="D1254" s="1"/>
      <c r="E1254" s="1"/>
      <c r="F1254" s="1"/>
      <c r="G1254" s="1"/>
      <c r="H1254" s="1"/>
      <c r="I1254" s="1"/>
      <c r="J1254" s="1"/>
      <c r="K1254" s="1"/>
      <c r="L1254" s="430"/>
      <c r="AK1254" s="658"/>
    </row>
    <row r="1255" spans="2:37">
      <c r="B1255" s="1"/>
      <c r="C1255" s="858"/>
      <c r="D1255" s="1"/>
      <c r="E1255" s="1"/>
      <c r="F1255" s="1"/>
      <c r="G1255" s="1"/>
      <c r="H1255" s="1"/>
      <c r="I1255" s="1"/>
      <c r="J1255" s="1"/>
      <c r="K1255" s="1"/>
      <c r="L1255" s="430"/>
      <c r="AK1255" s="658"/>
    </row>
    <row r="1256" spans="2:37">
      <c r="B1256" s="1"/>
      <c r="C1256" s="858"/>
      <c r="D1256" s="1"/>
      <c r="E1256" s="1"/>
      <c r="F1256" s="1"/>
      <c r="G1256" s="1"/>
      <c r="H1256" s="1"/>
      <c r="I1256" s="1"/>
      <c r="J1256" s="1"/>
      <c r="K1256" s="1"/>
      <c r="L1256" s="430"/>
      <c r="AK1256" s="658"/>
    </row>
    <row r="1257" spans="2:37">
      <c r="B1257" s="1"/>
      <c r="C1257" s="858"/>
      <c r="D1257" s="1"/>
      <c r="E1257" s="1"/>
      <c r="F1257" s="1"/>
      <c r="G1257" s="1"/>
      <c r="H1257" s="1"/>
      <c r="I1257" s="1"/>
      <c r="J1257" s="1"/>
      <c r="K1257" s="1"/>
      <c r="L1257" s="430"/>
      <c r="AK1257" s="658"/>
    </row>
    <row r="1258" spans="2:37">
      <c r="B1258" s="1"/>
      <c r="C1258" s="858"/>
      <c r="D1258" s="1"/>
      <c r="E1258" s="1"/>
      <c r="F1258" s="1"/>
      <c r="G1258" s="1"/>
      <c r="H1258" s="1"/>
      <c r="I1258" s="1"/>
      <c r="J1258" s="1"/>
      <c r="K1258" s="1"/>
      <c r="L1258" s="430"/>
      <c r="AK1258" s="658"/>
    </row>
    <row r="1259" spans="2:37">
      <c r="B1259" s="1"/>
      <c r="C1259" s="858"/>
      <c r="D1259" s="1"/>
      <c r="E1259" s="1"/>
      <c r="F1259" s="1"/>
      <c r="G1259" s="1"/>
      <c r="H1259" s="1"/>
      <c r="I1259" s="1"/>
      <c r="J1259" s="1"/>
      <c r="K1259" s="1"/>
      <c r="L1259" s="430"/>
      <c r="AK1259" s="658"/>
    </row>
    <row r="1260" spans="2:37">
      <c r="B1260" s="1"/>
      <c r="C1260" s="858"/>
      <c r="D1260" s="1"/>
      <c r="E1260" s="1"/>
      <c r="F1260" s="1"/>
      <c r="G1260" s="1"/>
      <c r="H1260" s="1"/>
      <c r="I1260" s="1"/>
      <c r="J1260" s="1"/>
      <c r="K1260" s="1"/>
      <c r="L1260" s="430"/>
      <c r="AK1260" s="658"/>
    </row>
    <row r="1261" spans="2:37">
      <c r="B1261" s="1"/>
      <c r="C1261" s="858"/>
      <c r="D1261" s="1"/>
      <c r="E1261" s="1"/>
      <c r="F1261" s="1"/>
      <c r="G1261" s="1"/>
      <c r="H1261" s="1"/>
      <c r="I1261" s="1"/>
      <c r="J1261" s="1"/>
      <c r="K1261" s="1"/>
      <c r="L1261" s="430"/>
      <c r="AK1261" s="658"/>
    </row>
    <row r="1262" spans="2:37">
      <c r="B1262" s="1"/>
      <c r="C1262" s="858"/>
      <c r="D1262" s="1"/>
      <c r="E1262" s="1"/>
      <c r="F1262" s="1"/>
      <c r="G1262" s="1"/>
      <c r="H1262" s="1"/>
      <c r="I1262" s="1"/>
      <c r="J1262" s="1"/>
      <c r="K1262" s="1"/>
      <c r="L1262" s="430"/>
      <c r="AK1262" s="658"/>
    </row>
    <row r="1263" spans="2:37">
      <c r="B1263" s="1"/>
      <c r="C1263" s="858"/>
      <c r="D1263" s="1"/>
      <c r="E1263" s="1"/>
      <c r="F1263" s="1"/>
      <c r="G1263" s="1"/>
      <c r="H1263" s="1"/>
      <c r="I1263" s="1"/>
      <c r="J1263" s="1"/>
      <c r="K1263" s="1"/>
      <c r="L1263" s="430"/>
      <c r="AK1263" s="658"/>
    </row>
    <row r="1264" spans="2:37">
      <c r="B1264" s="1"/>
      <c r="C1264" s="858"/>
      <c r="D1264" s="1"/>
      <c r="E1264" s="1"/>
      <c r="F1264" s="1"/>
      <c r="G1264" s="1"/>
      <c r="H1264" s="1"/>
      <c r="I1264" s="1"/>
      <c r="J1264" s="1"/>
      <c r="K1264" s="1"/>
      <c r="L1264" s="430"/>
      <c r="AK1264" s="658"/>
    </row>
    <row r="1265" spans="2:37">
      <c r="B1265" s="1"/>
      <c r="C1265" s="858"/>
      <c r="D1265" s="1"/>
      <c r="E1265" s="1"/>
      <c r="F1265" s="1"/>
      <c r="G1265" s="1"/>
      <c r="H1265" s="1"/>
      <c r="I1265" s="1"/>
      <c r="J1265" s="1"/>
      <c r="K1265" s="1"/>
      <c r="L1265" s="430"/>
      <c r="AK1265" s="658"/>
    </row>
    <row r="1266" spans="2:37">
      <c r="B1266" s="1"/>
      <c r="C1266" s="858"/>
      <c r="D1266" s="1"/>
      <c r="E1266" s="1"/>
      <c r="F1266" s="1"/>
      <c r="G1266" s="1"/>
      <c r="H1266" s="1"/>
      <c r="I1266" s="1"/>
      <c r="J1266" s="1"/>
      <c r="K1266" s="1"/>
      <c r="L1266" s="430"/>
      <c r="AK1266" s="658"/>
    </row>
    <row r="1267" spans="2:37">
      <c r="B1267" s="1"/>
      <c r="C1267" s="858"/>
      <c r="D1267" s="1"/>
      <c r="E1267" s="1"/>
      <c r="F1267" s="1"/>
      <c r="G1267" s="1"/>
      <c r="H1267" s="1"/>
      <c r="I1267" s="1"/>
      <c r="J1267" s="1"/>
      <c r="K1267" s="1"/>
      <c r="L1267" s="430"/>
      <c r="AK1267" s="658"/>
    </row>
    <row r="1268" spans="2:37">
      <c r="B1268" s="1"/>
      <c r="C1268" s="858"/>
      <c r="D1268" s="1"/>
      <c r="E1268" s="1"/>
      <c r="F1268" s="1"/>
      <c r="G1268" s="1"/>
      <c r="H1268" s="1"/>
      <c r="I1268" s="1"/>
      <c r="J1268" s="1"/>
      <c r="K1268" s="1"/>
      <c r="L1268" s="430"/>
      <c r="AK1268" s="658"/>
    </row>
    <row r="1269" spans="2:37">
      <c r="B1269" s="1"/>
      <c r="C1269" s="858"/>
      <c r="D1269" s="1"/>
      <c r="E1269" s="1"/>
      <c r="F1269" s="1"/>
      <c r="G1269" s="1"/>
      <c r="H1269" s="1"/>
      <c r="I1269" s="1"/>
      <c r="J1269" s="1"/>
      <c r="K1269" s="1"/>
      <c r="L1269" s="430"/>
      <c r="AK1269" s="658"/>
    </row>
    <row r="1270" spans="2:37">
      <c r="B1270" s="1"/>
      <c r="C1270" s="858"/>
      <c r="D1270" s="1"/>
      <c r="E1270" s="1"/>
      <c r="F1270" s="1"/>
      <c r="G1270" s="1"/>
      <c r="H1270" s="1"/>
      <c r="I1270" s="1"/>
      <c r="J1270" s="1"/>
      <c r="K1270" s="1"/>
      <c r="L1270" s="430"/>
      <c r="AK1270" s="658"/>
    </row>
    <row r="1271" spans="2:37">
      <c r="B1271" s="1"/>
      <c r="C1271" s="858"/>
      <c r="D1271" s="1"/>
      <c r="E1271" s="1"/>
      <c r="F1271" s="1"/>
      <c r="G1271" s="1"/>
      <c r="H1271" s="1"/>
      <c r="I1271" s="1"/>
      <c r="J1271" s="1"/>
      <c r="K1271" s="1"/>
      <c r="L1271" s="430"/>
      <c r="AK1271" s="658"/>
    </row>
    <row r="1272" spans="2:37">
      <c r="B1272" s="1"/>
      <c r="C1272" s="858"/>
      <c r="D1272" s="1"/>
      <c r="E1272" s="1"/>
      <c r="F1272" s="1"/>
      <c r="G1272" s="1"/>
      <c r="H1272" s="1"/>
      <c r="I1272" s="1"/>
      <c r="J1272" s="1"/>
      <c r="K1272" s="1"/>
      <c r="L1272" s="430"/>
      <c r="AK1272" s="658"/>
    </row>
    <row r="1273" spans="2:37">
      <c r="B1273" s="1"/>
      <c r="C1273" s="858"/>
      <c r="D1273" s="1"/>
      <c r="E1273" s="1"/>
      <c r="F1273" s="1"/>
      <c r="G1273" s="1"/>
      <c r="H1273" s="1"/>
      <c r="I1273" s="1"/>
      <c r="J1273" s="1"/>
      <c r="K1273" s="1"/>
      <c r="L1273" s="430"/>
      <c r="AK1273" s="658"/>
    </row>
    <row r="1274" spans="2:37">
      <c r="B1274" s="1"/>
      <c r="C1274" s="858"/>
      <c r="D1274" s="1"/>
      <c r="E1274" s="1"/>
      <c r="F1274" s="1"/>
      <c r="G1274" s="1"/>
      <c r="H1274" s="1"/>
      <c r="I1274" s="1"/>
      <c r="J1274" s="1"/>
      <c r="K1274" s="1"/>
      <c r="L1274" s="430"/>
      <c r="AK1274" s="658"/>
    </row>
    <row r="1275" spans="2:37">
      <c r="B1275" s="1"/>
      <c r="C1275" s="858"/>
      <c r="D1275" s="1"/>
      <c r="E1275" s="1"/>
      <c r="F1275" s="1"/>
      <c r="G1275" s="1"/>
      <c r="H1275" s="1"/>
      <c r="I1275" s="1"/>
      <c r="J1275" s="1"/>
      <c r="K1275" s="1"/>
      <c r="L1275" s="430"/>
      <c r="AK1275" s="658"/>
    </row>
    <row r="1276" spans="2:37">
      <c r="B1276" s="1"/>
      <c r="C1276" s="858"/>
      <c r="D1276" s="1"/>
      <c r="E1276" s="1"/>
      <c r="F1276" s="1"/>
      <c r="G1276" s="1"/>
      <c r="H1276" s="1"/>
      <c r="I1276" s="1"/>
      <c r="J1276" s="1"/>
      <c r="K1276" s="1"/>
      <c r="L1276" s="430"/>
      <c r="AK1276" s="658"/>
    </row>
    <row r="1277" spans="2:37">
      <c r="B1277" s="1"/>
      <c r="C1277" s="858"/>
      <c r="D1277" s="1"/>
      <c r="E1277" s="1"/>
      <c r="F1277" s="1"/>
      <c r="G1277" s="1"/>
      <c r="H1277" s="1"/>
      <c r="I1277" s="1"/>
      <c r="J1277" s="1"/>
      <c r="K1277" s="1"/>
      <c r="L1277" s="430"/>
      <c r="AK1277" s="658"/>
    </row>
    <row r="1278" spans="2:37">
      <c r="B1278" s="1"/>
      <c r="C1278" s="858"/>
      <c r="D1278" s="1"/>
      <c r="E1278" s="1"/>
      <c r="F1278" s="1"/>
      <c r="G1278" s="1"/>
      <c r="H1278" s="1"/>
      <c r="I1278" s="1"/>
      <c r="J1278" s="1"/>
      <c r="K1278" s="1"/>
      <c r="L1278" s="430"/>
      <c r="AK1278" s="658"/>
    </row>
    <row r="1279" spans="2:37">
      <c r="B1279" s="1"/>
      <c r="C1279" s="858"/>
      <c r="D1279" s="1"/>
      <c r="E1279" s="1"/>
      <c r="F1279" s="1"/>
      <c r="G1279" s="1"/>
      <c r="H1279" s="1"/>
      <c r="I1279" s="1"/>
      <c r="J1279" s="1"/>
      <c r="K1279" s="1"/>
      <c r="L1279" s="430"/>
      <c r="AK1279" s="658"/>
    </row>
    <row r="1280" spans="2:37">
      <c r="B1280" s="1"/>
      <c r="C1280" s="858"/>
      <c r="D1280" s="1"/>
      <c r="E1280" s="1"/>
      <c r="F1280" s="1"/>
      <c r="G1280" s="1"/>
      <c r="H1280" s="1"/>
      <c r="I1280" s="1"/>
      <c r="J1280" s="1"/>
      <c r="K1280" s="1"/>
      <c r="L1280" s="430"/>
      <c r="AK1280" s="658"/>
    </row>
    <row r="1281" spans="2:37">
      <c r="B1281" s="1"/>
      <c r="C1281" s="858"/>
      <c r="D1281" s="1"/>
      <c r="E1281" s="1"/>
      <c r="F1281" s="1"/>
      <c r="G1281" s="1"/>
      <c r="H1281" s="1"/>
      <c r="I1281" s="1"/>
      <c r="J1281" s="1"/>
      <c r="K1281" s="1"/>
      <c r="L1281" s="430"/>
      <c r="AK1281" s="658"/>
    </row>
    <row r="1282" spans="2:37">
      <c r="B1282" s="1"/>
      <c r="C1282" s="858"/>
      <c r="D1282" s="1"/>
      <c r="E1282" s="1"/>
      <c r="F1282" s="1"/>
      <c r="G1282" s="1"/>
      <c r="H1282" s="1"/>
      <c r="I1282" s="1"/>
      <c r="J1282" s="1"/>
      <c r="K1282" s="1"/>
      <c r="L1282" s="430"/>
      <c r="AK1282" s="658"/>
    </row>
    <row r="1283" spans="2:37">
      <c r="B1283" s="1"/>
      <c r="C1283" s="858"/>
      <c r="D1283" s="1"/>
      <c r="E1283" s="1"/>
      <c r="F1283" s="1"/>
      <c r="G1283" s="1"/>
      <c r="H1283" s="1"/>
      <c r="I1283" s="1"/>
      <c r="J1283" s="1"/>
      <c r="K1283" s="1"/>
      <c r="L1283" s="430"/>
      <c r="AK1283" s="658"/>
    </row>
    <row r="1284" spans="2:37">
      <c r="B1284" s="1"/>
      <c r="C1284" s="858"/>
      <c r="D1284" s="1"/>
      <c r="E1284" s="1"/>
      <c r="F1284" s="1"/>
      <c r="G1284" s="1"/>
      <c r="H1284" s="1"/>
      <c r="I1284" s="1"/>
      <c r="J1284" s="1"/>
      <c r="K1284" s="1"/>
      <c r="L1284" s="430"/>
      <c r="AK1284" s="658"/>
    </row>
    <row r="1285" spans="2:37">
      <c r="B1285" s="1"/>
      <c r="C1285" s="858"/>
      <c r="D1285" s="1"/>
      <c r="E1285" s="1"/>
      <c r="F1285" s="1"/>
      <c r="G1285" s="1"/>
      <c r="H1285" s="1"/>
      <c r="I1285" s="1"/>
      <c r="J1285" s="1"/>
      <c r="K1285" s="1"/>
      <c r="L1285" s="430"/>
      <c r="AK1285" s="658"/>
    </row>
    <row r="1286" spans="2:37">
      <c r="B1286" s="1"/>
      <c r="C1286" s="858"/>
      <c r="D1286" s="1"/>
      <c r="E1286" s="1"/>
      <c r="F1286" s="1"/>
      <c r="G1286" s="1"/>
      <c r="H1286" s="1"/>
      <c r="I1286" s="1"/>
      <c r="J1286" s="1"/>
      <c r="K1286" s="1"/>
      <c r="L1286" s="430"/>
      <c r="AK1286" s="658"/>
    </row>
    <row r="1287" spans="2:37">
      <c r="B1287" s="1"/>
      <c r="C1287" s="858"/>
      <c r="D1287" s="1"/>
      <c r="E1287" s="1"/>
      <c r="F1287" s="1"/>
      <c r="G1287" s="1"/>
      <c r="H1287" s="1"/>
      <c r="I1287" s="1"/>
      <c r="J1287" s="1"/>
      <c r="K1287" s="1"/>
      <c r="L1287" s="430"/>
      <c r="AK1287" s="658"/>
    </row>
    <row r="1288" spans="2:37">
      <c r="B1288" s="1"/>
      <c r="C1288" s="858"/>
      <c r="D1288" s="1"/>
      <c r="E1288" s="1"/>
      <c r="F1288" s="1"/>
      <c r="G1288" s="1"/>
      <c r="H1288" s="1"/>
      <c r="I1288" s="1"/>
      <c r="J1288" s="1"/>
      <c r="K1288" s="1"/>
      <c r="L1288" s="430"/>
      <c r="AK1288" s="658"/>
    </row>
    <row r="1289" spans="2:37">
      <c r="B1289" s="1"/>
      <c r="C1289" s="858"/>
      <c r="D1289" s="1"/>
      <c r="E1289" s="1"/>
      <c r="F1289" s="1"/>
      <c r="G1289" s="1"/>
      <c r="H1289" s="1"/>
      <c r="I1289" s="1"/>
      <c r="J1289" s="1"/>
      <c r="K1289" s="1"/>
      <c r="L1289" s="430"/>
      <c r="AK1289" s="658"/>
    </row>
    <row r="1290" spans="2:37">
      <c r="B1290" s="1"/>
      <c r="C1290" s="858"/>
      <c r="D1290" s="1"/>
      <c r="E1290" s="1"/>
      <c r="F1290" s="1"/>
      <c r="G1290" s="1"/>
      <c r="H1290" s="1"/>
      <c r="I1290" s="1"/>
      <c r="J1290" s="1"/>
      <c r="K1290" s="1"/>
      <c r="L1290" s="430"/>
      <c r="AK1290" s="658"/>
    </row>
    <row r="1291" spans="2:37">
      <c r="B1291" s="1"/>
      <c r="C1291" s="858"/>
      <c r="D1291" s="1"/>
      <c r="E1291" s="1"/>
      <c r="F1291" s="1"/>
      <c r="G1291" s="1"/>
      <c r="H1291" s="1"/>
      <c r="I1291" s="1"/>
      <c r="J1291" s="1"/>
      <c r="K1291" s="1"/>
      <c r="L1291" s="430"/>
      <c r="AK1291" s="658"/>
    </row>
    <row r="1292" spans="2:37">
      <c r="B1292" s="1"/>
      <c r="C1292" s="858"/>
      <c r="D1292" s="1"/>
      <c r="E1292" s="1"/>
      <c r="F1292" s="1"/>
      <c r="G1292" s="1"/>
      <c r="H1292" s="1"/>
      <c r="I1292" s="1"/>
      <c r="J1292" s="1"/>
      <c r="K1292" s="1"/>
      <c r="L1292" s="430"/>
      <c r="AK1292" s="658"/>
    </row>
    <row r="1293" spans="2:37">
      <c r="B1293" s="1"/>
      <c r="C1293" s="858"/>
      <c r="D1293" s="1"/>
      <c r="E1293" s="1"/>
      <c r="F1293" s="1"/>
      <c r="G1293" s="1"/>
      <c r="H1293" s="1"/>
      <c r="I1293" s="1"/>
      <c r="J1293" s="1"/>
      <c r="K1293" s="1"/>
      <c r="L1293" s="430"/>
      <c r="AK1293" s="658"/>
    </row>
    <row r="1294" spans="2:37">
      <c r="B1294" s="1"/>
      <c r="C1294" s="858"/>
      <c r="D1294" s="1"/>
      <c r="E1294" s="1"/>
      <c r="F1294" s="1"/>
      <c r="G1294" s="1"/>
      <c r="H1294" s="1"/>
      <c r="I1294" s="1"/>
      <c r="J1294" s="1"/>
      <c r="K1294" s="1"/>
      <c r="L1294" s="430"/>
      <c r="AK1294" s="658"/>
    </row>
    <row r="1295" spans="2:37">
      <c r="B1295" s="1"/>
      <c r="C1295" s="858"/>
      <c r="D1295" s="1"/>
      <c r="E1295" s="1"/>
      <c r="F1295" s="1"/>
      <c r="G1295" s="1"/>
      <c r="H1295" s="1"/>
      <c r="I1295" s="1"/>
      <c r="J1295" s="1"/>
      <c r="K1295" s="1"/>
      <c r="L1295" s="430"/>
      <c r="AK1295" s="658"/>
    </row>
    <row r="1296" spans="2:37">
      <c r="B1296" s="1"/>
      <c r="C1296" s="858"/>
      <c r="D1296" s="1"/>
      <c r="E1296" s="1"/>
      <c r="F1296" s="1"/>
      <c r="G1296" s="1"/>
      <c r="H1296" s="1"/>
      <c r="I1296" s="1"/>
      <c r="J1296" s="1"/>
      <c r="K1296" s="1"/>
      <c r="L1296" s="430"/>
      <c r="AK1296" s="658"/>
    </row>
    <row r="1297" spans="2:37">
      <c r="B1297" s="1"/>
      <c r="C1297" s="858"/>
      <c r="D1297" s="1"/>
      <c r="E1297" s="1"/>
      <c r="F1297" s="1"/>
      <c r="G1297" s="1"/>
      <c r="H1297" s="1"/>
      <c r="I1297" s="1"/>
      <c r="J1297" s="1"/>
      <c r="K1297" s="1"/>
      <c r="L1297" s="430"/>
      <c r="AK1297" s="658"/>
    </row>
    <row r="1298" spans="2:37">
      <c r="B1298" s="1"/>
      <c r="C1298" s="858"/>
      <c r="D1298" s="1"/>
      <c r="E1298" s="1"/>
      <c r="F1298" s="1"/>
      <c r="G1298" s="1"/>
      <c r="H1298" s="1"/>
      <c r="I1298" s="1"/>
      <c r="J1298" s="1"/>
      <c r="K1298" s="1"/>
      <c r="L1298" s="430"/>
      <c r="AK1298" s="658"/>
    </row>
    <row r="1299" spans="2:37">
      <c r="B1299" s="1"/>
      <c r="C1299" s="858"/>
      <c r="D1299" s="1"/>
      <c r="E1299" s="1"/>
      <c r="F1299" s="1"/>
      <c r="G1299" s="1"/>
      <c r="H1299" s="1"/>
      <c r="I1299" s="1"/>
      <c r="J1299" s="1"/>
      <c r="K1299" s="1"/>
      <c r="L1299" s="430"/>
      <c r="AK1299" s="658"/>
    </row>
    <row r="1300" spans="2:37">
      <c r="B1300" s="1"/>
      <c r="C1300" s="858"/>
      <c r="D1300" s="1"/>
      <c r="E1300" s="1"/>
      <c r="F1300" s="1"/>
      <c r="G1300" s="1"/>
      <c r="H1300" s="1"/>
      <c r="I1300" s="1"/>
      <c r="J1300" s="1"/>
      <c r="K1300" s="1"/>
      <c r="L1300" s="430"/>
      <c r="AK1300" s="658"/>
    </row>
    <row r="1301" spans="2:37">
      <c r="B1301" s="1"/>
      <c r="C1301" s="858"/>
      <c r="D1301" s="1"/>
      <c r="E1301" s="1"/>
      <c r="F1301" s="1"/>
      <c r="G1301" s="1"/>
      <c r="H1301" s="1"/>
      <c r="I1301" s="1"/>
      <c r="J1301" s="1"/>
      <c r="K1301" s="1"/>
      <c r="L1301" s="430"/>
      <c r="AK1301" s="658"/>
    </row>
    <row r="1302" spans="2:37">
      <c r="B1302" s="1"/>
      <c r="C1302" s="858"/>
      <c r="D1302" s="1"/>
      <c r="E1302" s="1"/>
      <c r="F1302" s="1"/>
      <c r="G1302" s="1"/>
      <c r="H1302" s="1"/>
      <c r="I1302" s="1"/>
      <c r="J1302" s="1"/>
      <c r="K1302" s="1"/>
      <c r="L1302" s="430"/>
      <c r="AK1302" s="658"/>
    </row>
    <row r="1303" spans="2:37">
      <c r="B1303" s="1"/>
      <c r="C1303" s="858"/>
      <c r="D1303" s="1"/>
      <c r="E1303" s="1"/>
      <c r="F1303" s="1"/>
      <c r="G1303" s="1"/>
      <c r="H1303" s="1"/>
      <c r="I1303" s="1"/>
      <c r="J1303" s="1"/>
      <c r="K1303" s="1"/>
      <c r="L1303" s="430"/>
      <c r="AK1303" s="658"/>
    </row>
    <row r="1304" spans="2:37">
      <c r="B1304" s="1"/>
      <c r="C1304" s="858"/>
      <c r="D1304" s="1"/>
      <c r="E1304" s="1"/>
      <c r="F1304" s="1"/>
      <c r="G1304" s="1"/>
      <c r="H1304" s="1"/>
      <c r="I1304" s="1"/>
      <c r="J1304" s="1"/>
      <c r="K1304" s="1"/>
      <c r="L1304" s="430"/>
      <c r="AK1304" s="658"/>
    </row>
    <row r="1305" spans="2:37">
      <c r="B1305" s="1"/>
      <c r="C1305" s="858"/>
      <c r="D1305" s="1"/>
      <c r="E1305" s="1"/>
      <c r="F1305" s="1"/>
      <c r="G1305" s="1"/>
      <c r="H1305" s="1"/>
      <c r="I1305" s="1"/>
      <c r="J1305" s="1"/>
      <c r="K1305" s="1"/>
      <c r="L1305" s="430"/>
      <c r="AK1305" s="658"/>
    </row>
    <row r="1306" spans="2:37">
      <c r="B1306" s="1"/>
      <c r="C1306" s="858"/>
      <c r="D1306" s="1"/>
      <c r="E1306" s="1"/>
      <c r="F1306" s="1"/>
      <c r="G1306" s="1"/>
      <c r="H1306" s="1"/>
      <c r="I1306" s="1"/>
      <c r="J1306" s="1"/>
      <c r="K1306" s="1"/>
      <c r="L1306" s="430"/>
      <c r="AK1306" s="658"/>
    </row>
    <row r="1307" spans="2:37">
      <c r="B1307" s="1"/>
      <c r="C1307" s="858"/>
      <c r="D1307" s="1"/>
      <c r="E1307" s="1"/>
      <c r="F1307" s="1"/>
      <c r="G1307" s="1"/>
      <c r="H1307" s="1"/>
      <c r="I1307" s="1"/>
      <c r="J1307" s="1"/>
      <c r="K1307" s="1"/>
      <c r="L1307" s="430"/>
      <c r="AK1307" s="658"/>
    </row>
    <row r="1308" spans="2:37">
      <c r="B1308" s="1"/>
      <c r="C1308" s="858"/>
      <c r="D1308" s="1"/>
      <c r="E1308" s="1"/>
      <c r="F1308" s="1"/>
      <c r="G1308" s="1"/>
      <c r="H1308" s="1"/>
      <c r="I1308" s="1"/>
      <c r="J1308" s="1"/>
      <c r="K1308" s="1"/>
      <c r="L1308" s="430"/>
      <c r="AK1308" s="658"/>
    </row>
    <row r="1309" spans="2:37">
      <c r="B1309" s="1"/>
      <c r="C1309" s="858"/>
      <c r="D1309" s="1"/>
      <c r="E1309" s="1"/>
      <c r="F1309" s="1"/>
      <c r="G1309" s="1"/>
      <c r="H1309" s="1"/>
      <c r="I1309" s="1"/>
      <c r="J1309" s="1"/>
      <c r="K1309" s="1"/>
      <c r="L1309" s="430"/>
      <c r="AK1309" s="658"/>
    </row>
    <row r="1310" spans="2:37">
      <c r="B1310" s="1"/>
      <c r="C1310" s="858"/>
      <c r="D1310" s="1"/>
      <c r="E1310" s="1"/>
      <c r="F1310" s="1"/>
      <c r="G1310" s="1"/>
      <c r="H1310" s="1"/>
      <c r="I1310" s="1"/>
      <c r="J1310" s="1"/>
      <c r="K1310" s="1"/>
      <c r="L1310" s="430"/>
      <c r="AK1310" s="658"/>
    </row>
    <row r="1311" spans="2:37">
      <c r="B1311" s="1"/>
      <c r="C1311" s="858"/>
      <c r="D1311" s="1"/>
      <c r="E1311" s="1"/>
      <c r="F1311" s="1"/>
      <c r="G1311" s="1"/>
      <c r="H1311" s="1"/>
      <c r="I1311" s="1"/>
      <c r="J1311" s="1"/>
      <c r="K1311" s="1"/>
      <c r="L1311" s="430"/>
      <c r="AK1311" s="658"/>
    </row>
    <row r="1312" spans="2:37">
      <c r="B1312" s="1"/>
      <c r="C1312" s="858"/>
      <c r="D1312" s="1"/>
      <c r="E1312" s="1"/>
      <c r="F1312" s="1"/>
      <c r="G1312" s="1"/>
      <c r="H1312" s="1"/>
      <c r="I1312" s="1"/>
      <c r="J1312" s="1"/>
      <c r="K1312" s="1"/>
      <c r="L1312" s="430"/>
      <c r="AK1312" s="658"/>
    </row>
    <row r="1313" spans="2:37">
      <c r="B1313" s="1"/>
      <c r="C1313" s="858"/>
      <c r="D1313" s="1"/>
      <c r="E1313" s="1"/>
      <c r="F1313" s="1"/>
      <c r="G1313" s="1"/>
      <c r="H1313" s="1"/>
      <c r="I1313" s="1"/>
      <c r="J1313" s="1"/>
      <c r="K1313" s="1"/>
      <c r="L1313" s="430"/>
      <c r="AK1313" s="658"/>
    </row>
    <row r="1314" spans="2:37">
      <c r="B1314" s="1"/>
      <c r="C1314" s="858"/>
      <c r="D1314" s="1"/>
      <c r="E1314" s="1"/>
      <c r="F1314" s="1"/>
      <c r="G1314" s="1"/>
      <c r="H1314" s="1"/>
      <c r="I1314" s="1"/>
      <c r="J1314" s="1"/>
      <c r="K1314" s="1"/>
      <c r="L1314" s="430"/>
      <c r="AK1314" s="658"/>
    </row>
    <row r="1315" spans="2:37">
      <c r="B1315" s="1"/>
      <c r="C1315" s="858"/>
      <c r="D1315" s="1"/>
      <c r="E1315" s="1"/>
      <c r="F1315" s="1"/>
      <c r="G1315" s="1"/>
      <c r="H1315" s="1"/>
      <c r="I1315" s="1"/>
      <c r="J1315" s="1"/>
      <c r="K1315" s="1"/>
      <c r="L1315" s="430"/>
      <c r="AK1315" s="658"/>
    </row>
    <row r="1316" spans="2:37">
      <c r="B1316" s="1"/>
      <c r="C1316" s="858"/>
      <c r="D1316" s="1"/>
      <c r="E1316" s="1"/>
      <c r="F1316" s="1"/>
      <c r="G1316" s="1"/>
      <c r="H1316" s="1"/>
      <c r="I1316" s="1"/>
      <c r="J1316" s="1"/>
      <c r="K1316" s="1"/>
      <c r="L1316" s="430"/>
      <c r="AK1316" s="658"/>
    </row>
    <row r="1317" spans="2:37">
      <c r="B1317" s="1"/>
      <c r="C1317" s="858"/>
      <c r="D1317" s="1"/>
      <c r="E1317" s="1"/>
      <c r="F1317" s="1"/>
      <c r="G1317" s="1"/>
      <c r="H1317" s="1"/>
      <c r="I1317" s="1"/>
      <c r="J1317" s="1"/>
      <c r="K1317" s="1"/>
      <c r="L1317" s="430"/>
      <c r="AK1317" s="658"/>
    </row>
    <row r="1318" spans="2:37">
      <c r="B1318" s="1"/>
      <c r="C1318" s="858"/>
      <c r="D1318" s="1"/>
      <c r="E1318" s="1"/>
      <c r="F1318" s="1"/>
      <c r="G1318" s="1"/>
      <c r="H1318" s="1"/>
      <c r="I1318" s="1"/>
      <c r="J1318" s="1"/>
      <c r="K1318" s="1"/>
      <c r="L1318" s="430"/>
      <c r="AK1318" s="658"/>
    </row>
    <row r="1319" spans="2:37">
      <c r="B1319" s="1"/>
      <c r="C1319" s="858"/>
      <c r="D1319" s="1"/>
      <c r="E1319" s="1"/>
      <c r="F1319" s="1"/>
      <c r="G1319" s="1"/>
      <c r="H1319" s="1"/>
      <c r="I1319" s="1"/>
      <c r="J1319" s="1"/>
      <c r="K1319" s="1"/>
      <c r="L1319" s="430"/>
      <c r="AK1319" s="658"/>
    </row>
    <row r="1320" spans="2:37">
      <c r="B1320" s="1"/>
      <c r="C1320" s="858"/>
      <c r="D1320" s="1"/>
      <c r="E1320" s="1"/>
      <c r="F1320" s="1"/>
      <c r="G1320" s="1"/>
      <c r="H1320" s="1"/>
      <c r="I1320" s="1"/>
      <c r="J1320" s="1"/>
      <c r="K1320" s="1"/>
      <c r="L1320" s="430"/>
      <c r="AK1320" s="658"/>
    </row>
    <row r="1321" spans="2:37">
      <c r="B1321" s="1"/>
      <c r="C1321" s="858"/>
      <c r="D1321" s="1"/>
      <c r="E1321" s="1"/>
      <c r="F1321" s="1"/>
      <c r="G1321" s="1"/>
      <c r="H1321" s="1"/>
      <c r="I1321" s="1"/>
      <c r="J1321" s="1"/>
      <c r="K1321" s="1"/>
      <c r="L1321" s="430"/>
      <c r="AK1321" s="658"/>
    </row>
    <row r="1322" spans="2:37">
      <c r="B1322" s="1"/>
      <c r="C1322" s="858"/>
      <c r="D1322" s="1"/>
      <c r="E1322" s="1"/>
      <c r="F1322" s="1"/>
      <c r="G1322" s="1"/>
      <c r="H1322" s="1"/>
      <c r="I1322" s="1"/>
      <c r="J1322" s="1"/>
      <c r="K1322" s="1"/>
      <c r="L1322" s="430"/>
      <c r="AK1322" s="658"/>
    </row>
    <row r="1323" spans="2:37">
      <c r="B1323" s="1"/>
      <c r="C1323" s="858"/>
      <c r="D1323" s="1"/>
      <c r="E1323" s="1"/>
      <c r="F1323" s="1"/>
      <c r="G1323" s="1"/>
      <c r="H1323" s="1"/>
      <c r="I1323" s="1"/>
      <c r="J1323" s="1"/>
      <c r="K1323" s="1"/>
      <c r="L1323" s="430"/>
      <c r="AK1323" s="658"/>
    </row>
    <row r="1324" spans="2:37">
      <c r="B1324" s="1"/>
      <c r="C1324" s="858"/>
      <c r="D1324" s="1"/>
      <c r="E1324" s="1"/>
      <c r="F1324" s="1"/>
      <c r="G1324" s="1"/>
      <c r="H1324" s="1"/>
      <c r="I1324" s="1"/>
      <c r="J1324" s="1"/>
      <c r="K1324" s="1"/>
      <c r="L1324" s="430"/>
      <c r="AK1324" s="658"/>
    </row>
    <row r="1325" spans="2:37">
      <c r="B1325" s="1"/>
      <c r="C1325" s="858"/>
      <c r="D1325" s="1"/>
      <c r="E1325" s="1"/>
      <c r="F1325" s="1"/>
      <c r="G1325" s="1"/>
      <c r="H1325" s="1"/>
      <c r="I1325" s="1"/>
      <c r="J1325" s="1"/>
      <c r="K1325" s="1"/>
      <c r="L1325" s="430"/>
      <c r="AK1325" s="658"/>
    </row>
    <row r="1326" spans="2:37">
      <c r="B1326" s="1"/>
      <c r="C1326" s="858"/>
      <c r="D1326" s="1"/>
      <c r="E1326" s="1"/>
      <c r="F1326" s="1"/>
      <c r="G1326" s="1"/>
      <c r="H1326" s="1"/>
      <c r="I1326" s="1"/>
      <c r="J1326" s="1"/>
      <c r="K1326" s="1"/>
      <c r="L1326" s="430"/>
      <c r="AK1326" s="658"/>
    </row>
    <row r="1327" spans="2:37">
      <c r="B1327" s="1"/>
      <c r="C1327" s="858"/>
      <c r="D1327" s="1"/>
      <c r="E1327" s="1"/>
      <c r="F1327" s="1"/>
      <c r="G1327" s="1"/>
      <c r="H1327" s="1"/>
      <c r="I1327" s="1"/>
      <c r="J1327" s="1"/>
      <c r="K1327" s="1"/>
      <c r="L1327" s="430"/>
      <c r="AK1327" s="658"/>
    </row>
    <row r="1328" spans="2:37">
      <c r="B1328" s="1"/>
      <c r="C1328" s="858"/>
      <c r="D1328" s="1"/>
      <c r="E1328" s="1"/>
      <c r="F1328" s="1"/>
      <c r="G1328" s="1"/>
      <c r="H1328" s="1"/>
      <c r="I1328" s="1"/>
      <c r="J1328" s="1"/>
      <c r="K1328" s="1"/>
      <c r="L1328" s="430"/>
      <c r="AK1328" s="658"/>
    </row>
    <row r="1329" spans="2:37">
      <c r="B1329" s="1"/>
      <c r="C1329" s="858"/>
      <c r="D1329" s="1"/>
      <c r="E1329" s="1"/>
      <c r="F1329" s="1"/>
      <c r="G1329" s="1"/>
      <c r="H1329" s="1"/>
      <c r="I1329" s="1"/>
      <c r="J1329" s="1"/>
      <c r="K1329" s="1"/>
      <c r="L1329" s="430"/>
      <c r="AK1329" s="658"/>
    </row>
    <row r="1330" spans="2:37">
      <c r="B1330" s="1"/>
      <c r="C1330" s="858"/>
      <c r="D1330" s="1"/>
      <c r="E1330" s="1"/>
      <c r="F1330" s="1"/>
      <c r="G1330" s="1"/>
      <c r="H1330" s="1"/>
      <c r="I1330" s="1"/>
      <c r="J1330" s="1"/>
      <c r="K1330" s="1"/>
      <c r="L1330" s="430"/>
      <c r="AK1330" s="658"/>
    </row>
    <row r="1331" spans="2:37">
      <c r="B1331" s="1"/>
      <c r="C1331" s="858"/>
      <c r="D1331" s="1"/>
      <c r="E1331" s="1"/>
      <c r="F1331" s="1"/>
      <c r="G1331" s="1"/>
      <c r="H1331" s="1"/>
      <c r="I1331" s="1"/>
      <c r="J1331" s="1"/>
      <c r="K1331" s="1"/>
      <c r="L1331" s="430"/>
      <c r="AK1331" s="658"/>
    </row>
    <row r="1332" spans="2:37">
      <c r="B1332" s="1"/>
      <c r="C1332" s="858"/>
      <c r="D1332" s="1"/>
      <c r="E1332" s="1"/>
      <c r="F1332" s="1"/>
      <c r="G1332" s="1"/>
      <c r="H1332" s="1"/>
      <c r="I1332" s="1"/>
      <c r="J1332" s="1"/>
      <c r="K1332" s="1"/>
      <c r="L1332" s="430"/>
      <c r="AK1332" s="658"/>
    </row>
    <row r="1333" spans="2:37">
      <c r="B1333" s="1"/>
      <c r="C1333" s="858"/>
      <c r="D1333" s="1"/>
      <c r="E1333" s="1"/>
      <c r="F1333" s="1"/>
      <c r="G1333" s="1"/>
      <c r="H1333" s="1"/>
      <c r="I1333" s="1"/>
      <c r="J1333" s="1"/>
      <c r="K1333" s="1"/>
      <c r="L1333" s="430"/>
      <c r="AK1333" s="658"/>
    </row>
    <row r="1334" spans="2:37">
      <c r="B1334" s="1"/>
      <c r="C1334" s="858"/>
      <c r="D1334" s="1"/>
      <c r="E1334" s="1"/>
      <c r="F1334" s="1"/>
      <c r="G1334" s="1"/>
      <c r="H1334" s="1"/>
      <c r="I1334" s="1"/>
      <c r="J1334" s="1"/>
      <c r="K1334" s="1"/>
      <c r="L1334" s="430"/>
      <c r="AK1334" s="658"/>
    </row>
    <row r="1335" spans="2:37">
      <c r="B1335" s="1"/>
      <c r="C1335" s="858"/>
      <c r="D1335" s="1"/>
      <c r="E1335" s="1"/>
      <c r="F1335" s="1"/>
      <c r="G1335" s="1"/>
      <c r="H1335" s="1"/>
      <c r="I1335" s="1"/>
      <c r="J1335" s="1"/>
      <c r="K1335" s="1"/>
      <c r="L1335" s="430"/>
      <c r="AK1335" s="658"/>
    </row>
    <row r="1336" spans="2:37">
      <c r="B1336" s="1"/>
      <c r="C1336" s="858"/>
      <c r="D1336" s="1"/>
      <c r="E1336" s="1"/>
      <c r="F1336" s="1"/>
      <c r="G1336" s="1"/>
      <c r="H1336" s="1"/>
      <c r="I1336" s="1"/>
      <c r="J1336" s="1"/>
      <c r="K1336" s="1"/>
      <c r="L1336" s="430"/>
      <c r="AK1336" s="658"/>
    </row>
    <row r="1337" spans="2:37">
      <c r="B1337" s="1"/>
      <c r="C1337" s="858"/>
      <c r="D1337" s="1"/>
      <c r="E1337" s="1"/>
      <c r="F1337" s="1"/>
      <c r="G1337" s="1"/>
      <c r="H1337" s="1"/>
      <c r="I1337" s="1"/>
      <c r="J1337" s="1"/>
      <c r="K1337" s="1"/>
      <c r="L1337" s="430"/>
      <c r="AK1337" s="658"/>
    </row>
    <row r="1338" spans="2:37">
      <c r="B1338" s="1"/>
      <c r="C1338" s="858"/>
      <c r="D1338" s="1"/>
      <c r="E1338" s="1"/>
      <c r="F1338" s="1"/>
      <c r="G1338" s="1"/>
      <c r="H1338" s="1"/>
      <c r="I1338" s="1"/>
      <c r="J1338" s="1"/>
      <c r="K1338" s="1"/>
      <c r="L1338" s="430"/>
      <c r="AK1338" s="658"/>
    </row>
    <row r="1339" spans="2:37">
      <c r="B1339" s="1"/>
      <c r="C1339" s="858"/>
      <c r="D1339" s="1"/>
      <c r="E1339" s="1"/>
      <c r="F1339" s="1"/>
      <c r="G1339" s="1"/>
      <c r="H1339" s="1"/>
      <c r="I1339" s="1"/>
      <c r="J1339" s="1"/>
      <c r="K1339" s="1"/>
      <c r="L1339" s="430"/>
      <c r="AK1339" s="658"/>
    </row>
    <row r="1340" spans="2:37">
      <c r="B1340" s="1"/>
      <c r="C1340" s="858"/>
      <c r="D1340" s="1"/>
      <c r="E1340" s="1"/>
      <c r="F1340" s="1"/>
      <c r="G1340" s="1"/>
      <c r="H1340" s="1"/>
      <c r="I1340" s="1"/>
      <c r="J1340" s="1"/>
      <c r="K1340" s="1"/>
      <c r="L1340" s="430"/>
      <c r="AK1340" s="658"/>
    </row>
    <row r="1341" spans="2:37">
      <c r="B1341" s="1"/>
      <c r="C1341" s="858"/>
      <c r="D1341" s="1"/>
      <c r="E1341" s="1"/>
      <c r="F1341" s="1"/>
      <c r="G1341" s="1"/>
      <c r="H1341" s="1"/>
      <c r="I1341" s="1"/>
      <c r="J1341" s="1"/>
      <c r="K1341" s="1"/>
      <c r="L1341" s="430"/>
      <c r="AK1341" s="658"/>
    </row>
    <row r="1342" spans="2:37">
      <c r="B1342" s="1"/>
      <c r="C1342" s="858"/>
      <c r="D1342" s="1"/>
      <c r="E1342" s="1"/>
      <c r="F1342" s="1"/>
      <c r="G1342" s="1"/>
      <c r="H1342" s="1"/>
      <c r="I1342" s="1"/>
      <c r="J1342" s="1"/>
      <c r="K1342" s="1"/>
      <c r="L1342" s="430"/>
      <c r="AK1342" s="658"/>
    </row>
    <row r="1343" spans="2:37">
      <c r="B1343" s="1"/>
      <c r="C1343" s="858"/>
      <c r="D1343" s="1"/>
      <c r="E1343" s="1"/>
      <c r="F1343" s="1"/>
      <c r="G1343" s="1"/>
      <c r="H1343" s="1"/>
      <c r="I1343" s="1"/>
      <c r="J1343" s="1"/>
      <c r="K1343" s="1"/>
      <c r="L1343" s="430"/>
      <c r="AK1343" s="658"/>
    </row>
    <row r="1344" spans="2:37">
      <c r="B1344" s="1"/>
      <c r="C1344" s="858"/>
      <c r="D1344" s="1"/>
      <c r="E1344" s="1"/>
      <c r="F1344" s="1"/>
      <c r="G1344" s="1"/>
      <c r="H1344" s="1"/>
      <c r="I1344" s="1"/>
      <c r="J1344" s="1"/>
      <c r="K1344" s="1"/>
      <c r="L1344" s="430"/>
      <c r="AK1344" s="658"/>
    </row>
    <row r="1345" spans="2:37">
      <c r="B1345" s="1"/>
      <c r="C1345" s="858"/>
      <c r="D1345" s="1"/>
      <c r="E1345" s="1"/>
      <c r="F1345" s="1"/>
      <c r="G1345" s="1"/>
      <c r="H1345" s="1"/>
      <c r="I1345" s="1"/>
      <c r="J1345" s="1"/>
      <c r="K1345" s="1"/>
      <c r="L1345" s="430"/>
      <c r="AK1345" s="658"/>
    </row>
    <row r="1346" spans="2:37">
      <c r="B1346" s="1"/>
      <c r="C1346" s="858"/>
      <c r="D1346" s="1"/>
      <c r="E1346" s="1"/>
      <c r="F1346" s="1"/>
      <c r="G1346" s="1"/>
      <c r="H1346" s="1"/>
      <c r="I1346" s="1"/>
      <c r="J1346" s="1"/>
      <c r="K1346" s="1"/>
      <c r="L1346" s="430"/>
      <c r="AK1346" s="658"/>
    </row>
    <row r="1347" spans="2:37">
      <c r="B1347" s="1"/>
      <c r="C1347" s="858"/>
      <c r="D1347" s="1"/>
      <c r="E1347" s="1"/>
      <c r="F1347" s="1"/>
      <c r="G1347" s="1"/>
      <c r="H1347" s="1"/>
      <c r="I1347" s="1"/>
      <c r="J1347" s="1"/>
      <c r="K1347" s="1"/>
      <c r="L1347" s="430"/>
      <c r="AK1347" s="658"/>
    </row>
    <row r="1348" spans="2:37">
      <c r="B1348" s="1"/>
      <c r="C1348" s="858"/>
      <c r="D1348" s="1"/>
      <c r="E1348" s="1"/>
      <c r="F1348" s="1"/>
      <c r="G1348" s="1"/>
      <c r="H1348" s="1"/>
      <c r="I1348" s="1"/>
      <c r="J1348" s="1"/>
      <c r="K1348" s="1"/>
      <c r="L1348" s="430"/>
      <c r="AK1348" s="658"/>
    </row>
    <row r="1349" spans="2:37">
      <c r="B1349" s="1"/>
      <c r="C1349" s="858"/>
      <c r="D1349" s="1"/>
      <c r="E1349" s="1"/>
      <c r="F1349" s="1"/>
      <c r="G1349" s="1"/>
      <c r="H1349" s="1"/>
      <c r="I1349" s="1"/>
      <c r="J1349" s="1"/>
      <c r="K1349" s="1"/>
      <c r="L1349" s="430"/>
      <c r="AK1349" s="658"/>
    </row>
    <row r="1350" spans="2:37">
      <c r="B1350" s="1"/>
      <c r="C1350" s="858"/>
      <c r="D1350" s="1"/>
      <c r="E1350" s="1"/>
      <c r="F1350" s="1"/>
      <c r="G1350" s="1"/>
      <c r="H1350" s="1"/>
      <c r="I1350" s="1"/>
      <c r="J1350" s="1"/>
      <c r="K1350" s="1"/>
      <c r="L1350" s="430"/>
      <c r="AK1350" s="658"/>
    </row>
    <row r="1351" spans="2:37">
      <c r="B1351" s="1"/>
      <c r="C1351" s="858"/>
      <c r="D1351" s="1"/>
      <c r="E1351" s="1"/>
      <c r="F1351" s="1"/>
      <c r="G1351" s="1"/>
      <c r="H1351" s="1"/>
      <c r="I1351" s="1"/>
      <c r="J1351" s="1"/>
      <c r="K1351" s="1"/>
      <c r="L1351" s="430"/>
      <c r="AK1351" s="658"/>
    </row>
    <row r="1352" spans="2:37">
      <c r="B1352" s="1"/>
      <c r="C1352" s="858"/>
      <c r="D1352" s="1"/>
      <c r="E1352" s="1"/>
      <c r="F1352" s="1"/>
      <c r="G1352" s="1"/>
      <c r="H1352" s="1"/>
      <c r="I1352" s="1"/>
      <c r="J1352" s="1"/>
      <c r="K1352" s="1"/>
      <c r="L1352" s="430"/>
      <c r="AK1352" s="658"/>
    </row>
    <row r="1353" spans="2:37">
      <c r="B1353" s="1"/>
      <c r="C1353" s="858"/>
      <c r="D1353" s="1"/>
      <c r="E1353" s="1"/>
      <c r="F1353" s="1"/>
      <c r="G1353" s="1"/>
      <c r="H1353" s="1"/>
      <c r="I1353" s="1"/>
      <c r="J1353" s="1"/>
      <c r="K1353" s="1"/>
      <c r="L1353" s="430"/>
      <c r="AK1353" s="658"/>
    </row>
    <row r="1354" spans="2:37">
      <c r="B1354" s="1"/>
      <c r="C1354" s="858"/>
      <c r="D1354" s="1"/>
      <c r="E1354" s="1"/>
      <c r="F1354" s="1"/>
      <c r="G1354" s="1"/>
      <c r="H1354" s="1"/>
      <c r="I1354" s="1"/>
      <c r="J1354" s="1"/>
      <c r="K1354" s="1"/>
      <c r="L1354" s="430"/>
      <c r="AK1354" s="658"/>
    </row>
    <row r="1355" spans="2:37">
      <c r="B1355" s="1"/>
      <c r="C1355" s="858"/>
      <c r="D1355" s="1"/>
      <c r="E1355" s="1"/>
      <c r="F1355" s="1"/>
      <c r="G1355" s="1"/>
      <c r="H1355" s="1"/>
      <c r="I1355" s="1"/>
      <c r="J1355" s="1"/>
      <c r="K1355" s="1"/>
      <c r="L1355" s="430"/>
      <c r="AK1355" s="658"/>
    </row>
    <row r="1356" spans="2:37">
      <c r="B1356" s="1"/>
      <c r="C1356" s="858"/>
      <c r="D1356" s="1"/>
      <c r="E1356" s="1"/>
      <c r="F1356" s="1"/>
      <c r="G1356" s="1"/>
      <c r="H1356" s="1"/>
      <c r="I1356" s="1"/>
      <c r="J1356" s="1"/>
      <c r="K1356" s="1"/>
      <c r="L1356" s="430"/>
      <c r="AK1356" s="658"/>
    </row>
    <row r="1357" spans="2:37">
      <c r="B1357" s="1"/>
      <c r="C1357" s="858"/>
      <c r="D1357" s="1"/>
      <c r="E1357" s="1"/>
      <c r="F1357" s="1"/>
      <c r="G1357" s="1"/>
      <c r="H1357" s="1"/>
      <c r="I1357" s="1"/>
      <c r="J1357" s="1"/>
      <c r="K1357" s="1"/>
      <c r="L1357" s="430"/>
      <c r="AK1357" s="658"/>
    </row>
    <row r="1358" spans="2:37">
      <c r="B1358" s="1"/>
      <c r="C1358" s="858"/>
      <c r="D1358" s="1"/>
      <c r="E1358" s="1"/>
      <c r="F1358" s="1"/>
      <c r="G1358" s="1"/>
      <c r="H1358" s="1"/>
      <c r="I1358" s="1"/>
      <c r="J1358" s="1"/>
      <c r="K1358" s="1"/>
      <c r="L1358" s="430"/>
      <c r="AK1358" s="658"/>
    </row>
    <row r="1359" spans="2:37">
      <c r="B1359" s="1"/>
      <c r="C1359" s="858"/>
      <c r="D1359" s="1"/>
      <c r="E1359" s="1"/>
      <c r="F1359" s="1"/>
      <c r="G1359" s="1"/>
      <c r="H1359" s="1"/>
      <c r="I1359" s="1"/>
      <c r="J1359" s="1"/>
      <c r="K1359" s="1"/>
      <c r="L1359" s="430"/>
      <c r="AK1359" s="658"/>
    </row>
    <row r="1360" spans="2:37">
      <c r="B1360" s="1"/>
      <c r="C1360" s="858"/>
      <c r="D1360" s="1"/>
      <c r="E1360" s="1"/>
      <c r="F1360" s="1"/>
      <c r="G1360" s="1"/>
      <c r="H1360" s="1"/>
      <c r="I1360" s="1"/>
      <c r="J1360" s="1"/>
      <c r="K1360" s="1"/>
      <c r="L1360" s="430"/>
      <c r="AK1360" s="658"/>
    </row>
    <row r="1361" spans="2:37">
      <c r="B1361" s="1"/>
      <c r="C1361" s="858"/>
      <c r="D1361" s="1"/>
      <c r="E1361" s="1"/>
      <c r="F1361" s="1"/>
      <c r="G1361" s="1"/>
      <c r="H1361" s="1"/>
      <c r="I1361" s="1"/>
      <c r="J1361" s="1"/>
      <c r="K1361" s="1"/>
      <c r="L1361" s="430"/>
      <c r="AK1361" s="658"/>
    </row>
    <row r="1362" spans="2:37">
      <c r="B1362" s="1"/>
      <c r="C1362" s="858"/>
      <c r="D1362" s="1"/>
      <c r="E1362" s="1"/>
      <c r="F1362" s="1"/>
      <c r="G1362" s="1"/>
      <c r="H1362" s="1"/>
      <c r="I1362" s="1"/>
      <c r="J1362" s="1"/>
      <c r="K1362" s="1"/>
      <c r="L1362" s="430"/>
      <c r="AK1362" s="658"/>
    </row>
    <row r="1363" spans="2:37">
      <c r="B1363" s="1"/>
      <c r="C1363" s="858"/>
      <c r="D1363" s="1"/>
      <c r="E1363" s="1"/>
      <c r="F1363" s="1"/>
      <c r="G1363" s="1"/>
      <c r="H1363" s="1"/>
      <c r="I1363" s="1"/>
      <c r="J1363" s="1"/>
      <c r="K1363" s="1"/>
      <c r="L1363" s="430"/>
      <c r="AK1363" s="658"/>
    </row>
    <row r="1364" spans="2:37">
      <c r="B1364" s="1"/>
      <c r="C1364" s="858"/>
      <c r="D1364" s="1"/>
      <c r="E1364" s="1"/>
      <c r="F1364" s="1"/>
      <c r="G1364" s="1"/>
      <c r="H1364" s="1"/>
      <c r="I1364" s="1"/>
      <c r="J1364" s="1"/>
      <c r="K1364" s="1"/>
      <c r="L1364" s="430"/>
      <c r="AK1364" s="658"/>
    </row>
    <row r="1365" spans="2:37">
      <c r="B1365" s="1"/>
      <c r="C1365" s="858"/>
      <c r="D1365" s="1"/>
      <c r="E1365" s="1"/>
      <c r="F1365" s="1"/>
      <c r="G1365" s="1"/>
      <c r="H1365" s="1"/>
      <c r="I1365" s="1"/>
      <c r="J1365" s="1"/>
      <c r="K1365" s="1"/>
      <c r="L1365" s="430"/>
      <c r="AK1365" s="658"/>
    </row>
    <row r="1366" spans="2:37">
      <c r="B1366" s="1"/>
      <c r="C1366" s="858"/>
      <c r="D1366" s="1"/>
      <c r="E1366" s="1"/>
      <c r="F1366" s="1"/>
      <c r="G1366" s="1"/>
      <c r="H1366" s="1"/>
      <c r="I1366" s="1"/>
      <c r="J1366" s="1"/>
      <c r="K1366" s="1"/>
      <c r="L1366" s="430"/>
      <c r="AK1366" s="658"/>
    </row>
    <row r="1367" spans="2:37">
      <c r="B1367" s="1"/>
      <c r="C1367" s="858"/>
      <c r="D1367" s="1"/>
      <c r="E1367" s="1"/>
      <c r="F1367" s="1"/>
      <c r="G1367" s="1"/>
      <c r="H1367" s="1"/>
      <c r="I1367" s="1"/>
      <c r="J1367" s="1"/>
      <c r="K1367" s="1"/>
      <c r="L1367" s="430"/>
      <c r="AK1367" s="658"/>
    </row>
    <row r="1368" spans="2:37">
      <c r="B1368" s="1"/>
      <c r="C1368" s="858"/>
      <c r="D1368" s="1"/>
      <c r="E1368" s="1"/>
      <c r="F1368" s="1"/>
      <c r="G1368" s="1"/>
      <c r="H1368" s="1"/>
      <c r="I1368" s="1"/>
      <c r="J1368" s="1"/>
      <c r="K1368" s="1"/>
      <c r="L1368" s="430"/>
      <c r="AK1368" s="658"/>
    </row>
    <row r="1369" spans="2:37">
      <c r="B1369" s="1"/>
      <c r="C1369" s="858"/>
      <c r="D1369" s="1"/>
      <c r="E1369" s="1"/>
      <c r="F1369" s="1"/>
      <c r="G1369" s="1"/>
      <c r="H1369" s="1"/>
      <c r="I1369" s="1"/>
      <c r="J1369" s="1"/>
      <c r="K1369" s="1"/>
      <c r="L1369" s="430"/>
      <c r="AK1369" s="658"/>
    </row>
    <row r="1370" spans="2:37">
      <c r="B1370" s="1"/>
      <c r="C1370" s="858"/>
      <c r="D1370" s="1"/>
      <c r="E1370" s="1"/>
      <c r="F1370" s="1"/>
      <c r="G1370" s="1"/>
      <c r="H1370" s="1"/>
      <c r="I1370" s="1"/>
      <c r="J1370" s="1"/>
      <c r="K1370" s="1"/>
      <c r="L1370" s="430"/>
      <c r="AK1370" s="658"/>
    </row>
    <row r="1371" spans="2:37">
      <c r="B1371" s="1"/>
      <c r="C1371" s="858"/>
      <c r="D1371" s="1"/>
      <c r="E1371" s="1"/>
      <c r="F1371" s="1"/>
      <c r="G1371" s="1"/>
      <c r="H1371" s="1"/>
      <c r="I1371" s="1"/>
      <c r="J1371" s="1"/>
      <c r="K1371" s="1"/>
      <c r="L1371" s="430"/>
      <c r="AK1371" s="658"/>
    </row>
    <row r="1372" spans="2:37">
      <c r="B1372" s="1"/>
      <c r="C1372" s="858"/>
      <c r="D1372" s="1"/>
      <c r="E1372" s="1"/>
      <c r="F1372" s="1"/>
      <c r="G1372" s="1"/>
      <c r="H1372" s="1"/>
      <c r="I1372" s="1"/>
      <c r="J1372" s="1"/>
      <c r="K1372" s="1"/>
      <c r="L1372" s="430"/>
      <c r="AK1372" s="658"/>
    </row>
    <row r="1373" spans="2:37">
      <c r="B1373" s="1"/>
      <c r="C1373" s="858"/>
      <c r="D1373" s="1"/>
      <c r="E1373" s="1"/>
      <c r="F1373" s="1"/>
      <c r="G1373" s="1"/>
      <c r="H1373" s="1"/>
      <c r="I1373" s="1"/>
      <c r="J1373" s="1"/>
      <c r="K1373" s="1"/>
      <c r="L1373" s="430"/>
      <c r="AK1373" s="658"/>
    </row>
    <row r="1374" spans="2:37">
      <c r="B1374" s="1"/>
      <c r="C1374" s="858"/>
      <c r="D1374" s="1"/>
      <c r="E1374" s="1"/>
      <c r="F1374" s="1"/>
      <c r="G1374" s="1"/>
      <c r="H1374" s="1"/>
      <c r="I1374" s="1"/>
      <c r="J1374" s="1"/>
      <c r="K1374" s="1"/>
      <c r="L1374" s="430"/>
      <c r="AK1374" s="658"/>
    </row>
    <row r="1375" spans="2:37">
      <c r="B1375" s="1"/>
      <c r="C1375" s="858"/>
      <c r="D1375" s="1"/>
      <c r="E1375" s="1"/>
      <c r="F1375" s="1"/>
      <c r="G1375" s="1"/>
      <c r="H1375" s="1"/>
      <c r="I1375" s="1"/>
      <c r="J1375" s="1"/>
      <c r="K1375" s="1"/>
      <c r="L1375" s="430"/>
      <c r="AK1375" s="658"/>
    </row>
    <row r="1376" spans="2:37">
      <c r="B1376" s="1"/>
      <c r="C1376" s="858"/>
      <c r="D1376" s="1"/>
      <c r="E1376" s="1"/>
      <c r="F1376" s="1"/>
      <c r="G1376" s="1"/>
      <c r="H1376" s="1"/>
      <c r="I1376" s="1"/>
      <c r="J1376" s="1"/>
      <c r="K1376" s="1"/>
      <c r="L1376" s="430"/>
      <c r="AK1376" s="658"/>
    </row>
    <row r="1377" spans="2:37">
      <c r="B1377" s="1"/>
      <c r="C1377" s="858"/>
      <c r="D1377" s="1"/>
      <c r="E1377" s="1"/>
      <c r="F1377" s="1"/>
      <c r="G1377" s="1"/>
      <c r="H1377" s="1"/>
      <c r="I1377" s="1"/>
      <c r="J1377" s="1"/>
      <c r="K1377" s="1"/>
      <c r="L1377" s="430"/>
      <c r="AK1377" s="658"/>
    </row>
    <row r="1378" spans="2:37">
      <c r="B1378" s="1"/>
      <c r="C1378" s="858"/>
      <c r="D1378" s="1"/>
      <c r="E1378" s="1"/>
      <c r="F1378" s="1"/>
      <c r="G1378" s="1"/>
      <c r="H1378" s="1"/>
      <c r="I1378" s="1"/>
      <c r="J1378" s="1"/>
      <c r="K1378" s="1"/>
      <c r="L1378" s="430"/>
      <c r="AK1378" s="658"/>
    </row>
    <row r="1379" spans="2:37">
      <c r="B1379" s="1"/>
      <c r="C1379" s="858"/>
      <c r="D1379" s="1"/>
      <c r="E1379" s="1"/>
      <c r="F1379" s="1"/>
      <c r="G1379" s="1"/>
      <c r="H1379" s="1"/>
      <c r="I1379" s="1"/>
      <c r="J1379" s="1"/>
      <c r="K1379" s="1"/>
      <c r="L1379" s="430"/>
      <c r="AK1379" s="658"/>
    </row>
    <row r="1380" spans="2:37">
      <c r="B1380" s="1"/>
      <c r="C1380" s="858"/>
      <c r="D1380" s="1"/>
      <c r="E1380" s="1"/>
      <c r="F1380" s="1"/>
      <c r="G1380" s="1"/>
      <c r="H1380" s="1"/>
      <c r="I1380" s="1"/>
      <c r="J1380" s="1"/>
      <c r="K1380" s="1"/>
      <c r="L1380" s="430"/>
      <c r="AK1380" s="658"/>
    </row>
    <row r="1381" spans="2:37">
      <c r="B1381" s="1"/>
      <c r="C1381" s="858"/>
      <c r="D1381" s="1"/>
      <c r="E1381" s="1"/>
      <c r="F1381" s="1"/>
      <c r="G1381" s="1"/>
      <c r="H1381" s="1"/>
      <c r="I1381" s="1"/>
      <c r="J1381" s="1"/>
      <c r="K1381" s="1"/>
      <c r="L1381" s="430"/>
      <c r="AK1381" s="658"/>
    </row>
    <row r="1382" spans="2:37">
      <c r="B1382" s="1"/>
      <c r="C1382" s="858"/>
      <c r="D1382" s="1"/>
      <c r="E1382" s="1"/>
      <c r="F1382" s="1"/>
      <c r="G1382" s="1"/>
      <c r="H1382" s="1"/>
      <c r="I1382" s="1"/>
      <c r="J1382" s="1"/>
      <c r="K1382" s="1"/>
      <c r="L1382" s="430"/>
      <c r="AK1382" s="658"/>
    </row>
    <row r="1383" spans="2:37">
      <c r="B1383" s="1"/>
      <c r="C1383" s="858"/>
      <c r="D1383" s="1"/>
      <c r="E1383" s="1"/>
      <c r="F1383" s="1"/>
      <c r="G1383" s="1"/>
      <c r="H1383" s="1"/>
      <c r="I1383" s="1"/>
      <c r="J1383" s="1"/>
      <c r="K1383" s="1"/>
      <c r="L1383" s="430"/>
      <c r="AK1383" s="658"/>
    </row>
    <row r="1384" spans="2:37">
      <c r="B1384" s="1"/>
      <c r="C1384" s="858"/>
      <c r="D1384" s="1"/>
      <c r="E1384" s="1"/>
      <c r="F1384" s="1"/>
      <c r="G1384" s="1"/>
      <c r="H1384" s="1"/>
      <c r="I1384" s="1"/>
      <c r="J1384" s="1"/>
      <c r="K1384" s="1"/>
      <c r="L1384" s="430"/>
      <c r="AK1384" s="658"/>
    </row>
    <row r="1385" spans="2:37">
      <c r="B1385" s="1"/>
      <c r="C1385" s="858"/>
      <c r="D1385" s="1"/>
      <c r="E1385" s="1"/>
      <c r="F1385" s="1"/>
      <c r="G1385" s="1"/>
      <c r="H1385" s="1"/>
      <c r="I1385" s="1"/>
      <c r="J1385" s="1"/>
      <c r="K1385" s="1"/>
      <c r="L1385" s="430"/>
      <c r="AK1385" s="658"/>
    </row>
    <row r="1386" spans="2:37">
      <c r="B1386" s="1"/>
      <c r="C1386" s="858"/>
      <c r="D1386" s="1"/>
      <c r="E1386" s="1"/>
      <c r="F1386" s="1"/>
      <c r="G1386" s="1"/>
      <c r="H1386" s="1"/>
      <c r="I1386" s="1"/>
      <c r="J1386" s="1"/>
      <c r="K1386" s="1"/>
      <c r="L1386" s="430"/>
      <c r="AK1386" s="658"/>
    </row>
    <row r="1387" spans="2:37">
      <c r="B1387" s="1"/>
      <c r="C1387" s="858"/>
      <c r="D1387" s="1"/>
      <c r="E1387" s="1"/>
      <c r="F1387" s="1"/>
      <c r="G1387" s="1"/>
      <c r="H1387" s="1"/>
      <c r="I1387" s="1"/>
      <c r="J1387" s="1"/>
      <c r="K1387" s="1"/>
      <c r="L1387" s="430"/>
      <c r="AK1387" s="658"/>
    </row>
    <row r="1388" spans="2:37">
      <c r="B1388" s="1"/>
      <c r="C1388" s="858"/>
      <c r="D1388" s="1"/>
      <c r="E1388" s="1"/>
      <c r="F1388" s="1"/>
      <c r="G1388" s="1"/>
      <c r="H1388" s="1"/>
      <c r="I1388" s="1"/>
      <c r="J1388" s="1"/>
      <c r="K1388" s="1"/>
      <c r="L1388" s="430"/>
      <c r="AK1388" s="658"/>
    </row>
    <row r="1389" spans="2:37">
      <c r="B1389" s="1"/>
      <c r="C1389" s="858"/>
      <c r="D1389" s="1"/>
      <c r="E1389" s="1"/>
      <c r="F1389" s="1"/>
      <c r="G1389" s="1"/>
      <c r="H1389" s="1"/>
      <c r="I1389" s="1"/>
      <c r="J1389" s="1"/>
      <c r="K1389" s="1"/>
      <c r="L1389" s="430"/>
      <c r="AK1389" s="658"/>
    </row>
    <row r="1390" spans="2:37">
      <c r="B1390" s="1"/>
      <c r="C1390" s="858"/>
      <c r="D1390" s="1"/>
      <c r="E1390" s="1"/>
      <c r="F1390" s="1"/>
      <c r="G1390" s="1"/>
      <c r="H1390" s="1"/>
      <c r="I1390" s="1"/>
      <c r="J1390" s="1"/>
      <c r="K1390" s="1"/>
      <c r="L1390" s="430"/>
      <c r="AK1390" s="658"/>
    </row>
    <row r="1391" spans="2:37">
      <c r="B1391" s="1"/>
      <c r="C1391" s="858"/>
      <c r="D1391" s="1"/>
      <c r="E1391" s="1"/>
      <c r="F1391" s="1"/>
      <c r="G1391" s="1"/>
      <c r="H1391" s="1"/>
      <c r="I1391" s="1"/>
      <c r="J1391" s="1"/>
      <c r="K1391" s="1"/>
      <c r="L1391" s="430"/>
      <c r="AK1391" s="658"/>
    </row>
    <row r="1392" spans="2:37">
      <c r="B1392" s="1"/>
      <c r="C1392" s="858"/>
      <c r="D1392" s="1"/>
      <c r="E1392" s="1"/>
      <c r="F1392" s="1"/>
      <c r="G1392" s="1"/>
      <c r="H1392" s="1"/>
      <c r="I1392" s="1"/>
      <c r="J1392" s="1"/>
      <c r="K1392" s="1"/>
      <c r="L1392" s="430"/>
      <c r="AK1392" s="658"/>
    </row>
    <row r="1393" spans="2:37">
      <c r="B1393" s="1"/>
      <c r="C1393" s="858"/>
      <c r="D1393" s="1"/>
      <c r="E1393" s="1"/>
      <c r="F1393" s="1"/>
      <c r="G1393" s="1"/>
      <c r="H1393" s="1"/>
      <c r="I1393" s="1"/>
      <c r="J1393" s="1"/>
      <c r="K1393" s="1"/>
      <c r="L1393" s="430"/>
      <c r="AK1393" s="658"/>
    </row>
    <row r="1394" spans="2:37">
      <c r="B1394" s="1"/>
      <c r="C1394" s="858"/>
      <c r="D1394" s="1"/>
      <c r="E1394" s="1"/>
      <c r="F1394" s="1"/>
      <c r="G1394" s="1"/>
      <c r="H1394" s="1"/>
      <c r="I1394" s="1"/>
      <c r="J1394" s="1"/>
      <c r="K1394" s="1"/>
      <c r="L1394" s="430"/>
      <c r="AK1394" s="658"/>
    </row>
    <row r="1395" spans="2:37">
      <c r="B1395" s="1"/>
      <c r="C1395" s="858"/>
      <c r="D1395" s="1"/>
      <c r="E1395" s="1"/>
      <c r="F1395" s="1"/>
      <c r="G1395" s="1"/>
      <c r="H1395" s="1"/>
      <c r="I1395" s="1"/>
      <c r="J1395" s="1"/>
      <c r="K1395" s="1"/>
      <c r="L1395" s="430"/>
      <c r="AK1395" s="658"/>
    </row>
    <row r="1396" spans="2:37">
      <c r="B1396" s="1"/>
      <c r="C1396" s="858"/>
      <c r="D1396" s="1"/>
      <c r="E1396" s="1"/>
      <c r="F1396" s="1"/>
      <c r="G1396" s="1"/>
      <c r="H1396" s="1"/>
      <c r="I1396" s="1"/>
      <c r="J1396" s="1"/>
      <c r="K1396" s="1"/>
      <c r="L1396" s="430"/>
      <c r="AK1396" s="658"/>
    </row>
    <row r="1397" spans="2:37">
      <c r="B1397" s="1"/>
      <c r="C1397" s="858"/>
      <c r="D1397" s="1"/>
      <c r="E1397" s="1"/>
      <c r="F1397" s="1"/>
      <c r="G1397" s="1"/>
      <c r="H1397" s="1"/>
      <c r="I1397" s="1"/>
      <c r="J1397" s="1"/>
      <c r="K1397" s="1"/>
      <c r="L1397" s="430"/>
      <c r="AK1397" s="658"/>
    </row>
    <row r="1398" spans="2:37">
      <c r="B1398" s="1"/>
      <c r="C1398" s="858"/>
      <c r="D1398" s="1"/>
      <c r="E1398" s="1"/>
      <c r="F1398" s="1"/>
      <c r="G1398" s="1"/>
      <c r="H1398" s="1"/>
      <c r="I1398" s="1"/>
      <c r="J1398" s="1"/>
      <c r="K1398" s="1"/>
      <c r="L1398" s="430"/>
      <c r="AK1398" s="658"/>
    </row>
    <row r="1399" spans="2:37">
      <c r="B1399" s="1"/>
      <c r="C1399" s="858"/>
      <c r="D1399" s="1"/>
      <c r="E1399" s="1"/>
      <c r="F1399" s="1"/>
      <c r="G1399" s="1"/>
      <c r="H1399" s="1"/>
      <c r="I1399" s="1"/>
      <c r="J1399" s="1"/>
      <c r="K1399" s="1"/>
      <c r="L1399" s="430"/>
      <c r="AK1399" s="658"/>
    </row>
    <row r="1400" spans="2:37">
      <c r="B1400" s="1"/>
      <c r="C1400" s="858"/>
      <c r="D1400" s="1"/>
      <c r="E1400" s="1"/>
      <c r="F1400" s="1"/>
      <c r="G1400" s="1"/>
      <c r="H1400" s="1"/>
      <c r="I1400" s="1"/>
      <c r="J1400" s="1"/>
      <c r="K1400" s="1"/>
      <c r="L1400" s="430"/>
      <c r="AK1400" s="658"/>
    </row>
    <row r="1401" spans="2:37">
      <c r="B1401" s="1"/>
      <c r="C1401" s="858"/>
      <c r="D1401" s="1"/>
      <c r="E1401" s="1"/>
      <c r="F1401" s="1"/>
      <c r="G1401" s="1"/>
      <c r="H1401" s="1"/>
      <c r="I1401" s="1"/>
      <c r="J1401" s="1"/>
      <c r="K1401" s="1"/>
      <c r="L1401" s="430"/>
      <c r="AK1401" s="658"/>
    </row>
    <row r="1402" spans="2:37">
      <c r="B1402" s="1"/>
      <c r="C1402" s="858"/>
      <c r="D1402" s="1"/>
      <c r="E1402" s="1"/>
      <c r="F1402" s="1"/>
      <c r="G1402" s="1"/>
      <c r="H1402" s="1"/>
      <c r="I1402" s="1"/>
      <c r="J1402" s="1"/>
      <c r="K1402" s="1"/>
      <c r="L1402" s="430"/>
      <c r="AK1402" s="658"/>
    </row>
    <row r="1403" spans="2:37">
      <c r="B1403" s="1"/>
      <c r="C1403" s="858"/>
      <c r="D1403" s="1"/>
      <c r="E1403" s="1"/>
      <c r="F1403" s="1"/>
      <c r="G1403" s="1"/>
      <c r="H1403" s="1"/>
      <c r="I1403" s="1"/>
      <c r="J1403" s="1"/>
      <c r="K1403" s="1"/>
      <c r="L1403" s="430"/>
      <c r="AK1403" s="658"/>
    </row>
    <row r="1404" spans="2:37">
      <c r="B1404" s="1"/>
      <c r="C1404" s="858"/>
      <c r="D1404" s="1"/>
      <c r="E1404" s="1"/>
      <c r="F1404" s="1"/>
      <c r="G1404" s="1"/>
      <c r="H1404" s="1"/>
      <c r="I1404" s="1"/>
      <c r="J1404" s="1"/>
      <c r="K1404" s="1"/>
      <c r="L1404" s="430"/>
      <c r="AK1404" s="658"/>
    </row>
    <row r="1405" spans="2:37">
      <c r="B1405" s="1"/>
      <c r="C1405" s="858"/>
      <c r="D1405" s="1"/>
      <c r="E1405" s="1"/>
      <c r="F1405" s="1"/>
      <c r="G1405" s="1"/>
      <c r="H1405" s="1"/>
      <c r="I1405" s="1"/>
      <c r="J1405" s="1"/>
      <c r="K1405" s="1"/>
      <c r="L1405" s="430"/>
      <c r="AK1405" s="658"/>
    </row>
    <row r="1406" spans="2:37">
      <c r="B1406" s="1"/>
      <c r="C1406" s="858"/>
      <c r="D1406" s="1"/>
      <c r="E1406" s="1"/>
      <c r="F1406" s="1"/>
      <c r="G1406" s="1"/>
      <c r="H1406" s="1"/>
      <c r="I1406" s="1"/>
      <c r="J1406" s="1"/>
      <c r="K1406" s="1"/>
      <c r="L1406" s="430"/>
      <c r="AK1406" s="658"/>
    </row>
    <row r="1407" spans="2:37">
      <c r="B1407" s="1"/>
      <c r="C1407" s="858"/>
      <c r="D1407" s="1"/>
      <c r="E1407" s="1"/>
      <c r="F1407" s="1"/>
      <c r="G1407" s="1"/>
      <c r="H1407" s="1"/>
      <c r="I1407" s="1"/>
      <c r="J1407" s="1"/>
      <c r="K1407" s="1"/>
      <c r="L1407" s="430"/>
      <c r="AK1407" s="658"/>
    </row>
    <row r="1408" spans="2:37">
      <c r="B1408" s="1"/>
      <c r="C1408" s="858"/>
      <c r="D1408" s="1"/>
      <c r="E1408" s="1"/>
      <c r="F1408" s="1"/>
      <c r="G1408" s="1"/>
      <c r="H1408" s="1"/>
      <c r="I1408" s="1"/>
      <c r="J1408" s="1"/>
      <c r="K1408" s="1"/>
      <c r="L1408" s="430"/>
      <c r="AK1408" s="658"/>
    </row>
    <row r="1409" spans="2:37">
      <c r="B1409" s="1"/>
      <c r="C1409" s="858"/>
      <c r="D1409" s="1"/>
      <c r="E1409" s="1"/>
      <c r="F1409" s="1"/>
      <c r="G1409" s="1"/>
      <c r="H1409" s="1"/>
      <c r="I1409" s="1"/>
      <c r="J1409" s="1"/>
      <c r="K1409" s="1"/>
      <c r="L1409" s="430"/>
      <c r="AK1409" s="658"/>
    </row>
    <row r="1410" spans="2:37">
      <c r="B1410" s="1"/>
      <c r="C1410" s="858"/>
      <c r="D1410" s="1"/>
      <c r="E1410" s="1"/>
      <c r="F1410" s="1"/>
      <c r="G1410" s="1"/>
      <c r="H1410" s="1"/>
      <c r="I1410" s="1"/>
      <c r="J1410" s="1"/>
      <c r="K1410" s="1"/>
      <c r="L1410" s="430"/>
      <c r="AK1410" s="658"/>
    </row>
    <row r="1411" spans="2:37">
      <c r="B1411" s="1"/>
      <c r="C1411" s="858"/>
      <c r="D1411" s="1"/>
      <c r="E1411" s="1"/>
      <c r="F1411" s="1"/>
      <c r="G1411" s="1"/>
      <c r="H1411" s="1"/>
      <c r="I1411" s="1"/>
      <c r="J1411" s="1"/>
      <c r="K1411" s="1"/>
      <c r="L1411" s="430"/>
      <c r="AK1411" s="658"/>
    </row>
    <row r="1412" spans="2:37">
      <c r="B1412" s="1"/>
      <c r="C1412" s="858"/>
      <c r="D1412" s="1"/>
      <c r="E1412" s="1"/>
      <c r="F1412" s="1"/>
      <c r="G1412" s="1"/>
      <c r="H1412" s="1"/>
      <c r="I1412" s="1"/>
      <c r="J1412" s="1"/>
      <c r="K1412" s="1"/>
      <c r="L1412" s="430"/>
      <c r="AK1412" s="658"/>
    </row>
    <row r="1413" spans="2:37">
      <c r="B1413" s="1"/>
      <c r="C1413" s="858"/>
      <c r="D1413" s="1"/>
      <c r="E1413" s="1"/>
      <c r="F1413" s="1"/>
      <c r="G1413" s="1"/>
      <c r="H1413" s="1"/>
      <c r="I1413" s="1"/>
      <c r="J1413" s="1"/>
      <c r="K1413" s="1"/>
      <c r="L1413" s="430"/>
      <c r="AK1413" s="658"/>
    </row>
    <row r="1414" spans="2:37">
      <c r="B1414" s="1"/>
      <c r="C1414" s="858"/>
      <c r="D1414" s="1"/>
      <c r="E1414" s="1"/>
      <c r="F1414" s="1"/>
      <c r="G1414" s="1"/>
      <c r="H1414" s="1"/>
      <c r="I1414" s="1"/>
      <c r="J1414" s="1"/>
      <c r="K1414" s="1"/>
      <c r="L1414" s="430"/>
      <c r="AK1414" s="658"/>
    </row>
    <row r="1415" spans="2:37">
      <c r="B1415" s="1"/>
      <c r="C1415" s="858"/>
      <c r="D1415" s="1"/>
      <c r="E1415" s="1"/>
      <c r="F1415" s="1"/>
      <c r="G1415" s="1"/>
      <c r="H1415" s="1"/>
      <c r="I1415" s="1"/>
      <c r="J1415" s="1"/>
      <c r="K1415" s="1"/>
      <c r="L1415" s="430"/>
      <c r="AK1415" s="658"/>
    </row>
    <row r="1416" spans="2:37">
      <c r="B1416" s="1"/>
      <c r="C1416" s="858"/>
      <c r="D1416" s="1"/>
      <c r="E1416" s="1"/>
      <c r="F1416" s="1"/>
      <c r="G1416" s="1"/>
      <c r="H1416" s="1"/>
      <c r="I1416" s="1"/>
      <c r="J1416" s="1"/>
      <c r="K1416" s="1"/>
      <c r="L1416" s="430"/>
      <c r="AK1416" s="658"/>
    </row>
    <row r="1417" spans="2:37">
      <c r="B1417" s="1"/>
      <c r="C1417" s="858"/>
      <c r="D1417" s="1"/>
      <c r="E1417" s="1"/>
      <c r="F1417" s="1"/>
      <c r="G1417" s="1"/>
      <c r="H1417" s="1"/>
      <c r="I1417" s="1"/>
      <c r="J1417" s="1"/>
      <c r="K1417" s="1"/>
      <c r="L1417" s="430"/>
      <c r="AK1417" s="658"/>
    </row>
    <row r="1418" spans="2:37">
      <c r="B1418" s="1"/>
      <c r="C1418" s="858"/>
      <c r="D1418" s="1"/>
      <c r="E1418" s="1"/>
      <c r="F1418" s="1"/>
      <c r="G1418" s="1"/>
      <c r="H1418" s="1"/>
      <c r="I1418" s="1"/>
      <c r="J1418" s="1"/>
      <c r="K1418" s="1"/>
      <c r="L1418" s="430"/>
      <c r="AK1418" s="658"/>
    </row>
    <row r="1419" spans="2:37">
      <c r="B1419" s="1"/>
      <c r="C1419" s="858"/>
      <c r="D1419" s="1"/>
      <c r="E1419" s="1"/>
      <c r="F1419" s="1"/>
      <c r="G1419" s="1"/>
      <c r="H1419" s="1"/>
      <c r="I1419" s="1"/>
      <c r="J1419" s="1"/>
      <c r="K1419" s="1"/>
      <c r="L1419" s="430"/>
      <c r="AK1419" s="658"/>
    </row>
    <row r="1420" spans="2:37">
      <c r="B1420" s="1"/>
      <c r="C1420" s="858"/>
      <c r="D1420" s="1"/>
      <c r="E1420" s="1"/>
      <c r="F1420" s="1"/>
      <c r="G1420" s="1"/>
      <c r="H1420" s="1"/>
      <c r="I1420" s="1"/>
      <c r="J1420" s="1"/>
      <c r="K1420" s="1"/>
      <c r="L1420" s="430"/>
      <c r="AK1420" s="658"/>
    </row>
    <row r="1421" spans="2:37">
      <c r="B1421" s="1"/>
      <c r="C1421" s="858"/>
      <c r="D1421" s="1"/>
      <c r="E1421" s="1"/>
      <c r="F1421" s="1"/>
      <c r="G1421" s="1"/>
      <c r="H1421" s="1"/>
      <c r="I1421" s="1"/>
      <c r="J1421" s="1"/>
      <c r="K1421" s="1"/>
      <c r="L1421" s="430"/>
      <c r="AK1421" s="658"/>
    </row>
    <row r="1422" spans="2:37">
      <c r="B1422" s="1"/>
      <c r="C1422" s="858"/>
      <c r="D1422" s="1"/>
      <c r="E1422" s="1"/>
      <c r="F1422" s="1"/>
      <c r="G1422" s="1"/>
      <c r="H1422" s="1"/>
      <c r="I1422" s="1"/>
      <c r="J1422" s="1"/>
      <c r="K1422" s="1"/>
      <c r="L1422" s="430"/>
      <c r="AK1422" s="658"/>
    </row>
    <row r="1423" spans="2:37">
      <c r="B1423" s="1"/>
      <c r="C1423" s="858"/>
      <c r="D1423" s="1"/>
      <c r="E1423" s="1"/>
      <c r="F1423" s="1"/>
      <c r="G1423" s="1"/>
      <c r="H1423" s="1"/>
      <c r="I1423" s="1"/>
      <c r="J1423" s="1"/>
      <c r="K1423" s="1"/>
      <c r="L1423" s="430"/>
      <c r="AK1423" s="658"/>
    </row>
    <row r="1424" spans="2:37">
      <c r="B1424" s="1"/>
      <c r="C1424" s="858"/>
      <c r="D1424" s="1"/>
      <c r="E1424" s="1"/>
      <c r="F1424" s="1"/>
      <c r="G1424" s="1"/>
      <c r="H1424" s="1"/>
      <c r="I1424" s="1"/>
      <c r="J1424" s="1"/>
      <c r="K1424" s="1"/>
      <c r="L1424" s="430"/>
      <c r="AK1424" s="658"/>
    </row>
    <row r="1425" spans="2:37">
      <c r="B1425" s="1"/>
      <c r="C1425" s="858"/>
      <c r="D1425" s="1"/>
      <c r="E1425" s="1"/>
      <c r="F1425" s="1"/>
      <c r="G1425" s="1"/>
      <c r="H1425" s="1"/>
      <c r="I1425" s="1"/>
      <c r="J1425" s="1"/>
      <c r="K1425" s="1"/>
      <c r="L1425" s="430"/>
      <c r="AK1425" s="658"/>
    </row>
    <row r="1426" spans="2:37">
      <c r="B1426" s="1"/>
      <c r="C1426" s="858"/>
      <c r="D1426" s="1"/>
      <c r="E1426" s="1"/>
      <c r="F1426" s="1"/>
      <c r="G1426" s="1"/>
      <c r="H1426" s="1"/>
      <c r="I1426" s="1"/>
      <c r="J1426" s="1"/>
      <c r="K1426" s="1"/>
      <c r="L1426" s="430"/>
      <c r="AK1426" s="658"/>
    </row>
    <row r="1427" spans="2:37">
      <c r="B1427" s="1"/>
      <c r="C1427" s="858"/>
      <c r="D1427" s="1"/>
      <c r="E1427" s="1"/>
      <c r="F1427" s="1"/>
      <c r="G1427" s="1"/>
      <c r="H1427" s="1"/>
      <c r="I1427" s="1"/>
      <c r="J1427" s="1"/>
      <c r="K1427" s="1"/>
      <c r="L1427" s="430"/>
      <c r="AK1427" s="658"/>
    </row>
    <row r="1428" spans="2:37">
      <c r="B1428" s="1"/>
      <c r="C1428" s="858"/>
      <c r="D1428" s="1"/>
      <c r="E1428" s="1"/>
      <c r="F1428" s="1"/>
      <c r="G1428" s="1"/>
      <c r="H1428" s="1"/>
      <c r="I1428" s="1"/>
      <c r="J1428" s="1"/>
      <c r="K1428" s="1"/>
      <c r="L1428" s="430"/>
      <c r="AK1428" s="658"/>
    </row>
    <row r="1429" spans="2:37">
      <c r="B1429" s="1"/>
      <c r="C1429" s="858"/>
      <c r="D1429" s="1"/>
      <c r="E1429" s="1"/>
      <c r="F1429" s="1"/>
      <c r="G1429" s="1"/>
      <c r="H1429" s="1"/>
      <c r="I1429" s="1"/>
      <c r="J1429" s="1"/>
      <c r="K1429" s="1"/>
      <c r="L1429" s="430"/>
      <c r="AK1429" s="658"/>
    </row>
    <row r="1430" spans="2:37">
      <c r="B1430" s="1"/>
      <c r="C1430" s="858"/>
      <c r="D1430" s="1"/>
      <c r="E1430" s="1"/>
      <c r="F1430" s="1"/>
      <c r="G1430" s="1"/>
      <c r="H1430" s="1"/>
      <c r="I1430" s="1"/>
      <c r="J1430" s="1"/>
      <c r="K1430" s="1"/>
      <c r="L1430" s="430"/>
      <c r="AK1430" s="658"/>
    </row>
    <row r="1431" spans="2:37">
      <c r="B1431" s="1"/>
      <c r="C1431" s="858"/>
      <c r="D1431" s="1"/>
      <c r="E1431" s="1"/>
      <c r="F1431" s="1"/>
      <c r="G1431" s="1"/>
      <c r="H1431" s="1"/>
      <c r="I1431" s="1"/>
      <c r="J1431" s="1"/>
      <c r="K1431" s="1"/>
      <c r="L1431" s="430"/>
      <c r="AK1431" s="658"/>
    </row>
    <row r="1432" spans="2:37">
      <c r="B1432" s="1"/>
      <c r="C1432" s="858"/>
      <c r="D1432" s="1"/>
      <c r="E1432" s="1"/>
      <c r="F1432" s="1"/>
      <c r="G1432" s="1"/>
      <c r="H1432" s="1"/>
      <c r="I1432" s="1"/>
      <c r="J1432" s="1"/>
      <c r="K1432" s="1"/>
      <c r="L1432" s="430"/>
      <c r="AK1432" s="658"/>
    </row>
    <row r="1433" spans="2:37">
      <c r="B1433" s="1"/>
      <c r="C1433" s="858"/>
      <c r="D1433" s="1"/>
      <c r="E1433" s="1"/>
      <c r="F1433" s="1"/>
      <c r="G1433" s="1"/>
      <c r="H1433" s="1"/>
      <c r="I1433" s="1"/>
      <c r="J1433" s="1"/>
      <c r="K1433" s="1"/>
      <c r="L1433" s="430"/>
      <c r="AK1433" s="658"/>
    </row>
    <row r="1434" spans="2:37">
      <c r="B1434" s="1"/>
      <c r="C1434" s="858"/>
      <c r="D1434" s="1"/>
      <c r="E1434" s="1"/>
      <c r="F1434" s="1"/>
      <c r="G1434" s="1"/>
      <c r="H1434" s="1"/>
      <c r="I1434" s="1"/>
      <c r="J1434" s="1"/>
      <c r="K1434" s="1"/>
      <c r="L1434" s="430"/>
      <c r="AK1434" s="658"/>
    </row>
    <row r="1435" spans="2:37">
      <c r="B1435" s="1"/>
      <c r="C1435" s="858"/>
      <c r="D1435" s="1"/>
      <c r="E1435" s="1"/>
      <c r="F1435" s="1"/>
      <c r="G1435" s="1"/>
      <c r="H1435" s="1"/>
      <c r="I1435" s="1"/>
      <c r="J1435" s="1"/>
      <c r="K1435" s="1"/>
      <c r="L1435" s="430"/>
      <c r="AK1435" s="658"/>
    </row>
    <row r="1436" spans="2:37">
      <c r="B1436" s="1"/>
      <c r="C1436" s="858"/>
      <c r="D1436" s="1"/>
      <c r="E1436" s="1"/>
      <c r="F1436" s="1"/>
      <c r="G1436" s="1"/>
      <c r="H1436" s="1"/>
      <c r="I1436" s="1"/>
      <c r="J1436" s="1"/>
      <c r="K1436" s="1"/>
      <c r="L1436" s="430"/>
      <c r="AK1436" s="658"/>
    </row>
    <row r="1437" spans="2:37">
      <c r="B1437" s="1"/>
      <c r="C1437" s="858"/>
      <c r="D1437" s="1"/>
      <c r="E1437" s="1"/>
      <c r="F1437" s="1"/>
      <c r="G1437" s="1"/>
      <c r="H1437" s="1"/>
      <c r="I1437" s="1"/>
      <c r="J1437" s="1"/>
      <c r="K1437" s="1"/>
      <c r="L1437" s="430"/>
      <c r="AK1437" s="658"/>
    </row>
    <row r="1438" spans="2:37">
      <c r="B1438" s="1"/>
      <c r="C1438" s="858"/>
      <c r="D1438" s="1"/>
      <c r="E1438" s="1"/>
      <c r="F1438" s="1"/>
      <c r="G1438" s="1"/>
      <c r="H1438" s="1"/>
      <c r="I1438" s="1"/>
      <c r="J1438" s="1"/>
      <c r="K1438" s="1"/>
      <c r="L1438" s="430"/>
      <c r="AK1438" s="658"/>
    </row>
    <row r="1439" spans="2:37">
      <c r="B1439" s="1"/>
      <c r="C1439" s="858"/>
      <c r="D1439" s="1"/>
      <c r="E1439" s="1"/>
      <c r="F1439" s="1"/>
      <c r="G1439" s="1"/>
      <c r="H1439" s="1"/>
      <c r="I1439" s="1"/>
      <c r="J1439" s="1"/>
      <c r="K1439" s="1"/>
      <c r="L1439" s="430"/>
      <c r="AK1439" s="658"/>
    </row>
    <row r="1440" spans="2:37">
      <c r="B1440" s="1"/>
      <c r="C1440" s="858"/>
      <c r="D1440" s="1"/>
      <c r="E1440" s="1"/>
      <c r="F1440" s="1"/>
      <c r="G1440" s="1"/>
      <c r="H1440" s="1"/>
      <c r="I1440" s="1"/>
      <c r="J1440" s="1"/>
      <c r="K1440" s="1"/>
      <c r="L1440" s="430"/>
      <c r="AK1440" s="658"/>
    </row>
    <row r="1441" spans="2:37">
      <c r="B1441" s="1"/>
      <c r="C1441" s="858"/>
      <c r="D1441" s="1"/>
      <c r="E1441" s="1"/>
      <c r="F1441" s="1"/>
      <c r="G1441" s="1"/>
      <c r="H1441" s="1"/>
      <c r="I1441" s="1"/>
      <c r="J1441" s="1"/>
      <c r="K1441" s="1"/>
      <c r="L1441" s="430"/>
      <c r="AK1441" s="658"/>
    </row>
    <row r="1442" spans="2:37">
      <c r="B1442" s="1"/>
      <c r="C1442" s="858"/>
      <c r="D1442" s="1"/>
      <c r="E1442" s="1"/>
      <c r="F1442" s="1"/>
      <c r="G1442" s="1"/>
      <c r="H1442" s="1"/>
      <c r="I1442" s="1"/>
      <c r="J1442" s="1"/>
      <c r="K1442" s="1"/>
      <c r="L1442" s="430"/>
      <c r="AK1442" s="658"/>
    </row>
    <row r="1443" spans="2:37">
      <c r="B1443" s="1"/>
      <c r="C1443" s="858"/>
      <c r="D1443" s="1"/>
      <c r="E1443" s="1"/>
      <c r="F1443" s="1"/>
      <c r="G1443" s="1"/>
      <c r="H1443" s="1"/>
      <c r="I1443" s="1"/>
      <c r="J1443" s="1"/>
      <c r="K1443" s="1"/>
      <c r="L1443" s="430"/>
      <c r="AK1443" s="658"/>
    </row>
    <row r="1444" spans="2:37">
      <c r="B1444" s="1"/>
      <c r="C1444" s="858"/>
      <c r="D1444" s="1"/>
      <c r="E1444" s="1"/>
      <c r="F1444" s="1"/>
      <c r="G1444" s="1"/>
      <c r="H1444" s="1"/>
      <c r="I1444" s="1"/>
      <c r="J1444" s="1"/>
      <c r="K1444" s="1"/>
      <c r="L1444" s="430"/>
      <c r="AK1444" s="658"/>
    </row>
    <row r="1445" spans="2:37">
      <c r="B1445" s="1"/>
      <c r="C1445" s="858"/>
      <c r="D1445" s="1"/>
      <c r="E1445" s="1"/>
      <c r="F1445" s="1"/>
      <c r="G1445" s="1"/>
      <c r="H1445" s="1"/>
      <c r="I1445" s="1"/>
      <c r="J1445" s="1"/>
      <c r="K1445" s="1"/>
      <c r="L1445" s="430"/>
      <c r="AK1445" s="658"/>
    </row>
    <row r="1446" spans="2:37">
      <c r="B1446" s="1"/>
      <c r="C1446" s="858"/>
      <c r="D1446" s="1"/>
      <c r="E1446" s="1"/>
      <c r="F1446" s="1"/>
      <c r="G1446" s="1"/>
      <c r="H1446" s="1"/>
      <c r="I1446" s="1"/>
      <c r="J1446" s="1"/>
      <c r="K1446" s="1"/>
      <c r="L1446" s="430"/>
      <c r="AK1446" s="658"/>
    </row>
    <row r="1447" spans="2:37">
      <c r="B1447" s="1"/>
      <c r="C1447" s="858"/>
      <c r="D1447" s="1"/>
      <c r="E1447" s="1"/>
      <c r="F1447" s="1"/>
      <c r="G1447" s="1"/>
      <c r="H1447" s="1"/>
      <c r="I1447" s="1"/>
      <c r="J1447" s="1"/>
      <c r="K1447" s="1"/>
      <c r="L1447" s="430"/>
      <c r="AK1447" s="658"/>
    </row>
    <row r="1448" spans="2:37">
      <c r="B1448" s="1"/>
      <c r="C1448" s="858"/>
      <c r="D1448" s="1"/>
      <c r="E1448" s="1"/>
      <c r="F1448" s="1"/>
      <c r="G1448" s="1"/>
      <c r="H1448" s="1"/>
      <c r="I1448" s="1"/>
      <c r="J1448" s="1"/>
      <c r="K1448" s="1"/>
      <c r="L1448" s="430"/>
      <c r="AK1448" s="658"/>
    </row>
    <row r="1449" spans="2:37">
      <c r="B1449" s="1"/>
      <c r="C1449" s="858"/>
      <c r="D1449" s="1"/>
      <c r="E1449" s="1"/>
      <c r="F1449" s="1"/>
      <c r="G1449" s="1"/>
      <c r="H1449" s="1"/>
      <c r="I1449" s="1"/>
      <c r="J1449" s="1"/>
      <c r="K1449" s="1"/>
      <c r="L1449" s="430"/>
      <c r="AK1449" s="658"/>
    </row>
    <row r="1450" spans="2:37">
      <c r="B1450" s="1"/>
      <c r="C1450" s="858"/>
      <c r="D1450" s="1"/>
      <c r="E1450" s="1"/>
      <c r="F1450" s="1"/>
      <c r="G1450" s="1"/>
      <c r="H1450" s="1"/>
      <c r="I1450" s="1"/>
      <c r="J1450" s="1"/>
      <c r="K1450" s="1"/>
      <c r="L1450" s="430"/>
      <c r="AK1450" s="658"/>
    </row>
    <row r="1451" spans="2:37">
      <c r="B1451" s="1"/>
      <c r="C1451" s="858"/>
      <c r="D1451" s="1"/>
      <c r="E1451" s="1"/>
      <c r="F1451" s="1"/>
      <c r="G1451" s="1"/>
      <c r="H1451" s="1"/>
      <c r="I1451" s="1"/>
      <c r="J1451" s="1"/>
      <c r="K1451" s="1"/>
      <c r="L1451" s="430"/>
      <c r="AK1451" s="658"/>
    </row>
    <row r="1452" spans="2:37">
      <c r="B1452" s="1"/>
      <c r="C1452" s="858"/>
      <c r="D1452" s="1"/>
      <c r="E1452" s="1"/>
      <c r="F1452" s="1"/>
      <c r="G1452" s="1"/>
      <c r="H1452" s="1"/>
      <c r="I1452" s="1"/>
      <c r="J1452" s="1"/>
      <c r="K1452" s="1"/>
      <c r="L1452" s="430"/>
      <c r="AK1452" s="658"/>
    </row>
    <row r="1453" spans="2:37">
      <c r="B1453" s="1"/>
      <c r="C1453" s="858"/>
      <c r="D1453" s="1"/>
      <c r="E1453" s="1"/>
      <c r="F1453" s="1"/>
      <c r="G1453" s="1"/>
      <c r="H1453" s="1"/>
      <c r="I1453" s="1"/>
      <c r="J1453" s="1"/>
      <c r="K1453" s="1"/>
      <c r="L1453" s="430"/>
      <c r="AK1453" s="658"/>
    </row>
    <row r="1454" spans="2:37">
      <c r="B1454" s="1"/>
      <c r="C1454" s="858"/>
      <c r="D1454" s="1"/>
      <c r="E1454" s="1"/>
      <c r="F1454" s="1"/>
      <c r="G1454" s="1"/>
      <c r="H1454" s="1"/>
      <c r="I1454" s="1"/>
      <c r="J1454" s="1"/>
      <c r="K1454" s="1"/>
      <c r="L1454" s="430"/>
      <c r="AK1454" s="658"/>
    </row>
    <row r="1455" spans="2:37">
      <c r="B1455" s="1"/>
      <c r="C1455" s="858"/>
      <c r="D1455" s="1"/>
      <c r="E1455" s="1"/>
      <c r="F1455" s="1"/>
      <c r="G1455" s="1"/>
      <c r="H1455" s="1"/>
      <c r="I1455" s="1"/>
      <c r="J1455" s="1"/>
      <c r="K1455" s="1"/>
      <c r="L1455" s="430"/>
      <c r="AK1455" s="658"/>
    </row>
    <row r="1456" spans="2:37">
      <c r="B1456" s="1"/>
      <c r="C1456" s="858"/>
      <c r="D1456" s="1"/>
      <c r="E1456" s="1"/>
      <c r="F1456" s="1"/>
      <c r="G1456" s="1"/>
      <c r="H1456" s="1"/>
      <c r="I1456" s="1"/>
      <c r="J1456" s="1"/>
      <c r="K1456" s="1"/>
      <c r="L1456" s="430"/>
      <c r="AK1456" s="658"/>
    </row>
    <row r="1457" spans="2:37">
      <c r="B1457" s="1"/>
      <c r="C1457" s="858"/>
      <c r="D1457" s="1"/>
      <c r="E1457" s="1"/>
      <c r="F1457" s="1"/>
      <c r="G1457" s="1"/>
      <c r="H1457" s="1"/>
      <c r="I1457" s="1"/>
      <c r="J1457" s="1"/>
      <c r="K1457" s="1"/>
      <c r="L1457" s="430"/>
      <c r="AK1457" s="658"/>
    </row>
    <row r="1458" spans="2:37">
      <c r="B1458" s="1"/>
      <c r="C1458" s="858"/>
      <c r="D1458" s="1"/>
      <c r="E1458" s="1"/>
      <c r="F1458" s="1"/>
      <c r="G1458" s="1"/>
      <c r="H1458" s="1"/>
      <c r="I1458" s="1"/>
      <c r="J1458" s="1"/>
      <c r="K1458" s="1"/>
      <c r="L1458" s="430"/>
      <c r="AK1458" s="658"/>
    </row>
    <row r="1459" spans="2:37">
      <c r="B1459" s="1"/>
      <c r="C1459" s="858"/>
      <c r="D1459" s="1"/>
      <c r="E1459" s="1"/>
      <c r="F1459" s="1"/>
      <c r="G1459" s="1"/>
      <c r="H1459" s="1"/>
      <c r="I1459" s="1"/>
      <c r="J1459" s="1"/>
      <c r="K1459" s="1"/>
      <c r="L1459" s="430"/>
      <c r="AK1459" s="658"/>
    </row>
    <row r="1460" spans="2:37">
      <c r="B1460" s="1"/>
      <c r="C1460" s="858"/>
      <c r="D1460" s="1"/>
      <c r="E1460" s="1"/>
      <c r="F1460" s="1"/>
      <c r="G1460" s="1"/>
      <c r="H1460" s="1"/>
      <c r="I1460" s="1"/>
      <c r="J1460" s="1"/>
      <c r="K1460" s="1"/>
      <c r="L1460" s="430"/>
      <c r="AK1460" s="658"/>
    </row>
    <row r="1461" spans="2:37">
      <c r="B1461" s="1"/>
      <c r="C1461" s="858"/>
      <c r="D1461" s="1"/>
      <c r="E1461" s="1"/>
      <c r="F1461" s="1"/>
      <c r="G1461" s="1"/>
      <c r="H1461" s="1"/>
      <c r="I1461" s="1"/>
      <c r="J1461" s="1"/>
      <c r="K1461" s="1"/>
      <c r="L1461" s="430"/>
      <c r="AK1461" s="658"/>
    </row>
    <row r="1462" spans="2:37">
      <c r="B1462" s="1"/>
      <c r="C1462" s="858"/>
      <c r="D1462" s="1"/>
      <c r="E1462" s="1"/>
      <c r="F1462" s="1"/>
      <c r="G1462" s="1"/>
      <c r="H1462" s="1"/>
      <c r="I1462" s="1"/>
      <c r="J1462" s="1"/>
      <c r="K1462" s="1"/>
      <c r="L1462" s="430"/>
      <c r="AK1462" s="658"/>
    </row>
    <row r="1463" spans="2:37">
      <c r="B1463" s="1"/>
      <c r="C1463" s="858"/>
      <c r="D1463" s="1"/>
      <c r="E1463" s="1"/>
      <c r="F1463" s="1"/>
      <c r="G1463" s="1"/>
      <c r="H1463" s="1"/>
      <c r="I1463" s="1"/>
      <c r="J1463" s="1"/>
      <c r="K1463" s="1"/>
      <c r="L1463" s="430"/>
      <c r="AK1463" s="658"/>
    </row>
    <row r="1464" spans="2:37">
      <c r="B1464" s="1"/>
      <c r="C1464" s="858"/>
      <c r="D1464" s="1"/>
      <c r="E1464" s="1"/>
      <c r="F1464" s="1"/>
      <c r="G1464" s="1"/>
      <c r="H1464" s="1"/>
      <c r="I1464" s="1"/>
      <c r="J1464" s="1"/>
      <c r="K1464" s="1"/>
      <c r="L1464" s="430"/>
      <c r="AK1464" s="658"/>
    </row>
    <row r="1465" spans="2:37">
      <c r="B1465" s="1"/>
      <c r="C1465" s="858"/>
      <c r="D1465" s="1"/>
      <c r="E1465" s="1"/>
      <c r="F1465" s="1"/>
      <c r="G1465" s="1"/>
      <c r="H1465" s="1"/>
      <c r="I1465" s="1"/>
      <c r="J1465" s="1"/>
      <c r="K1465" s="1"/>
      <c r="L1465" s="430"/>
      <c r="AK1465" s="658"/>
    </row>
    <row r="1466" spans="2:37">
      <c r="B1466" s="1"/>
      <c r="C1466" s="858"/>
      <c r="D1466" s="1"/>
      <c r="E1466" s="1"/>
      <c r="F1466" s="1"/>
      <c r="G1466" s="1"/>
      <c r="H1466" s="1"/>
      <c r="I1466" s="1"/>
      <c r="J1466" s="1"/>
      <c r="K1466" s="1"/>
      <c r="L1466" s="430"/>
      <c r="AK1466" s="658"/>
    </row>
    <row r="1467" spans="2:37">
      <c r="B1467" s="1"/>
      <c r="C1467" s="858"/>
      <c r="D1467" s="1"/>
      <c r="E1467" s="1"/>
      <c r="F1467" s="1"/>
      <c r="G1467" s="1"/>
      <c r="H1467" s="1"/>
      <c r="I1467" s="1"/>
      <c r="J1467" s="1"/>
      <c r="K1467" s="1"/>
      <c r="L1467" s="430"/>
      <c r="AK1467" s="658"/>
    </row>
    <row r="1468" spans="2:37">
      <c r="B1468" s="1"/>
      <c r="C1468" s="858"/>
      <c r="D1468" s="1"/>
      <c r="E1468" s="1"/>
      <c r="F1468" s="1"/>
      <c r="G1468" s="1"/>
      <c r="H1468" s="1"/>
      <c r="I1468" s="1"/>
      <c r="J1468" s="1"/>
      <c r="K1468" s="1"/>
      <c r="L1468" s="430"/>
      <c r="AK1468" s="658"/>
    </row>
    <row r="1469" spans="2:37">
      <c r="B1469" s="1"/>
      <c r="C1469" s="858"/>
      <c r="D1469" s="1"/>
      <c r="E1469" s="1"/>
      <c r="F1469" s="1"/>
      <c r="G1469" s="1"/>
      <c r="H1469" s="1"/>
      <c r="I1469" s="1"/>
      <c r="J1469" s="1"/>
      <c r="K1469" s="1"/>
      <c r="L1469" s="430"/>
      <c r="AK1469" s="658"/>
    </row>
    <row r="1470" spans="2:37">
      <c r="B1470" s="1"/>
      <c r="C1470" s="858"/>
      <c r="D1470" s="1"/>
      <c r="E1470" s="1"/>
      <c r="F1470" s="1"/>
      <c r="G1470" s="1"/>
      <c r="H1470" s="1"/>
      <c r="I1470" s="1"/>
      <c r="J1470" s="1"/>
      <c r="K1470" s="1"/>
      <c r="L1470" s="430"/>
      <c r="AK1470" s="658"/>
    </row>
    <row r="1471" spans="2:37">
      <c r="B1471" s="1"/>
      <c r="C1471" s="858"/>
      <c r="D1471" s="1"/>
      <c r="E1471" s="1"/>
      <c r="F1471" s="1"/>
      <c r="G1471" s="1"/>
      <c r="H1471" s="1"/>
      <c r="I1471" s="1"/>
      <c r="J1471" s="1"/>
      <c r="K1471" s="1"/>
      <c r="L1471" s="430"/>
      <c r="AK1471" s="658"/>
    </row>
    <row r="1472" spans="2:37">
      <c r="B1472" s="1"/>
      <c r="C1472" s="858"/>
      <c r="D1472" s="1"/>
      <c r="E1472" s="1"/>
      <c r="F1472" s="1"/>
      <c r="G1472" s="1"/>
      <c r="H1472" s="1"/>
      <c r="I1472" s="1"/>
      <c r="J1472" s="1"/>
      <c r="K1472" s="1"/>
      <c r="L1472" s="430"/>
      <c r="AK1472" s="658"/>
    </row>
    <row r="1473" spans="2:37">
      <c r="B1473" s="1"/>
      <c r="C1473" s="858"/>
      <c r="D1473" s="1"/>
      <c r="E1473" s="1"/>
      <c r="F1473" s="1"/>
      <c r="G1473" s="1"/>
      <c r="H1473" s="1"/>
      <c r="I1473" s="1"/>
      <c r="J1473" s="1"/>
      <c r="K1473" s="1"/>
      <c r="L1473" s="430"/>
      <c r="AK1473" s="658"/>
    </row>
    <row r="1474" spans="2:37">
      <c r="B1474" s="1"/>
      <c r="C1474" s="858"/>
      <c r="D1474" s="1"/>
      <c r="E1474" s="1"/>
      <c r="F1474" s="1"/>
      <c r="G1474" s="1"/>
      <c r="H1474" s="1"/>
      <c r="I1474" s="1"/>
      <c r="J1474" s="1"/>
      <c r="K1474" s="1"/>
      <c r="L1474" s="430"/>
      <c r="AK1474" s="658"/>
    </row>
    <row r="1475" spans="2:37">
      <c r="B1475" s="1"/>
      <c r="C1475" s="858"/>
      <c r="D1475" s="1"/>
      <c r="E1475" s="1"/>
      <c r="F1475" s="1"/>
      <c r="G1475" s="1"/>
      <c r="H1475" s="1"/>
      <c r="I1475" s="1"/>
      <c r="J1475" s="1"/>
      <c r="K1475" s="1"/>
      <c r="L1475" s="430"/>
      <c r="AK1475" s="658"/>
    </row>
    <row r="1476" spans="2:37">
      <c r="B1476" s="1"/>
      <c r="C1476" s="858"/>
      <c r="D1476" s="1"/>
      <c r="E1476" s="1"/>
      <c r="F1476" s="1"/>
      <c r="G1476" s="1"/>
      <c r="H1476" s="1"/>
      <c r="I1476" s="1"/>
      <c r="J1476" s="1"/>
      <c r="K1476" s="1"/>
      <c r="L1476" s="430"/>
      <c r="AK1476" s="658"/>
    </row>
    <row r="1477" spans="2:37">
      <c r="B1477" s="1"/>
      <c r="C1477" s="858"/>
      <c r="D1477" s="1"/>
      <c r="E1477" s="1"/>
      <c r="F1477" s="1"/>
      <c r="G1477" s="1"/>
      <c r="H1477" s="1"/>
      <c r="I1477" s="1"/>
      <c r="J1477" s="1"/>
      <c r="K1477" s="1"/>
      <c r="L1477" s="430"/>
      <c r="AK1477" s="658"/>
    </row>
    <row r="1478" spans="2:37">
      <c r="B1478" s="1"/>
      <c r="C1478" s="858"/>
      <c r="D1478" s="1"/>
      <c r="E1478" s="1"/>
      <c r="F1478" s="1"/>
      <c r="G1478" s="1"/>
      <c r="H1478" s="1"/>
      <c r="I1478" s="1"/>
      <c r="J1478" s="1"/>
      <c r="K1478" s="1"/>
      <c r="L1478" s="430"/>
      <c r="AK1478" s="658"/>
    </row>
    <row r="1479" spans="2:37">
      <c r="B1479" s="1"/>
      <c r="C1479" s="858"/>
      <c r="D1479" s="1"/>
      <c r="E1479" s="1"/>
      <c r="F1479" s="1"/>
      <c r="G1479" s="1"/>
      <c r="H1479" s="1"/>
      <c r="I1479" s="1"/>
      <c r="J1479" s="1"/>
      <c r="K1479" s="1"/>
      <c r="L1479" s="430"/>
      <c r="AK1479" s="658"/>
    </row>
    <row r="1480" spans="2:37">
      <c r="B1480" s="1"/>
      <c r="C1480" s="858"/>
      <c r="D1480" s="1"/>
      <c r="E1480" s="1"/>
      <c r="F1480" s="1"/>
      <c r="G1480" s="1"/>
      <c r="H1480" s="1"/>
      <c r="I1480" s="1"/>
      <c r="J1480" s="1"/>
      <c r="K1480" s="1"/>
      <c r="L1480" s="430"/>
      <c r="AK1480" s="658"/>
    </row>
    <row r="1481" spans="2:37">
      <c r="B1481" s="1"/>
      <c r="C1481" s="858"/>
      <c r="D1481" s="1"/>
      <c r="E1481" s="1"/>
      <c r="F1481" s="1"/>
      <c r="G1481" s="1"/>
      <c r="H1481" s="1"/>
      <c r="I1481" s="1"/>
      <c r="J1481" s="1"/>
      <c r="K1481" s="1"/>
      <c r="L1481" s="430"/>
      <c r="AK1481" s="658"/>
    </row>
    <row r="1482" spans="2:37">
      <c r="B1482" s="1"/>
      <c r="C1482" s="858"/>
      <c r="D1482" s="1"/>
      <c r="E1482" s="1"/>
      <c r="F1482" s="1"/>
      <c r="G1482" s="1"/>
      <c r="H1482" s="1"/>
      <c r="I1482" s="1"/>
      <c r="J1482" s="1"/>
      <c r="K1482" s="1"/>
      <c r="L1482" s="430"/>
      <c r="AK1482" s="658"/>
    </row>
    <row r="1483" spans="2:37">
      <c r="B1483" s="1"/>
      <c r="C1483" s="858"/>
      <c r="D1483" s="1"/>
      <c r="E1483" s="1"/>
      <c r="F1483" s="1"/>
      <c r="G1483" s="1"/>
      <c r="H1483" s="1"/>
      <c r="I1483" s="1"/>
      <c r="J1483" s="1"/>
      <c r="K1483" s="1"/>
      <c r="L1483" s="430"/>
      <c r="AK1483" s="658"/>
    </row>
    <row r="1484" spans="2:37">
      <c r="B1484" s="1"/>
      <c r="C1484" s="858"/>
      <c r="D1484" s="1"/>
      <c r="E1484" s="1"/>
      <c r="F1484" s="1"/>
      <c r="G1484" s="1"/>
      <c r="H1484" s="1"/>
      <c r="I1484" s="1"/>
      <c r="J1484" s="1"/>
      <c r="K1484" s="1"/>
      <c r="L1484" s="430"/>
      <c r="AK1484" s="658"/>
    </row>
    <row r="1485" spans="2:37">
      <c r="B1485" s="1"/>
      <c r="C1485" s="858"/>
      <c r="D1485" s="1"/>
      <c r="E1485" s="1"/>
      <c r="F1485" s="1"/>
      <c r="G1485" s="1"/>
      <c r="H1485" s="1"/>
      <c r="I1485" s="1"/>
      <c r="J1485" s="1"/>
      <c r="K1485" s="1"/>
      <c r="L1485" s="430"/>
      <c r="AK1485" s="658"/>
    </row>
    <row r="1486" spans="2:37">
      <c r="B1486" s="1"/>
      <c r="C1486" s="858"/>
      <c r="D1486" s="1"/>
      <c r="E1486" s="1"/>
      <c r="F1486" s="1"/>
      <c r="G1486" s="1"/>
      <c r="H1486" s="1"/>
      <c r="I1486" s="1"/>
      <c r="J1486" s="1"/>
      <c r="K1486" s="1"/>
      <c r="L1486" s="430"/>
      <c r="AK1486" s="658"/>
    </row>
    <row r="1487" spans="2:37">
      <c r="B1487" s="1"/>
      <c r="C1487" s="858"/>
      <c r="D1487" s="1"/>
      <c r="E1487" s="1"/>
      <c r="F1487" s="1"/>
      <c r="G1487" s="1"/>
      <c r="H1487" s="1"/>
      <c r="I1487" s="1"/>
      <c r="J1487" s="1"/>
      <c r="K1487" s="1"/>
      <c r="L1487" s="430"/>
      <c r="AK1487" s="658"/>
    </row>
    <row r="1488" spans="2:37">
      <c r="B1488" s="1"/>
      <c r="C1488" s="858"/>
      <c r="D1488" s="1"/>
      <c r="E1488" s="1"/>
      <c r="F1488" s="1"/>
      <c r="G1488" s="1"/>
      <c r="H1488" s="1"/>
      <c r="I1488" s="1"/>
      <c r="J1488" s="1"/>
      <c r="K1488" s="1"/>
      <c r="L1488" s="430"/>
      <c r="AK1488" s="658"/>
    </row>
    <row r="1489" spans="2:37">
      <c r="B1489" s="1"/>
      <c r="C1489" s="858"/>
      <c r="D1489" s="1"/>
      <c r="E1489" s="1"/>
      <c r="F1489" s="1"/>
      <c r="G1489" s="1"/>
      <c r="H1489" s="1"/>
      <c r="I1489" s="1"/>
      <c r="J1489" s="1"/>
      <c r="K1489" s="1"/>
      <c r="L1489" s="430"/>
      <c r="AK1489" s="658"/>
    </row>
    <row r="1490" spans="2:37">
      <c r="B1490" s="1"/>
      <c r="C1490" s="858"/>
      <c r="D1490" s="1"/>
      <c r="E1490" s="1"/>
      <c r="F1490" s="1"/>
      <c r="G1490" s="1"/>
      <c r="H1490" s="1"/>
      <c r="I1490" s="1"/>
      <c r="J1490" s="1"/>
      <c r="K1490" s="1"/>
      <c r="L1490" s="430"/>
      <c r="AK1490" s="658"/>
    </row>
    <row r="1491" spans="2:37">
      <c r="B1491" s="1"/>
      <c r="C1491" s="858"/>
      <c r="D1491" s="1"/>
      <c r="E1491" s="1"/>
      <c r="F1491" s="1"/>
      <c r="G1491" s="1"/>
      <c r="H1491" s="1"/>
      <c r="I1491" s="1"/>
      <c r="J1491" s="1"/>
      <c r="K1491" s="1"/>
      <c r="L1491" s="430"/>
      <c r="AK1491" s="658"/>
    </row>
    <row r="1492" spans="2:37">
      <c r="B1492" s="1"/>
      <c r="C1492" s="858"/>
      <c r="D1492" s="1"/>
      <c r="E1492" s="1"/>
      <c r="F1492" s="1"/>
      <c r="G1492" s="1"/>
      <c r="H1492" s="1"/>
      <c r="I1492" s="1"/>
      <c r="J1492" s="1"/>
      <c r="K1492" s="1"/>
      <c r="L1492" s="430"/>
      <c r="AK1492" s="658"/>
    </row>
    <row r="1493" spans="2:37">
      <c r="B1493" s="1"/>
      <c r="C1493" s="858"/>
      <c r="D1493" s="1"/>
      <c r="E1493" s="1"/>
      <c r="F1493" s="1"/>
      <c r="G1493" s="1"/>
      <c r="H1493" s="1"/>
      <c r="I1493" s="1"/>
      <c r="J1493" s="1"/>
      <c r="K1493" s="1"/>
      <c r="L1493" s="430"/>
      <c r="AK1493" s="658"/>
    </row>
    <row r="1494" spans="2:37">
      <c r="B1494" s="1"/>
      <c r="C1494" s="858"/>
      <c r="D1494" s="1"/>
      <c r="E1494" s="1"/>
      <c r="F1494" s="1"/>
      <c r="G1494" s="1"/>
      <c r="H1494" s="1"/>
      <c r="I1494" s="1"/>
      <c r="J1494" s="1"/>
      <c r="K1494" s="1"/>
      <c r="L1494" s="430"/>
      <c r="AK1494" s="658"/>
    </row>
    <row r="1495" spans="2:37">
      <c r="B1495" s="1"/>
      <c r="C1495" s="858"/>
      <c r="D1495" s="1"/>
      <c r="E1495" s="1"/>
      <c r="F1495" s="1"/>
      <c r="G1495" s="1"/>
      <c r="H1495" s="1"/>
      <c r="I1495" s="1"/>
      <c r="J1495" s="1"/>
      <c r="K1495" s="1"/>
      <c r="L1495" s="430"/>
      <c r="AK1495" s="658"/>
    </row>
    <row r="1496" spans="2:37">
      <c r="B1496" s="1"/>
      <c r="C1496" s="858"/>
      <c r="D1496" s="1"/>
      <c r="E1496" s="1"/>
      <c r="F1496" s="1"/>
      <c r="G1496" s="1"/>
      <c r="H1496" s="1"/>
      <c r="I1496" s="1"/>
      <c r="J1496" s="1"/>
      <c r="K1496" s="1"/>
      <c r="L1496" s="430"/>
      <c r="AK1496" s="658"/>
    </row>
    <row r="1497" spans="2:37">
      <c r="B1497" s="1"/>
      <c r="C1497" s="858"/>
      <c r="D1497" s="1"/>
      <c r="E1497" s="1"/>
      <c r="F1497" s="1"/>
      <c r="G1497" s="1"/>
      <c r="H1497" s="1"/>
      <c r="I1497" s="1"/>
      <c r="J1497" s="1"/>
      <c r="K1497" s="1"/>
      <c r="L1497" s="430"/>
      <c r="AK1497" s="658"/>
    </row>
    <row r="1498" spans="2:37">
      <c r="B1498" s="1"/>
      <c r="C1498" s="858"/>
      <c r="D1498" s="1"/>
      <c r="E1498" s="1"/>
      <c r="F1498" s="1"/>
      <c r="G1498" s="1"/>
      <c r="H1498" s="1"/>
      <c r="I1498" s="1"/>
      <c r="J1498" s="1"/>
      <c r="K1498" s="1"/>
      <c r="L1498" s="430"/>
      <c r="AK1498" s="658"/>
    </row>
    <row r="1499" spans="2:37">
      <c r="B1499" s="1"/>
      <c r="C1499" s="858"/>
      <c r="D1499" s="1"/>
      <c r="E1499" s="1"/>
      <c r="F1499" s="1"/>
      <c r="G1499" s="1"/>
      <c r="H1499" s="1"/>
      <c r="I1499" s="1"/>
      <c r="J1499" s="1"/>
      <c r="K1499" s="1"/>
      <c r="L1499" s="430"/>
      <c r="AK1499" s="658"/>
    </row>
    <row r="1500" spans="2:37">
      <c r="B1500" s="1"/>
      <c r="C1500" s="858"/>
      <c r="D1500" s="1"/>
      <c r="E1500" s="1"/>
      <c r="F1500" s="1"/>
      <c r="G1500" s="1"/>
      <c r="H1500" s="1"/>
      <c r="I1500" s="1"/>
      <c r="J1500" s="1"/>
      <c r="K1500" s="1"/>
      <c r="L1500" s="430"/>
      <c r="AK1500" s="658"/>
    </row>
    <row r="1501" spans="2:37">
      <c r="B1501" s="1"/>
      <c r="C1501" s="858"/>
      <c r="D1501" s="1"/>
      <c r="E1501" s="1"/>
      <c r="F1501" s="1"/>
      <c r="G1501" s="1"/>
      <c r="H1501" s="1"/>
      <c r="I1501" s="1"/>
      <c r="J1501" s="1"/>
      <c r="K1501" s="1"/>
      <c r="L1501" s="430"/>
      <c r="AK1501" s="658"/>
    </row>
    <row r="1502" spans="2:37">
      <c r="B1502" s="1"/>
      <c r="C1502" s="858"/>
      <c r="D1502" s="1"/>
      <c r="E1502" s="1"/>
      <c r="F1502" s="1"/>
      <c r="G1502" s="1"/>
      <c r="H1502" s="1"/>
      <c r="I1502" s="1"/>
      <c r="J1502" s="1"/>
      <c r="K1502" s="1"/>
      <c r="L1502" s="430"/>
      <c r="AK1502" s="658"/>
    </row>
    <row r="1503" spans="2:37">
      <c r="B1503" s="1"/>
      <c r="C1503" s="858"/>
      <c r="D1503" s="1"/>
      <c r="E1503" s="1"/>
      <c r="F1503" s="1"/>
      <c r="G1503" s="1"/>
      <c r="H1503" s="1"/>
      <c r="I1503" s="1"/>
      <c r="J1503" s="1"/>
      <c r="K1503" s="1"/>
      <c r="L1503" s="430"/>
      <c r="AK1503" s="658"/>
    </row>
    <row r="1504" spans="2:37">
      <c r="B1504" s="1"/>
      <c r="C1504" s="858"/>
      <c r="D1504" s="1"/>
      <c r="E1504" s="1"/>
      <c r="F1504" s="1"/>
      <c r="G1504" s="1"/>
      <c r="H1504" s="1"/>
      <c r="I1504" s="1"/>
      <c r="J1504" s="1"/>
      <c r="K1504" s="1"/>
      <c r="L1504" s="430"/>
      <c r="AK1504" s="658"/>
    </row>
    <row r="1505" spans="2:37">
      <c r="B1505" s="1"/>
      <c r="C1505" s="858"/>
      <c r="D1505" s="1"/>
      <c r="E1505" s="1"/>
      <c r="F1505" s="1"/>
      <c r="G1505" s="1"/>
      <c r="H1505" s="1"/>
      <c r="I1505" s="1"/>
      <c r="J1505" s="1"/>
      <c r="K1505" s="1"/>
      <c r="L1505" s="430"/>
      <c r="AK1505" s="658"/>
    </row>
    <row r="1506" spans="2:37">
      <c r="B1506" s="1"/>
      <c r="C1506" s="858"/>
      <c r="D1506" s="1"/>
      <c r="E1506" s="1"/>
      <c r="F1506" s="1"/>
      <c r="G1506" s="1"/>
      <c r="H1506" s="1"/>
      <c r="I1506" s="1"/>
      <c r="J1506" s="1"/>
      <c r="K1506" s="1"/>
      <c r="L1506" s="430"/>
      <c r="AK1506" s="658"/>
    </row>
    <row r="1507" spans="2:37">
      <c r="B1507" s="1"/>
      <c r="C1507" s="858"/>
      <c r="D1507" s="1"/>
      <c r="E1507" s="1"/>
      <c r="F1507" s="1"/>
      <c r="G1507" s="1"/>
      <c r="H1507" s="1"/>
      <c r="I1507" s="1"/>
      <c r="J1507" s="1"/>
      <c r="K1507" s="1"/>
      <c r="L1507" s="430"/>
      <c r="AK1507" s="658"/>
    </row>
    <row r="1508" spans="2:37">
      <c r="B1508" s="1"/>
      <c r="C1508" s="858"/>
      <c r="D1508" s="1"/>
      <c r="E1508" s="1"/>
      <c r="F1508" s="1"/>
      <c r="G1508" s="1"/>
      <c r="H1508" s="1"/>
      <c r="I1508" s="1"/>
      <c r="J1508" s="1"/>
      <c r="K1508" s="1"/>
      <c r="L1508" s="430"/>
      <c r="AK1508" s="658"/>
    </row>
    <row r="1509" spans="2:37">
      <c r="B1509" s="1"/>
      <c r="C1509" s="858"/>
      <c r="D1509" s="1"/>
      <c r="E1509" s="1"/>
      <c r="F1509" s="1"/>
      <c r="G1509" s="1"/>
      <c r="H1509" s="1"/>
      <c r="I1509" s="1"/>
      <c r="J1509" s="1"/>
      <c r="K1509" s="1"/>
      <c r="L1509" s="430"/>
      <c r="AK1509" s="658"/>
    </row>
    <row r="1510" spans="2:37">
      <c r="B1510" s="1"/>
      <c r="C1510" s="858"/>
      <c r="D1510" s="1"/>
      <c r="E1510" s="1"/>
      <c r="F1510" s="1"/>
      <c r="G1510" s="1"/>
      <c r="H1510" s="1"/>
      <c r="I1510" s="1"/>
      <c r="J1510" s="1"/>
      <c r="K1510" s="1"/>
      <c r="L1510" s="430"/>
      <c r="AK1510" s="658"/>
    </row>
    <row r="1511" spans="2:37">
      <c r="B1511" s="1"/>
      <c r="C1511" s="858"/>
      <c r="D1511" s="1"/>
      <c r="E1511" s="1"/>
      <c r="F1511" s="1"/>
      <c r="G1511" s="1"/>
      <c r="H1511" s="1"/>
      <c r="I1511" s="1"/>
      <c r="J1511" s="1"/>
      <c r="K1511" s="1"/>
      <c r="L1511" s="430"/>
      <c r="AK1511" s="658"/>
    </row>
    <row r="1512" spans="2:37">
      <c r="B1512" s="1"/>
      <c r="C1512" s="858"/>
      <c r="D1512" s="1"/>
      <c r="E1512" s="1"/>
      <c r="F1512" s="1"/>
      <c r="G1512" s="1"/>
      <c r="H1512" s="1"/>
      <c r="I1512" s="1"/>
      <c r="J1512" s="1"/>
      <c r="K1512" s="1"/>
      <c r="L1512" s="430"/>
      <c r="AK1512" s="658"/>
    </row>
    <row r="1513" spans="2:37">
      <c r="B1513" s="1"/>
      <c r="C1513" s="858"/>
      <c r="D1513" s="1"/>
      <c r="E1513" s="1"/>
      <c r="F1513" s="1"/>
      <c r="G1513" s="1"/>
      <c r="H1513" s="1"/>
      <c r="I1513" s="1"/>
      <c r="J1513" s="1"/>
      <c r="K1513" s="1"/>
      <c r="L1513" s="430"/>
      <c r="AK1513" s="658"/>
    </row>
    <row r="1514" spans="2:37">
      <c r="B1514" s="1"/>
      <c r="C1514" s="858"/>
      <c r="D1514" s="1"/>
      <c r="E1514" s="1"/>
      <c r="F1514" s="1"/>
      <c r="G1514" s="1"/>
      <c r="H1514" s="1"/>
      <c r="I1514" s="1"/>
      <c r="J1514" s="1"/>
      <c r="K1514" s="1"/>
      <c r="L1514" s="430"/>
      <c r="AK1514" s="658"/>
    </row>
    <row r="1515" spans="2:37">
      <c r="B1515" s="1"/>
      <c r="C1515" s="858"/>
      <c r="D1515" s="1"/>
      <c r="E1515" s="1"/>
      <c r="F1515" s="1"/>
      <c r="G1515" s="1"/>
      <c r="H1515" s="1"/>
      <c r="I1515" s="1"/>
      <c r="J1515" s="1"/>
      <c r="K1515" s="1"/>
      <c r="L1515" s="430"/>
      <c r="AK1515" s="658"/>
    </row>
    <row r="1516" spans="2:37">
      <c r="B1516" s="1"/>
      <c r="C1516" s="858"/>
      <c r="D1516" s="1"/>
      <c r="E1516" s="1"/>
      <c r="F1516" s="1"/>
      <c r="G1516" s="1"/>
      <c r="H1516" s="1"/>
      <c r="I1516" s="1"/>
      <c r="J1516" s="1"/>
      <c r="K1516" s="1"/>
      <c r="L1516" s="430"/>
      <c r="AK1516" s="658"/>
    </row>
    <row r="1517" spans="2:37">
      <c r="B1517" s="1"/>
      <c r="C1517" s="858"/>
      <c r="D1517" s="1"/>
      <c r="E1517" s="1"/>
      <c r="F1517" s="1"/>
      <c r="G1517" s="1"/>
      <c r="H1517" s="1"/>
      <c r="I1517" s="1"/>
      <c r="J1517" s="1"/>
      <c r="K1517" s="1"/>
      <c r="L1517" s="430"/>
      <c r="AK1517" s="658"/>
    </row>
    <row r="1518" spans="2:37">
      <c r="B1518" s="1"/>
      <c r="C1518" s="858"/>
      <c r="D1518" s="1"/>
      <c r="E1518" s="1"/>
      <c r="F1518" s="1"/>
      <c r="G1518" s="1"/>
      <c r="H1518" s="1"/>
      <c r="I1518" s="1"/>
      <c r="J1518" s="1"/>
      <c r="K1518" s="1"/>
      <c r="L1518" s="430"/>
      <c r="AK1518" s="658"/>
    </row>
    <row r="1519" spans="2:37">
      <c r="B1519" s="1"/>
      <c r="C1519" s="858"/>
      <c r="D1519" s="1"/>
      <c r="E1519" s="1"/>
      <c r="F1519" s="1"/>
      <c r="G1519" s="1"/>
      <c r="H1519" s="1"/>
      <c r="I1519" s="1"/>
      <c r="J1519" s="1"/>
      <c r="K1519" s="1"/>
      <c r="L1519" s="430"/>
      <c r="AK1519" s="658"/>
    </row>
    <row r="1520" spans="2:37">
      <c r="B1520" s="1"/>
      <c r="C1520" s="858"/>
      <c r="D1520" s="1"/>
      <c r="E1520" s="1"/>
      <c r="F1520" s="1"/>
      <c r="G1520" s="1"/>
      <c r="H1520" s="1"/>
      <c r="I1520" s="1"/>
      <c r="J1520" s="1"/>
      <c r="K1520" s="1"/>
      <c r="L1520" s="430"/>
      <c r="AK1520" s="658"/>
    </row>
    <row r="1521" spans="2:37">
      <c r="B1521" s="1"/>
      <c r="C1521" s="858"/>
      <c r="D1521" s="1"/>
      <c r="E1521" s="1"/>
      <c r="F1521" s="1"/>
      <c r="G1521" s="1"/>
      <c r="H1521" s="1"/>
      <c r="I1521" s="1"/>
      <c r="J1521" s="1"/>
      <c r="K1521" s="1"/>
      <c r="L1521" s="430"/>
      <c r="AK1521" s="658"/>
    </row>
    <row r="1522" spans="2:37">
      <c r="B1522" s="1"/>
      <c r="C1522" s="858"/>
      <c r="D1522" s="1"/>
      <c r="E1522" s="1"/>
      <c r="F1522" s="1"/>
      <c r="G1522" s="1"/>
      <c r="H1522" s="1"/>
      <c r="I1522" s="1"/>
      <c r="J1522" s="1"/>
      <c r="K1522" s="1"/>
      <c r="L1522" s="430"/>
      <c r="AK1522" s="658"/>
    </row>
    <row r="1523" spans="2:37">
      <c r="B1523" s="1"/>
      <c r="C1523" s="858"/>
      <c r="D1523" s="1"/>
      <c r="E1523" s="1"/>
      <c r="F1523" s="1"/>
      <c r="G1523" s="1"/>
      <c r="H1523" s="1"/>
      <c r="I1523" s="1"/>
      <c r="J1523" s="1"/>
      <c r="K1523" s="1"/>
      <c r="L1523" s="430"/>
    </row>
    <row r="1524" spans="2:37">
      <c r="B1524" s="1"/>
      <c r="C1524" s="858"/>
      <c r="D1524" s="1"/>
      <c r="E1524" s="1"/>
      <c r="F1524" s="1"/>
      <c r="G1524" s="1"/>
      <c r="H1524" s="1"/>
      <c r="I1524" s="1"/>
      <c r="J1524" s="1"/>
      <c r="K1524" s="1"/>
      <c r="L1524" s="430"/>
    </row>
  </sheetData>
  <sheetProtection selectLockedCells="1" selectUnlockedCells="1"/>
  <mergeCells count="40">
    <mergeCell ref="P1087:T1087"/>
    <mergeCell ref="U1087:X1087"/>
    <mergeCell ref="Y1087:AC1087"/>
    <mergeCell ref="AD1087:AG1087"/>
    <mergeCell ref="AH1087:AJ1087"/>
    <mergeCell ref="F864:G864"/>
    <mergeCell ref="F994:G994"/>
    <mergeCell ref="C3:C5"/>
    <mergeCell ref="D3:D5"/>
    <mergeCell ref="F1062:G1062"/>
    <mergeCell ref="F765:G765"/>
    <mergeCell ref="F23:G23"/>
    <mergeCell ref="F30:G30"/>
    <mergeCell ref="F622:G622"/>
    <mergeCell ref="F672:G672"/>
    <mergeCell ref="F17:G17"/>
    <mergeCell ref="F815:G815"/>
    <mergeCell ref="F714:G714"/>
    <mergeCell ref="F720:G720"/>
    <mergeCell ref="F750:G750"/>
    <mergeCell ref="F682:G682"/>
    <mergeCell ref="F1078:G1078"/>
    <mergeCell ref="F999:G999"/>
    <mergeCell ref="F1031:G1031"/>
    <mergeCell ref="F1039:G1039"/>
    <mergeCell ref="F1049:G1049"/>
    <mergeCell ref="F1070:G1070"/>
    <mergeCell ref="F804:G804"/>
    <mergeCell ref="F755:G755"/>
    <mergeCell ref="F700:G700"/>
    <mergeCell ref="F709:G709"/>
    <mergeCell ref="F772:G772"/>
    <mergeCell ref="O9:V9"/>
    <mergeCell ref="W9:AB9"/>
    <mergeCell ref="W8:AJ8"/>
    <mergeCell ref="P6:T6"/>
    <mergeCell ref="U6:X6"/>
    <mergeCell ref="Y6:AC6"/>
    <mergeCell ref="AD6:AG6"/>
    <mergeCell ref="AH6:AJ6"/>
  </mergeCells>
  <phoneticPr fontId="15" type="noConversion"/>
  <pageMargins left="0.98425196850393704" right="0" top="0.39370078740157483" bottom="0.39370078740157483" header="0.51181102362204722" footer="0.51181102362204722"/>
  <pageSetup paperSize="9" scale="58" firstPageNumber="0" fitToHeight="14" orientation="landscape" horizontalDpi="300" verticalDpi="300" r:id="rId1"/>
  <headerFooter alignWithMargins="0"/>
  <colBreaks count="1" manualBreakCount="1">
    <brk id="6" max="1048575" man="1"/>
  </colBreaks>
  <ignoredErrors>
    <ignoredError sqref="E676 H629 H27" unlocked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0"/>
  <sheetViews>
    <sheetView workbookViewId="0">
      <selection activeCell="D23" sqref="D22:D23"/>
    </sheetView>
  </sheetViews>
  <sheetFormatPr baseColWidth="10" defaultColWidth="10.6640625" defaultRowHeight="15"/>
  <cols>
    <col min="1" max="1" width="10.6640625" style="760"/>
    <col min="2" max="2" width="41.1640625" style="760" customWidth="1"/>
    <col min="3" max="3" width="18" style="760" customWidth="1"/>
    <col min="4" max="4" width="14" style="361" customWidth="1"/>
    <col min="5" max="5" width="16.1640625" style="761" customWidth="1"/>
    <col min="6" max="6" width="24.33203125" style="367" customWidth="1"/>
    <col min="7" max="7" width="18.5" style="432" customWidth="1"/>
    <col min="8" max="16384" width="10.6640625" style="760"/>
  </cols>
  <sheetData>
    <row r="1" spans="2:9" ht="24.75" customHeight="1">
      <c r="B1" s="760" t="s">
        <v>306</v>
      </c>
      <c r="C1" s="304" t="s">
        <v>337</v>
      </c>
      <c r="D1" s="373" t="s">
        <v>342</v>
      </c>
    </row>
    <row r="2" spans="2:9">
      <c r="C2" s="305" t="s">
        <v>8</v>
      </c>
      <c r="D2" s="374">
        <v>0.2</v>
      </c>
      <c r="E2" s="370"/>
    </row>
    <row r="3" spans="2:9">
      <c r="B3" s="912" t="s">
        <v>307</v>
      </c>
      <c r="C3" s="913">
        <v>233378</v>
      </c>
      <c r="D3" s="915">
        <f>C3+(C3*$D$2)</f>
        <v>280053.59999999998</v>
      </c>
    </row>
    <row r="4" spans="2:9">
      <c r="B4" s="912"/>
      <c r="C4" s="914"/>
      <c r="D4" s="916"/>
    </row>
    <row r="5" spans="2:9" s="367" customFormat="1">
      <c r="B5" s="375" t="s">
        <v>305</v>
      </c>
      <c r="C5" s="376">
        <v>233378</v>
      </c>
      <c r="D5" s="377">
        <f>C5+(C5*$D$2)</f>
        <v>280053.59999999998</v>
      </c>
      <c r="E5" s="378"/>
      <c r="F5" s="367" t="s">
        <v>462</v>
      </c>
      <c r="G5" s="432"/>
    </row>
    <row r="6" spans="2:9">
      <c r="B6" s="364" t="s">
        <v>391</v>
      </c>
      <c r="C6" s="365"/>
      <c r="D6" s="366"/>
      <c r="E6" s="433" t="s">
        <v>463</v>
      </c>
      <c r="F6" s="371" t="s">
        <v>465</v>
      </c>
    </row>
    <row r="7" spans="2:9">
      <c r="B7" s="364" t="s">
        <v>392</v>
      </c>
      <c r="C7" s="365"/>
      <c r="D7" s="366"/>
      <c r="E7" s="433" t="s">
        <v>464</v>
      </c>
      <c r="F7" s="420" t="s">
        <v>465</v>
      </c>
    </row>
    <row r="8" spans="2:9">
      <c r="B8" s="364" t="s">
        <v>393</v>
      </c>
      <c r="C8" s="365"/>
      <c r="D8" s="366"/>
      <c r="E8" s="372">
        <v>2000000</v>
      </c>
    </row>
    <row r="9" spans="2:9" s="367" customFormat="1">
      <c r="B9" s="375" t="s">
        <v>304</v>
      </c>
      <c r="C9" s="376">
        <v>183344</v>
      </c>
      <c r="D9" s="377">
        <f>C9+(C9*$D$2)</f>
        <v>220012.79999999999</v>
      </c>
      <c r="E9" s="378"/>
      <c r="F9" s="371"/>
      <c r="G9" s="432"/>
      <c r="H9" s="760"/>
      <c r="I9" s="760"/>
    </row>
    <row r="10" spans="2:9">
      <c r="B10" s="762" t="s">
        <v>415</v>
      </c>
      <c r="C10" s="763"/>
      <c r="D10" s="366"/>
      <c r="E10" s="764">
        <v>500000</v>
      </c>
    </row>
    <row r="11" spans="2:9">
      <c r="B11" s="762" t="s">
        <v>459</v>
      </c>
      <c r="C11" s="763"/>
      <c r="D11" s="366"/>
      <c r="E11" s="764">
        <v>500000</v>
      </c>
      <c r="F11" s="371">
        <f>SUM(E10:E11)</f>
        <v>1000000</v>
      </c>
    </row>
    <row r="12" spans="2:9" s="367" customFormat="1">
      <c r="B12" s="375" t="s">
        <v>303</v>
      </c>
      <c r="C12" s="376">
        <v>150001</v>
      </c>
      <c r="D12" s="377">
        <f>C12+(C12*$D$2)</f>
        <v>180001.2</v>
      </c>
      <c r="E12" s="378"/>
      <c r="G12" s="432"/>
      <c r="H12" s="760"/>
      <c r="I12" s="760"/>
    </row>
    <row r="13" spans="2:9" s="367" customFormat="1">
      <c r="B13" s="364" t="s">
        <v>360</v>
      </c>
      <c r="C13" s="368"/>
      <c r="D13" s="369"/>
      <c r="E13" s="372">
        <v>250000</v>
      </c>
      <c r="G13" s="432"/>
      <c r="H13" s="760"/>
      <c r="I13" s="760"/>
    </row>
    <row r="14" spans="2:9" s="367" customFormat="1">
      <c r="B14" s="364" t="s">
        <v>362</v>
      </c>
      <c r="C14" s="368"/>
      <c r="D14" s="369"/>
      <c r="E14" s="372">
        <v>250000</v>
      </c>
      <c r="G14" s="432"/>
      <c r="H14" s="760"/>
      <c r="I14" s="760"/>
    </row>
    <row r="15" spans="2:9" s="367" customFormat="1">
      <c r="B15" s="364" t="s">
        <v>370</v>
      </c>
      <c r="C15" s="368"/>
      <c r="D15" s="369"/>
      <c r="E15" s="372">
        <v>250000</v>
      </c>
      <c r="G15" s="432"/>
      <c r="H15" s="760"/>
      <c r="I15" s="760"/>
    </row>
    <row r="16" spans="2:9">
      <c r="B16" s="762" t="s">
        <v>460</v>
      </c>
      <c r="C16" s="763"/>
      <c r="D16" s="366"/>
      <c r="E16" s="764">
        <v>250000</v>
      </c>
    </row>
    <row r="17" spans="1:9">
      <c r="B17" s="762" t="s">
        <v>375</v>
      </c>
      <c r="C17" s="763"/>
      <c r="D17" s="366"/>
      <c r="E17" s="764">
        <v>250000</v>
      </c>
    </row>
    <row r="18" spans="1:9">
      <c r="B18" s="760" t="s">
        <v>302</v>
      </c>
      <c r="C18" s="765">
        <v>4026</v>
      </c>
      <c r="D18" s="766">
        <f>C18+(C18*$D$2)</f>
        <v>4831.2</v>
      </c>
      <c r="F18" s="371">
        <f>SUM(E13:E17)</f>
        <v>1250000</v>
      </c>
    </row>
    <row r="19" spans="1:9">
      <c r="B19" s="760" t="s">
        <v>301</v>
      </c>
      <c r="C19" s="765">
        <v>2914</v>
      </c>
      <c r="D19" s="766">
        <f>C19+(C19*$D$2)</f>
        <v>3496.8</v>
      </c>
    </row>
    <row r="20" spans="1:9" s="367" customFormat="1">
      <c r="B20" s="375" t="s">
        <v>300</v>
      </c>
      <c r="C20" s="376">
        <v>17126</v>
      </c>
      <c r="D20" s="377">
        <f>C20+(C20*$D$2)</f>
        <v>20551.2</v>
      </c>
      <c r="E20" s="378"/>
      <c r="G20" s="432"/>
      <c r="H20" s="760"/>
      <c r="I20" s="760"/>
    </row>
    <row r="21" spans="1:9">
      <c r="A21" s="760">
        <v>1</v>
      </c>
      <c r="B21" s="762" t="s">
        <v>397</v>
      </c>
      <c r="C21" s="767">
        <v>2</v>
      </c>
      <c r="D21" s="366"/>
      <c r="E21" s="764">
        <f>C21*D20</f>
        <v>41102.400000000001</v>
      </c>
    </row>
    <row r="22" spans="1:9">
      <c r="A22" s="760">
        <v>2</v>
      </c>
      <c r="B22" s="762" t="s">
        <v>416</v>
      </c>
      <c r="C22" s="767">
        <v>2</v>
      </c>
      <c r="D22" s="366"/>
      <c r="E22" s="764">
        <v>100000</v>
      </c>
    </row>
    <row r="23" spans="1:9">
      <c r="A23" s="760">
        <v>3</v>
      </c>
      <c r="B23" s="762" t="s">
        <v>357</v>
      </c>
      <c r="C23" s="767">
        <v>2</v>
      </c>
      <c r="D23" s="366"/>
      <c r="E23" s="764">
        <f>E21</f>
        <v>41102.400000000001</v>
      </c>
    </row>
    <row r="24" spans="1:9">
      <c r="A24" s="760">
        <v>4</v>
      </c>
      <c r="B24" s="762" t="s">
        <v>359</v>
      </c>
      <c r="C24" s="767">
        <v>1</v>
      </c>
      <c r="D24" s="366"/>
      <c r="E24" s="764">
        <f>C24*D20</f>
        <v>20551.2</v>
      </c>
    </row>
    <row r="25" spans="1:9">
      <c r="A25" s="760">
        <v>5</v>
      </c>
      <c r="B25" s="762" t="s">
        <v>361</v>
      </c>
      <c r="C25" s="767">
        <v>1</v>
      </c>
      <c r="D25" s="366"/>
      <c r="E25" s="764">
        <f>C25*D20</f>
        <v>20551.2</v>
      </c>
    </row>
    <row r="26" spans="1:9">
      <c r="A26" s="760">
        <v>6</v>
      </c>
      <c r="B26" s="762" t="s">
        <v>398</v>
      </c>
      <c r="C26" s="767">
        <v>1</v>
      </c>
      <c r="D26" s="366"/>
      <c r="E26" s="764">
        <f>E25</f>
        <v>20551.2</v>
      </c>
    </row>
    <row r="27" spans="1:9">
      <c r="A27" s="760">
        <v>7</v>
      </c>
      <c r="B27" s="762" t="s">
        <v>399</v>
      </c>
      <c r="C27" s="767">
        <v>1</v>
      </c>
      <c r="D27" s="366"/>
      <c r="E27" s="764">
        <f>E26</f>
        <v>20551.2</v>
      </c>
    </row>
    <row r="28" spans="1:9">
      <c r="A28" s="760">
        <v>8</v>
      </c>
      <c r="B28" s="762" t="s">
        <v>400</v>
      </c>
      <c r="C28" s="767">
        <v>1</v>
      </c>
      <c r="D28" s="366"/>
      <c r="E28" s="764">
        <f>E27</f>
        <v>20551.2</v>
      </c>
    </row>
    <row r="29" spans="1:9">
      <c r="A29" s="760">
        <v>9</v>
      </c>
      <c r="B29" s="762" t="s">
        <v>364</v>
      </c>
      <c r="C29" s="767">
        <v>2</v>
      </c>
      <c r="D29" s="366"/>
      <c r="E29" s="764">
        <f>C29*D20</f>
        <v>41102.400000000001</v>
      </c>
    </row>
    <row r="30" spans="1:9">
      <c r="A30" s="760">
        <v>10</v>
      </c>
      <c r="B30" s="762" t="s">
        <v>401</v>
      </c>
      <c r="C30" s="767">
        <v>2</v>
      </c>
      <c r="D30" s="366"/>
      <c r="E30" s="764">
        <f>C30*D20</f>
        <v>41102.400000000001</v>
      </c>
    </row>
    <row r="31" spans="1:9">
      <c r="A31" s="760">
        <v>11</v>
      </c>
      <c r="B31" s="762" t="s">
        <v>365</v>
      </c>
      <c r="C31" s="767">
        <v>2</v>
      </c>
      <c r="D31" s="366"/>
      <c r="E31" s="764">
        <f>C31*D20</f>
        <v>41102.400000000001</v>
      </c>
    </row>
    <row r="32" spans="1:9">
      <c r="A32" s="760">
        <v>12</v>
      </c>
      <c r="B32" s="762" t="s">
        <v>366</v>
      </c>
      <c r="C32" s="767">
        <v>4</v>
      </c>
      <c r="D32" s="366"/>
      <c r="E32" s="764">
        <f>C32*D20</f>
        <v>82204.800000000003</v>
      </c>
    </row>
    <row r="33" spans="1:5">
      <c r="A33" s="760">
        <v>13</v>
      </c>
      <c r="B33" s="762" t="s">
        <v>402</v>
      </c>
      <c r="C33" s="767">
        <v>1</v>
      </c>
      <c r="D33" s="366"/>
      <c r="E33" s="764">
        <f>D20*C33</f>
        <v>20551.2</v>
      </c>
    </row>
    <row r="34" spans="1:5">
      <c r="A34" s="760">
        <v>14</v>
      </c>
      <c r="B34" s="762" t="s">
        <v>371</v>
      </c>
      <c r="C34" s="767">
        <v>4</v>
      </c>
      <c r="D34" s="366"/>
      <c r="E34" s="764">
        <f>C34*D20</f>
        <v>82204.800000000003</v>
      </c>
    </row>
    <row r="35" spans="1:5">
      <c r="A35" s="760">
        <v>15</v>
      </c>
      <c r="B35" s="762" t="s">
        <v>372</v>
      </c>
      <c r="C35" s="767">
        <v>1</v>
      </c>
      <c r="D35" s="366"/>
      <c r="E35" s="764">
        <f>C35*D20</f>
        <v>20551.2</v>
      </c>
    </row>
    <row r="36" spans="1:5">
      <c r="A36" s="760">
        <v>16</v>
      </c>
      <c r="B36" s="762" t="s">
        <v>373</v>
      </c>
      <c r="C36" s="767">
        <v>1</v>
      </c>
      <c r="D36" s="366"/>
      <c r="E36" s="764">
        <f>C36*D20</f>
        <v>20551.2</v>
      </c>
    </row>
    <row r="37" spans="1:5">
      <c r="A37" s="760">
        <v>17</v>
      </c>
      <c r="B37" s="762" t="s">
        <v>374</v>
      </c>
      <c r="C37" s="767">
        <v>2</v>
      </c>
      <c r="D37" s="366"/>
      <c r="E37" s="764">
        <f>C37*D20</f>
        <v>41102.400000000001</v>
      </c>
    </row>
    <row r="38" spans="1:5">
      <c r="A38" s="760">
        <v>18</v>
      </c>
      <c r="B38" s="762" t="s">
        <v>404</v>
      </c>
      <c r="C38" s="767">
        <v>1</v>
      </c>
      <c r="D38" s="366"/>
      <c r="E38" s="764">
        <f>C38*D20</f>
        <v>20551.2</v>
      </c>
    </row>
    <row r="39" spans="1:5">
      <c r="A39" s="760">
        <v>19</v>
      </c>
      <c r="B39" s="762" t="s">
        <v>405</v>
      </c>
      <c r="C39" s="767">
        <v>1</v>
      </c>
      <c r="D39" s="366"/>
      <c r="E39" s="764">
        <f>C39*D20</f>
        <v>20551.2</v>
      </c>
    </row>
    <row r="40" spans="1:5">
      <c r="A40" s="760">
        <v>20</v>
      </c>
      <c r="B40" s="762" t="s">
        <v>406</v>
      </c>
      <c r="C40" s="767">
        <v>1</v>
      </c>
      <c r="D40" s="366"/>
      <c r="E40" s="764">
        <f>C40*D20</f>
        <v>20551.2</v>
      </c>
    </row>
    <row r="41" spans="1:5">
      <c r="A41" s="760">
        <v>21</v>
      </c>
      <c r="B41" s="762" t="s">
        <v>407</v>
      </c>
      <c r="C41" s="767">
        <v>1</v>
      </c>
      <c r="D41" s="366"/>
      <c r="E41" s="764">
        <f>C40*D20</f>
        <v>20551.2</v>
      </c>
    </row>
    <row r="42" spans="1:5">
      <c r="A42" s="760">
        <v>22</v>
      </c>
      <c r="B42" s="762" t="s">
        <v>377</v>
      </c>
      <c r="C42" s="767">
        <v>1</v>
      </c>
      <c r="D42" s="366"/>
      <c r="E42" s="764">
        <f>C42*D20</f>
        <v>20551.2</v>
      </c>
    </row>
    <row r="43" spans="1:5">
      <c r="A43" s="760">
        <v>23</v>
      </c>
      <c r="B43" s="762" t="s">
        <v>379</v>
      </c>
      <c r="C43" s="767">
        <v>1</v>
      </c>
      <c r="D43" s="366"/>
      <c r="E43" s="764">
        <f>C43*D20</f>
        <v>20551.2</v>
      </c>
    </row>
    <row r="44" spans="1:5">
      <c r="A44" s="760">
        <v>24</v>
      </c>
      <c r="B44" s="762" t="s">
        <v>380</v>
      </c>
      <c r="C44" s="767">
        <v>1</v>
      </c>
      <c r="D44" s="366"/>
      <c r="E44" s="764">
        <f>C44*D20</f>
        <v>20551.2</v>
      </c>
    </row>
    <row r="45" spans="1:5">
      <c r="A45" s="760">
        <v>25</v>
      </c>
      <c r="B45" s="762" t="s">
        <v>408</v>
      </c>
      <c r="C45" s="767">
        <v>1</v>
      </c>
      <c r="D45" s="366"/>
      <c r="E45" s="764">
        <f>C45*D20</f>
        <v>20551.2</v>
      </c>
    </row>
    <row r="46" spans="1:5">
      <c r="A46" s="760">
        <v>26</v>
      </c>
      <c r="B46" s="762" t="s">
        <v>409</v>
      </c>
      <c r="C46" s="767">
        <v>1</v>
      </c>
      <c r="D46" s="366"/>
      <c r="E46" s="764">
        <f>C46*D20</f>
        <v>20551.2</v>
      </c>
    </row>
    <row r="47" spans="1:5">
      <c r="A47" s="760">
        <v>27</v>
      </c>
      <c r="B47" s="762" t="s">
        <v>381</v>
      </c>
      <c r="C47" s="767">
        <v>2</v>
      </c>
      <c r="D47" s="366"/>
      <c r="E47" s="764">
        <f>C47*D20</f>
        <v>41102.400000000001</v>
      </c>
    </row>
    <row r="48" spans="1:5">
      <c r="A48" s="760">
        <v>28</v>
      </c>
      <c r="B48" s="762" t="s">
        <v>382</v>
      </c>
      <c r="C48" s="767">
        <v>1</v>
      </c>
      <c r="D48" s="366"/>
      <c r="E48" s="764">
        <f>C48*D20</f>
        <v>20551.2</v>
      </c>
    </row>
    <row r="49" spans="1:9">
      <c r="A49" s="760">
        <v>29</v>
      </c>
      <c r="B49" s="762" t="s">
        <v>363</v>
      </c>
      <c r="C49" s="767">
        <v>1</v>
      </c>
      <c r="D49" s="366"/>
      <c r="E49" s="764">
        <f>C49*D20</f>
        <v>20551.2</v>
      </c>
    </row>
    <row r="50" spans="1:9">
      <c r="A50" s="760">
        <v>30</v>
      </c>
      <c r="B50" s="762" t="s">
        <v>383</v>
      </c>
      <c r="C50" s="767">
        <v>1</v>
      </c>
      <c r="D50" s="366"/>
      <c r="E50" s="764">
        <f>C50*D20</f>
        <v>20551.2</v>
      </c>
    </row>
    <row r="51" spans="1:9">
      <c r="A51" s="760">
        <v>31</v>
      </c>
      <c r="B51" s="762" t="s">
        <v>384</v>
      </c>
      <c r="C51" s="767">
        <v>1</v>
      </c>
      <c r="D51" s="366"/>
      <c r="E51" s="764">
        <f>C51*D20</f>
        <v>20551.2</v>
      </c>
    </row>
    <row r="52" spans="1:9">
      <c r="A52" s="760">
        <v>32</v>
      </c>
      <c r="B52" s="762" t="s">
        <v>385</v>
      </c>
      <c r="C52" s="767">
        <v>1</v>
      </c>
      <c r="D52" s="366"/>
      <c r="E52" s="764">
        <f>C52*D20</f>
        <v>20551.2</v>
      </c>
    </row>
    <row r="53" spans="1:9">
      <c r="A53" s="760">
        <v>33</v>
      </c>
      <c r="B53" s="762" t="s">
        <v>367</v>
      </c>
      <c r="C53" s="767">
        <v>1</v>
      </c>
      <c r="D53" s="366"/>
      <c r="E53" s="764">
        <f>C53*D20</f>
        <v>20551.2</v>
      </c>
    </row>
    <row r="54" spans="1:9">
      <c r="A54" s="760">
        <v>34</v>
      </c>
      <c r="B54" s="762" t="s">
        <v>466</v>
      </c>
      <c r="C54" s="767">
        <v>1</v>
      </c>
      <c r="D54" s="366"/>
      <c r="E54" s="764">
        <f>C54*D20</f>
        <v>20551.2</v>
      </c>
    </row>
    <row r="55" spans="1:9">
      <c r="A55" s="760">
        <v>35</v>
      </c>
      <c r="B55" s="762" t="s">
        <v>386</v>
      </c>
      <c r="C55" s="767">
        <v>3</v>
      </c>
      <c r="D55" s="366"/>
      <c r="E55" s="764">
        <f>C55*D20</f>
        <v>61653.600000000006</v>
      </c>
    </row>
    <row r="56" spans="1:9">
      <c r="A56" s="760">
        <v>36</v>
      </c>
      <c r="B56" s="762" t="s">
        <v>411</v>
      </c>
      <c r="C56" s="767">
        <v>1</v>
      </c>
      <c r="D56" s="366"/>
      <c r="E56" s="764">
        <f>C56*D20</f>
        <v>20551.2</v>
      </c>
    </row>
    <row r="57" spans="1:9">
      <c r="A57" s="760">
        <v>37</v>
      </c>
      <c r="B57" s="762" t="s">
        <v>414</v>
      </c>
      <c r="C57" s="767">
        <v>1</v>
      </c>
      <c r="D57" s="366"/>
      <c r="E57" s="764">
        <f>C57*D20</f>
        <v>20551.2</v>
      </c>
    </row>
    <row r="58" spans="1:9">
      <c r="A58" s="760">
        <v>38</v>
      </c>
      <c r="B58" s="762" t="s">
        <v>389</v>
      </c>
      <c r="C58" s="767">
        <v>1</v>
      </c>
      <c r="D58" s="366"/>
      <c r="E58" s="764">
        <f>C58*D20</f>
        <v>20551.2</v>
      </c>
    </row>
    <row r="59" spans="1:9">
      <c r="A59" s="760">
        <v>39</v>
      </c>
      <c r="B59" s="762" t="s">
        <v>387</v>
      </c>
      <c r="C59" s="767">
        <v>1</v>
      </c>
      <c r="D59" s="366"/>
      <c r="E59" s="764">
        <f>C59*D20</f>
        <v>20551.2</v>
      </c>
      <c r="F59" s="432"/>
      <c r="G59" s="432">
        <f>SUM(C21:C59)</f>
        <v>55</v>
      </c>
    </row>
    <row r="60" spans="1:9">
      <c r="B60" s="762"/>
      <c r="C60" s="767"/>
      <c r="D60" s="366"/>
      <c r="E60" s="764"/>
      <c r="F60" s="371">
        <f>SUM(E21:E59)</f>
        <v>1189213.5999999992</v>
      </c>
    </row>
    <row r="61" spans="1:9" s="367" customFormat="1">
      <c r="B61" s="367" t="s">
        <v>299</v>
      </c>
      <c r="C61" s="768">
        <v>14271</v>
      </c>
      <c r="D61" s="769">
        <f>C61+(C61*$D$2)</f>
        <v>17125.2</v>
      </c>
      <c r="E61" s="371"/>
      <c r="G61" s="432"/>
      <c r="H61" s="760"/>
      <c r="I61" s="760"/>
    </row>
    <row r="62" spans="1:9">
      <c r="A62" s="760">
        <v>1</v>
      </c>
      <c r="B62" s="762" t="s">
        <v>394</v>
      </c>
      <c r="C62" s="767">
        <v>3</v>
      </c>
      <c r="D62" s="366">
        <f>D61</f>
        <v>17125.2</v>
      </c>
      <c r="E62" s="764">
        <f>D62*C62</f>
        <v>51375.600000000006</v>
      </c>
    </row>
    <row r="63" spans="1:9">
      <c r="A63" s="760">
        <v>2</v>
      </c>
      <c r="B63" s="762" t="s">
        <v>395</v>
      </c>
      <c r="C63" s="767">
        <v>3</v>
      </c>
      <c r="D63" s="366">
        <f t="shared" ref="D63:D74" si="0">D62</f>
        <v>17125.2</v>
      </c>
      <c r="E63" s="764">
        <f t="shared" ref="E63:E74" si="1">D63*C63</f>
        <v>51375.600000000006</v>
      </c>
    </row>
    <row r="64" spans="1:9">
      <c r="A64" s="760">
        <v>3</v>
      </c>
      <c r="B64" s="762" t="s">
        <v>396</v>
      </c>
      <c r="C64" s="767">
        <v>3</v>
      </c>
      <c r="D64" s="366">
        <f t="shared" si="0"/>
        <v>17125.2</v>
      </c>
      <c r="E64" s="764">
        <f t="shared" si="1"/>
        <v>51375.600000000006</v>
      </c>
    </row>
    <row r="65" spans="1:9">
      <c r="A65" s="760">
        <v>4</v>
      </c>
      <c r="B65" s="762" t="s">
        <v>403</v>
      </c>
      <c r="C65" s="767">
        <v>1</v>
      </c>
      <c r="D65" s="366">
        <f t="shared" si="0"/>
        <v>17125.2</v>
      </c>
      <c r="E65" s="764">
        <f t="shared" si="1"/>
        <v>17125.2</v>
      </c>
    </row>
    <row r="66" spans="1:9">
      <c r="A66" s="760">
        <v>5</v>
      </c>
      <c r="B66" s="762" t="s">
        <v>367</v>
      </c>
      <c r="C66" s="767">
        <v>1</v>
      </c>
      <c r="D66" s="366">
        <f t="shared" si="0"/>
        <v>17125.2</v>
      </c>
      <c r="E66" s="764">
        <f t="shared" si="1"/>
        <v>17125.2</v>
      </c>
    </row>
    <row r="67" spans="1:9">
      <c r="A67" s="760">
        <v>6</v>
      </c>
      <c r="B67" s="762" t="s">
        <v>368</v>
      </c>
      <c r="C67" s="767">
        <v>1</v>
      </c>
      <c r="D67" s="366">
        <f t="shared" si="0"/>
        <v>17125.2</v>
      </c>
      <c r="E67" s="764">
        <f t="shared" si="1"/>
        <v>17125.2</v>
      </c>
    </row>
    <row r="68" spans="1:9">
      <c r="A68" s="760">
        <v>7</v>
      </c>
      <c r="B68" s="762" t="s">
        <v>376</v>
      </c>
      <c r="C68" s="767">
        <v>1</v>
      </c>
      <c r="D68" s="366">
        <f t="shared" si="0"/>
        <v>17125.2</v>
      </c>
      <c r="E68" s="764">
        <f t="shared" si="1"/>
        <v>17125.2</v>
      </c>
    </row>
    <row r="69" spans="1:9">
      <c r="A69" s="760">
        <v>9</v>
      </c>
      <c r="B69" s="762" t="s">
        <v>378</v>
      </c>
      <c r="C69" s="767">
        <v>1</v>
      </c>
      <c r="D69" s="366">
        <f t="shared" si="0"/>
        <v>17125.2</v>
      </c>
      <c r="E69" s="764">
        <f t="shared" si="1"/>
        <v>17125.2</v>
      </c>
    </row>
    <row r="70" spans="1:9">
      <c r="A70" s="760">
        <v>11</v>
      </c>
      <c r="B70" s="762" t="s">
        <v>410</v>
      </c>
      <c r="C70" s="767">
        <v>1</v>
      </c>
      <c r="D70" s="366">
        <f t="shared" si="0"/>
        <v>17125.2</v>
      </c>
      <c r="E70" s="764">
        <f t="shared" si="1"/>
        <v>17125.2</v>
      </c>
    </row>
    <row r="71" spans="1:9">
      <c r="A71" s="760">
        <v>13</v>
      </c>
      <c r="B71" s="762" t="s">
        <v>412</v>
      </c>
      <c r="C71" s="767">
        <v>1</v>
      </c>
      <c r="D71" s="366">
        <f t="shared" si="0"/>
        <v>17125.2</v>
      </c>
      <c r="E71" s="764">
        <f t="shared" si="1"/>
        <v>17125.2</v>
      </c>
    </row>
    <row r="72" spans="1:9">
      <c r="A72" s="760">
        <v>14</v>
      </c>
      <c r="B72" s="762" t="s">
        <v>388</v>
      </c>
      <c r="C72" s="767">
        <v>1</v>
      </c>
      <c r="D72" s="366">
        <f t="shared" si="0"/>
        <v>17125.2</v>
      </c>
      <c r="E72" s="764">
        <f t="shared" si="1"/>
        <v>17125.2</v>
      </c>
    </row>
    <row r="73" spans="1:9">
      <c r="A73" s="760">
        <v>15</v>
      </c>
      <c r="B73" s="762" t="s">
        <v>390</v>
      </c>
      <c r="C73" s="767">
        <v>1</v>
      </c>
      <c r="D73" s="366">
        <f t="shared" si="0"/>
        <v>17125.2</v>
      </c>
      <c r="E73" s="764">
        <f t="shared" si="1"/>
        <v>17125.2</v>
      </c>
      <c r="G73" s="432">
        <f>SUM(C62:C74)</f>
        <v>19</v>
      </c>
    </row>
    <row r="74" spans="1:9">
      <c r="A74" s="760">
        <v>16</v>
      </c>
      <c r="B74" s="762" t="s">
        <v>413</v>
      </c>
      <c r="C74" s="767">
        <v>1</v>
      </c>
      <c r="D74" s="366">
        <f t="shared" si="0"/>
        <v>17125.2</v>
      </c>
      <c r="E74" s="764">
        <f t="shared" si="1"/>
        <v>17125.2</v>
      </c>
      <c r="I74" s="770"/>
    </row>
    <row r="75" spans="1:9">
      <c r="B75" s="760" t="s">
        <v>298</v>
      </c>
      <c r="C75" s="765">
        <v>14271</v>
      </c>
      <c r="D75" s="766">
        <f t="shared" ref="D75:D85" si="2">C75+(C75*$D$2)</f>
        <v>17125.2</v>
      </c>
      <c r="F75" s="371">
        <f>SUM(E62:E74)</f>
        <v>325378.8000000001</v>
      </c>
    </row>
    <row r="76" spans="1:9">
      <c r="B76" s="760" t="s">
        <v>297</v>
      </c>
      <c r="C76" s="765">
        <v>11403</v>
      </c>
      <c r="D76" s="766">
        <f t="shared" si="2"/>
        <v>13683.6</v>
      </c>
    </row>
    <row r="77" spans="1:9">
      <c r="B77" s="760" t="s">
        <v>296</v>
      </c>
      <c r="C77" s="765">
        <v>17126</v>
      </c>
      <c r="D77" s="766">
        <f t="shared" si="2"/>
        <v>20551.2</v>
      </c>
    </row>
    <row r="78" spans="1:9">
      <c r="B78" s="760" t="s">
        <v>295</v>
      </c>
      <c r="C78" s="765">
        <v>8553</v>
      </c>
      <c r="D78" s="766">
        <f t="shared" si="2"/>
        <v>10263.6</v>
      </c>
    </row>
    <row r="79" spans="1:9">
      <c r="B79" s="760" t="s">
        <v>294</v>
      </c>
      <c r="C79" s="765">
        <v>7143</v>
      </c>
      <c r="D79" s="766">
        <f t="shared" si="2"/>
        <v>8571.6</v>
      </c>
    </row>
    <row r="80" spans="1:9">
      <c r="B80" s="760" t="s">
        <v>293</v>
      </c>
      <c r="C80" s="765">
        <v>17126</v>
      </c>
      <c r="D80" s="766">
        <f t="shared" si="2"/>
        <v>20551.2</v>
      </c>
    </row>
    <row r="81" spans="2:4">
      <c r="B81" s="760" t="s">
        <v>292</v>
      </c>
      <c r="C81" s="765">
        <v>14271</v>
      </c>
      <c r="D81" s="766">
        <f t="shared" si="2"/>
        <v>17125.2</v>
      </c>
    </row>
    <row r="82" spans="2:4">
      <c r="B82" s="760" t="s">
        <v>291</v>
      </c>
      <c r="C82" s="765">
        <v>4120</v>
      </c>
      <c r="D82" s="766">
        <f t="shared" si="2"/>
        <v>4944</v>
      </c>
    </row>
    <row r="83" spans="2:4">
      <c r="B83" s="760" t="s">
        <v>290</v>
      </c>
      <c r="C83" s="765">
        <v>2980</v>
      </c>
      <c r="D83" s="766">
        <f t="shared" si="2"/>
        <v>3576</v>
      </c>
    </row>
    <row r="84" spans="2:4">
      <c r="B84" s="760" t="s">
        <v>289</v>
      </c>
      <c r="C84" s="765">
        <v>3313</v>
      </c>
      <c r="D84" s="766">
        <f t="shared" si="2"/>
        <v>3975.6</v>
      </c>
    </row>
    <row r="85" spans="2:4" ht="16" thickBot="1">
      <c r="B85" s="760" t="s">
        <v>288</v>
      </c>
      <c r="C85" s="765">
        <v>2476</v>
      </c>
      <c r="D85" s="771">
        <f t="shared" si="2"/>
        <v>2971.2</v>
      </c>
    </row>
    <row r="86" spans="2:4">
      <c r="D86" s="360"/>
    </row>
    <row r="87" spans="2:4">
      <c r="D87" s="360"/>
    </row>
    <row r="88" spans="2:4">
      <c r="D88" s="360"/>
    </row>
    <row r="89" spans="2:4">
      <c r="D89" s="360"/>
    </row>
    <row r="90" spans="2:4">
      <c r="D90" s="360"/>
    </row>
    <row r="107" spans="9:9">
      <c r="I107" s="760" t="s">
        <v>369</v>
      </c>
    </row>
    <row r="110" spans="9:9">
      <c r="I110" s="760" t="s">
        <v>358</v>
      </c>
    </row>
  </sheetData>
  <mergeCells count="3">
    <mergeCell ref="B3:B4"/>
    <mergeCell ref="C3:C4"/>
    <mergeCell ref="D3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  <pageSetUpPr fitToPage="1"/>
  </sheetPr>
  <dimension ref="A1:AK1524"/>
  <sheetViews>
    <sheetView zoomScale="75" zoomScaleNormal="70" workbookViewId="0">
      <pane xSplit="12" ySplit="10" topLeftCell="N706" activePane="bottomRight" state="frozen"/>
      <selection pane="topRight" activeCell="M1" sqref="M1"/>
      <selection pane="bottomLeft" activeCell="A11" sqref="A11"/>
      <selection pane="bottomRight" activeCell="C712" sqref="C712"/>
    </sheetView>
  </sheetViews>
  <sheetFormatPr baseColWidth="10" defaultColWidth="11.33203125" defaultRowHeight="13"/>
  <cols>
    <col min="1" max="1" width="1.33203125" style="1" customWidth="1"/>
    <col min="2" max="2" width="4.33203125" style="321" bestFit="1" customWidth="1"/>
    <col min="3" max="3" width="17.6640625" style="859" customWidth="1"/>
    <col min="4" max="4" width="64.6640625" style="2" customWidth="1"/>
    <col min="5" max="5" width="25.5" style="3" bestFit="1" customWidth="1"/>
    <col min="6" max="6" width="13.5" style="2" customWidth="1"/>
    <col min="7" max="7" width="13.6640625" style="2" customWidth="1"/>
    <col min="8" max="8" width="16.33203125" style="2" customWidth="1"/>
    <col min="9" max="9" width="18.6640625" style="4" bestFit="1" customWidth="1"/>
    <col min="10" max="10" width="12.5" style="4" customWidth="1"/>
    <col min="11" max="11" width="10.1640625" style="162" customWidth="1"/>
    <col min="12" max="12" width="0.33203125" style="162" customWidth="1"/>
    <col min="13" max="13" width="7.5" style="609" bestFit="1" customWidth="1"/>
    <col min="14" max="14" width="15.5" style="578" bestFit="1" customWidth="1"/>
    <col min="15" max="18" width="21" style="1" bestFit="1" customWidth="1"/>
    <col min="19" max="20" width="21.5" style="1" bestFit="1" customWidth="1"/>
    <col min="21" max="21" width="22.5" style="1" bestFit="1" customWidth="1"/>
    <col min="22" max="22" width="23" style="1" bestFit="1" customWidth="1"/>
    <col min="23" max="25" width="22.5" style="1" bestFit="1" customWidth="1"/>
    <col min="26" max="26" width="22" style="1" bestFit="1" customWidth="1"/>
    <col min="27" max="27" width="23.5" style="1" bestFit="1" customWidth="1"/>
    <col min="28" max="28" width="22" style="1" bestFit="1" customWidth="1"/>
    <col min="29" max="29" width="21.6640625" style="1" bestFit="1" customWidth="1"/>
    <col min="30" max="30" width="21" style="1" bestFit="1" customWidth="1"/>
    <col min="31" max="31" width="19.5" style="1" bestFit="1" customWidth="1"/>
    <col min="32" max="32" width="17.83203125" style="1" bestFit="1" customWidth="1"/>
    <col min="33" max="33" width="20.5" style="1" bestFit="1" customWidth="1"/>
    <col min="34" max="35" width="17.83203125" style="1" bestFit="1" customWidth="1"/>
    <col min="36" max="36" width="21.5" style="1" bestFit="1" customWidth="1"/>
    <col min="37" max="37" width="15.6640625" style="1" bestFit="1" customWidth="1"/>
    <col min="38" max="16384" width="11.33203125" style="1"/>
  </cols>
  <sheetData>
    <row r="1" spans="1:36" ht="12.75" customHeight="1" thickBot="1">
      <c r="A1" s="5"/>
      <c r="B1" s="218"/>
      <c r="C1" s="829"/>
      <c r="D1" s="8"/>
      <c r="E1" s="9"/>
      <c r="F1" s="8"/>
      <c r="G1" s="8"/>
      <c r="H1" s="10"/>
      <c r="I1" s="10"/>
      <c r="J1" s="10"/>
      <c r="K1" s="155"/>
      <c r="L1" s="155"/>
      <c r="M1" s="155"/>
      <c r="N1" s="695"/>
    </row>
    <row r="2" spans="1:36" ht="17" customHeight="1" thickTop="1" thickBot="1">
      <c r="A2" s="5"/>
      <c r="B2" s="308"/>
      <c r="C2" s="830"/>
      <c r="D2" s="11"/>
      <c r="E2" s="12"/>
      <c r="F2" s="11"/>
      <c r="G2" s="11"/>
      <c r="H2" s="434"/>
      <c r="I2" s="434"/>
      <c r="J2" s="434"/>
      <c r="K2" s="435"/>
      <c r="L2" s="436"/>
      <c r="M2" s="436"/>
      <c r="N2" s="696"/>
    </row>
    <row r="3" spans="1:36" ht="15.75" customHeight="1" thickBot="1">
      <c r="A3" s="5"/>
      <c r="B3" s="309"/>
      <c r="C3" s="907"/>
      <c r="D3" s="908"/>
      <c r="E3" s="13" t="s">
        <v>0</v>
      </c>
      <c r="F3" s="209">
        <v>6</v>
      </c>
      <c r="G3" s="15" t="s">
        <v>1</v>
      </c>
      <c r="H3" s="14">
        <v>0</v>
      </c>
      <c r="I3" s="16">
        <v>30</v>
      </c>
      <c r="J3" s="288"/>
      <c r="K3" s="156"/>
      <c r="L3" s="383"/>
      <c r="M3" s="542"/>
    </row>
    <row r="4" spans="1:36" ht="15.75" customHeight="1" thickBot="1">
      <c r="A4" s="5"/>
      <c r="B4" s="309"/>
      <c r="C4" s="907"/>
      <c r="D4" s="909"/>
      <c r="E4" s="17" t="s">
        <v>3</v>
      </c>
      <c r="F4" s="210">
        <v>6</v>
      </c>
      <c r="G4" s="19" t="s">
        <v>4</v>
      </c>
      <c r="H4" s="18">
        <v>0</v>
      </c>
      <c r="I4" s="285"/>
      <c r="J4" s="289"/>
      <c r="K4" s="156"/>
      <c r="L4" s="383"/>
      <c r="M4" s="542"/>
    </row>
    <row r="5" spans="1:36" ht="15.75" customHeight="1" thickBot="1">
      <c r="A5" s="5"/>
      <c r="B5" s="309"/>
      <c r="C5" s="907"/>
      <c r="D5" s="909"/>
      <c r="E5" s="17" t="s">
        <v>5</v>
      </c>
      <c r="F5" s="210"/>
      <c r="G5" s="19" t="s">
        <v>6</v>
      </c>
      <c r="H5" s="18">
        <f>5*2.25 +2</f>
        <v>13.25</v>
      </c>
      <c r="I5" s="286"/>
      <c r="J5" s="290"/>
      <c r="K5" s="156"/>
      <c r="L5" s="383"/>
      <c r="M5" s="542"/>
    </row>
    <row r="6" spans="1:36" s="26" customFormat="1" ht="20" customHeight="1" thickBot="1">
      <c r="A6" s="20"/>
      <c r="B6" s="310"/>
      <c r="C6" s="831"/>
      <c r="D6" s="22" t="s">
        <v>7</v>
      </c>
      <c r="E6" s="23"/>
      <c r="F6" s="23"/>
      <c r="G6" s="24"/>
      <c r="H6" s="493" t="s">
        <v>8</v>
      </c>
      <c r="I6" s="25"/>
      <c r="J6" s="291"/>
      <c r="K6" s="157" t="s">
        <v>268</v>
      </c>
      <c r="L6" s="384"/>
      <c r="M6" s="594"/>
      <c r="N6" s="697"/>
      <c r="O6" s="656" t="s">
        <v>541</v>
      </c>
      <c r="P6" s="905" t="s">
        <v>542</v>
      </c>
      <c r="Q6" s="905"/>
      <c r="R6" s="905"/>
      <c r="S6" s="905"/>
      <c r="T6" s="905"/>
      <c r="U6" s="905" t="s">
        <v>543</v>
      </c>
      <c r="V6" s="905"/>
      <c r="W6" s="905"/>
      <c r="X6" s="905"/>
      <c r="Y6" s="905" t="s">
        <v>544</v>
      </c>
      <c r="Z6" s="905"/>
      <c r="AA6" s="905"/>
      <c r="AB6" s="905"/>
      <c r="AC6" s="905"/>
      <c r="AD6" s="905" t="s">
        <v>545</v>
      </c>
      <c r="AE6" s="905"/>
      <c r="AF6" s="905"/>
      <c r="AG6" s="905"/>
      <c r="AH6" s="905" t="s">
        <v>546</v>
      </c>
      <c r="AI6" s="905"/>
      <c r="AJ6" s="905"/>
    </row>
    <row r="7" spans="1:36" s="53" customFormat="1" ht="14">
      <c r="A7" s="5"/>
      <c r="B7" s="309"/>
      <c r="C7" s="832"/>
      <c r="D7" s="49"/>
      <c r="E7" s="9"/>
      <c r="F7" s="8"/>
      <c r="G7" s="8"/>
      <c r="H7" s="50"/>
      <c r="I7" s="51"/>
      <c r="J7" s="51"/>
      <c r="K7" s="156"/>
      <c r="L7" s="383"/>
      <c r="M7" s="542"/>
      <c r="N7" s="698"/>
      <c r="O7" s="657">
        <v>44767</v>
      </c>
      <c r="P7" s="657">
        <v>44774</v>
      </c>
      <c r="Q7" s="657">
        <v>44781</v>
      </c>
      <c r="R7" s="657">
        <v>44788</v>
      </c>
      <c r="S7" s="657">
        <v>44795</v>
      </c>
      <c r="T7" s="657">
        <v>44802</v>
      </c>
      <c r="U7" s="657">
        <v>44809</v>
      </c>
      <c r="V7" s="657">
        <v>44816</v>
      </c>
      <c r="W7" s="657">
        <v>44823</v>
      </c>
      <c r="X7" s="657">
        <v>44830</v>
      </c>
      <c r="Y7" s="657">
        <v>44837</v>
      </c>
      <c r="Z7" s="657">
        <v>44844</v>
      </c>
      <c r="AA7" s="657">
        <v>44851</v>
      </c>
      <c r="AB7" s="657">
        <v>44858</v>
      </c>
      <c r="AC7" s="657">
        <v>44865</v>
      </c>
      <c r="AD7" s="657">
        <v>44872</v>
      </c>
      <c r="AE7" s="657">
        <v>44879</v>
      </c>
      <c r="AF7" s="657">
        <v>44886</v>
      </c>
      <c r="AG7" s="657">
        <v>44893</v>
      </c>
      <c r="AH7" s="657">
        <v>44900</v>
      </c>
      <c r="AI7" s="657">
        <v>44907</v>
      </c>
      <c r="AJ7" s="657">
        <v>44914</v>
      </c>
    </row>
    <row r="8" spans="1:36" s="36" customFormat="1" ht="20" customHeight="1">
      <c r="A8" s="31"/>
      <c r="B8" s="311"/>
      <c r="C8" s="833"/>
      <c r="D8" s="171" t="s">
        <v>11</v>
      </c>
      <c r="E8" s="54"/>
      <c r="F8" s="54"/>
      <c r="G8" s="54"/>
      <c r="H8" s="54"/>
      <c r="I8" s="55"/>
      <c r="J8" s="55"/>
      <c r="K8" s="160"/>
      <c r="L8" s="385"/>
      <c r="M8" s="595"/>
      <c r="N8" s="699"/>
      <c r="W8" s="901" t="s">
        <v>534</v>
      </c>
      <c r="X8" s="901"/>
      <c r="Y8" s="901"/>
      <c r="Z8" s="901"/>
      <c r="AA8" s="901"/>
      <c r="AB8" s="901"/>
      <c r="AC8" s="901"/>
      <c r="AD8" s="901"/>
      <c r="AE8" s="901"/>
      <c r="AF8" s="901"/>
      <c r="AG8" s="901"/>
      <c r="AH8" s="901"/>
      <c r="AI8" s="901"/>
      <c r="AJ8" s="901"/>
    </row>
    <row r="9" spans="1:36" s="53" customFormat="1" ht="14">
      <c r="A9" s="5"/>
      <c r="B9" s="309"/>
      <c r="C9" s="832"/>
      <c r="D9" s="49"/>
      <c r="E9" s="9"/>
      <c r="F9" s="8"/>
      <c r="G9" s="8"/>
      <c r="H9" s="50"/>
      <c r="I9" s="51"/>
      <c r="J9" s="51"/>
      <c r="K9" s="156"/>
      <c r="L9" s="383"/>
      <c r="M9" s="542"/>
      <c r="N9" s="698"/>
      <c r="O9" s="902" t="s">
        <v>525</v>
      </c>
      <c r="P9" s="902"/>
      <c r="Q9" s="902"/>
      <c r="R9" s="902"/>
      <c r="S9" s="902"/>
      <c r="T9" s="902"/>
      <c r="U9" s="902"/>
      <c r="V9" s="902"/>
      <c r="W9" s="903" t="s">
        <v>9</v>
      </c>
      <c r="X9" s="903"/>
      <c r="Y9" s="903"/>
      <c r="Z9" s="903"/>
      <c r="AA9" s="903"/>
      <c r="AB9" s="903"/>
    </row>
    <row r="10" spans="1:36" s="48" customFormat="1" ht="15" customHeight="1">
      <c r="A10" s="45"/>
      <c r="B10" s="312"/>
      <c r="C10" s="834"/>
      <c r="D10" s="33" t="s">
        <v>12</v>
      </c>
      <c r="E10" s="56" t="s">
        <v>13</v>
      </c>
      <c r="F10" s="57" t="s">
        <v>14</v>
      </c>
      <c r="G10" s="860" t="s">
        <v>15</v>
      </c>
      <c r="H10" s="192" t="s">
        <v>8</v>
      </c>
      <c r="I10" s="59"/>
      <c r="J10" s="292"/>
      <c r="K10" s="158"/>
      <c r="L10" s="386"/>
      <c r="M10" s="593"/>
      <c r="N10" s="700"/>
      <c r="O10" s="48" t="s">
        <v>526</v>
      </c>
      <c r="P10" s="48" t="s">
        <v>527</v>
      </c>
      <c r="Q10" s="48" t="s">
        <v>528</v>
      </c>
      <c r="R10" s="48" t="s">
        <v>529</v>
      </c>
      <c r="S10" s="48" t="s">
        <v>530</v>
      </c>
      <c r="T10" s="48" t="s">
        <v>531</v>
      </c>
      <c r="U10" s="48" t="s">
        <v>532</v>
      </c>
      <c r="V10" s="48" t="s">
        <v>533</v>
      </c>
      <c r="W10" s="48" t="s">
        <v>526</v>
      </c>
      <c r="X10" s="48" t="s">
        <v>527</v>
      </c>
      <c r="Y10" s="48" t="s">
        <v>528</v>
      </c>
      <c r="Z10" s="48" t="s">
        <v>529</v>
      </c>
      <c r="AA10" s="48" t="s">
        <v>530</v>
      </c>
      <c r="AB10" s="48" t="s">
        <v>531</v>
      </c>
      <c r="AC10" s="48" t="s">
        <v>532</v>
      </c>
      <c r="AD10" s="48" t="s">
        <v>533</v>
      </c>
      <c r="AE10" s="48" t="s">
        <v>535</v>
      </c>
      <c r="AF10" s="48" t="s">
        <v>536</v>
      </c>
      <c r="AG10" s="48" t="s">
        <v>537</v>
      </c>
      <c r="AH10" s="48" t="s">
        <v>538</v>
      </c>
      <c r="AI10" s="48" t="s">
        <v>539</v>
      </c>
      <c r="AJ10" s="48" t="s">
        <v>540</v>
      </c>
    </row>
    <row r="11" spans="1:36" ht="15" customHeight="1">
      <c r="A11" s="5"/>
      <c r="B11" s="313"/>
      <c r="C11" s="835" t="s">
        <v>853</v>
      </c>
      <c r="D11" s="189" t="s">
        <v>312</v>
      </c>
      <c r="E11" s="61" t="s">
        <v>16</v>
      </c>
      <c r="F11" s="207"/>
      <c r="G11" s="63">
        <v>1</v>
      </c>
      <c r="H11" s="674">
        <f t="shared" ref="H11:H16" si="0">F11*G11</f>
        <v>0</v>
      </c>
      <c r="I11" s="65"/>
      <c r="J11" s="293"/>
      <c r="K11" s="156"/>
      <c r="L11" s="383"/>
      <c r="M11" s="542"/>
      <c r="N11" s="578">
        <f t="shared" ref="N11:N18" si="1">SUM(O11:AL11)-H11</f>
        <v>0</v>
      </c>
      <c r="O11" s="675"/>
      <c r="P11" s="675"/>
      <c r="Q11" s="675"/>
      <c r="R11" s="675"/>
      <c r="S11" s="675"/>
      <c r="T11" s="675"/>
      <c r="U11" s="675"/>
      <c r="V11" s="675"/>
      <c r="W11" s="675"/>
      <c r="X11" s="675"/>
      <c r="Y11" s="675"/>
      <c r="Z11" s="675"/>
      <c r="AA11" s="675"/>
      <c r="AB11" s="675"/>
      <c r="AC11" s="675"/>
      <c r="AD11" s="675"/>
      <c r="AE11" s="675"/>
      <c r="AF11" s="675"/>
      <c r="AG11" s="675"/>
      <c r="AH11" s="675"/>
      <c r="AI11" s="675"/>
      <c r="AJ11" s="675"/>
    </row>
    <row r="12" spans="1:36" ht="15" customHeight="1">
      <c r="A12" s="5"/>
      <c r="B12" s="313"/>
      <c r="C12" s="835" t="s">
        <v>854</v>
      </c>
      <c r="D12" s="66" t="s">
        <v>458</v>
      </c>
      <c r="E12" s="67" t="s">
        <v>16</v>
      </c>
      <c r="F12" s="207">
        <v>0</v>
      </c>
      <c r="G12" s="69">
        <v>1</v>
      </c>
      <c r="H12" s="64">
        <f t="shared" si="0"/>
        <v>0</v>
      </c>
      <c r="I12" s="65"/>
      <c r="J12" s="293"/>
      <c r="K12" s="156"/>
      <c r="L12" s="383"/>
      <c r="M12" s="542"/>
      <c r="N12" s="578">
        <f t="shared" si="1"/>
        <v>0</v>
      </c>
      <c r="O12" s="675"/>
      <c r="P12" s="675"/>
      <c r="Q12" s="675"/>
      <c r="R12" s="675"/>
      <c r="S12" s="675"/>
      <c r="T12" s="675"/>
      <c r="U12" s="675"/>
      <c r="V12" s="675"/>
      <c r="W12" s="675"/>
      <c r="X12" s="675"/>
      <c r="Y12" s="675"/>
      <c r="Z12" s="675"/>
      <c r="AA12" s="675"/>
      <c r="AB12" s="675"/>
      <c r="AC12" s="675"/>
      <c r="AD12" s="675"/>
      <c r="AE12" s="675"/>
      <c r="AF12" s="675"/>
      <c r="AG12" s="675"/>
      <c r="AH12" s="675"/>
      <c r="AI12" s="675"/>
      <c r="AJ12" s="675"/>
    </row>
    <row r="13" spans="1:36" ht="15" customHeight="1">
      <c r="A13" s="5"/>
      <c r="B13" s="313"/>
      <c r="C13" s="835" t="s">
        <v>855</v>
      </c>
      <c r="D13" s="66" t="s">
        <v>17</v>
      </c>
      <c r="E13" s="67" t="s">
        <v>16</v>
      </c>
      <c r="F13" s="68"/>
      <c r="G13" s="69">
        <v>1</v>
      </c>
      <c r="H13" s="64">
        <f t="shared" si="0"/>
        <v>0</v>
      </c>
      <c r="I13" s="65"/>
      <c r="J13" s="293"/>
      <c r="K13" s="156"/>
      <c r="L13" s="383"/>
      <c r="M13" s="542"/>
      <c r="N13" s="578">
        <f t="shared" si="1"/>
        <v>0</v>
      </c>
      <c r="O13" s="675"/>
      <c r="P13" s="675"/>
      <c r="Q13" s="675"/>
      <c r="R13" s="675"/>
      <c r="S13" s="675"/>
      <c r="T13" s="675"/>
      <c r="U13" s="675"/>
      <c r="V13" s="675"/>
      <c r="W13" s="675"/>
      <c r="X13" s="675"/>
      <c r="Y13" s="675"/>
      <c r="Z13" s="675"/>
      <c r="AA13" s="675"/>
      <c r="AB13" s="675"/>
      <c r="AC13" s="675"/>
      <c r="AD13" s="675"/>
      <c r="AE13" s="675"/>
      <c r="AF13" s="675"/>
      <c r="AG13" s="675"/>
      <c r="AH13" s="675"/>
      <c r="AI13" s="675"/>
      <c r="AJ13" s="675"/>
    </row>
    <row r="14" spans="1:36" ht="15" customHeight="1">
      <c r="A14" s="5"/>
      <c r="B14" s="313"/>
      <c r="C14" s="835" t="s">
        <v>856</v>
      </c>
      <c r="D14" s="70" t="s">
        <v>423</v>
      </c>
      <c r="E14" s="67" t="s">
        <v>16</v>
      </c>
      <c r="F14" s="64">
        <v>200000</v>
      </c>
      <c r="G14" s="69">
        <v>1</v>
      </c>
      <c r="H14" s="64">
        <f t="shared" si="0"/>
        <v>200000</v>
      </c>
      <c r="I14" s="65"/>
      <c r="J14" s="293"/>
      <c r="K14" s="156"/>
      <c r="L14" s="383"/>
      <c r="M14" s="542"/>
      <c r="N14" s="578">
        <f t="shared" si="1"/>
        <v>-200000</v>
      </c>
      <c r="O14" s="675"/>
      <c r="P14" s="675"/>
      <c r="Q14" s="675"/>
      <c r="R14" s="675"/>
      <c r="S14" s="675"/>
      <c r="T14" s="675"/>
      <c r="U14" s="675"/>
      <c r="V14" s="675"/>
      <c r="W14" s="675"/>
      <c r="X14" s="675"/>
      <c r="Y14" s="675"/>
      <c r="Z14" s="675"/>
      <c r="AA14" s="675"/>
      <c r="AB14" s="675"/>
      <c r="AC14" s="675"/>
      <c r="AD14" s="675"/>
      <c r="AE14" s="675"/>
      <c r="AF14" s="675"/>
      <c r="AG14" s="675"/>
      <c r="AH14" s="675"/>
      <c r="AI14" s="675"/>
      <c r="AJ14" s="675"/>
    </row>
    <row r="15" spans="1:36" ht="15" customHeight="1">
      <c r="A15" s="5"/>
      <c r="B15" s="313"/>
      <c r="C15" s="835" t="s">
        <v>857</v>
      </c>
      <c r="D15" s="66" t="s">
        <v>18</v>
      </c>
      <c r="E15" s="67" t="s">
        <v>19</v>
      </c>
      <c r="F15" s="64">
        <v>80000</v>
      </c>
      <c r="G15" s="69">
        <v>1</v>
      </c>
      <c r="H15" s="64">
        <f t="shared" si="0"/>
        <v>80000</v>
      </c>
      <c r="I15" s="65"/>
      <c r="J15" s="293"/>
      <c r="K15" s="156"/>
      <c r="L15" s="383"/>
      <c r="M15" s="542"/>
      <c r="N15" s="578">
        <f t="shared" si="1"/>
        <v>-80000</v>
      </c>
      <c r="O15" s="675"/>
      <c r="P15" s="675"/>
      <c r="Q15" s="675"/>
      <c r="R15" s="675"/>
      <c r="S15" s="675"/>
      <c r="T15" s="675"/>
      <c r="U15" s="675"/>
      <c r="V15" s="675"/>
      <c r="W15" s="675"/>
      <c r="X15" s="675"/>
      <c r="Y15" s="675"/>
      <c r="Z15" s="675"/>
      <c r="AA15" s="675"/>
      <c r="AB15" s="675"/>
      <c r="AC15" s="675"/>
      <c r="AD15" s="675"/>
      <c r="AE15" s="675"/>
      <c r="AF15" s="675"/>
      <c r="AG15" s="675"/>
      <c r="AH15" s="675"/>
      <c r="AI15" s="675"/>
      <c r="AJ15" s="675"/>
    </row>
    <row r="16" spans="1:36" ht="15" customHeight="1">
      <c r="A16" s="5"/>
      <c r="B16" s="313"/>
      <c r="C16" s="835" t="s">
        <v>858</v>
      </c>
      <c r="D16" s="66" t="s">
        <v>133</v>
      </c>
      <c r="E16" s="67" t="s">
        <v>16</v>
      </c>
      <c r="F16" s="64">
        <v>0</v>
      </c>
      <c r="G16" s="69">
        <v>1</v>
      </c>
      <c r="H16" s="64">
        <f t="shared" si="0"/>
        <v>0</v>
      </c>
      <c r="I16" s="65"/>
      <c r="J16" s="293"/>
      <c r="K16" s="156"/>
      <c r="L16" s="383"/>
      <c r="M16" s="542"/>
      <c r="N16" s="578">
        <f t="shared" si="1"/>
        <v>0</v>
      </c>
      <c r="O16" s="675"/>
      <c r="P16" s="675"/>
      <c r="Q16" s="675"/>
      <c r="R16" s="675"/>
      <c r="S16" s="675"/>
      <c r="T16" s="675"/>
      <c r="U16" s="675"/>
      <c r="V16" s="675"/>
      <c r="W16" s="675"/>
      <c r="X16" s="675"/>
      <c r="Y16" s="675"/>
      <c r="Z16" s="675"/>
      <c r="AA16" s="675"/>
      <c r="AB16" s="675"/>
      <c r="AC16" s="675"/>
      <c r="AD16" s="675"/>
      <c r="AE16" s="675"/>
      <c r="AF16" s="675"/>
      <c r="AG16" s="675"/>
      <c r="AH16" s="675"/>
      <c r="AI16" s="675"/>
      <c r="AJ16" s="675"/>
    </row>
    <row r="17" spans="1:36" s="48" customFormat="1" ht="15" customHeight="1">
      <c r="A17" s="45"/>
      <c r="B17" s="314"/>
      <c r="C17" s="836"/>
      <c r="D17" s="154"/>
      <c r="E17" s="71"/>
      <c r="F17" s="906" t="s">
        <v>20</v>
      </c>
      <c r="G17" s="906" t="s">
        <v>10</v>
      </c>
      <c r="H17" s="191"/>
      <c r="I17" s="472">
        <f>SUM(H11:H16)</f>
        <v>280000</v>
      </c>
      <c r="J17" s="294">
        <f>6*3</f>
        <v>18</v>
      </c>
      <c r="K17" s="158">
        <f>SUM(G11:G16)</f>
        <v>6</v>
      </c>
      <c r="L17" s="386"/>
      <c r="M17" s="593"/>
      <c r="N17" s="578">
        <f t="shared" si="1"/>
        <v>0</v>
      </c>
      <c r="O17" s="676"/>
      <c r="P17" s="676"/>
      <c r="Q17" s="676"/>
      <c r="R17" s="676"/>
      <c r="S17" s="676"/>
      <c r="T17" s="676"/>
      <c r="U17" s="676"/>
      <c r="V17" s="676"/>
      <c r="W17" s="676"/>
      <c r="X17" s="676"/>
      <c r="Y17" s="676"/>
      <c r="Z17" s="676"/>
      <c r="AA17" s="676"/>
      <c r="AB17" s="676"/>
      <c r="AC17" s="676"/>
      <c r="AD17" s="676"/>
      <c r="AE17" s="676"/>
      <c r="AF17" s="676"/>
      <c r="AG17" s="676"/>
      <c r="AH17" s="676"/>
      <c r="AI17" s="676"/>
      <c r="AJ17" s="676"/>
    </row>
    <row r="18" spans="1:36" s="53" customFormat="1" ht="30" customHeight="1">
      <c r="A18" s="5"/>
      <c r="B18" s="309"/>
      <c r="C18" s="832"/>
      <c r="D18" s="49"/>
      <c r="E18" s="9"/>
      <c r="F18" s="8"/>
      <c r="G18" s="8"/>
      <c r="H18" s="50"/>
      <c r="I18" s="51"/>
      <c r="J18" s="51"/>
      <c r="K18" s="156"/>
      <c r="L18" s="383"/>
      <c r="M18" s="542"/>
      <c r="N18" s="578">
        <f t="shared" si="1"/>
        <v>0</v>
      </c>
      <c r="O18" s="677"/>
      <c r="P18" s="677"/>
      <c r="Q18" s="677"/>
      <c r="R18" s="677"/>
      <c r="S18" s="677"/>
      <c r="T18" s="677"/>
      <c r="U18" s="677"/>
      <c r="V18" s="677"/>
      <c r="W18" s="677"/>
      <c r="X18" s="677"/>
      <c r="Y18" s="677"/>
      <c r="Z18" s="677"/>
      <c r="AA18" s="677"/>
      <c r="AB18" s="677"/>
      <c r="AC18" s="677"/>
      <c r="AD18" s="677"/>
      <c r="AE18" s="677"/>
      <c r="AF18" s="677"/>
      <c r="AG18" s="677"/>
      <c r="AH18" s="677"/>
      <c r="AI18" s="677"/>
      <c r="AJ18" s="677"/>
    </row>
    <row r="19" spans="1:36" s="48" customFormat="1" ht="15" customHeight="1">
      <c r="A19" s="45"/>
      <c r="B19" s="312"/>
      <c r="C19" s="834"/>
      <c r="D19" s="33" t="s">
        <v>21</v>
      </c>
      <c r="E19" s="56" t="s">
        <v>13</v>
      </c>
      <c r="F19" s="57" t="s">
        <v>14</v>
      </c>
      <c r="G19" s="860" t="s">
        <v>15</v>
      </c>
      <c r="H19" s="192" t="s">
        <v>8</v>
      </c>
      <c r="I19" s="59"/>
      <c r="J19" s="292"/>
      <c r="K19" s="158"/>
      <c r="L19" s="386"/>
      <c r="M19" s="593"/>
      <c r="N19" s="578"/>
      <c r="O19" s="676"/>
      <c r="P19" s="676"/>
      <c r="Q19" s="676"/>
      <c r="R19" s="676"/>
      <c r="S19" s="676"/>
      <c r="T19" s="676"/>
      <c r="U19" s="676"/>
      <c r="V19" s="676"/>
      <c r="W19" s="676"/>
      <c r="X19" s="676"/>
      <c r="Y19" s="676"/>
      <c r="Z19" s="676"/>
      <c r="AA19" s="676"/>
      <c r="AB19" s="676"/>
      <c r="AC19" s="676"/>
      <c r="AD19" s="676"/>
      <c r="AE19" s="676"/>
      <c r="AF19" s="676"/>
      <c r="AG19" s="676"/>
      <c r="AH19" s="676"/>
      <c r="AI19" s="676"/>
      <c r="AJ19" s="676"/>
    </row>
    <row r="20" spans="1:36" s="5" customFormat="1" ht="15" customHeight="1">
      <c r="B20" s="313"/>
      <c r="C20" s="837"/>
      <c r="D20" s="66" t="s">
        <v>456</v>
      </c>
      <c r="E20" s="67" t="s">
        <v>16</v>
      </c>
      <c r="F20" s="68"/>
      <c r="G20" s="69">
        <v>1</v>
      </c>
      <c r="H20" s="654">
        <f>F20</f>
        <v>0</v>
      </c>
      <c r="I20" s="72"/>
      <c r="J20" s="52"/>
      <c r="K20" s="156"/>
      <c r="L20" s="383"/>
      <c r="M20" s="542"/>
      <c r="N20" s="578">
        <f>SUM(O20:AL20)-H20</f>
        <v>0</v>
      </c>
      <c r="O20" s="678"/>
      <c r="P20" s="678"/>
      <c r="Q20" s="678"/>
      <c r="R20" s="678"/>
      <c r="S20" s="678"/>
      <c r="T20" s="678"/>
      <c r="U20" s="678"/>
      <c r="V20" s="678"/>
      <c r="W20" s="678"/>
      <c r="X20" s="678"/>
      <c r="Y20" s="678"/>
      <c r="Z20" s="678"/>
      <c r="AA20" s="678"/>
      <c r="AB20" s="678"/>
      <c r="AC20" s="678"/>
      <c r="AD20" s="678"/>
      <c r="AE20" s="678"/>
      <c r="AF20" s="678"/>
      <c r="AG20" s="678"/>
      <c r="AH20" s="678"/>
      <c r="AI20" s="678"/>
      <c r="AJ20" s="678"/>
    </row>
    <row r="21" spans="1:36" s="5" customFormat="1" ht="15" customHeight="1">
      <c r="B21" s="313"/>
      <c r="C21" s="837"/>
      <c r="D21" s="66" t="s">
        <v>351</v>
      </c>
      <c r="E21" s="67" t="s">
        <v>16</v>
      </c>
      <c r="G21" s="69">
        <v>1</v>
      </c>
      <c r="H21" s="64"/>
      <c r="I21" s="64"/>
      <c r="J21" s="75"/>
      <c r="K21" s="156"/>
      <c r="L21" s="383"/>
      <c r="M21" s="542"/>
      <c r="N21" s="578">
        <f>SUM(O21:AL21)-H21</f>
        <v>0</v>
      </c>
      <c r="O21" s="678"/>
      <c r="P21" s="678"/>
      <c r="Q21" s="678"/>
      <c r="R21" s="678"/>
      <c r="S21" s="678"/>
      <c r="T21" s="678"/>
      <c r="U21" s="678"/>
      <c r="V21" s="678"/>
      <c r="W21" s="678"/>
      <c r="X21" s="678"/>
      <c r="Y21" s="678"/>
      <c r="Z21" s="678"/>
      <c r="AA21" s="678"/>
      <c r="AB21" s="678"/>
      <c r="AC21" s="678"/>
      <c r="AD21" s="678"/>
      <c r="AE21" s="678"/>
      <c r="AF21" s="678"/>
      <c r="AG21" s="678"/>
      <c r="AH21" s="678"/>
      <c r="AI21" s="678"/>
      <c r="AJ21" s="678"/>
    </row>
    <row r="22" spans="1:36" s="5" customFormat="1" ht="15" customHeight="1">
      <c r="B22" s="313"/>
      <c r="C22" s="837"/>
      <c r="D22" s="66" t="s">
        <v>133</v>
      </c>
      <c r="E22" s="67" t="s">
        <v>16</v>
      </c>
      <c r="F22" s="64">
        <v>0</v>
      </c>
      <c r="G22" s="69">
        <v>1</v>
      </c>
      <c r="H22" s="64">
        <f>F22*G22</f>
        <v>0</v>
      </c>
      <c r="I22" s="64"/>
      <c r="J22" s="75"/>
      <c r="K22" s="156"/>
      <c r="L22" s="383"/>
      <c r="M22" s="542"/>
      <c r="N22" s="578">
        <f>SUM(O22:AL22)-H22</f>
        <v>0</v>
      </c>
      <c r="O22" s="678"/>
      <c r="P22" s="678"/>
      <c r="Q22" s="678"/>
      <c r="R22" s="678"/>
      <c r="S22" s="678"/>
      <c r="T22" s="678"/>
      <c r="U22" s="678"/>
      <c r="V22" s="678"/>
      <c r="W22" s="678"/>
      <c r="X22" s="678"/>
      <c r="Y22" s="678"/>
      <c r="Z22" s="678"/>
      <c r="AA22" s="678"/>
      <c r="AB22" s="678"/>
      <c r="AC22" s="678"/>
      <c r="AD22" s="678"/>
      <c r="AE22" s="678"/>
      <c r="AF22" s="678"/>
      <c r="AG22" s="678"/>
      <c r="AH22" s="678"/>
      <c r="AI22" s="678"/>
      <c r="AJ22" s="678"/>
    </row>
    <row r="23" spans="1:36" s="48" customFormat="1" ht="15" customHeight="1">
      <c r="A23" s="45"/>
      <c r="B23" s="314"/>
      <c r="C23" s="836"/>
      <c r="D23" s="73"/>
      <c r="E23" s="71"/>
      <c r="F23" s="906" t="s">
        <v>22</v>
      </c>
      <c r="G23" s="906" t="s">
        <v>10</v>
      </c>
      <c r="H23" s="191"/>
      <c r="I23" s="472">
        <f>SUM(H20:H22)</f>
        <v>0</v>
      </c>
      <c r="J23" s="294">
        <f>3*3</f>
        <v>9</v>
      </c>
      <c r="K23" s="158"/>
      <c r="L23" s="386"/>
      <c r="M23" s="593"/>
      <c r="N23" s="578">
        <f>SUM(O23:AL23)-H23</f>
        <v>0</v>
      </c>
      <c r="O23" s="676"/>
      <c r="P23" s="676"/>
      <c r="Q23" s="676"/>
      <c r="R23" s="676"/>
      <c r="S23" s="676"/>
      <c r="T23" s="676"/>
      <c r="U23" s="676"/>
      <c r="V23" s="676"/>
      <c r="W23" s="676"/>
      <c r="X23" s="676"/>
      <c r="Y23" s="676"/>
      <c r="Z23" s="676"/>
      <c r="AA23" s="676"/>
      <c r="AB23" s="676"/>
      <c r="AC23" s="676"/>
      <c r="AD23" s="676"/>
      <c r="AE23" s="676"/>
      <c r="AF23" s="676"/>
      <c r="AG23" s="676"/>
      <c r="AH23" s="676"/>
      <c r="AI23" s="676"/>
      <c r="AJ23" s="676"/>
    </row>
    <row r="24" spans="1:36" s="53" customFormat="1" ht="30" customHeight="1">
      <c r="A24" s="5"/>
      <c r="B24" s="309"/>
      <c r="C24" s="832"/>
      <c r="E24" s="9"/>
      <c r="F24" s="8"/>
      <c r="G24" s="8"/>
      <c r="H24" s="50"/>
      <c r="I24" s="51"/>
      <c r="J24" s="51"/>
      <c r="K24" s="156"/>
      <c r="L24" s="383"/>
      <c r="M24" s="542"/>
      <c r="N24" s="578">
        <f>SUM(O24:AL24)-H24</f>
        <v>0</v>
      </c>
      <c r="O24" s="677"/>
      <c r="P24" s="677"/>
      <c r="Q24" s="677"/>
      <c r="R24" s="677"/>
      <c r="S24" s="677"/>
      <c r="T24" s="677"/>
      <c r="U24" s="677"/>
      <c r="V24" s="677"/>
      <c r="W24" s="677"/>
      <c r="X24" s="677"/>
      <c r="Y24" s="677"/>
      <c r="Z24" s="677"/>
      <c r="AA24" s="677"/>
      <c r="AB24" s="677"/>
      <c r="AC24" s="677"/>
      <c r="AD24" s="677"/>
      <c r="AE24" s="677"/>
      <c r="AF24" s="677"/>
      <c r="AG24" s="677"/>
      <c r="AH24" s="677"/>
      <c r="AI24" s="677"/>
      <c r="AJ24" s="677"/>
    </row>
    <row r="25" spans="1:36" s="48" customFormat="1" ht="15" customHeight="1">
      <c r="A25" s="45"/>
      <c r="B25" s="312"/>
      <c r="C25" s="834"/>
      <c r="D25" s="33" t="s">
        <v>23</v>
      </c>
      <c r="E25" s="56" t="s">
        <v>13</v>
      </c>
      <c r="F25" s="57" t="s">
        <v>14</v>
      </c>
      <c r="G25" s="860" t="s">
        <v>15</v>
      </c>
      <c r="H25" s="192" t="s">
        <v>8</v>
      </c>
      <c r="I25" s="59"/>
      <c r="J25" s="292"/>
      <c r="K25" s="158"/>
      <c r="L25" s="386"/>
      <c r="M25" s="593"/>
      <c r="N25" s="578"/>
      <c r="O25" s="676"/>
      <c r="P25" s="676"/>
      <c r="Q25" s="676"/>
      <c r="R25" s="676"/>
      <c r="S25" s="676"/>
    </row>
    <row r="26" spans="1:36" s="5" customFormat="1" ht="15" customHeight="1">
      <c r="B26" s="313"/>
      <c r="C26" s="835" t="s">
        <v>859</v>
      </c>
      <c r="D26" s="66" t="s">
        <v>457</v>
      </c>
      <c r="E26" s="67" t="s">
        <v>16</v>
      </c>
      <c r="F26" s="68">
        <v>200000</v>
      </c>
      <c r="G26" s="69">
        <v>5</v>
      </c>
      <c r="H26" s="654">
        <f>+G26*F26</f>
        <v>1000000</v>
      </c>
      <c r="I26" s="64"/>
      <c r="J26" s="75"/>
      <c r="K26" s="156"/>
      <c r="L26" s="383"/>
      <c r="M26" s="542"/>
      <c r="N26" s="578">
        <f>SUM(P26:AL26)-H26</f>
        <v>-1000000</v>
      </c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6"/>
      <c r="AE26" s="676"/>
      <c r="AF26" s="678"/>
      <c r="AG26" s="678"/>
      <c r="AH26" s="678"/>
      <c r="AI26" s="678"/>
      <c r="AJ26" s="676"/>
    </row>
    <row r="27" spans="1:36" s="53" customFormat="1" ht="15" customHeight="1">
      <c r="B27" s="315"/>
      <c r="C27" s="835" t="s">
        <v>860</v>
      </c>
      <c r="D27" s="122" t="s">
        <v>352</v>
      </c>
      <c r="E27" s="204" t="s">
        <v>24</v>
      </c>
      <c r="F27" s="65">
        <v>120000</v>
      </c>
      <c r="G27" s="208">
        <v>6</v>
      </c>
      <c r="H27" s="65">
        <f>F27*G27</f>
        <v>720000</v>
      </c>
      <c r="I27" s="65"/>
      <c r="J27" s="293"/>
      <c r="K27" s="205"/>
      <c r="L27" s="387"/>
      <c r="M27" s="567"/>
      <c r="N27" s="578">
        <f t="shared" ref="N27:N32" si="2">SUM(O27:AL27)-H27</f>
        <v>-720000</v>
      </c>
      <c r="O27" s="677"/>
      <c r="P27" s="677"/>
      <c r="Q27" s="677"/>
      <c r="R27" s="677"/>
      <c r="S27" s="677"/>
      <c r="T27" s="677"/>
      <c r="U27" s="677"/>
      <c r="V27" s="677"/>
      <c r="W27" s="677"/>
      <c r="X27" s="677"/>
      <c r="Y27" s="677"/>
      <c r="Z27" s="677"/>
      <c r="AA27" s="677"/>
      <c r="AB27" s="677"/>
      <c r="AC27" s="677"/>
      <c r="AD27" s="677"/>
      <c r="AE27" s="677"/>
      <c r="AF27" s="677"/>
      <c r="AG27" s="677"/>
      <c r="AH27" s="677"/>
      <c r="AI27" s="677"/>
      <c r="AJ27" s="677"/>
    </row>
    <row r="28" spans="1:36" s="53" customFormat="1" ht="15" customHeight="1">
      <c r="B28" s="315"/>
      <c r="C28" s="835" t="s">
        <v>861</v>
      </c>
      <c r="D28" s="174" t="s">
        <v>353</v>
      </c>
      <c r="E28" s="235" t="s">
        <v>24</v>
      </c>
      <c r="F28" s="236">
        <v>80000</v>
      </c>
      <c r="G28" s="237">
        <v>6</v>
      </c>
      <c r="H28" s="236">
        <f>F28*G28</f>
        <v>480000</v>
      </c>
      <c r="I28" s="236"/>
      <c r="J28" s="293"/>
      <c r="K28" s="205"/>
      <c r="L28" s="387"/>
      <c r="M28" s="567"/>
      <c r="N28" s="578">
        <f t="shared" si="2"/>
        <v>-480000</v>
      </c>
      <c r="O28" s="677"/>
      <c r="P28" s="677"/>
      <c r="Q28" s="677"/>
      <c r="R28" s="677"/>
      <c r="S28" s="677"/>
      <c r="T28" s="677"/>
      <c r="U28" s="677"/>
      <c r="V28" s="677"/>
      <c r="W28" s="677"/>
      <c r="X28" s="677"/>
      <c r="Y28" s="677"/>
      <c r="Z28" s="677"/>
      <c r="AA28" s="677"/>
      <c r="AB28" s="677"/>
      <c r="AC28" s="677"/>
      <c r="AD28" s="677"/>
      <c r="AE28" s="677"/>
      <c r="AF28" s="677"/>
      <c r="AG28" s="677"/>
      <c r="AH28" s="677"/>
      <c r="AI28" s="677"/>
      <c r="AJ28" s="677"/>
    </row>
    <row r="29" spans="1:36" s="53" customFormat="1" ht="15" customHeight="1">
      <c r="B29" s="315"/>
      <c r="C29" s="838"/>
      <c r="D29" s="239"/>
      <c r="E29" s="242" t="s">
        <v>16</v>
      </c>
      <c r="F29" s="240"/>
      <c r="G29" s="241">
        <v>1</v>
      </c>
      <c r="H29" s="240">
        <f>F29*G29</f>
        <v>0</v>
      </c>
      <c r="I29" s="240"/>
      <c r="J29" s="293"/>
      <c r="K29" s="205"/>
      <c r="L29" s="387"/>
      <c r="M29" s="567"/>
      <c r="N29" s="578">
        <f t="shared" si="2"/>
        <v>0</v>
      </c>
      <c r="O29" s="677"/>
      <c r="P29" s="677"/>
      <c r="Q29" s="677"/>
      <c r="R29" s="677"/>
      <c r="S29" s="677"/>
      <c r="T29" s="677"/>
      <c r="U29" s="677"/>
      <c r="V29" s="677"/>
      <c r="W29" s="677"/>
      <c r="X29" s="677"/>
      <c r="Y29" s="677"/>
      <c r="Z29" s="677"/>
      <c r="AA29" s="677"/>
      <c r="AB29" s="677"/>
      <c r="AC29" s="677"/>
      <c r="AD29" s="677"/>
      <c r="AE29" s="677"/>
      <c r="AF29" s="677"/>
      <c r="AG29" s="677"/>
      <c r="AH29" s="677"/>
      <c r="AI29" s="677"/>
      <c r="AJ29" s="677"/>
    </row>
    <row r="30" spans="1:36" s="48" customFormat="1" ht="15" customHeight="1">
      <c r="A30" s="45"/>
      <c r="B30" s="314"/>
      <c r="C30" s="836"/>
      <c r="D30" s="73"/>
      <c r="E30" s="71"/>
      <c r="F30" s="910" t="s">
        <v>25</v>
      </c>
      <c r="G30" s="910" t="s">
        <v>10</v>
      </c>
      <c r="H30" s="238"/>
      <c r="I30" s="473">
        <f>SUM(H26:H29)</f>
        <v>2200000</v>
      </c>
      <c r="J30" s="294">
        <f>SUM(G26:G29)</f>
        <v>18</v>
      </c>
      <c r="K30" s="158"/>
      <c r="L30" s="386"/>
      <c r="M30" s="593"/>
      <c r="N30" s="578">
        <f t="shared" si="2"/>
        <v>0</v>
      </c>
      <c r="O30" s="676"/>
      <c r="P30" s="676"/>
      <c r="Q30" s="676"/>
      <c r="R30" s="676"/>
      <c r="S30" s="676"/>
      <c r="T30" s="676"/>
      <c r="U30" s="676"/>
      <c r="V30" s="676"/>
      <c r="W30" s="676"/>
      <c r="X30" s="676"/>
      <c r="Y30" s="676"/>
      <c r="Z30" s="676"/>
      <c r="AA30" s="676"/>
      <c r="AB30" s="676"/>
      <c r="AC30" s="676"/>
      <c r="AD30" s="676"/>
      <c r="AE30" s="676"/>
      <c r="AF30" s="676"/>
      <c r="AG30" s="676"/>
      <c r="AH30" s="676"/>
      <c r="AI30" s="676"/>
      <c r="AJ30" s="676"/>
    </row>
    <row r="31" spans="1:36" s="53" customFormat="1" ht="16.25" customHeight="1">
      <c r="B31" s="316"/>
      <c r="C31" s="832"/>
      <c r="D31" s="164"/>
      <c r="E31" s="165"/>
      <c r="F31" s="166"/>
      <c r="G31" s="167"/>
      <c r="H31" s="168"/>
      <c r="I31" s="169"/>
      <c r="J31" s="169"/>
      <c r="K31" s="158"/>
      <c r="L31" s="386"/>
      <c r="M31" s="596"/>
      <c r="N31" s="578">
        <f t="shared" si="2"/>
        <v>0</v>
      </c>
      <c r="O31" s="677"/>
      <c r="P31" s="677"/>
      <c r="Q31" s="677"/>
      <c r="R31" s="677"/>
      <c r="S31" s="677"/>
      <c r="T31" s="677"/>
      <c r="U31" s="677"/>
      <c r="V31" s="677"/>
      <c r="W31" s="677"/>
      <c r="X31" s="677"/>
      <c r="Y31" s="677"/>
      <c r="Z31" s="677"/>
      <c r="AA31" s="677"/>
      <c r="AB31" s="677"/>
      <c r="AC31" s="677"/>
      <c r="AD31" s="677"/>
      <c r="AE31" s="677"/>
      <c r="AF31" s="677"/>
      <c r="AG31" s="677"/>
      <c r="AH31" s="677"/>
      <c r="AI31" s="677"/>
      <c r="AJ31" s="677"/>
    </row>
    <row r="32" spans="1:36" s="53" customFormat="1" ht="16.25" customHeight="1">
      <c r="B32" s="316"/>
      <c r="C32" s="832"/>
      <c r="D32" s="164"/>
      <c r="E32" s="165"/>
      <c r="F32" s="166"/>
      <c r="G32" s="167"/>
      <c r="H32" s="168"/>
      <c r="I32" s="169"/>
      <c r="J32" s="169"/>
      <c r="K32" s="158"/>
      <c r="L32" s="386"/>
      <c r="M32" s="596"/>
      <c r="N32" s="578">
        <f t="shared" si="2"/>
        <v>0</v>
      </c>
      <c r="O32" s="677"/>
      <c r="P32" s="677"/>
      <c r="Q32" s="677"/>
      <c r="R32" s="677"/>
      <c r="S32" s="677"/>
      <c r="T32" s="677"/>
      <c r="U32" s="677"/>
      <c r="V32" s="677"/>
      <c r="W32" s="677"/>
      <c r="X32" s="677"/>
      <c r="Y32" s="677"/>
      <c r="Z32" s="677"/>
      <c r="AA32" s="677"/>
      <c r="AB32" s="677"/>
      <c r="AC32" s="677"/>
      <c r="AD32" s="677"/>
      <c r="AE32" s="677"/>
      <c r="AF32" s="677"/>
      <c r="AG32" s="677"/>
      <c r="AH32" s="677"/>
      <c r="AI32" s="677"/>
      <c r="AJ32" s="677"/>
    </row>
    <row r="33" spans="1:37" s="48" customFormat="1" ht="15" customHeight="1">
      <c r="A33" s="45"/>
      <c r="B33" s="312"/>
      <c r="C33" s="834"/>
      <c r="D33" s="33" t="s">
        <v>349</v>
      </c>
      <c r="E33" s="56" t="s">
        <v>13</v>
      </c>
      <c r="F33" s="57" t="s">
        <v>14</v>
      </c>
      <c r="G33" s="860" t="s">
        <v>15</v>
      </c>
      <c r="H33" s="192" t="s">
        <v>486</v>
      </c>
      <c r="I33" s="59"/>
      <c r="J33" s="292"/>
      <c r="K33" s="158"/>
      <c r="L33" s="386"/>
      <c r="M33" s="593"/>
      <c r="N33" s="578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76"/>
      <c r="AB33" s="676"/>
      <c r="AC33" s="676"/>
      <c r="AD33" s="676"/>
      <c r="AE33" s="676"/>
      <c r="AF33" s="676"/>
      <c r="AG33" s="676"/>
      <c r="AH33" s="676"/>
      <c r="AI33" s="676"/>
      <c r="AJ33" s="676"/>
    </row>
    <row r="34" spans="1:37" s="5" customFormat="1" ht="15" customHeight="1">
      <c r="B34" s="309"/>
      <c r="C34" s="837"/>
      <c r="D34" s="200" t="s">
        <v>442</v>
      </c>
      <c r="E34" s="9"/>
      <c r="F34" s="74"/>
      <c r="G34" s="75"/>
      <c r="H34" s="76"/>
      <c r="I34" s="77"/>
      <c r="J34" s="51"/>
      <c r="K34" s="156"/>
      <c r="L34" s="383"/>
      <c r="M34" s="542"/>
      <c r="N34" s="578">
        <f t="shared" ref="N34:N97" si="3">SUM(O34:AL34)-H34</f>
        <v>0</v>
      </c>
      <c r="O34" s="678"/>
      <c r="P34" s="678"/>
      <c r="Q34" s="678"/>
      <c r="R34" s="678"/>
      <c r="S34" s="678"/>
      <c r="T34" s="678"/>
      <c r="U34" s="678"/>
      <c r="V34" s="678"/>
      <c r="W34" s="678"/>
      <c r="X34" s="678"/>
      <c r="Y34" s="678"/>
      <c r="Z34" s="678"/>
      <c r="AA34" s="678"/>
      <c r="AB34" s="678"/>
      <c r="AC34" s="678"/>
      <c r="AD34" s="678"/>
      <c r="AE34" s="678"/>
      <c r="AF34" s="678"/>
      <c r="AG34" s="678"/>
      <c r="AH34" s="678"/>
      <c r="AI34" s="678"/>
      <c r="AJ34" s="678"/>
    </row>
    <row r="35" spans="1:37" s="5" customFormat="1" ht="15" customHeight="1">
      <c r="B35" s="317">
        <v>1</v>
      </c>
      <c r="C35" s="835" t="s">
        <v>862</v>
      </c>
      <c r="D35" s="80" t="s">
        <v>26</v>
      </c>
      <c r="E35" s="81">
        <v>75908.149999999994</v>
      </c>
      <c r="F35" s="74"/>
      <c r="H35" s="82"/>
      <c r="I35" s="83"/>
      <c r="J35" s="6"/>
      <c r="K35" s="156"/>
      <c r="L35" s="383"/>
      <c r="M35" s="542"/>
      <c r="N35" s="578">
        <f t="shared" si="3"/>
        <v>0</v>
      </c>
      <c r="O35" s="678"/>
      <c r="P35" s="678"/>
      <c r="Q35" s="679"/>
      <c r="R35" s="679"/>
      <c r="S35" s="679"/>
      <c r="T35" s="679"/>
      <c r="U35" s="679"/>
      <c r="V35" s="679"/>
      <c r="W35" s="679"/>
      <c r="X35" s="679"/>
      <c r="Y35" s="679"/>
      <c r="Z35" s="679"/>
      <c r="AA35" s="679"/>
      <c r="AB35" s="679"/>
      <c r="AC35" s="679"/>
      <c r="AD35" s="678"/>
      <c r="AE35" s="678"/>
      <c r="AF35" s="678"/>
      <c r="AG35" s="678"/>
      <c r="AH35" s="678"/>
      <c r="AI35" s="678"/>
      <c r="AJ35" s="678"/>
      <c r="AK35" s="658"/>
    </row>
    <row r="36" spans="1:37" s="5" customFormat="1">
      <c r="B36" s="318"/>
      <c r="C36" s="835"/>
      <c r="D36" s="17" t="s">
        <v>0</v>
      </c>
      <c r="E36" s="81" t="s">
        <v>27</v>
      </c>
      <c r="F36" s="84">
        <f>E35</f>
        <v>75908.149999999994</v>
      </c>
      <c r="G36" s="526">
        <v>8</v>
      </c>
      <c r="H36" s="64">
        <f>+G36*F36</f>
        <v>607265.19999999995</v>
      </c>
      <c r="I36" s="79"/>
      <c r="J36" s="52"/>
      <c r="K36" s="156"/>
      <c r="L36" s="383"/>
      <c r="M36" s="542"/>
      <c r="N36" s="578">
        <f t="shared" si="3"/>
        <v>-607265.19999999995</v>
      </c>
      <c r="O36" s="693"/>
      <c r="P36" s="693"/>
      <c r="Q36" s="678"/>
      <c r="R36" s="678"/>
      <c r="S36" s="678"/>
      <c r="T36" s="678"/>
      <c r="U36" s="678"/>
      <c r="V36" s="678"/>
      <c r="W36" s="678"/>
      <c r="X36" s="678"/>
      <c r="Y36" s="678"/>
      <c r="Z36" s="678"/>
      <c r="AA36" s="678"/>
      <c r="AB36" s="678"/>
      <c r="AC36" s="678"/>
      <c r="AD36" s="678"/>
      <c r="AE36" s="678"/>
      <c r="AF36" s="678"/>
      <c r="AG36" s="678"/>
      <c r="AH36" s="678"/>
      <c r="AI36" s="678"/>
      <c r="AJ36" s="678"/>
      <c r="AK36" s="658"/>
    </row>
    <row r="37" spans="1:37" s="5" customFormat="1">
      <c r="B37" s="318"/>
      <c r="C37" s="835"/>
      <c r="D37" s="17" t="s">
        <v>3</v>
      </c>
      <c r="E37" s="81" t="s">
        <v>27</v>
      </c>
      <c r="F37" s="84">
        <f>E35</f>
        <v>75908.149999999994</v>
      </c>
      <c r="G37" s="87">
        <v>6</v>
      </c>
      <c r="H37" s="64">
        <f>+G37*F37</f>
        <v>455448.89999999997</v>
      </c>
      <c r="I37" s="79"/>
      <c r="J37" s="52"/>
      <c r="K37" s="156"/>
      <c r="L37" s="383"/>
      <c r="M37" s="542"/>
      <c r="N37" s="578">
        <f t="shared" si="3"/>
        <v>-455448.89999999997</v>
      </c>
      <c r="O37" s="678"/>
      <c r="P37" s="678"/>
      <c r="Q37" s="678"/>
      <c r="R37" s="678"/>
      <c r="S37" s="678"/>
      <c r="T37" s="678"/>
      <c r="U37" s="678"/>
      <c r="V37" s="678"/>
      <c r="W37" s="678"/>
      <c r="X37" s="678"/>
      <c r="Y37" s="678"/>
      <c r="Z37" s="678"/>
      <c r="AA37" s="678"/>
      <c r="AB37" s="678"/>
      <c r="AC37" s="678"/>
      <c r="AD37" s="678"/>
      <c r="AE37" s="678"/>
      <c r="AF37" s="678"/>
      <c r="AG37" s="678"/>
      <c r="AH37" s="678"/>
      <c r="AI37" s="678"/>
      <c r="AJ37" s="678"/>
      <c r="AK37" s="658"/>
    </row>
    <row r="38" spans="1:37" s="5" customFormat="1">
      <c r="B38" s="318"/>
      <c r="C38" s="835"/>
      <c r="D38" s="17" t="s">
        <v>28</v>
      </c>
      <c r="E38" s="88">
        <f>15.25+2</f>
        <v>17.25</v>
      </c>
      <c r="F38" s="84">
        <f>E35/44*1.5</f>
        <v>2587.7778409090906</v>
      </c>
      <c r="G38" s="87">
        <v>6</v>
      </c>
      <c r="H38" s="64">
        <f>+G38*F38*E38</f>
        <v>267835.00653409091</v>
      </c>
      <c r="I38" s="79"/>
      <c r="J38" s="52"/>
      <c r="K38" s="156"/>
      <c r="L38" s="383"/>
      <c r="M38" s="542"/>
      <c r="N38" s="578">
        <f t="shared" si="3"/>
        <v>-267835.00653409091</v>
      </c>
      <c r="O38" s="678"/>
      <c r="P38" s="678"/>
      <c r="Q38" s="678"/>
      <c r="R38" s="678"/>
      <c r="S38" s="678"/>
      <c r="T38" s="678"/>
      <c r="U38" s="678"/>
      <c r="V38" s="678"/>
      <c r="W38" s="678"/>
      <c r="X38" s="678"/>
      <c r="Y38" s="678"/>
      <c r="Z38" s="678"/>
      <c r="AA38" s="678"/>
      <c r="AB38" s="678"/>
      <c r="AC38" s="678"/>
      <c r="AD38" s="678"/>
      <c r="AE38" s="678"/>
      <c r="AF38" s="678"/>
      <c r="AG38" s="678"/>
      <c r="AH38" s="678"/>
      <c r="AI38" s="678"/>
      <c r="AJ38" s="678"/>
      <c r="AK38" s="658"/>
    </row>
    <row r="39" spans="1:37" s="5" customFormat="1">
      <c r="B39" s="318"/>
      <c r="C39" s="835"/>
      <c r="D39" s="17" t="s">
        <v>1</v>
      </c>
      <c r="E39" s="67" t="s">
        <v>29</v>
      </c>
      <c r="F39" s="84">
        <f>E35/5*1.5</f>
        <v>22772.445</v>
      </c>
      <c r="G39" s="64">
        <f>$H$3</f>
        <v>0</v>
      </c>
      <c r="H39" s="64">
        <f>+G39*F39</f>
        <v>0</v>
      </c>
      <c r="I39" s="79"/>
      <c r="J39" s="52"/>
      <c r="K39" s="156"/>
      <c r="L39" s="383"/>
      <c r="M39" s="542"/>
      <c r="N39" s="578">
        <f t="shared" si="3"/>
        <v>0</v>
      </c>
      <c r="O39" s="678"/>
      <c r="P39" s="678"/>
      <c r="Q39" s="678"/>
      <c r="R39" s="678"/>
      <c r="S39" s="678"/>
      <c r="T39" s="678"/>
      <c r="U39" s="678"/>
      <c r="V39" s="678"/>
      <c r="W39" s="678"/>
      <c r="X39" s="678"/>
      <c r="Y39" s="678"/>
      <c r="Z39" s="678"/>
      <c r="AA39" s="678"/>
      <c r="AB39" s="678"/>
      <c r="AC39" s="678"/>
      <c r="AD39" s="678"/>
      <c r="AE39" s="678"/>
      <c r="AF39" s="678"/>
      <c r="AG39" s="678"/>
      <c r="AH39" s="678"/>
      <c r="AI39" s="678"/>
      <c r="AJ39" s="678"/>
      <c r="AK39" s="658"/>
    </row>
    <row r="40" spans="1:37" s="5" customFormat="1">
      <c r="B40" s="318"/>
      <c r="C40" s="835"/>
      <c r="D40" s="17" t="s">
        <v>4</v>
      </c>
      <c r="E40" s="67" t="s">
        <v>29</v>
      </c>
      <c r="F40" s="84">
        <f>E35/5*2</f>
        <v>30363.26</v>
      </c>
      <c r="G40" s="64">
        <f>$H$4</f>
        <v>0</v>
      </c>
      <c r="H40" s="64">
        <f>+G40*F40</f>
        <v>0</v>
      </c>
      <c r="I40" s="79"/>
      <c r="J40" s="52"/>
      <c r="K40" s="156"/>
      <c r="L40" s="383"/>
      <c r="M40" s="542"/>
      <c r="N40" s="578">
        <f t="shared" si="3"/>
        <v>0</v>
      </c>
      <c r="O40" s="678"/>
      <c r="P40" s="678"/>
      <c r="Q40" s="678"/>
      <c r="R40" s="678"/>
      <c r="S40" s="678"/>
      <c r="T40" s="678"/>
      <c r="U40" s="678"/>
      <c r="V40" s="678"/>
      <c r="W40" s="678"/>
      <c r="X40" s="678"/>
      <c r="Y40" s="678"/>
      <c r="Z40" s="678"/>
      <c r="AA40" s="678"/>
      <c r="AB40" s="678"/>
      <c r="AC40" s="678"/>
      <c r="AD40" s="678"/>
      <c r="AE40" s="678"/>
      <c r="AF40" s="678"/>
      <c r="AG40" s="678"/>
      <c r="AH40" s="678"/>
      <c r="AI40" s="678"/>
      <c r="AJ40" s="678"/>
      <c r="AK40" s="658"/>
    </row>
    <row r="41" spans="1:37" s="5" customFormat="1">
      <c r="B41" s="318"/>
      <c r="C41" s="835"/>
      <c r="D41" s="17" t="s">
        <v>5</v>
      </c>
      <c r="E41" s="81" t="s">
        <v>27</v>
      </c>
      <c r="F41" s="84">
        <f>E35</f>
        <v>75908.149999999994</v>
      </c>
      <c r="G41" s="64">
        <v>1</v>
      </c>
      <c r="H41" s="64">
        <f>+G41*F41</f>
        <v>75908.149999999994</v>
      </c>
      <c r="I41" s="79"/>
      <c r="J41" s="52"/>
      <c r="K41" s="156"/>
      <c r="L41" s="383"/>
      <c r="M41" s="542"/>
      <c r="N41" s="578">
        <f t="shared" si="3"/>
        <v>-75908.149999999994</v>
      </c>
      <c r="O41" s="678"/>
      <c r="P41" s="678"/>
      <c r="Q41" s="678"/>
      <c r="R41" s="678"/>
      <c r="S41" s="678"/>
      <c r="T41" s="678"/>
      <c r="U41" s="678"/>
      <c r="V41" s="678"/>
      <c r="W41" s="678"/>
      <c r="X41" s="678"/>
      <c r="Y41" s="678"/>
      <c r="Z41" s="678"/>
      <c r="AA41" s="678"/>
      <c r="AB41" s="678"/>
      <c r="AC41" s="678"/>
      <c r="AD41" s="678"/>
      <c r="AE41" s="678"/>
      <c r="AF41" s="678"/>
      <c r="AG41" s="678"/>
      <c r="AH41" s="678"/>
      <c r="AI41" s="678"/>
      <c r="AJ41" s="678"/>
      <c r="AK41" s="658"/>
    </row>
    <row r="42" spans="1:37" s="5" customFormat="1">
      <c r="B42" s="318"/>
      <c r="C42" s="835"/>
      <c r="D42" s="17" t="s">
        <v>30</v>
      </c>
      <c r="E42" s="67" t="s">
        <v>16</v>
      </c>
      <c r="F42" s="89">
        <f>G36+G37+G41</f>
        <v>15</v>
      </c>
      <c r="G42" s="68" t="s">
        <v>31</v>
      </c>
      <c r="H42" s="64">
        <f>SUM(H36:H41)</f>
        <v>1406457.2565340907</v>
      </c>
      <c r="I42" s="79"/>
      <c r="J42" s="52"/>
      <c r="K42" s="156"/>
      <c r="L42" s="383"/>
      <c r="M42" s="542"/>
      <c r="N42" s="578">
        <f t="shared" si="3"/>
        <v>-1406457.2565340907</v>
      </c>
      <c r="O42" s="678"/>
      <c r="P42" s="678"/>
      <c r="Q42" s="678"/>
      <c r="R42" s="678"/>
      <c r="S42" s="678"/>
      <c r="T42" s="678"/>
      <c r="U42" s="678"/>
      <c r="V42" s="678"/>
      <c r="W42" s="678"/>
      <c r="X42" s="678"/>
      <c r="Y42" s="678"/>
      <c r="Z42" s="678"/>
      <c r="AA42" s="678"/>
      <c r="AB42" s="678"/>
      <c r="AC42" s="679"/>
      <c r="AD42" s="678"/>
      <c r="AE42" s="678"/>
      <c r="AF42" s="678"/>
      <c r="AG42" s="678"/>
      <c r="AH42" s="678"/>
      <c r="AI42" s="678"/>
      <c r="AJ42" s="678"/>
      <c r="AK42" s="658"/>
    </row>
    <row r="43" spans="1:37" s="5" customFormat="1">
      <c r="B43" s="318"/>
      <c r="C43" s="835"/>
      <c r="D43" s="19" t="s">
        <v>32</v>
      </c>
      <c r="E43" s="67" t="s">
        <v>16</v>
      </c>
      <c r="F43" s="84">
        <f>SUM(H36:H41)</f>
        <v>1406457.2565340907</v>
      </c>
      <c r="G43" s="92">
        <v>8.3299999999999999E-2</v>
      </c>
      <c r="H43" s="64">
        <f>+G43*F43</f>
        <v>117157.88946928976</v>
      </c>
      <c r="I43" s="93"/>
      <c r="J43" s="52"/>
      <c r="K43" s="156"/>
      <c r="L43" s="383"/>
      <c r="M43" s="542"/>
      <c r="N43" s="578">
        <f t="shared" si="3"/>
        <v>-117157.88946928976</v>
      </c>
      <c r="O43" s="690"/>
      <c r="P43" s="690"/>
      <c r="Q43" s="690"/>
      <c r="R43" s="690"/>
      <c r="S43" s="690"/>
      <c r="T43" s="690"/>
      <c r="U43" s="690"/>
      <c r="V43" s="690"/>
      <c r="W43" s="690"/>
      <c r="X43" s="690"/>
      <c r="Y43" s="690"/>
      <c r="Z43" s="690"/>
      <c r="AA43" s="690"/>
      <c r="AB43" s="690"/>
      <c r="AC43" s="690"/>
      <c r="AD43" s="678"/>
      <c r="AE43" s="678"/>
      <c r="AF43" s="678"/>
      <c r="AG43" s="678"/>
      <c r="AH43" s="678"/>
      <c r="AI43" s="678"/>
      <c r="AJ43" s="678"/>
      <c r="AK43" s="658"/>
    </row>
    <row r="44" spans="1:37" s="5" customFormat="1">
      <c r="B44" s="318"/>
      <c r="C44" s="835"/>
      <c r="D44" s="19" t="s">
        <v>33</v>
      </c>
      <c r="E44" s="84">
        <f>F43/(5*F42)</f>
        <v>18752.763420454543</v>
      </c>
      <c r="F44" s="84">
        <f>E44*(F42*7)</f>
        <v>1969040.1591477271</v>
      </c>
      <c r="G44" s="95">
        <v>20</v>
      </c>
      <c r="H44" s="64">
        <f>F44/G44</f>
        <v>98452.007957386348</v>
      </c>
      <c r="I44" s="72">
        <f>SUM(H42:H44)</f>
        <v>1622067.1539607667</v>
      </c>
      <c r="J44" s="52">
        <f>SUM(G36:G44)</f>
        <v>41.083300000000001</v>
      </c>
      <c r="K44" s="156"/>
      <c r="L44" s="383"/>
      <c r="M44" s="542"/>
      <c r="N44" s="578">
        <f t="shared" si="3"/>
        <v>-98452.007957386348</v>
      </c>
      <c r="O44" s="678"/>
      <c r="P44" s="678"/>
      <c r="Q44" s="679"/>
      <c r="R44" s="679"/>
      <c r="S44" s="679"/>
      <c r="T44" s="679"/>
      <c r="U44" s="679"/>
      <c r="V44" s="679"/>
      <c r="W44" s="679"/>
      <c r="X44" s="679"/>
      <c r="Y44" s="679"/>
      <c r="Z44" s="679"/>
      <c r="AA44" s="679"/>
      <c r="AB44" s="679"/>
      <c r="AC44" s="679"/>
      <c r="AD44" s="678"/>
      <c r="AE44" s="678"/>
      <c r="AF44" s="678"/>
      <c r="AG44" s="678"/>
      <c r="AH44" s="678"/>
      <c r="AI44" s="678"/>
      <c r="AJ44" s="678"/>
      <c r="AK44" s="658"/>
    </row>
    <row r="45" spans="1:37" s="5" customFormat="1">
      <c r="B45" s="318"/>
      <c r="C45" s="835"/>
      <c r="D45" s="96"/>
      <c r="E45" s="9"/>
      <c r="F45" s="74"/>
      <c r="G45" s="97"/>
      <c r="H45" s="78"/>
      <c r="I45" s="79"/>
      <c r="J45" s="52"/>
      <c r="K45" s="156"/>
      <c r="L45" s="383"/>
      <c r="M45" s="542"/>
      <c r="N45" s="578">
        <f t="shared" si="3"/>
        <v>0</v>
      </c>
      <c r="O45" s="678"/>
      <c r="P45" s="678"/>
      <c r="Q45" s="678"/>
      <c r="R45" s="678"/>
      <c r="S45" s="678"/>
      <c r="T45" s="678"/>
      <c r="U45" s="678"/>
      <c r="V45" s="678"/>
      <c r="W45" s="678"/>
      <c r="X45" s="678"/>
      <c r="Y45" s="678"/>
      <c r="Z45" s="678"/>
      <c r="AA45" s="678"/>
      <c r="AB45" s="678"/>
      <c r="AC45" s="678"/>
      <c r="AD45" s="678"/>
      <c r="AE45" s="678"/>
      <c r="AF45" s="678"/>
      <c r="AG45" s="678"/>
      <c r="AH45" s="678"/>
      <c r="AI45" s="678"/>
      <c r="AJ45" s="678"/>
      <c r="AK45" s="658"/>
    </row>
    <row r="46" spans="1:37" s="5" customFormat="1" ht="15" customHeight="1">
      <c r="B46" s="317">
        <v>2</v>
      </c>
      <c r="C46" s="835" t="s">
        <v>863</v>
      </c>
      <c r="D46" s="80" t="s">
        <v>34</v>
      </c>
      <c r="E46" s="81">
        <v>57232.2</v>
      </c>
      <c r="F46" s="74"/>
      <c r="G46" s="75"/>
      <c r="H46" s="82"/>
      <c r="I46" s="83"/>
      <c r="J46" s="6"/>
      <c r="K46" s="156"/>
      <c r="L46" s="383"/>
      <c r="M46" s="542"/>
      <c r="N46" s="578">
        <f t="shared" si="3"/>
        <v>0</v>
      </c>
      <c r="O46" s="678"/>
      <c r="P46" s="678"/>
      <c r="Q46" s="678"/>
      <c r="R46" s="678"/>
      <c r="S46" s="678"/>
      <c r="T46" s="678"/>
      <c r="U46" s="678"/>
      <c r="V46" s="678"/>
      <c r="W46" s="678"/>
      <c r="X46" s="678"/>
      <c r="Y46" s="678"/>
      <c r="Z46" s="678"/>
      <c r="AA46" s="678"/>
      <c r="AB46" s="678"/>
      <c r="AC46" s="678"/>
      <c r="AD46" s="678"/>
      <c r="AE46" s="678"/>
      <c r="AF46" s="678"/>
      <c r="AG46" s="678"/>
      <c r="AH46" s="678"/>
      <c r="AI46" s="678"/>
      <c r="AJ46" s="678"/>
      <c r="AK46" s="658"/>
    </row>
    <row r="47" spans="1:37" s="5" customFormat="1">
      <c r="B47" s="318"/>
      <c r="C47" s="835"/>
      <c r="D47" s="17" t="s">
        <v>0</v>
      </c>
      <c r="E47" s="98" t="s">
        <v>27</v>
      </c>
      <c r="F47" s="84">
        <f>+E46</f>
        <v>57232.2</v>
      </c>
      <c r="G47" s="64">
        <v>6</v>
      </c>
      <c r="H47" s="64">
        <f>+G47*F47</f>
        <v>343393.19999999995</v>
      </c>
      <c r="I47" s="79"/>
      <c r="J47" s="52"/>
      <c r="K47" s="156"/>
      <c r="L47" s="383"/>
      <c r="M47" s="542"/>
      <c r="N47" s="578">
        <f t="shared" si="3"/>
        <v>-343393.19999999995</v>
      </c>
      <c r="O47" s="678"/>
      <c r="P47" s="678"/>
      <c r="Q47" s="678"/>
      <c r="R47" s="678"/>
      <c r="S47" s="678"/>
      <c r="T47" s="678"/>
      <c r="U47" s="678"/>
      <c r="V47" s="678"/>
      <c r="W47" s="678"/>
      <c r="X47" s="678"/>
      <c r="Y47" s="678"/>
      <c r="Z47" s="678"/>
      <c r="AA47" s="678"/>
      <c r="AB47" s="678"/>
      <c r="AC47" s="678"/>
      <c r="AD47" s="678"/>
      <c r="AE47" s="678"/>
      <c r="AF47" s="678"/>
      <c r="AG47" s="678"/>
      <c r="AH47" s="678"/>
      <c r="AI47" s="678"/>
      <c r="AJ47" s="678"/>
      <c r="AK47" s="658"/>
    </row>
    <row r="48" spans="1:37" s="5" customFormat="1">
      <c r="B48" s="318"/>
      <c r="C48" s="835"/>
      <c r="D48" s="17" t="s">
        <v>3</v>
      </c>
      <c r="E48" s="98" t="s">
        <v>27</v>
      </c>
      <c r="F48" s="84">
        <f>E46</f>
        <v>57232.2</v>
      </c>
      <c r="G48" s="87">
        <v>6</v>
      </c>
      <c r="H48" s="64">
        <f>+G48*F48</f>
        <v>343393.19999999995</v>
      </c>
      <c r="I48" s="79"/>
      <c r="J48" s="52"/>
      <c r="K48" s="156"/>
      <c r="L48" s="383"/>
      <c r="M48" s="542"/>
      <c r="N48" s="578">
        <f t="shared" si="3"/>
        <v>-343393.19999999995</v>
      </c>
      <c r="O48" s="678"/>
      <c r="P48" s="678"/>
      <c r="Q48" s="678"/>
      <c r="R48" s="678"/>
      <c r="S48" s="678"/>
      <c r="T48" s="678"/>
      <c r="U48" s="678"/>
      <c r="V48" s="678"/>
      <c r="W48" s="678"/>
      <c r="X48" s="678"/>
      <c r="Y48" s="678"/>
      <c r="Z48" s="678"/>
      <c r="AA48" s="678"/>
      <c r="AB48" s="678"/>
      <c r="AC48" s="678"/>
      <c r="AD48" s="678"/>
      <c r="AE48" s="678"/>
      <c r="AF48" s="678"/>
      <c r="AG48" s="678"/>
      <c r="AH48" s="678"/>
      <c r="AI48" s="678"/>
      <c r="AJ48" s="678"/>
      <c r="AK48" s="658"/>
    </row>
    <row r="49" spans="2:37" s="5" customFormat="1">
      <c r="B49" s="318"/>
      <c r="C49" s="835"/>
      <c r="D49" s="17" t="s">
        <v>28</v>
      </c>
      <c r="E49" s="88">
        <f>$H$5+4+2</f>
        <v>19.25</v>
      </c>
      <c r="F49" s="84">
        <f>E46/44*1.5</f>
        <v>1951.0977272727273</v>
      </c>
      <c r="G49" s="87">
        <v>6</v>
      </c>
      <c r="H49" s="64">
        <f>+G49*F49*E49</f>
        <v>225351.78750000003</v>
      </c>
      <c r="I49" s="79"/>
      <c r="J49" s="52"/>
      <c r="K49" s="156"/>
      <c r="L49" s="383"/>
      <c r="M49" s="542"/>
      <c r="N49" s="578">
        <f t="shared" si="3"/>
        <v>-225351.78750000003</v>
      </c>
      <c r="O49" s="678"/>
      <c r="P49" s="678"/>
      <c r="Q49" s="678"/>
      <c r="R49" s="678"/>
      <c r="S49" s="678"/>
      <c r="T49" s="678"/>
      <c r="U49" s="678"/>
      <c r="V49" s="678"/>
      <c r="W49" s="678"/>
      <c r="X49" s="678"/>
      <c r="Y49" s="678"/>
      <c r="Z49" s="678"/>
      <c r="AA49" s="678"/>
      <c r="AB49" s="678"/>
      <c r="AC49" s="678"/>
      <c r="AD49" s="678"/>
      <c r="AE49" s="678"/>
      <c r="AF49" s="678"/>
      <c r="AG49" s="678"/>
      <c r="AH49" s="678"/>
      <c r="AI49" s="678"/>
      <c r="AJ49" s="678"/>
      <c r="AK49" s="658"/>
    </row>
    <row r="50" spans="2:37" s="5" customFormat="1">
      <c r="B50" s="318"/>
      <c r="C50" s="835"/>
      <c r="D50" s="17" t="s">
        <v>1</v>
      </c>
      <c r="E50" s="67" t="s">
        <v>29</v>
      </c>
      <c r="F50" s="84">
        <f>E46/5*1.5</f>
        <v>17169.659999999996</v>
      </c>
      <c r="G50" s="64">
        <f>$H$3</f>
        <v>0</v>
      </c>
      <c r="H50" s="64">
        <f>+G50*F50</f>
        <v>0</v>
      </c>
      <c r="I50" s="79"/>
      <c r="J50" s="52"/>
      <c r="K50" s="156"/>
      <c r="L50" s="383"/>
      <c r="M50" s="542"/>
      <c r="N50" s="578">
        <f t="shared" si="3"/>
        <v>0</v>
      </c>
      <c r="O50" s="678"/>
      <c r="P50" s="678"/>
      <c r="Q50" s="678"/>
      <c r="R50" s="678"/>
      <c r="S50" s="678"/>
      <c r="T50" s="678"/>
      <c r="U50" s="678"/>
      <c r="V50" s="678"/>
      <c r="W50" s="678"/>
      <c r="X50" s="678"/>
      <c r="Y50" s="678"/>
      <c r="Z50" s="678"/>
      <c r="AA50" s="678"/>
      <c r="AB50" s="678"/>
      <c r="AC50" s="678"/>
      <c r="AD50" s="678"/>
      <c r="AE50" s="678"/>
      <c r="AF50" s="678"/>
      <c r="AG50" s="678"/>
      <c r="AH50" s="678"/>
      <c r="AI50" s="678"/>
      <c r="AJ50" s="678"/>
      <c r="AK50" s="658"/>
    </row>
    <row r="51" spans="2:37" s="5" customFormat="1">
      <c r="B51" s="318"/>
      <c r="C51" s="835"/>
      <c r="D51" s="17" t="s">
        <v>4</v>
      </c>
      <c r="E51" s="67" t="s">
        <v>29</v>
      </c>
      <c r="F51" s="84">
        <f>E46/5*2</f>
        <v>22892.879999999997</v>
      </c>
      <c r="G51" s="64">
        <f>$H$4</f>
        <v>0</v>
      </c>
      <c r="H51" s="64">
        <f>+G51*F51</f>
        <v>0</v>
      </c>
      <c r="I51" s="79"/>
      <c r="J51" s="52"/>
      <c r="K51" s="156"/>
      <c r="L51" s="383"/>
      <c r="M51" s="542"/>
      <c r="N51" s="578">
        <f t="shared" si="3"/>
        <v>0</v>
      </c>
      <c r="O51" s="678"/>
      <c r="P51" s="678"/>
      <c r="Q51" s="678"/>
      <c r="R51" s="678"/>
      <c r="S51" s="678"/>
      <c r="T51" s="678"/>
      <c r="U51" s="678"/>
      <c r="V51" s="678"/>
      <c r="W51" s="678"/>
      <c r="X51" s="678"/>
      <c r="Y51" s="678"/>
      <c r="Z51" s="678"/>
      <c r="AA51" s="678"/>
      <c r="AB51" s="678"/>
      <c r="AC51" s="678"/>
      <c r="AD51" s="678"/>
      <c r="AE51" s="678"/>
      <c r="AF51" s="678"/>
      <c r="AG51" s="678"/>
      <c r="AH51" s="678"/>
      <c r="AI51" s="678"/>
      <c r="AJ51" s="678"/>
      <c r="AK51" s="658"/>
    </row>
    <row r="52" spans="2:37" s="5" customFormat="1">
      <c r="B52" s="318"/>
      <c r="C52" s="835"/>
      <c r="D52" s="17" t="s">
        <v>5</v>
      </c>
      <c r="E52" s="98" t="s">
        <v>27</v>
      </c>
      <c r="F52" s="84">
        <f>F47</f>
        <v>57232.2</v>
      </c>
      <c r="G52" s="64">
        <v>1</v>
      </c>
      <c r="H52" s="64">
        <f>+G52*F52</f>
        <v>57232.2</v>
      </c>
      <c r="I52" s="79"/>
      <c r="J52" s="52"/>
      <c r="K52" s="156"/>
      <c r="L52" s="383"/>
      <c r="M52" s="542"/>
      <c r="N52" s="578">
        <f t="shared" si="3"/>
        <v>-57232.2</v>
      </c>
      <c r="O52" s="678"/>
      <c r="P52" s="678"/>
      <c r="Q52" s="678"/>
      <c r="R52" s="678"/>
      <c r="S52" s="678"/>
      <c r="T52" s="678"/>
      <c r="U52" s="678"/>
      <c r="V52" s="678"/>
      <c r="W52" s="678"/>
      <c r="X52" s="678"/>
      <c r="Y52" s="678"/>
      <c r="Z52" s="678"/>
      <c r="AA52" s="678"/>
      <c r="AB52" s="678"/>
      <c r="AC52" s="678"/>
      <c r="AD52" s="678"/>
      <c r="AE52" s="678"/>
      <c r="AF52" s="678"/>
      <c r="AG52" s="678"/>
      <c r="AH52" s="678"/>
      <c r="AI52" s="678"/>
      <c r="AJ52" s="678"/>
      <c r="AK52" s="658"/>
    </row>
    <row r="53" spans="2:37" s="5" customFormat="1">
      <c r="B53" s="318"/>
      <c r="C53" s="835"/>
      <c r="D53" s="17" t="s">
        <v>30</v>
      </c>
      <c r="E53" s="67" t="s">
        <v>16</v>
      </c>
      <c r="F53" s="89">
        <f>G47+G48+G52</f>
        <v>13</v>
      </c>
      <c r="G53" s="68" t="s">
        <v>31</v>
      </c>
      <c r="H53" s="64">
        <f>SUM(H47:H52)</f>
        <v>969370.38749999995</v>
      </c>
      <c r="I53" s="79"/>
      <c r="J53" s="52"/>
      <c r="K53" s="156"/>
      <c r="L53" s="383"/>
      <c r="M53" s="542"/>
      <c r="N53" s="578">
        <f t="shared" si="3"/>
        <v>-969370.38749999995</v>
      </c>
      <c r="O53" s="678"/>
      <c r="P53" s="678"/>
      <c r="Q53" s="678"/>
      <c r="R53" s="678"/>
      <c r="S53" s="678"/>
      <c r="T53" s="678"/>
      <c r="U53" s="678"/>
      <c r="V53" s="678"/>
      <c r="W53" s="678"/>
      <c r="X53" s="678"/>
      <c r="Y53" s="678"/>
      <c r="Z53" s="678"/>
      <c r="AA53" s="678"/>
      <c r="AB53" s="678"/>
      <c r="AC53" s="679"/>
      <c r="AD53" s="678"/>
      <c r="AE53" s="678"/>
      <c r="AF53" s="678"/>
      <c r="AG53" s="678"/>
      <c r="AH53" s="678"/>
      <c r="AI53" s="678"/>
      <c r="AJ53" s="678"/>
      <c r="AK53" s="658"/>
    </row>
    <row r="54" spans="2:37" s="5" customFormat="1">
      <c r="B54" s="318"/>
      <c r="C54" s="835"/>
      <c r="D54" s="19" t="s">
        <v>32</v>
      </c>
      <c r="E54" s="67" t="s">
        <v>16</v>
      </c>
      <c r="F54" s="84">
        <f>SUM(H47:H52)</f>
        <v>969370.38749999995</v>
      </c>
      <c r="G54" s="92">
        <f>$G$43</f>
        <v>8.3299999999999999E-2</v>
      </c>
      <c r="H54" s="64">
        <f>+G54*F54</f>
        <v>80748.553278749998</v>
      </c>
      <c r="I54" s="93"/>
      <c r="J54" s="52"/>
      <c r="K54" s="156"/>
      <c r="L54" s="383"/>
      <c r="M54" s="542"/>
      <c r="N54" s="578">
        <f t="shared" si="3"/>
        <v>-80748.553278749998</v>
      </c>
      <c r="O54" s="678"/>
      <c r="P54" s="678"/>
      <c r="Q54" s="678"/>
      <c r="R54" s="678"/>
      <c r="S54" s="678"/>
      <c r="T54" s="678"/>
      <c r="U54" s="678"/>
      <c r="V54" s="678"/>
      <c r="W54" s="678"/>
      <c r="X54" s="678"/>
      <c r="Y54" s="678"/>
      <c r="Z54" s="678"/>
      <c r="AA54" s="678"/>
      <c r="AB54" s="678"/>
      <c r="AC54" s="678"/>
      <c r="AD54" s="678"/>
      <c r="AE54" s="678"/>
      <c r="AF54" s="678"/>
      <c r="AG54" s="678"/>
      <c r="AH54" s="678"/>
      <c r="AI54" s="678"/>
      <c r="AJ54" s="678"/>
      <c r="AK54" s="658"/>
    </row>
    <row r="55" spans="2:37" s="5" customFormat="1">
      <c r="B55" s="318"/>
      <c r="C55" s="835"/>
      <c r="D55" s="19" t="s">
        <v>278</v>
      </c>
      <c r="E55" s="84">
        <f>F54/(5*F53)</f>
        <v>14913.390576923077</v>
      </c>
      <c r="F55" s="84">
        <f>E55*(F53*7)</f>
        <v>1357118.5425</v>
      </c>
      <c r="G55" s="95">
        <f>$G$44</f>
        <v>20</v>
      </c>
      <c r="H55" s="64">
        <f>F55/G55</f>
        <v>67855.927125000002</v>
      </c>
      <c r="I55" s="72">
        <f>SUM(H53:H55)</f>
        <v>1117974.8679037499</v>
      </c>
      <c r="J55" s="52">
        <f>SUM(G48:G55)</f>
        <v>33.083300000000001</v>
      </c>
      <c r="K55" s="156"/>
      <c r="L55" s="383"/>
      <c r="M55" s="542"/>
      <c r="N55" s="578">
        <f t="shared" si="3"/>
        <v>-67855.927125000002</v>
      </c>
      <c r="O55" s="678"/>
      <c r="P55" s="678"/>
      <c r="Q55" s="679"/>
      <c r="R55" s="679"/>
      <c r="S55" s="679"/>
      <c r="T55" s="679"/>
      <c r="U55" s="679"/>
      <c r="V55" s="679"/>
      <c r="W55" s="679"/>
      <c r="X55" s="679"/>
      <c r="Y55" s="679"/>
      <c r="Z55" s="679"/>
      <c r="AA55" s="679"/>
      <c r="AB55" s="679"/>
      <c r="AC55" s="679"/>
      <c r="AD55" s="678"/>
      <c r="AE55" s="678"/>
      <c r="AF55" s="678"/>
      <c r="AG55" s="678"/>
      <c r="AH55" s="678"/>
      <c r="AI55" s="678"/>
      <c r="AJ55" s="678"/>
      <c r="AK55" s="658"/>
    </row>
    <row r="56" spans="2:37" s="5" customFormat="1">
      <c r="B56" s="318"/>
      <c r="C56" s="835"/>
      <c r="D56" s="19"/>
      <c r="E56" s="84"/>
      <c r="F56" s="74"/>
      <c r="G56" s="401"/>
      <c r="H56" s="78"/>
      <c r="I56" s="79"/>
      <c r="J56" s="52"/>
      <c r="K56" s="156"/>
      <c r="L56" s="383"/>
      <c r="M56" s="542"/>
      <c r="N56" s="578">
        <f t="shared" si="3"/>
        <v>0</v>
      </c>
      <c r="O56" s="678"/>
      <c r="P56" s="678"/>
      <c r="Q56" s="678"/>
      <c r="R56" s="678"/>
      <c r="S56" s="678"/>
      <c r="T56" s="678"/>
      <c r="U56" s="678"/>
      <c r="V56" s="678"/>
      <c r="W56" s="678"/>
      <c r="X56" s="678"/>
      <c r="Y56" s="678"/>
      <c r="Z56" s="678"/>
      <c r="AA56" s="678"/>
      <c r="AB56" s="678"/>
      <c r="AC56" s="678"/>
      <c r="AD56" s="678"/>
      <c r="AE56" s="678"/>
      <c r="AF56" s="678"/>
      <c r="AG56" s="678"/>
      <c r="AH56" s="678"/>
      <c r="AI56" s="678"/>
      <c r="AJ56" s="678"/>
      <c r="AK56" s="658"/>
    </row>
    <row r="57" spans="2:37" s="5" customFormat="1" ht="15" customHeight="1">
      <c r="B57" s="317">
        <v>3</v>
      </c>
      <c r="C57" s="835" t="s">
        <v>864</v>
      </c>
      <c r="D57" s="80" t="s">
        <v>34</v>
      </c>
      <c r="E57" s="81">
        <f>E46</f>
        <v>57232.2</v>
      </c>
      <c r="F57" s="74"/>
      <c r="G57" s="75"/>
      <c r="H57" s="82"/>
      <c r="I57" s="83"/>
      <c r="J57" s="6"/>
      <c r="K57" s="156"/>
      <c r="L57" s="383"/>
      <c r="M57" s="542"/>
      <c r="N57" s="578">
        <f t="shared" si="3"/>
        <v>0</v>
      </c>
      <c r="O57" s="678"/>
      <c r="P57" s="678"/>
      <c r="Q57" s="678"/>
      <c r="R57" s="678"/>
      <c r="S57" s="678"/>
      <c r="T57" s="678"/>
      <c r="U57" s="678"/>
      <c r="V57" s="678"/>
      <c r="W57" s="678"/>
      <c r="X57" s="678"/>
      <c r="Y57" s="678"/>
      <c r="Z57" s="678"/>
      <c r="AA57" s="678"/>
      <c r="AB57" s="678"/>
      <c r="AC57" s="678"/>
      <c r="AD57" s="678"/>
      <c r="AE57" s="678"/>
      <c r="AF57" s="678"/>
      <c r="AG57" s="678"/>
      <c r="AH57" s="678"/>
      <c r="AI57" s="678"/>
      <c r="AJ57" s="678"/>
      <c r="AK57" s="658"/>
    </row>
    <row r="58" spans="2:37" s="5" customFormat="1">
      <c r="B58" s="318"/>
      <c r="C58" s="835"/>
      <c r="D58" s="17" t="s">
        <v>0</v>
      </c>
      <c r="E58" s="98" t="s">
        <v>27</v>
      </c>
      <c r="F58" s="84">
        <f>+E57</f>
        <v>57232.2</v>
      </c>
      <c r="G58" s="64">
        <v>4</v>
      </c>
      <c r="H58" s="64">
        <f>+G58*F58</f>
        <v>228928.8</v>
      </c>
      <c r="I58" s="79"/>
      <c r="J58" s="52"/>
      <c r="K58" s="156"/>
      <c r="L58" s="383"/>
      <c r="M58" s="542"/>
      <c r="N58" s="578">
        <f t="shared" si="3"/>
        <v>-228928.8</v>
      </c>
      <c r="O58" s="678"/>
      <c r="P58" s="678"/>
      <c r="Q58" s="678"/>
      <c r="R58" s="678"/>
      <c r="S58" s="678"/>
      <c r="T58" s="678"/>
      <c r="U58" s="678"/>
      <c r="V58" s="678"/>
      <c r="W58" s="678"/>
      <c r="X58" s="678"/>
      <c r="Y58" s="678"/>
      <c r="Z58" s="678"/>
      <c r="AA58" s="678"/>
      <c r="AB58" s="678"/>
      <c r="AC58" s="678"/>
      <c r="AD58" s="678"/>
      <c r="AE58" s="678"/>
      <c r="AF58" s="678"/>
      <c r="AG58" s="678"/>
      <c r="AH58" s="678"/>
      <c r="AI58" s="678"/>
      <c r="AJ58" s="678"/>
      <c r="AK58" s="658"/>
    </row>
    <row r="59" spans="2:37" s="5" customFormat="1">
      <c r="B59" s="318"/>
      <c r="C59" s="835"/>
      <c r="D59" s="17" t="s">
        <v>3</v>
      </c>
      <c r="E59" s="98" t="s">
        <v>27</v>
      </c>
      <c r="F59" s="84">
        <f>E57</f>
        <v>57232.2</v>
      </c>
      <c r="G59" s="87">
        <v>6</v>
      </c>
      <c r="H59" s="64">
        <f>+G59*F59</f>
        <v>343393.19999999995</v>
      </c>
      <c r="I59" s="79"/>
      <c r="J59" s="52"/>
      <c r="K59" s="156"/>
      <c r="L59" s="383"/>
      <c r="M59" s="542"/>
      <c r="N59" s="578">
        <f t="shared" si="3"/>
        <v>-343393.19999999995</v>
      </c>
      <c r="O59" s="678"/>
      <c r="P59" s="678"/>
      <c r="Q59" s="678"/>
      <c r="R59" s="678"/>
      <c r="S59" s="678"/>
      <c r="T59" s="678"/>
      <c r="U59" s="678"/>
      <c r="V59" s="678"/>
      <c r="W59" s="678"/>
      <c r="X59" s="678"/>
      <c r="Y59" s="678"/>
      <c r="Z59" s="678"/>
      <c r="AA59" s="678"/>
      <c r="AB59" s="678"/>
      <c r="AC59" s="678"/>
      <c r="AD59" s="678"/>
      <c r="AE59" s="678"/>
      <c r="AF59" s="678"/>
      <c r="AG59" s="678"/>
      <c r="AH59" s="678"/>
      <c r="AI59" s="678"/>
      <c r="AJ59" s="678"/>
      <c r="AK59" s="658"/>
    </row>
    <row r="60" spans="2:37" s="5" customFormat="1">
      <c r="B60" s="318"/>
      <c r="C60" s="835"/>
      <c r="D60" s="17" t="s">
        <v>28</v>
      </c>
      <c r="E60" s="88">
        <f>$H$5+4+2</f>
        <v>19.25</v>
      </c>
      <c r="F60" s="84">
        <f>E57/44*1.5</f>
        <v>1951.0977272727273</v>
      </c>
      <c r="G60" s="87">
        <v>6</v>
      </c>
      <c r="H60" s="64">
        <f>+G60*F60*E60</f>
        <v>225351.78750000003</v>
      </c>
      <c r="I60" s="79"/>
      <c r="J60" s="52"/>
      <c r="K60" s="156"/>
      <c r="L60" s="383"/>
      <c r="M60" s="542"/>
      <c r="N60" s="578">
        <f t="shared" si="3"/>
        <v>-225351.78750000003</v>
      </c>
      <c r="O60" s="678"/>
      <c r="P60" s="678"/>
      <c r="Q60" s="678"/>
      <c r="R60" s="678"/>
      <c r="S60" s="678"/>
      <c r="T60" s="678"/>
      <c r="U60" s="678"/>
      <c r="V60" s="678"/>
      <c r="W60" s="678"/>
      <c r="X60" s="678"/>
      <c r="Y60" s="678"/>
      <c r="Z60" s="678"/>
      <c r="AA60" s="678"/>
      <c r="AB60" s="678"/>
      <c r="AC60" s="678"/>
      <c r="AD60" s="678"/>
      <c r="AE60" s="678"/>
      <c r="AF60" s="678"/>
      <c r="AG60" s="678"/>
      <c r="AH60" s="678"/>
      <c r="AI60" s="678"/>
      <c r="AJ60" s="678"/>
      <c r="AK60" s="658"/>
    </row>
    <row r="61" spans="2:37" s="5" customFormat="1">
      <c r="B61" s="318"/>
      <c r="C61" s="835"/>
      <c r="D61" s="17" t="s">
        <v>1</v>
      </c>
      <c r="E61" s="67" t="s">
        <v>29</v>
      </c>
      <c r="F61" s="84">
        <f>E57/5*1.5</f>
        <v>17169.659999999996</v>
      </c>
      <c r="G61" s="64">
        <f>$H$3</f>
        <v>0</v>
      </c>
      <c r="H61" s="64">
        <f>+G61*F61</f>
        <v>0</v>
      </c>
      <c r="I61" s="79"/>
      <c r="J61" s="52"/>
      <c r="K61" s="156"/>
      <c r="L61" s="383"/>
      <c r="M61" s="542"/>
      <c r="N61" s="578">
        <f t="shared" si="3"/>
        <v>0</v>
      </c>
      <c r="O61" s="678"/>
      <c r="P61" s="678"/>
      <c r="Q61" s="678"/>
      <c r="R61" s="678"/>
      <c r="S61" s="678"/>
      <c r="T61" s="678"/>
      <c r="U61" s="678"/>
      <c r="V61" s="678"/>
      <c r="W61" s="678"/>
      <c r="X61" s="678"/>
      <c r="Y61" s="678"/>
      <c r="Z61" s="678"/>
      <c r="AA61" s="678"/>
      <c r="AB61" s="678"/>
      <c r="AC61" s="678"/>
      <c r="AD61" s="678"/>
      <c r="AE61" s="678"/>
      <c r="AF61" s="678"/>
      <c r="AG61" s="678"/>
      <c r="AH61" s="678"/>
      <c r="AI61" s="678"/>
      <c r="AJ61" s="678"/>
      <c r="AK61" s="658"/>
    </row>
    <row r="62" spans="2:37" s="5" customFormat="1">
      <c r="B62" s="318"/>
      <c r="C62" s="835"/>
      <c r="D62" s="17" t="s">
        <v>4</v>
      </c>
      <c r="E62" s="67" t="s">
        <v>29</v>
      </c>
      <c r="F62" s="84">
        <f>E57/5*2</f>
        <v>22892.879999999997</v>
      </c>
      <c r="G62" s="64">
        <f>$H$4</f>
        <v>0</v>
      </c>
      <c r="H62" s="64">
        <f>+G62*F62</f>
        <v>0</v>
      </c>
      <c r="I62" s="79"/>
      <c r="J62" s="52"/>
      <c r="K62" s="156"/>
      <c r="L62" s="383"/>
      <c r="M62" s="542"/>
      <c r="N62" s="578">
        <f t="shared" si="3"/>
        <v>0</v>
      </c>
      <c r="O62" s="678"/>
      <c r="P62" s="678"/>
      <c r="Q62" s="678"/>
      <c r="R62" s="678"/>
      <c r="S62" s="678"/>
      <c r="T62" s="678"/>
      <c r="U62" s="678"/>
      <c r="V62" s="678"/>
      <c r="W62" s="678"/>
      <c r="X62" s="678"/>
      <c r="Y62" s="678"/>
      <c r="Z62" s="678"/>
      <c r="AA62" s="678"/>
      <c r="AB62" s="678"/>
      <c r="AC62" s="678"/>
      <c r="AD62" s="678"/>
      <c r="AE62" s="678"/>
      <c r="AF62" s="678"/>
      <c r="AG62" s="678"/>
      <c r="AH62" s="678"/>
      <c r="AI62" s="678"/>
      <c r="AJ62" s="678"/>
      <c r="AK62" s="658"/>
    </row>
    <row r="63" spans="2:37" s="5" customFormat="1">
      <c r="B63" s="318"/>
      <c r="C63" s="835"/>
      <c r="D63" s="17" t="s">
        <v>5</v>
      </c>
      <c r="E63" s="98" t="s">
        <v>27</v>
      </c>
      <c r="F63" s="84">
        <f>F58</f>
        <v>57232.2</v>
      </c>
      <c r="G63" s="64">
        <v>0</v>
      </c>
      <c r="H63" s="64">
        <f>+G63*F63</f>
        <v>0</v>
      </c>
      <c r="I63" s="79"/>
      <c r="J63" s="52"/>
      <c r="K63" s="156"/>
      <c r="L63" s="383"/>
      <c r="M63" s="542"/>
      <c r="N63" s="578">
        <f t="shared" si="3"/>
        <v>0</v>
      </c>
      <c r="O63" s="678"/>
      <c r="P63" s="678"/>
      <c r="Q63" s="678"/>
      <c r="R63" s="678"/>
      <c r="S63" s="678"/>
      <c r="T63" s="678"/>
      <c r="U63" s="678"/>
      <c r="V63" s="678"/>
      <c r="W63" s="678"/>
      <c r="X63" s="678"/>
      <c r="Y63" s="678"/>
      <c r="Z63" s="678"/>
      <c r="AA63" s="678"/>
      <c r="AB63" s="678"/>
      <c r="AC63" s="678"/>
      <c r="AD63" s="678"/>
      <c r="AE63" s="678"/>
      <c r="AF63" s="678"/>
      <c r="AG63" s="678"/>
      <c r="AH63" s="678"/>
      <c r="AI63" s="678"/>
      <c r="AJ63" s="678"/>
      <c r="AK63" s="658"/>
    </row>
    <row r="64" spans="2:37" s="5" customFormat="1">
      <c r="B64" s="318"/>
      <c r="C64" s="835"/>
      <c r="D64" s="17" t="s">
        <v>30</v>
      </c>
      <c r="E64" s="67" t="s">
        <v>16</v>
      </c>
      <c r="F64" s="89">
        <f>G58+G59+G63</f>
        <v>10</v>
      </c>
      <c r="G64" s="68" t="s">
        <v>31</v>
      </c>
      <c r="H64" s="64">
        <f>SUM(H58:H63)</f>
        <v>797673.78750000009</v>
      </c>
      <c r="I64" s="79"/>
      <c r="J64" s="52"/>
      <c r="K64" s="156"/>
      <c r="L64" s="383"/>
      <c r="M64" s="542"/>
      <c r="N64" s="578">
        <f t="shared" si="3"/>
        <v>-797673.78750000009</v>
      </c>
      <c r="O64" s="678"/>
      <c r="P64" s="678"/>
      <c r="Q64" s="678"/>
      <c r="R64" s="678"/>
      <c r="S64" s="678"/>
      <c r="T64" s="678"/>
      <c r="U64" s="678"/>
      <c r="V64" s="678"/>
      <c r="W64" s="678"/>
      <c r="X64" s="678"/>
      <c r="Y64" s="678"/>
      <c r="Z64" s="678"/>
      <c r="AA64" s="678"/>
      <c r="AB64" s="678"/>
      <c r="AC64" s="679"/>
      <c r="AD64" s="678"/>
      <c r="AE64" s="678"/>
      <c r="AF64" s="678"/>
      <c r="AG64" s="678"/>
      <c r="AH64" s="678"/>
      <c r="AI64" s="678"/>
      <c r="AJ64" s="678"/>
      <c r="AK64" s="658"/>
    </row>
    <row r="65" spans="2:37" s="5" customFormat="1">
      <c r="B65" s="318"/>
      <c r="C65" s="835"/>
      <c r="D65" s="19" t="s">
        <v>32</v>
      </c>
      <c r="E65" s="67" t="s">
        <v>16</v>
      </c>
      <c r="F65" s="84">
        <f>SUM(H58:H63)</f>
        <v>797673.78750000009</v>
      </c>
      <c r="G65" s="92">
        <f>$G$43</f>
        <v>8.3299999999999999E-2</v>
      </c>
      <c r="H65" s="64">
        <f>+G65*F65</f>
        <v>66446.226498750009</v>
      </c>
      <c r="I65" s="93"/>
      <c r="J65" s="52"/>
      <c r="K65" s="156"/>
      <c r="L65" s="383"/>
      <c r="M65" s="542"/>
      <c r="N65" s="578">
        <f t="shared" si="3"/>
        <v>-66446.226498750009</v>
      </c>
      <c r="O65" s="678"/>
      <c r="P65" s="678"/>
      <c r="Q65" s="678"/>
      <c r="R65" s="678"/>
      <c r="S65" s="678"/>
      <c r="T65" s="678"/>
      <c r="U65" s="678"/>
      <c r="V65" s="678"/>
      <c r="W65" s="678"/>
      <c r="X65" s="678"/>
      <c r="Y65" s="678"/>
      <c r="Z65" s="678"/>
      <c r="AA65" s="678"/>
      <c r="AB65" s="678"/>
      <c r="AC65" s="678"/>
      <c r="AD65" s="678"/>
      <c r="AE65" s="678"/>
      <c r="AF65" s="678"/>
      <c r="AG65" s="678"/>
      <c r="AH65" s="678"/>
      <c r="AI65" s="678"/>
      <c r="AJ65" s="678"/>
      <c r="AK65" s="658"/>
    </row>
    <row r="66" spans="2:37" s="5" customFormat="1">
      <c r="B66" s="318"/>
      <c r="C66" s="835"/>
      <c r="D66" s="19" t="s">
        <v>278</v>
      </c>
      <c r="E66" s="84">
        <f>F65/(5*F64)</f>
        <v>15953.475750000001</v>
      </c>
      <c r="F66" s="84">
        <f>E66*(F64*7)</f>
        <v>1116743.3025</v>
      </c>
      <c r="G66" s="95">
        <f>$G$44</f>
        <v>20</v>
      </c>
      <c r="H66" s="64">
        <f>F66/G66</f>
        <v>55837.165125</v>
      </c>
      <c r="I66" s="72">
        <f>SUM(H64:H66)</f>
        <v>919957.17912375019</v>
      </c>
      <c r="J66" s="52">
        <f>SUM(G59:G66)</f>
        <v>32.083300000000001</v>
      </c>
      <c r="K66" s="156"/>
      <c r="L66" s="383"/>
      <c r="M66" s="542"/>
      <c r="N66" s="578">
        <f t="shared" si="3"/>
        <v>-55837.165125</v>
      </c>
      <c r="O66" s="678"/>
      <c r="P66" s="678"/>
      <c r="Q66" s="679"/>
      <c r="R66" s="679"/>
      <c r="S66" s="679"/>
      <c r="T66" s="679"/>
      <c r="U66" s="679"/>
      <c r="V66" s="679"/>
      <c r="W66" s="679"/>
      <c r="X66" s="679"/>
      <c r="Y66" s="679"/>
      <c r="Z66" s="679"/>
      <c r="AA66" s="679"/>
      <c r="AB66" s="679"/>
      <c r="AC66" s="679"/>
      <c r="AD66" s="678"/>
      <c r="AE66" s="678"/>
      <c r="AF66" s="678"/>
      <c r="AG66" s="678"/>
      <c r="AH66" s="678"/>
      <c r="AI66" s="678"/>
      <c r="AJ66" s="678"/>
      <c r="AK66" s="658"/>
    </row>
    <row r="67" spans="2:37" s="5" customFormat="1">
      <c r="B67" s="318"/>
      <c r="C67" s="835"/>
      <c r="D67" s="96"/>
      <c r="E67" s="9"/>
      <c r="F67" s="74"/>
      <c r="G67" s="97"/>
      <c r="H67" s="78"/>
      <c r="I67" s="79"/>
      <c r="J67" s="52"/>
      <c r="K67" s="156"/>
      <c r="L67" s="383"/>
      <c r="M67" s="542"/>
      <c r="N67" s="578">
        <f t="shared" si="3"/>
        <v>0</v>
      </c>
      <c r="O67" s="678"/>
      <c r="P67" s="678"/>
      <c r="Q67" s="680"/>
      <c r="R67" s="680"/>
      <c r="S67" s="680"/>
      <c r="T67" s="680"/>
      <c r="U67" s="680"/>
      <c r="V67" s="680"/>
      <c r="W67" s="680"/>
      <c r="X67" s="680"/>
      <c r="Y67" s="680"/>
      <c r="Z67" s="680"/>
      <c r="AA67" s="680"/>
      <c r="AB67" s="680"/>
      <c r="AC67" s="680"/>
      <c r="AD67" s="678"/>
      <c r="AE67" s="678"/>
      <c r="AF67" s="678"/>
      <c r="AG67" s="678"/>
      <c r="AH67" s="678"/>
      <c r="AI67" s="678"/>
      <c r="AJ67" s="678"/>
      <c r="AK67" s="658"/>
    </row>
    <row r="68" spans="2:37" s="5" customFormat="1" ht="15" customHeight="1">
      <c r="B68" s="317">
        <v>4</v>
      </c>
      <c r="C68" s="835" t="s">
        <v>865</v>
      </c>
      <c r="D68" s="80" t="s">
        <v>35</v>
      </c>
      <c r="E68" s="81">
        <v>39782.300000000003</v>
      </c>
      <c r="F68" s="74"/>
      <c r="G68" s="75"/>
      <c r="H68" s="82"/>
      <c r="I68" s="83"/>
      <c r="J68" s="6"/>
      <c r="K68" s="156"/>
      <c r="L68" s="383"/>
      <c r="M68" s="542"/>
      <c r="N68" s="578">
        <f t="shared" si="3"/>
        <v>0</v>
      </c>
      <c r="O68" s="678"/>
      <c r="P68" s="678"/>
      <c r="Q68" s="680"/>
      <c r="R68" s="680"/>
      <c r="S68" s="680"/>
      <c r="T68" s="680"/>
      <c r="U68" s="680"/>
      <c r="V68" s="680"/>
      <c r="W68" s="680"/>
      <c r="X68" s="680"/>
      <c r="Y68" s="680"/>
      <c r="Z68" s="680"/>
      <c r="AA68" s="680"/>
      <c r="AB68" s="680"/>
      <c r="AC68" s="680"/>
      <c r="AD68" s="678"/>
      <c r="AE68" s="678"/>
      <c r="AF68" s="678"/>
      <c r="AG68" s="678"/>
      <c r="AH68" s="678"/>
      <c r="AI68" s="678"/>
      <c r="AJ68" s="678"/>
      <c r="AK68" s="658"/>
    </row>
    <row r="69" spans="2:37" s="5" customFormat="1">
      <c r="B69" s="318"/>
      <c r="C69" s="835"/>
      <c r="D69" s="17" t="s">
        <v>0</v>
      </c>
      <c r="E69" s="98" t="s">
        <v>27</v>
      </c>
      <c r="F69" s="84">
        <f>E68</f>
        <v>39782.300000000003</v>
      </c>
      <c r="G69" s="64">
        <v>6</v>
      </c>
      <c r="H69" s="64">
        <f>+G69*F69</f>
        <v>238693.80000000002</v>
      </c>
      <c r="I69" s="79"/>
      <c r="J69" s="52"/>
      <c r="K69" s="156"/>
      <c r="L69" s="383"/>
      <c r="M69" s="542"/>
      <c r="N69" s="578">
        <f t="shared" si="3"/>
        <v>-238693.80000000002</v>
      </c>
      <c r="O69" s="678"/>
      <c r="P69" s="678"/>
      <c r="Q69" s="680"/>
      <c r="R69" s="680"/>
      <c r="S69" s="680"/>
      <c r="T69" s="680"/>
      <c r="U69" s="680"/>
      <c r="V69" s="680"/>
      <c r="W69" s="680"/>
      <c r="X69" s="680"/>
      <c r="Y69" s="680"/>
      <c r="Z69" s="680"/>
      <c r="AA69" s="680"/>
      <c r="AB69" s="680"/>
      <c r="AC69" s="680"/>
      <c r="AD69" s="678"/>
      <c r="AE69" s="678"/>
      <c r="AF69" s="678"/>
      <c r="AG69" s="678"/>
      <c r="AH69" s="678"/>
      <c r="AI69" s="678"/>
      <c r="AJ69" s="678"/>
      <c r="AK69" s="658"/>
    </row>
    <row r="70" spans="2:37" s="5" customFormat="1">
      <c r="B70" s="318"/>
      <c r="C70" s="835"/>
      <c r="D70" s="17" t="s">
        <v>3</v>
      </c>
      <c r="E70" s="98" t="s">
        <v>27</v>
      </c>
      <c r="F70" s="84">
        <f>E68</f>
        <v>39782.300000000003</v>
      </c>
      <c r="G70" s="87">
        <v>6</v>
      </c>
      <c r="H70" s="64">
        <f>+G70*F70</f>
        <v>238693.80000000002</v>
      </c>
      <c r="I70" s="79"/>
      <c r="J70" s="52"/>
      <c r="K70" s="156"/>
      <c r="L70" s="383"/>
      <c r="M70" s="542"/>
      <c r="N70" s="578">
        <f t="shared" si="3"/>
        <v>-238693.80000000002</v>
      </c>
      <c r="O70" s="678"/>
      <c r="P70" s="678"/>
      <c r="Q70" s="680"/>
      <c r="R70" s="680"/>
      <c r="S70" s="680"/>
      <c r="T70" s="680"/>
      <c r="U70" s="680"/>
      <c r="V70" s="680"/>
      <c r="W70" s="680"/>
      <c r="X70" s="680"/>
      <c r="Y70" s="680"/>
      <c r="Z70" s="680"/>
      <c r="AA70" s="680"/>
      <c r="AB70" s="680"/>
      <c r="AC70" s="680"/>
      <c r="AD70" s="678"/>
      <c r="AE70" s="678"/>
      <c r="AF70" s="678"/>
      <c r="AG70" s="678"/>
      <c r="AH70" s="678"/>
      <c r="AI70" s="678"/>
      <c r="AJ70" s="678"/>
      <c r="AK70" s="658"/>
    </row>
    <row r="71" spans="2:37" s="5" customFormat="1">
      <c r="B71" s="318"/>
      <c r="C71" s="835"/>
      <c r="D71" s="17" t="s">
        <v>28</v>
      </c>
      <c r="E71" s="88">
        <f>$H$5+2+2</f>
        <v>17.25</v>
      </c>
      <c r="F71" s="84">
        <f>E68/44*1.5</f>
        <v>1356.2147727272729</v>
      </c>
      <c r="G71" s="87">
        <v>6</v>
      </c>
      <c r="H71" s="64">
        <f>+G71*F71*E71</f>
        <v>140368.22897727275</v>
      </c>
      <c r="I71" s="79"/>
      <c r="J71" s="52"/>
      <c r="K71" s="156"/>
      <c r="L71" s="383"/>
      <c r="M71" s="542"/>
      <c r="N71" s="578">
        <f t="shared" si="3"/>
        <v>-140368.22897727275</v>
      </c>
      <c r="O71" s="678"/>
      <c r="P71" s="678"/>
      <c r="Q71" s="680"/>
      <c r="R71" s="680"/>
      <c r="S71" s="680"/>
      <c r="T71" s="680"/>
      <c r="U71" s="680"/>
      <c r="V71" s="680"/>
      <c r="W71" s="680"/>
      <c r="X71" s="680"/>
      <c r="Y71" s="680"/>
      <c r="Z71" s="680"/>
      <c r="AA71" s="680"/>
      <c r="AB71" s="680"/>
      <c r="AC71" s="680"/>
      <c r="AD71" s="678"/>
      <c r="AE71" s="678"/>
      <c r="AF71" s="678"/>
      <c r="AG71" s="678"/>
      <c r="AH71" s="678"/>
      <c r="AI71" s="678"/>
      <c r="AJ71" s="678"/>
      <c r="AK71" s="658"/>
    </row>
    <row r="72" spans="2:37" s="5" customFormat="1">
      <c r="B72" s="318"/>
      <c r="C72" s="835"/>
      <c r="D72" s="17" t="s">
        <v>1</v>
      </c>
      <c r="E72" s="67" t="s">
        <v>29</v>
      </c>
      <c r="F72" s="84">
        <f>E68/5*1.5</f>
        <v>11934.690000000002</v>
      </c>
      <c r="G72" s="64">
        <f>$H$3</f>
        <v>0</v>
      </c>
      <c r="H72" s="64">
        <f>+G72*F72</f>
        <v>0</v>
      </c>
      <c r="I72" s="79"/>
      <c r="J72" s="52"/>
      <c r="K72" s="156"/>
      <c r="L72" s="383"/>
      <c r="M72" s="542"/>
      <c r="N72" s="578">
        <f t="shared" si="3"/>
        <v>0</v>
      </c>
      <c r="O72" s="678"/>
      <c r="P72" s="678"/>
      <c r="Q72" s="680"/>
      <c r="R72" s="680"/>
      <c r="S72" s="680"/>
      <c r="T72" s="680"/>
      <c r="U72" s="680"/>
      <c r="V72" s="680"/>
      <c r="W72" s="680"/>
      <c r="X72" s="680"/>
      <c r="Y72" s="680"/>
      <c r="Z72" s="680"/>
      <c r="AA72" s="680"/>
      <c r="AB72" s="680"/>
      <c r="AC72" s="680"/>
      <c r="AD72" s="678"/>
      <c r="AE72" s="678"/>
      <c r="AF72" s="678"/>
      <c r="AG72" s="678"/>
      <c r="AH72" s="678"/>
      <c r="AI72" s="678"/>
      <c r="AJ72" s="678"/>
      <c r="AK72" s="658"/>
    </row>
    <row r="73" spans="2:37" s="5" customFormat="1">
      <c r="B73" s="318"/>
      <c r="C73" s="835"/>
      <c r="D73" s="17" t="s">
        <v>4</v>
      </c>
      <c r="E73" s="67" t="s">
        <v>29</v>
      </c>
      <c r="F73" s="84">
        <f>E68/5*2</f>
        <v>15912.920000000002</v>
      </c>
      <c r="G73" s="64">
        <f>$H$4</f>
        <v>0</v>
      </c>
      <c r="H73" s="64">
        <f>+G73*F73</f>
        <v>0</v>
      </c>
      <c r="I73" s="79"/>
      <c r="J73" s="52"/>
      <c r="K73" s="156"/>
      <c r="L73" s="383"/>
      <c r="M73" s="542"/>
      <c r="N73" s="578">
        <f t="shared" si="3"/>
        <v>0</v>
      </c>
      <c r="O73" s="678"/>
      <c r="P73" s="678"/>
      <c r="Q73" s="680"/>
      <c r="R73" s="680"/>
      <c r="S73" s="680"/>
      <c r="T73" s="680"/>
      <c r="U73" s="680"/>
      <c r="V73" s="680"/>
      <c r="W73" s="680"/>
      <c r="X73" s="680"/>
      <c r="Y73" s="680"/>
      <c r="Z73" s="680"/>
      <c r="AA73" s="680"/>
      <c r="AB73" s="680"/>
      <c r="AC73" s="680"/>
      <c r="AD73" s="678"/>
      <c r="AE73" s="678"/>
      <c r="AF73" s="678"/>
      <c r="AG73" s="678"/>
      <c r="AH73" s="678"/>
      <c r="AI73" s="678"/>
      <c r="AJ73" s="678"/>
      <c r="AK73" s="658"/>
    </row>
    <row r="74" spans="2:37" s="5" customFormat="1">
      <c r="B74" s="318"/>
      <c r="C74" s="835"/>
      <c r="D74" s="17" t="s">
        <v>5</v>
      </c>
      <c r="E74" s="98" t="s">
        <v>27</v>
      </c>
      <c r="F74" s="84">
        <f>E68</f>
        <v>39782.300000000003</v>
      </c>
      <c r="G74" s="64">
        <f>$F$5-$F$5</f>
        <v>0</v>
      </c>
      <c r="H74" s="64">
        <f>+G74*F74</f>
        <v>0</v>
      </c>
      <c r="I74" s="79"/>
      <c r="J74" s="52"/>
      <c r="K74" s="156"/>
      <c r="L74" s="383"/>
      <c r="M74" s="542"/>
      <c r="N74" s="578">
        <f t="shared" si="3"/>
        <v>0</v>
      </c>
      <c r="O74" s="678"/>
      <c r="P74" s="678"/>
      <c r="Q74" s="680"/>
      <c r="R74" s="680"/>
      <c r="S74" s="680"/>
      <c r="T74" s="680"/>
      <c r="U74" s="680"/>
      <c r="V74" s="680"/>
      <c r="W74" s="680"/>
      <c r="X74" s="680"/>
      <c r="Y74" s="680"/>
      <c r="Z74" s="680"/>
      <c r="AA74" s="680"/>
      <c r="AB74" s="680"/>
      <c r="AC74" s="680"/>
      <c r="AD74" s="678"/>
      <c r="AE74" s="678"/>
      <c r="AF74" s="678"/>
      <c r="AG74" s="678"/>
      <c r="AH74" s="678"/>
      <c r="AI74" s="678"/>
      <c r="AJ74" s="678"/>
      <c r="AK74" s="658"/>
    </row>
    <row r="75" spans="2:37" s="5" customFormat="1">
      <c r="B75" s="318"/>
      <c r="C75" s="835"/>
      <c r="D75" s="17" t="s">
        <v>30</v>
      </c>
      <c r="E75" s="67" t="s">
        <v>16</v>
      </c>
      <c r="F75" s="89">
        <f>G69+G70+G74</f>
        <v>12</v>
      </c>
      <c r="G75" s="68" t="s">
        <v>31</v>
      </c>
      <c r="H75" s="64">
        <f>SUM(H69:H74)</f>
        <v>617755.82897727285</v>
      </c>
      <c r="I75" s="79"/>
      <c r="J75" s="52"/>
      <c r="K75" s="156"/>
      <c r="L75" s="383"/>
      <c r="M75" s="542"/>
      <c r="N75" s="578">
        <f t="shared" si="3"/>
        <v>-617755.82897727285</v>
      </c>
      <c r="O75" s="678"/>
      <c r="P75" s="678"/>
      <c r="Q75" s="680"/>
      <c r="R75" s="680"/>
      <c r="S75" s="680"/>
      <c r="T75" s="680"/>
      <c r="U75" s="680"/>
      <c r="V75" s="680"/>
      <c r="W75" s="680"/>
      <c r="X75" s="680"/>
      <c r="Y75" s="680"/>
      <c r="Z75" s="680"/>
      <c r="AA75" s="680"/>
      <c r="AB75" s="680"/>
      <c r="AC75" s="681"/>
      <c r="AD75" s="678"/>
      <c r="AE75" s="678"/>
      <c r="AF75" s="678"/>
      <c r="AG75" s="678"/>
      <c r="AH75" s="678"/>
      <c r="AI75" s="678"/>
      <c r="AJ75" s="678"/>
      <c r="AK75" s="658"/>
    </row>
    <row r="76" spans="2:37" s="5" customFormat="1">
      <c r="B76" s="318"/>
      <c r="C76" s="835"/>
      <c r="D76" s="19" t="s">
        <v>32</v>
      </c>
      <c r="E76" s="67" t="s">
        <v>16</v>
      </c>
      <c r="F76" s="84">
        <f>SUM(H69:H74)</f>
        <v>617755.82897727285</v>
      </c>
      <c r="G76" s="92">
        <f>$G$43</f>
        <v>8.3299999999999999E-2</v>
      </c>
      <c r="H76" s="64">
        <f>+G76*F76</f>
        <v>51459.060553806827</v>
      </c>
      <c r="I76" s="93"/>
      <c r="J76" s="52"/>
      <c r="K76" s="156"/>
      <c r="L76" s="383"/>
      <c r="M76" s="542"/>
      <c r="N76" s="578">
        <f t="shared" si="3"/>
        <v>-51459.060553806827</v>
      </c>
      <c r="O76" s="678"/>
      <c r="P76" s="678"/>
      <c r="Q76" s="680"/>
      <c r="R76" s="680"/>
      <c r="S76" s="680"/>
      <c r="T76" s="680"/>
      <c r="U76" s="680"/>
      <c r="V76" s="680"/>
      <c r="W76" s="680"/>
      <c r="X76" s="680"/>
      <c r="Y76" s="680"/>
      <c r="Z76" s="680"/>
      <c r="AA76" s="680"/>
      <c r="AB76" s="680"/>
      <c r="AC76" s="680"/>
      <c r="AD76" s="678"/>
      <c r="AE76" s="678"/>
      <c r="AF76" s="678"/>
      <c r="AG76" s="678"/>
      <c r="AH76" s="678"/>
      <c r="AI76" s="678"/>
      <c r="AJ76" s="678"/>
      <c r="AK76" s="658"/>
    </row>
    <row r="77" spans="2:37" s="5" customFormat="1">
      <c r="B77" s="318"/>
      <c r="C77" s="835"/>
      <c r="D77" s="19" t="s">
        <v>33</v>
      </c>
      <c r="E77" s="84">
        <f>F76/(5*F75)</f>
        <v>10295.930482954547</v>
      </c>
      <c r="F77" s="84">
        <f>E77*(F75*7)</f>
        <v>864858.16056818201</v>
      </c>
      <c r="G77" s="95">
        <f>$G$44</f>
        <v>20</v>
      </c>
      <c r="H77" s="64">
        <f>F77/G77</f>
        <v>43242.908028409103</v>
      </c>
      <c r="I77" s="72">
        <f>SUM(H75:H77)</f>
        <v>712457.7975594888</v>
      </c>
      <c r="J77" s="52">
        <f>SUM(G69:G77)</f>
        <v>38.083300000000001</v>
      </c>
      <c r="K77" s="156"/>
      <c r="L77" s="383"/>
      <c r="M77" s="542"/>
      <c r="N77" s="578">
        <f t="shared" si="3"/>
        <v>-43242.908028409103</v>
      </c>
      <c r="O77" s="678"/>
      <c r="P77" s="678"/>
      <c r="Q77" s="681"/>
      <c r="R77" s="681"/>
      <c r="S77" s="681"/>
      <c r="T77" s="681"/>
      <c r="U77" s="681"/>
      <c r="V77" s="681"/>
      <c r="W77" s="681"/>
      <c r="X77" s="681"/>
      <c r="Y77" s="681"/>
      <c r="Z77" s="681"/>
      <c r="AA77" s="681"/>
      <c r="AB77" s="681"/>
      <c r="AC77" s="681"/>
      <c r="AD77" s="678"/>
      <c r="AE77" s="678"/>
      <c r="AF77" s="678"/>
      <c r="AG77" s="678"/>
      <c r="AH77" s="678"/>
      <c r="AI77" s="678"/>
      <c r="AJ77" s="678"/>
      <c r="AK77" s="658"/>
    </row>
    <row r="78" spans="2:37" s="5" customFormat="1">
      <c r="B78" s="318"/>
      <c r="C78" s="835"/>
      <c r="D78" s="96"/>
      <c r="E78" s="9"/>
      <c r="F78" s="74"/>
      <c r="G78" s="97"/>
      <c r="H78" s="78"/>
      <c r="I78" s="79"/>
      <c r="J78" s="52"/>
      <c r="K78" s="156"/>
      <c r="L78" s="383"/>
      <c r="M78" s="542"/>
      <c r="N78" s="578">
        <f t="shared" si="3"/>
        <v>0</v>
      </c>
      <c r="O78" s="678"/>
      <c r="P78" s="678"/>
      <c r="Q78" s="678"/>
      <c r="R78" s="678"/>
      <c r="S78" s="678"/>
      <c r="T78" s="678"/>
      <c r="U78" s="678"/>
      <c r="V78" s="678"/>
      <c r="W78" s="678"/>
      <c r="X78" s="678"/>
      <c r="Y78" s="678"/>
      <c r="Z78" s="678"/>
      <c r="AA78" s="678"/>
      <c r="AB78" s="678"/>
      <c r="AC78" s="678"/>
      <c r="AD78" s="678"/>
      <c r="AE78" s="678"/>
      <c r="AF78" s="678"/>
      <c r="AG78" s="678"/>
      <c r="AH78" s="678"/>
      <c r="AI78" s="678"/>
      <c r="AJ78" s="678"/>
      <c r="AK78" s="658"/>
    </row>
    <row r="79" spans="2:37" s="5" customFormat="1">
      <c r="B79" s="318"/>
      <c r="C79" s="835"/>
      <c r="D79" s="96"/>
      <c r="E79" s="9"/>
      <c r="F79" s="74"/>
      <c r="G79" s="97"/>
      <c r="H79" s="78"/>
      <c r="I79" s="79"/>
      <c r="J79" s="52"/>
      <c r="K79" s="156"/>
      <c r="L79" s="383"/>
      <c r="M79" s="542"/>
      <c r="N79" s="578">
        <f t="shared" si="3"/>
        <v>0</v>
      </c>
      <c r="O79" s="678"/>
      <c r="P79" s="678"/>
      <c r="Q79" s="678"/>
      <c r="R79" s="678"/>
      <c r="S79" s="678"/>
      <c r="T79" s="678"/>
      <c r="U79" s="678"/>
      <c r="V79" s="678"/>
      <c r="W79" s="678"/>
      <c r="X79" s="678"/>
      <c r="Y79" s="678"/>
      <c r="Z79" s="678"/>
      <c r="AA79" s="678"/>
      <c r="AB79" s="678"/>
      <c r="AC79" s="678"/>
      <c r="AD79" s="678"/>
      <c r="AE79" s="678"/>
      <c r="AF79" s="678"/>
      <c r="AG79" s="678"/>
      <c r="AH79" s="678"/>
      <c r="AI79" s="678"/>
      <c r="AJ79" s="678"/>
      <c r="AK79" s="658"/>
    </row>
    <row r="80" spans="2:37" s="5" customFormat="1" ht="15" customHeight="1">
      <c r="B80" s="317">
        <v>5</v>
      </c>
      <c r="C80" s="835" t="s">
        <v>866</v>
      </c>
      <c r="D80" s="80" t="s">
        <v>36</v>
      </c>
      <c r="E80" s="81">
        <v>71152.75</v>
      </c>
      <c r="F80" s="74"/>
      <c r="G80" s="75"/>
      <c r="H80" s="82"/>
      <c r="I80" s="83"/>
      <c r="J80" s="6"/>
      <c r="K80" s="156"/>
      <c r="L80" s="383"/>
      <c r="M80" s="542"/>
      <c r="N80" s="578">
        <f t="shared" si="3"/>
        <v>0</v>
      </c>
      <c r="O80" s="678"/>
      <c r="P80" s="678"/>
      <c r="Q80" s="678"/>
      <c r="R80" s="678"/>
      <c r="S80" s="678"/>
      <c r="T80" s="678"/>
      <c r="U80" s="678"/>
      <c r="V80" s="678"/>
      <c r="W80" s="678"/>
      <c r="X80" s="678"/>
      <c r="Y80" s="678"/>
      <c r="Z80" s="678"/>
      <c r="AA80" s="678"/>
      <c r="AB80" s="678"/>
      <c r="AC80" s="678"/>
      <c r="AD80" s="678"/>
      <c r="AE80" s="678"/>
      <c r="AF80" s="678"/>
      <c r="AG80" s="678"/>
      <c r="AH80" s="678"/>
      <c r="AI80" s="678"/>
      <c r="AJ80" s="678"/>
      <c r="AK80" s="658"/>
    </row>
    <row r="81" spans="2:37" s="5" customFormat="1">
      <c r="B81" s="318"/>
      <c r="C81" s="835"/>
      <c r="D81" s="17" t="s">
        <v>0</v>
      </c>
      <c r="E81" s="98" t="s">
        <v>27</v>
      </c>
      <c r="F81" s="84">
        <f>E80</f>
        <v>71152.75</v>
      </c>
      <c r="G81" s="654">
        <v>7</v>
      </c>
      <c r="H81" s="64">
        <f>+G81*F81</f>
        <v>498069.25</v>
      </c>
      <c r="I81" s="79"/>
      <c r="J81" s="52"/>
      <c r="K81" s="156"/>
      <c r="L81" s="383"/>
      <c r="M81" s="542"/>
      <c r="N81" s="578">
        <f t="shared" si="3"/>
        <v>-498069.25</v>
      </c>
      <c r="O81" s="693"/>
      <c r="P81" s="693"/>
      <c r="Q81" s="678"/>
      <c r="R81" s="678"/>
      <c r="S81" s="678"/>
      <c r="T81" s="678"/>
      <c r="U81" s="678"/>
      <c r="V81" s="678"/>
      <c r="W81" s="678"/>
      <c r="X81" s="678"/>
      <c r="Y81" s="678"/>
      <c r="Z81" s="678"/>
      <c r="AA81" s="678"/>
      <c r="AB81" s="678"/>
      <c r="AC81" s="678"/>
      <c r="AD81" s="678"/>
      <c r="AE81" s="678"/>
      <c r="AF81" s="678"/>
      <c r="AG81" s="678"/>
      <c r="AH81" s="678"/>
      <c r="AI81" s="678"/>
      <c r="AJ81" s="678"/>
      <c r="AK81" s="658"/>
    </row>
    <row r="82" spans="2:37" s="5" customFormat="1">
      <c r="B82" s="318"/>
      <c r="C82" s="835"/>
      <c r="D82" s="17" t="s">
        <v>3</v>
      </c>
      <c r="E82" s="98" t="s">
        <v>27</v>
      </c>
      <c r="F82" s="84">
        <f>E80</f>
        <v>71152.75</v>
      </c>
      <c r="G82" s="87">
        <v>6</v>
      </c>
      <c r="H82" s="64">
        <f>+G82*F82</f>
        <v>426916.5</v>
      </c>
      <c r="I82" s="79"/>
      <c r="J82" s="52"/>
      <c r="K82" s="156"/>
      <c r="L82" s="383"/>
      <c r="M82" s="542"/>
      <c r="N82" s="578">
        <f t="shared" si="3"/>
        <v>-426916.5</v>
      </c>
      <c r="O82" s="678"/>
      <c r="P82" s="678"/>
      <c r="Q82" s="678"/>
      <c r="R82" s="678"/>
      <c r="S82" s="678"/>
      <c r="T82" s="678"/>
      <c r="U82" s="678"/>
      <c r="V82" s="678"/>
      <c r="W82" s="678"/>
      <c r="X82" s="678"/>
      <c r="Y82" s="678"/>
      <c r="Z82" s="678"/>
      <c r="AA82" s="678"/>
      <c r="AB82" s="678"/>
      <c r="AC82" s="678"/>
      <c r="AD82" s="678"/>
      <c r="AE82" s="678"/>
      <c r="AF82" s="678"/>
      <c r="AG82" s="678"/>
      <c r="AH82" s="678"/>
      <c r="AI82" s="678"/>
      <c r="AJ82" s="678"/>
      <c r="AK82" s="658"/>
    </row>
    <row r="83" spans="2:37" s="5" customFormat="1">
      <c r="B83" s="318"/>
      <c r="C83" s="835"/>
      <c r="D83" s="17" t="s">
        <v>28</v>
      </c>
      <c r="E83" s="88">
        <f>$H$5+2+2</f>
        <v>17.25</v>
      </c>
      <c r="F83" s="84">
        <f>E80/44*1.5</f>
        <v>2425.661931818182</v>
      </c>
      <c r="G83" s="87">
        <v>6</v>
      </c>
      <c r="H83" s="64">
        <f>+G83*F83*E83</f>
        <v>251056.00994318182</v>
      </c>
      <c r="I83" s="79"/>
      <c r="J83" s="52"/>
      <c r="K83" s="156"/>
      <c r="L83" s="383"/>
      <c r="M83" s="542"/>
      <c r="N83" s="578">
        <f t="shared" si="3"/>
        <v>-251056.00994318182</v>
      </c>
      <c r="O83" s="678"/>
      <c r="P83" s="678"/>
      <c r="Q83" s="678"/>
      <c r="R83" s="678"/>
      <c r="S83" s="678"/>
      <c r="T83" s="678"/>
      <c r="U83" s="678"/>
      <c r="V83" s="678"/>
      <c r="W83" s="678"/>
      <c r="X83" s="678"/>
      <c r="Y83" s="678"/>
      <c r="Z83" s="678"/>
      <c r="AA83" s="678"/>
      <c r="AB83" s="678"/>
      <c r="AC83" s="678"/>
      <c r="AD83" s="678"/>
      <c r="AE83" s="678"/>
      <c r="AF83" s="678"/>
      <c r="AG83" s="678"/>
      <c r="AH83" s="678"/>
      <c r="AI83" s="678"/>
      <c r="AJ83" s="678"/>
      <c r="AK83" s="658"/>
    </row>
    <row r="84" spans="2:37" s="5" customFormat="1">
      <c r="B84" s="318"/>
      <c r="C84" s="835"/>
      <c r="D84" s="17" t="s">
        <v>1</v>
      </c>
      <c r="E84" s="67" t="s">
        <v>29</v>
      </c>
      <c r="F84" s="84">
        <f>E80/5*1.5</f>
        <v>21345.824999999997</v>
      </c>
      <c r="G84" s="64">
        <f>$H$3</f>
        <v>0</v>
      </c>
      <c r="H84" s="64">
        <f>+G84*F84</f>
        <v>0</v>
      </c>
      <c r="I84" s="79"/>
      <c r="J84" s="52"/>
      <c r="K84" s="156"/>
      <c r="L84" s="383"/>
      <c r="M84" s="542"/>
      <c r="N84" s="578">
        <f t="shared" si="3"/>
        <v>0</v>
      </c>
      <c r="O84" s="678"/>
      <c r="P84" s="678"/>
      <c r="Q84" s="678"/>
      <c r="R84" s="678"/>
      <c r="S84" s="678"/>
      <c r="T84" s="678"/>
      <c r="U84" s="678"/>
      <c r="V84" s="678"/>
      <c r="W84" s="678"/>
      <c r="X84" s="678"/>
      <c r="Y84" s="678"/>
      <c r="Z84" s="678"/>
      <c r="AA84" s="678"/>
      <c r="AB84" s="678"/>
      <c r="AC84" s="678"/>
      <c r="AD84" s="678"/>
      <c r="AE84" s="678"/>
      <c r="AF84" s="678"/>
      <c r="AG84" s="678"/>
      <c r="AH84" s="678"/>
      <c r="AI84" s="678"/>
      <c r="AJ84" s="678"/>
      <c r="AK84" s="658"/>
    </row>
    <row r="85" spans="2:37" s="5" customFormat="1">
      <c r="B85" s="318"/>
      <c r="C85" s="835"/>
      <c r="D85" s="17" t="s">
        <v>4</v>
      </c>
      <c r="E85" s="67" t="s">
        <v>29</v>
      </c>
      <c r="F85" s="84">
        <f>E80/5*2</f>
        <v>28461.1</v>
      </c>
      <c r="G85" s="64">
        <f>$H$4</f>
        <v>0</v>
      </c>
      <c r="H85" s="64">
        <f>+G85*F85</f>
        <v>0</v>
      </c>
      <c r="I85" s="79"/>
      <c r="J85" s="52"/>
      <c r="K85" s="156"/>
      <c r="L85" s="383"/>
      <c r="M85" s="542"/>
      <c r="N85" s="578">
        <f t="shared" si="3"/>
        <v>0</v>
      </c>
      <c r="O85" s="678"/>
      <c r="P85" s="678"/>
      <c r="Q85" s="678"/>
      <c r="R85" s="678"/>
      <c r="S85" s="678"/>
      <c r="T85" s="678"/>
      <c r="U85" s="678"/>
      <c r="V85" s="678"/>
      <c r="W85" s="678"/>
      <c r="X85" s="678"/>
      <c r="Y85" s="678"/>
      <c r="Z85" s="678"/>
      <c r="AA85" s="678"/>
      <c r="AB85" s="678"/>
      <c r="AC85" s="678"/>
      <c r="AD85" s="678"/>
      <c r="AE85" s="678"/>
      <c r="AF85" s="678"/>
      <c r="AG85" s="678"/>
      <c r="AH85" s="678"/>
      <c r="AI85" s="678"/>
      <c r="AJ85" s="678"/>
      <c r="AK85" s="658"/>
    </row>
    <row r="86" spans="2:37" s="5" customFormat="1">
      <c r="B86" s="318"/>
      <c r="C86" s="835"/>
      <c r="D86" s="17" t="s">
        <v>5</v>
      </c>
      <c r="E86" s="98" t="s">
        <v>27</v>
      </c>
      <c r="F86" s="84">
        <f>E80</f>
        <v>71152.75</v>
      </c>
      <c r="G86" s="64">
        <v>1</v>
      </c>
      <c r="H86" s="64">
        <f>+G86*F86</f>
        <v>71152.75</v>
      </c>
      <c r="I86" s="79"/>
      <c r="J86" s="52"/>
      <c r="K86" s="156"/>
      <c r="L86" s="383"/>
      <c r="M86" s="542"/>
      <c r="N86" s="578">
        <f t="shared" si="3"/>
        <v>-71152.75</v>
      </c>
      <c r="O86" s="678"/>
      <c r="P86" s="678"/>
      <c r="Q86" s="678"/>
      <c r="R86" s="678"/>
      <c r="S86" s="678"/>
      <c r="T86" s="678"/>
      <c r="U86" s="678"/>
      <c r="V86" s="678"/>
      <c r="W86" s="678"/>
      <c r="X86" s="678"/>
      <c r="Y86" s="678"/>
      <c r="Z86" s="678"/>
      <c r="AA86" s="678"/>
      <c r="AB86" s="678"/>
      <c r="AC86" s="679"/>
      <c r="AD86" s="678"/>
      <c r="AE86" s="678"/>
      <c r="AF86" s="678"/>
      <c r="AG86" s="678"/>
      <c r="AH86" s="678"/>
      <c r="AI86" s="678"/>
      <c r="AJ86" s="678"/>
      <c r="AK86" s="658"/>
    </row>
    <row r="87" spans="2:37" s="5" customFormat="1">
      <c r="B87" s="318"/>
      <c r="C87" s="835"/>
      <c r="D87" s="17" t="s">
        <v>30</v>
      </c>
      <c r="E87" s="67" t="s">
        <v>16</v>
      </c>
      <c r="F87" s="89">
        <f>G81+G82+G86</f>
        <v>14</v>
      </c>
      <c r="G87" s="68" t="s">
        <v>31</v>
      </c>
      <c r="H87" s="64">
        <f>SUM(H81:H86)</f>
        <v>1247194.5099431819</v>
      </c>
      <c r="I87" s="79"/>
      <c r="J87" s="52"/>
      <c r="K87" s="156"/>
      <c r="L87" s="383"/>
      <c r="M87" s="542"/>
      <c r="N87" s="578">
        <f t="shared" si="3"/>
        <v>-1247194.5099431819</v>
      </c>
      <c r="O87" s="678"/>
      <c r="P87" s="678"/>
      <c r="Q87" s="678"/>
      <c r="R87" s="678"/>
      <c r="S87" s="678"/>
      <c r="T87" s="678"/>
      <c r="U87" s="678"/>
      <c r="V87" s="678"/>
      <c r="W87" s="678"/>
      <c r="X87" s="678"/>
      <c r="Y87" s="678"/>
      <c r="Z87" s="678"/>
      <c r="AA87" s="678"/>
      <c r="AB87" s="678"/>
      <c r="AC87" s="678"/>
      <c r="AD87" s="678"/>
      <c r="AE87" s="678"/>
      <c r="AF87" s="678"/>
      <c r="AG87" s="678"/>
      <c r="AH87" s="678"/>
      <c r="AI87" s="678"/>
      <c r="AJ87" s="678"/>
      <c r="AK87" s="658"/>
    </row>
    <row r="88" spans="2:37" s="5" customFormat="1">
      <c r="B88" s="318"/>
      <c r="C88" s="835"/>
      <c r="D88" s="19" t="s">
        <v>32</v>
      </c>
      <c r="E88" s="67" t="s">
        <v>16</v>
      </c>
      <c r="F88" s="84">
        <f>SUM(H81:H86)</f>
        <v>1247194.5099431819</v>
      </c>
      <c r="G88" s="92">
        <f>$G$43</f>
        <v>8.3299999999999999E-2</v>
      </c>
      <c r="H88" s="64">
        <f>+G88*F88</f>
        <v>103891.30267826705</v>
      </c>
      <c r="I88" s="93"/>
      <c r="J88" s="52"/>
      <c r="K88" s="156"/>
      <c r="L88" s="383"/>
      <c r="M88" s="542"/>
      <c r="N88" s="578">
        <f t="shared" si="3"/>
        <v>-103891.30267826705</v>
      </c>
      <c r="O88" s="679"/>
      <c r="P88" s="679"/>
      <c r="Q88" s="679"/>
      <c r="R88" s="679"/>
      <c r="S88" s="679"/>
      <c r="T88" s="679"/>
      <c r="U88" s="679"/>
      <c r="V88" s="679"/>
      <c r="W88" s="679"/>
      <c r="X88" s="679"/>
      <c r="Y88" s="679"/>
      <c r="Z88" s="679"/>
      <c r="AA88" s="679"/>
      <c r="AB88" s="679"/>
      <c r="AC88" s="679"/>
      <c r="AD88" s="678"/>
      <c r="AE88" s="678"/>
      <c r="AF88" s="678"/>
      <c r="AG88" s="678"/>
      <c r="AH88" s="678"/>
      <c r="AI88" s="678"/>
      <c r="AJ88" s="678"/>
      <c r="AK88" s="658"/>
    </row>
    <row r="89" spans="2:37" s="5" customFormat="1">
      <c r="B89" s="318"/>
      <c r="C89" s="835"/>
      <c r="D89" s="19" t="s">
        <v>33</v>
      </c>
      <c r="E89" s="84">
        <f>F88/(5*F87)</f>
        <v>17817.064427759742</v>
      </c>
      <c r="F89" s="84">
        <f>E89*(F87*7)</f>
        <v>1746072.3139204548</v>
      </c>
      <c r="G89" s="95">
        <f>$G$44</f>
        <v>20</v>
      </c>
      <c r="H89" s="64">
        <f>F89/G89</f>
        <v>87303.615696022738</v>
      </c>
      <c r="I89" s="72">
        <f>SUM(H87:H89)</f>
        <v>1438389.4283174716</v>
      </c>
      <c r="J89" s="52">
        <f>SUM(G81:G89)</f>
        <v>40.083300000000001</v>
      </c>
      <c r="K89" s="156"/>
      <c r="L89" s="383"/>
      <c r="M89" s="542"/>
      <c r="N89" s="578">
        <f t="shared" si="3"/>
        <v>-87303.615696022738</v>
      </c>
      <c r="O89" s="678"/>
      <c r="P89" s="678"/>
      <c r="Q89" s="678"/>
      <c r="R89" s="678"/>
      <c r="S89" s="678"/>
      <c r="T89" s="678"/>
      <c r="U89" s="678"/>
      <c r="V89" s="678"/>
      <c r="W89" s="678"/>
      <c r="X89" s="678"/>
      <c r="Y89" s="678"/>
      <c r="Z89" s="678"/>
      <c r="AA89" s="678"/>
      <c r="AB89" s="678"/>
      <c r="AC89" s="678"/>
      <c r="AD89" s="678"/>
      <c r="AE89" s="678"/>
      <c r="AF89" s="678"/>
      <c r="AG89" s="678"/>
      <c r="AH89" s="678"/>
      <c r="AI89" s="678"/>
      <c r="AJ89" s="678"/>
      <c r="AK89" s="658"/>
    </row>
    <row r="90" spans="2:37" s="5" customFormat="1">
      <c r="B90" s="318"/>
      <c r="C90" s="835"/>
      <c r="D90" s="96"/>
      <c r="E90" s="9"/>
      <c r="F90" s="74"/>
      <c r="G90" s="97"/>
      <c r="H90" s="78"/>
      <c r="I90" s="79"/>
      <c r="J90" s="52"/>
      <c r="K90" s="156"/>
      <c r="L90" s="383"/>
      <c r="M90" s="542"/>
      <c r="N90" s="578">
        <f t="shared" si="3"/>
        <v>0</v>
      </c>
      <c r="O90" s="678"/>
      <c r="P90" s="678"/>
      <c r="Q90" s="678"/>
      <c r="R90" s="678"/>
      <c r="S90" s="678"/>
      <c r="T90" s="678"/>
      <c r="U90" s="678"/>
      <c r="V90" s="678"/>
      <c r="W90" s="678"/>
      <c r="X90" s="678"/>
      <c r="Y90" s="678"/>
      <c r="Z90" s="678"/>
      <c r="AA90" s="678"/>
      <c r="AB90" s="678"/>
      <c r="AC90" s="678"/>
      <c r="AD90" s="678"/>
      <c r="AE90" s="678"/>
      <c r="AF90" s="678"/>
      <c r="AG90" s="678"/>
      <c r="AH90" s="678"/>
      <c r="AI90" s="678"/>
      <c r="AJ90" s="678"/>
      <c r="AK90" s="658"/>
    </row>
    <row r="91" spans="2:37" s="5" customFormat="1" ht="15" customHeight="1">
      <c r="B91" s="317">
        <v>6</v>
      </c>
      <c r="C91" s="835" t="s">
        <v>867</v>
      </c>
      <c r="D91" s="80" t="s">
        <v>37</v>
      </c>
      <c r="E91" s="81">
        <v>52273.75</v>
      </c>
      <c r="F91" s="74"/>
      <c r="G91" s="75"/>
      <c r="H91" s="82"/>
      <c r="I91" s="83"/>
      <c r="J91" s="6"/>
      <c r="K91" s="156"/>
      <c r="L91" s="383"/>
      <c r="M91" s="542"/>
      <c r="N91" s="578">
        <f t="shared" si="3"/>
        <v>0</v>
      </c>
      <c r="O91" s="678"/>
      <c r="P91" s="678"/>
      <c r="Q91" s="678"/>
      <c r="R91" s="678"/>
      <c r="S91" s="678"/>
      <c r="T91" s="678"/>
      <c r="U91" s="678"/>
      <c r="V91" s="678"/>
      <c r="W91" s="678"/>
      <c r="X91" s="678"/>
      <c r="Y91" s="678"/>
      <c r="Z91" s="678"/>
      <c r="AA91" s="678"/>
      <c r="AB91" s="678"/>
      <c r="AC91" s="678"/>
      <c r="AD91" s="678"/>
      <c r="AE91" s="678"/>
      <c r="AF91" s="678"/>
      <c r="AG91" s="678"/>
      <c r="AH91" s="678"/>
      <c r="AI91" s="678"/>
      <c r="AJ91" s="678"/>
      <c r="AK91" s="658"/>
    </row>
    <row r="92" spans="2:37" s="5" customFormat="1">
      <c r="B92" s="318"/>
      <c r="C92" s="835"/>
      <c r="D92" s="17" t="s">
        <v>0</v>
      </c>
      <c r="E92" s="98" t="s">
        <v>27</v>
      </c>
      <c r="F92" s="84">
        <f>E91</f>
        <v>52273.75</v>
      </c>
      <c r="G92" s="64">
        <v>6</v>
      </c>
      <c r="H92" s="64">
        <f>+G92*F92</f>
        <v>313642.5</v>
      </c>
      <c r="I92" s="79"/>
      <c r="J92" s="52"/>
      <c r="K92" s="156"/>
      <c r="L92" s="383"/>
      <c r="M92" s="542"/>
      <c r="N92" s="578">
        <f t="shared" si="3"/>
        <v>-313642.5</v>
      </c>
      <c r="O92" s="682"/>
      <c r="P92" s="682"/>
      <c r="Q92" s="682"/>
      <c r="R92" s="682"/>
      <c r="S92" s="682"/>
      <c r="T92" s="682"/>
      <c r="U92" s="682"/>
      <c r="V92" s="682"/>
      <c r="W92" s="682"/>
      <c r="X92" s="682"/>
      <c r="Y92" s="682"/>
      <c r="Z92" s="682"/>
      <c r="AA92" s="682"/>
      <c r="AB92" s="682"/>
      <c r="AC92" s="682"/>
      <c r="AD92" s="678"/>
      <c r="AE92" s="678"/>
      <c r="AF92" s="678"/>
      <c r="AG92" s="678"/>
      <c r="AH92" s="678"/>
      <c r="AI92" s="678"/>
      <c r="AJ92" s="678"/>
      <c r="AK92" s="658"/>
    </row>
    <row r="93" spans="2:37" s="5" customFormat="1">
      <c r="B93" s="318"/>
      <c r="C93" s="835"/>
      <c r="D93" s="17" t="s">
        <v>3</v>
      </c>
      <c r="E93" s="98" t="s">
        <v>27</v>
      </c>
      <c r="F93" s="84">
        <f>E91</f>
        <v>52273.75</v>
      </c>
      <c r="G93" s="87">
        <v>6</v>
      </c>
      <c r="H93" s="64">
        <f>+G93*F93</f>
        <v>313642.5</v>
      </c>
      <c r="I93" s="79"/>
      <c r="J93" s="52"/>
      <c r="K93" s="156"/>
      <c r="L93" s="383"/>
      <c r="M93" s="542"/>
      <c r="N93" s="578">
        <f t="shared" si="3"/>
        <v>-313642.5</v>
      </c>
      <c r="O93" s="682"/>
      <c r="P93" s="682"/>
      <c r="Q93" s="682"/>
      <c r="R93" s="682"/>
      <c r="S93" s="682"/>
      <c r="T93" s="682"/>
      <c r="U93" s="682"/>
      <c r="V93" s="682"/>
      <c r="W93" s="682"/>
      <c r="X93" s="682"/>
      <c r="Y93" s="682"/>
      <c r="Z93" s="682"/>
      <c r="AA93" s="682"/>
      <c r="AB93" s="682"/>
      <c r="AC93" s="682"/>
      <c r="AD93" s="678"/>
      <c r="AE93" s="678"/>
      <c r="AF93" s="678"/>
      <c r="AG93" s="678"/>
      <c r="AH93" s="678"/>
      <c r="AI93" s="678"/>
      <c r="AJ93" s="678"/>
      <c r="AK93" s="658"/>
    </row>
    <row r="94" spans="2:37" s="5" customFormat="1">
      <c r="B94" s="318"/>
      <c r="C94" s="835"/>
      <c r="D94" s="17" t="s">
        <v>28</v>
      </c>
      <c r="E94" s="88">
        <f>$H$5+2+2</f>
        <v>17.25</v>
      </c>
      <c r="F94" s="84">
        <f>E91/44*1.5</f>
        <v>1782.059659090909</v>
      </c>
      <c r="G94" s="87">
        <v>6</v>
      </c>
      <c r="H94" s="64">
        <f>+G94*F94*E94</f>
        <v>184443.17471590909</v>
      </c>
      <c r="I94" s="79"/>
      <c r="J94" s="52"/>
      <c r="K94" s="156"/>
      <c r="L94" s="383"/>
      <c r="M94" s="542"/>
      <c r="N94" s="578">
        <f t="shared" si="3"/>
        <v>-184443.17471590909</v>
      </c>
      <c r="O94" s="682"/>
      <c r="P94" s="682"/>
      <c r="Q94" s="682"/>
      <c r="R94" s="682"/>
      <c r="S94" s="682"/>
      <c r="T94" s="682"/>
      <c r="U94" s="682"/>
      <c r="V94" s="682"/>
      <c r="W94" s="682"/>
      <c r="X94" s="682"/>
      <c r="Y94" s="682"/>
      <c r="Z94" s="682"/>
      <c r="AA94" s="682"/>
      <c r="AB94" s="682"/>
      <c r="AC94" s="682"/>
      <c r="AD94" s="678"/>
      <c r="AE94" s="678"/>
      <c r="AF94" s="678"/>
      <c r="AG94" s="678"/>
      <c r="AH94" s="678"/>
      <c r="AI94" s="678"/>
      <c r="AJ94" s="678"/>
      <c r="AK94" s="658"/>
    </row>
    <row r="95" spans="2:37" s="5" customFormat="1">
      <c r="B95" s="318"/>
      <c r="C95" s="835"/>
      <c r="D95" s="17" t="s">
        <v>1</v>
      </c>
      <c r="E95" s="67" t="s">
        <v>29</v>
      </c>
      <c r="F95" s="84">
        <f>E91/5*1.5</f>
        <v>15682.125</v>
      </c>
      <c r="G95" s="64">
        <f>$H$3</f>
        <v>0</v>
      </c>
      <c r="H95" s="64">
        <f>+G95*F95</f>
        <v>0</v>
      </c>
      <c r="I95" s="79"/>
      <c r="J95" s="52"/>
      <c r="K95" s="156"/>
      <c r="L95" s="383"/>
      <c r="M95" s="542"/>
      <c r="N95" s="578">
        <f t="shared" si="3"/>
        <v>0</v>
      </c>
      <c r="O95" s="682"/>
      <c r="P95" s="682"/>
      <c r="Q95" s="682"/>
      <c r="R95" s="682"/>
      <c r="S95" s="682"/>
      <c r="T95" s="682"/>
      <c r="U95" s="682"/>
      <c r="V95" s="682"/>
      <c r="W95" s="682"/>
      <c r="X95" s="682"/>
      <c r="Y95" s="682"/>
      <c r="Z95" s="682"/>
      <c r="AA95" s="682"/>
      <c r="AB95" s="682"/>
      <c r="AC95" s="682"/>
      <c r="AD95" s="678"/>
      <c r="AE95" s="678"/>
      <c r="AF95" s="678"/>
      <c r="AG95" s="678"/>
      <c r="AH95" s="678"/>
      <c r="AI95" s="678"/>
      <c r="AJ95" s="678"/>
      <c r="AK95" s="658"/>
    </row>
    <row r="96" spans="2:37" s="5" customFormat="1">
      <c r="B96" s="318"/>
      <c r="C96" s="835"/>
      <c r="D96" s="17" t="s">
        <v>4</v>
      </c>
      <c r="E96" s="67" t="s">
        <v>29</v>
      </c>
      <c r="F96" s="84">
        <f>E91/5*2</f>
        <v>20909.5</v>
      </c>
      <c r="G96" s="64">
        <f>$H$4</f>
        <v>0</v>
      </c>
      <c r="H96" s="64">
        <f>+G96*F96</f>
        <v>0</v>
      </c>
      <c r="I96" s="79"/>
      <c r="J96" s="52"/>
      <c r="K96" s="156"/>
      <c r="L96" s="383"/>
      <c r="M96" s="542"/>
      <c r="N96" s="578">
        <f t="shared" si="3"/>
        <v>0</v>
      </c>
      <c r="O96" s="682"/>
      <c r="P96" s="682"/>
      <c r="Q96" s="682"/>
      <c r="R96" s="682"/>
      <c r="S96" s="682"/>
      <c r="T96" s="682"/>
      <c r="U96" s="682"/>
      <c r="V96" s="682"/>
      <c r="W96" s="682"/>
      <c r="X96" s="682"/>
      <c r="Y96" s="682"/>
      <c r="Z96" s="682"/>
      <c r="AA96" s="682"/>
      <c r="AB96" s="682"/>
      <c r="AC96" s="682"/>
      <c r="AD96" s="678"/>
      <c r="AE96" s="678"/>
      <c r="AF96" s="678"/>
      <c r="AG96" s="678"/>
      <c r="AH96" s="678"/>
      <c r="AI96" s="678"/>
      <c r="AJ96" s="678"/>
      <c r="AK96" s="658"/>
    </row>
    <row r="97" spans="2:37" s="5" customFormat="1">
      <c r="B97" s="318"/>
      <c r="C97" s="835"/>
      <c r="D97" s="17" t="s">
        <v>5</v>
      </c>
      <c r="E97" s="98" t="s">
        <v>27</v>
      </c>
      <c r="F97" s="84">
        <f>E91</f>
        <v>52273.75</v>
      </c>
      <c r="G97" s="99">
        <v>0</v>
      </c>
      <c r="H97" s="64">
        <f>+G97*F97</f>
        <v>0</v>
      </c>
      <c r="I97" s="79"/>
      <c r="J97" s="52"/>
      <c r="K97" s="156"/>
      <c r="L97" s="383"/>
      <c r="M97" s="542"/>
      <c r="N97" s="578">
        <f t="shared" si="3"/>
        <v>0</v>
      </c>
      <c r="O97" s="682"/>
      <c r="P97" s="682"/>
      <c r="Q97" s="682"/>
      <c r="R97" s="682"/>
      <c r="S97" s="682"/>
      <c r="T97" s="682"/>
      <c r="U97" s="682"/>
      <c r="V97" s="682"/>
      <c r="W97" s="682"/>
      <c r="X97" s="682"/>
      <c r="Y97" s="682"/>
      <c r="Z97" s="682"/>
      <c r="AA97" s="682"/>
      <c r="AB97" s="682"/>
      <c r="AC97" s="683"/>
      <c r="AD97" s="678"/>
      <c r="AE97" s="678"/>
      <c r="AF97" s="678"/>
      <c r="AG97" s="678"/>
      <c r="AH97" s="678"/>
      <c r="AI97" s="678"/>
      <c r="AJ97" s="678"/>
      <c r="AK97" s="658"/>
    </row>
    <row r="98" spans="2:37" s="5" customFormat="1">
      <c r="B98" s="318"/>
      <c r="C98" s="835"/>
      <c r="D98" s="17" t="s">
        <v>30</v>
      </c>
      <c r="E98" s="67" t="s">
        <v>16</v>
      </c>
      <c r="F98" s="89">
        <f>G92+G93+G97</f>
        <v>12</v>
      </c>
      <c r="G98" s="68" t="s">
        <v>31</v>
      </c>
      <c r="H98" s="64">
        <f>SUM(H92:H97)</f>
        <v>811728.17471590906</v>
      </c>
      <c r="I98" s="79"/>
      <c r="J98" s="52"/>
      <c r="K98" s="156"/>
      <c r="L98" s="383"/>
      <c r="M98" s="542"/>
      <c r="N98" s="578">
        <f t="shared" ref="N98:N161" si="4">SUM(O98:AL98)-H98</f>
        <v>-811728.17471590906</v>
      </c>
      <c r="O98" s="682"/>
      <c r="P98" s="682"/>
      <c r="Q98" s="682"/>
      <c r="R98" s="682"/>
      <c r="S98" s="682"/>
      <c r="T98" s="682"/>
      <c r="U98" s="682"/>
      <c r="V98" s="682"/>
      <c r="W98" s="682"/>
      <c r="X98" s="682"/>
      <c r="Y98" s="682"/>
      <c r="Z98" s="682"/>
      <c r="AA98" s="682"/>
      <c r="AB98" s="682"/>
      <c r="AC98" s="682"/>
      <c r="AD98" s="678"/>
      <c r="AE98" s="678"/>
      <c r="AF98" s="678"/>
      <c r="AG98" s="678"/>
      <c r="AH98" s="678"/>
      <c r="AI98" s="678"/>
      <c r="AJ98" s="678"/>
      <c r="AK98" s="658"/>
    </row>
    <row r="99" spans="2:37" s="5" customFormat="1">
      <c r="B99" s="318"/>
      <c r="C99" s="835"/>
      <c r="D99" s="19" t="s">
        <v>32</v>
      </c>
      <c r="E99" s="67" t="s">
        <v>16</v>
      </c>
      <c r="F99" s="84">
        <f>SUM(H92:H97)</f>
        <v>811728.17471590906</v>
      </c>
      <c r="G99" s="92">
        <f>$G$43</f>
        <v>8.3299999999999999E-2</v>
      </c>
      <c r="H99" s="64">
        <f>+G99*F99</f>
        <v>67616.956953835223</v>
      </c>
      <c r="I99" s="93"/>
      <c r="J99" s="52"/>
      <c r="K99" s="156"/>
      <c r="L99" s="383"/>
      <c r="M99" s="542"/>
      <c r="N99" s="578">
        <f t="shared" si="4"/>
        <v>-67616.956953835223</v>
      </c>
      <c r="O99" s="682"/>
      <c r="P99" s="682"/>
      <c r="Q99" s="683"/>
      <c r="R99" s="683"/>
      <c r="S99" s="683"/>
      <c r="T99" s="683"/>
      <c r="U99" s="683"/>
      <c r="V99" s="683"/>
      <c r="W99" s="683"/>
      <c r="X99" s="683"/>
      <c r="Y99" s="683"/>
      <c r="Z99" s="683"/>
      <c r="AA99" s="683"/>
      <c r="AB99" s="683"/>
      <c r="AC99" s="683"/>
      <c r="AD99" s="678"/>
      <c r="AE99" s="678"/>
      <c r="AF99" s="678"/>
      <c r="AG99" s="678"/>
      <c r="AH99" s="678"/>
      <c r="AI99" s="678"/>
      <c r="AJ99" s="678"/>
      <c r="AK99" s="658"/>
    </row>
    <row r="100" spans="2:37" s="5" customFormat="1">
      <c r="B100" s="318"/>
      <c r="C100" s="835"/>
      <c r="D100" s="19" t="s">
        <v>33</v>
      </c>
      <c r="E100" s="84">
        <f>F99/(5*F98)</f>
        <v>13528.802911931818</v>
      </c>
      <c r="F100" s="84">
        <f>E100*(F98*7)</f>
        <v>1136419.4446022727</v>
      </c>
      <c r="G100" s="95">
        <f>$G$44</f>
        <v>20</v>
      </c>
      <c r="H100" s="64">
        <f>F100/G100</f>
        <v>56820.972230113635</v>
      </c>
      <c r="I100" s="72">
        <f>SUM(H98:H100)</f>
        <v>936166.10389985796</v>
      </c>
      <c r="J100" s="52">
        <f>SUM(G92:G100)</f>
        <v>38.083300000000001</v>
      </c>
      <c r="K100" s="156"/>
      <c r="L100" s="383"/>
      <c r="M100" s="542"/>
      <c r="N100" s="578">
        <f t="shared" si="4"/>
        <v>-56820.972230113635</v>
      </c>
      <c r="O100" s="682"/>
      <c r="P100" s="682"/>
      <c r="Q100" s="682"/>
      <c r="R100" s="682"/>
      <c r="S100" s="682"/>
      <c r="T100" s="682"/>
      <c r="U100" s="682"/>
      <c r="V100" s="682"/>
      <c r="W100" s="682"/>
      <c r="X100" s="682"/>
      <c r="Y100" s="682"/>
      <c r="Z100" s="682"/>
      <c r="AA100" s="682"/>
      <c r="AB100" s="682"/>
      <c r="AC100" s="682"/>
      <c r="AD100" s="678"/>
      <c r="AE100" s="678"/>
      <c r="AF100" s="678"/>
      <c r="AG100" s="678"/>
      <c r="AH100" s="678"/>
      <c r="AI100" s="678"/>
      <c r="AJ100" s="678"/>
      <c r="AK100" s="658"/>
    </row>
    <row r="101" spans="2:37" s="5" customFormat="1">
      <c r="B101" s="318"/>
      <c r="C101" s="835"/>
      <c r="D101" s="96"/>
      <c r="E101" s="9"/>
      <c r="F101" s="74"/>
      <c r="G101" s="97"/>
      <c r="H101" s="78"/>
      <c r="I101" s="79"/>
      <c r="J101" s="52"/>
      <c r="K101" s="156"/>
      <c r="L101" s="383"/>
      <c r="M101" s="542"/>
      <c r="N101" s="578">
        <f t="shared" si="4"/>
        <v>0</v>
      </c>
      <c r="O101" s="678"/>
      <c r="P101" s="680"/>
      <c r="Q101" s="680"/>
      <c r="R101" s="680"/>
      <c r="S101" s="680"/>
      <c r="T101" s="680"/>
      <c r="U101" s="680"/>
      <c r="V101" s="680"/>
      <c r="W101" s="680"/>
      <c r="X101" s="680"/>
      <c r="Y101" s="680"/>
      <c r="Z101" s="680"/>
      <c r="AA101" s="680"/>
      <c r="AB101" s="680"/>
      <c r="AC101" s="680"/>
      <c r="AD101" s="678"/>
      <c r="AE101" s="678"/>
      <c r="AF101" s="678"/>
      <c r="AG101" s="678"/>
      <c r="AH101" s="678"/>
      <c r="AI101" s="678"/>
      <c r="AJ101" s="678"/>
      <c r="AK101" s="658"/>
    </row>
    <row r="102" spans="2:37" s="5" customFormat="1" ht="15" customHeight="1">
      <c r="B102" s="317">
        <v>7</v>
      </c>
      <c r="C102" s="835" t="s">
        <v>868</v>
      </c>
      <c r="D102" s="80" t="s">
        <v>38</v>
      </c>
      <c r="E102" s="81">
        <v>75908.149999999994</v>
      </c>
      <c r="F102" s="74"/>
      <c r="G102" s="75"/>
      <c r="H102" s="82"/>
      <c r="I102" s="83"/>
      <c r="J102" s="6"/>
      <c r="K102" s="156"/>
      <c r="L102" s="383"/>
      <c r="M102" s="542"/>
      <c r="N102" s="578">
        <f t="shared" si="4"/>
        <v>0</v>
      </c>
      <c r="O102" s="678"/>
      <c r="P102" s="678"/>
      <c r="Q102" s="678"/>
      <c r="R102" s="678"/>
      <c r="S102" s="678"/>
      <c r="T102" s="678"/>
      <c r="U102" s="678"/>
      <c r="V102" s="678"/>
      <c r="W102" s="678"/>
      <c r="X102" s="678"/>
      <c r="Y102" s="678"/>
      <c r="Z102" s="678"/>
      <c r="AA102" s="678"/>
      <c r="AB102" s="678"/>
      <c r="AC102" s="678"/>
      <c r="AD102" s="678"/>
      <c r="AE102" s="678"/>
      <c r="AF102" s="678"/>
      <c r="AG102" s="678"/>
      <c r="AH102" s="678"/>
      <c r="AI102" s="678"/>
      <c r="AJ102" s="678"/>
      <c r="AK102" s="658"/>
    </row>
    <row r="103" spans="2:37" s="5" customFormat="1">
      <c r="B103" s="318"/>
      <c r="C103" s="835"/>
      <c r="D103" s="17" t="s">
        <v>0</v>
      </c>
      <c r="E103" s="98" t="s">
        <v>27</v>
      </c>
      <c r="F103" s="84">
        <f>+E102</f>
        <v>75908.149999999994</v>
      </c>
      <c r="G103" s="64">
        <v>6</v>
      </c>
      <c r="H103" s="64">
        <f>+G103*F103</f>
        <v>455448.89999999997</v>
      </c>
      <c r="I103" s="79"/>
      <c r="J103" s="52"/>
      <c r="K103" s="156"/>
      <c r="L103" s="383"/>
      <c r="M103" s="542"/>
      <c r="N103" s="578">
        <f t="shared" si="4"/>
        <v>-455448.89999999997</v>
      </c>
      <c r="O103" s="678"/>
      <c r="P103" s="678"/>
      <c r="Q103" s="678"/>
      <c r="R103" s="678"/>
      <c r="S103" s="678"/>
      <c r="T103" s="678"/>
      <c r="U103" s="678"/>
      <c r="V103" s="678"/>
      <c r="W103" s="678"/>
      <c r="X103" s="678"/>
      <c r="Y103" s="678"/>
      <c r="Z103" s="678"/>
      <c r="AA103" s="678"/>
      <c r="AB103" s="678"/>
      <c r="AC103" s="678"/>
      <c r="AD103" s="678"/>
      <c r="AE103" s="678"/>
      <c r="AF103" s="678"/>
      <c r="AG103" s="678"/>
      <c r="AH103" s="678"/>
      <c r="AI103" s="678"/>
      <c r="AJ103" s="678"/>
      <c r="AK103" s="658"/>
    </row>
    <row r="104" spans="2:37" s="5" customFormat="1">
      <c r="B104" s="313"/>
      <c r="C104" s="835"/>
      <c r="D104" s="17" t="s">
        <v>3</v>
      </c>
      <c r="E104" s="98" t="s">
        <v>27</v>
      </c>
      <c r="F104" s="84">
        <f>F103</f>
        <v>75908.149999999994</v>
      </c>
      <c r="G104" s="64">
        <v>6</v>
      </c>
      <c r="H104" s="64">
        <f>+G104*F104</f>
        <v>455448.89999999997</v>
      </c>
      <c r="I104" s="79"/>
      <c r="J104" s="52"/>
      <c r="K104" s="156"/>
      <c r="L104" s="383"/>
      <c r="M104" s="542"/>
      <c r="N104" s="578">
        <f t="shared" si="4"/>
        <v>-455448.89999999997</v>
      </c>
      <c r="O104" s="678"/>
      <c r="P104" s="678"/>
      <c r="Q104" s="678"/>
      <c r="R104" s="678"/>
      <c r="S104" s="678"/>
      <c r="T104" s="678"/>
      <c r="U104" s="678"/>
      <c r="V104" s="678"/>
      <c r="W104" s="678"/>
      <c r="X104" s="678"/>
      <c r="Y104" s="678"/>
      <c r="Z104" s="678"/>
      <c r="AA104" s="678"/>
      <c r="AB104" s="678"/>
      <c r="AC104" s="678"/>
      <c r="AD104" s="678"/>
      <c r="AE104" s="678"/>
      <c r="AF104" s="678"/>
      <c r="AG104" s="678"/>
      <c r="AH104" s="678"/>
      <c r="AI104" s="678"/>
      <c r="AJ104" s="678"/>
      <c r="AK104" s="658"/>
    </row>
    <row r="105" spans="2:37" s="5" customFormat="1">
      <c r="B105" s="313"/>
      <c r="C105" s="835"/>
      <c r="D105" s="17" t="s">
        <v>28</v>
      </c>
      <c r="E105" s="88">
        <f>$H$5+2</f>
        <v>15.25</v>
      </c>
      <c r="F105" s="84">
        <f>E102/44*1.5</f>
        <v>2587.7778409090906</v>
      </c>
      <c r="G105" s="87">
        <v>6</v>
      </c>
      <c r="H105" s="64">
        <f>+G105*F105*E105</f>
        <v>236781.6724431818</v>
      </c>
      <c r="I105" s="79"/>
      <c r="J105" s="52"/>
      <c r="K105" s="156"/>
      <c r="L105" s="383"/>
      <c r="M105" s="542"/>
      <c r="N105" s="578">
        <f t="shared" si="4"/>
        <v>-236781.6724431818</v>
      </c>
      <c r="O105" s="678"/>
      <c r="P105" s="678"/>
      <c r="Q105" s="678"/>
      <c r="R105" s="678"/>
      <c r="S105" s="678"/>
      <c r="T105" s="678"/>
      <c r="U105" s="678"/>
      <c r="V105" s="678"/>
      <c r="W105" s="678"/>
      <c r="X105" s="678"/>
      <c r="Y105" s="678"/>
      <c r="Z105" s="678"/>
      <c r="AA105" s="678"/>
      <c r="AB105" s="678"/>
      <c r="AC105" s="678"/>
      <c r="AD105" s="678"/>
      <c r="AE105" s="678"/>
      <c r="AF105" s="678"/>
      <c r="AG105" s="678"/>
      <c r="AH105" s="678"/>
      <c r="AI105" s="678"/>
      <c r="AJ105" s="678"/>
      <c r="AK105" s="658"/>
    </row>
    <row r="106" spans="2:37" s="5" customFormat="1">
      <c r="B106" s="313"/>
      <c r="C106" s="835"/>
      <c r="D106" s="17" t="s">
        <v>1</v>
      </c>
      <c r="E106" s="67" t="s">
        <v>29</v>
      </c>
      <c r="F106" s="84">
        <f>E102/5*1.5</f>
        <v>22772.445</v>
      </c>
      <c r="G106" s="64">
        <f>$H$3</f>
        <v>0</v>
      </c>
      <c r="H106" s="64">
        <f>+G106*F106</f>
        <v>0</v>
      </c>
      <c r="I106" s="79"/>
      <c r="J106" s="52"/>
      <c r="K106" s="156"/>
      <c r="L106" s="383"/>
      <c r="M106" s="542"/>
      <c r="N106" s="578">
        <f t="shared" si="4"/>
        <v>0</v>
      </c>
      <c r="O106" s="678"/>
      <c r="P106" s="678"/>
      <c r="Q106" s="678"/>
      <c r="R106" s="678"/>
      <c r="S106" s="678"/>
      <c r="T106" s="678"/>
      <c r="U106" s="678"/>
      <c r="V106" s="678"/>
      <c r="W106" s="678"/>
      <c r="X106" s="678"/>
      <c r="Y106" s="678"/>
      <c r="Z106" s="678"/>
      <c r="AA106" s="678"/>
      <c r="AB106" s="678"/>
      <c r="AC106" s="678"/>
      <c r="AD106" s="678"/>
      <c r="AE106" s="678"/>
      <c r="AF106" s="678"/>
      <c r="AG106" s="678"/>
      <c r="AH106" s="678"/>
      <c r="AI106" s="678"/>
      <c r="AJ106" s="678"/>
      <c r="AK106" s="658"/>
    </row>
    <row r="107" spans="2:37" s="5" customFormat="1">
      <c r="B107" s="313"/>
      <c r="C107" s="835"/>
      <c r="D107" s="17" t="s">
        <v>4</v>
      </c>
      <c r="E107" s="67" t="s">
        <v>29</v>
      </c>
      <c r="F107" s="84">
        <f>E102/5*2</f>
        <v>30363.26</v>
      </c>
      <c r="G107" s="64">
        <f>$H$4</f>
        <v>0</v>
      </c>
      <c r="H107" s="64">
        <f>+G107*F107</f>
        <v>0</v>
      </c>
      <c r="I107" s="79"/>
      <c r="J107" s="52"/>
      <c r="K107" s="156"/>
      <c r="L107" s="383"/>
      <c r="M107" s="542"/>
      <c r="N107" s="578">
        <f t="shared" si="4"/>
        <v>0</v>
      </c>
      <c r="O107" s="678"/>
      <c r="P107" s="678"/>
      <c r="Q107" s="678"/>
      <c r="R107" s="678"/>
      <c r="S107" s="678"/>
      <c r="T107" s="678"/>
      <c r="U107" s="678"/>
      <c r="V107" s="678"/>
      <c r="W107" s="678"/>
      <c r="X107" s="678"/>
      <c r="Y107" s="678"/>
      <c r="Z107" s="678"/>
      <c r="AA107" s="678"/>
      <c r="AB107" s="678"/>
      <c r="AC107" s="678"/>
      <c r="AD107" s="678"/>
      <c r="AE107" s="678"/>
      <c r="AF107" s="678"/>
      <c r="AG107" s="678"/>
      <c r="AH107" s="678"/>
      <c r="AI107" s="678"/>
      <c r="AJ107" s="678"/>
      <c r="AK107" s="658"/>
    </row>
    <row r="108" spans="2:37" s="5" customFormat="1">
      <c r="B108" s="313"/>
      <c r="C108" s="835"/>
      <c r="D108" s="17" t="s">
        <v>5</v>
      </c>
      <c r="E108" s="98" t="s">
        <v>27</v>
      </c>
      <c r="F108" s="84">
        <f>F103</f>
        <v>75908.149999999994</v>
      </c>
      <c r="G108" s="64">
        <f>$F$5-$F$5</f>
        <v>0</v>
      </c>
      <c r="H108" s="64">
        <f>+G108*F108</f>
        <v>0</v>
      </c>
      <c r="I108" s="79"/>
      <c r="J108" s="52"/>
      <c r="K108" s="156"/>
      <c r="L108" s="383"/>
      <c r="M108" s="542"/>
      <c r="N108" s="578">
        <f t="shared" si="4"/>
        <v>0</v>
      </c>
      <c r="O108" s="678"/>
      <c r="P108" s="678"/>
      <c r="Q108" s="678"/>
      <c r="R108" s="678"/>
      <c r="S108" s="678"/>
      <c r="T108" s="678"/>
      <c r="U108" s="678"/>
      <c r="V108" s="678"/>
      <c r="W108" s="678"/>
      <c r="X108" s="678"/>
      <c r="Y108" s="678"/>
      <c r="Z108" s="678"/>
      <c r="AA108" s="678"/>
      <c r="AB108" s="678"/>
      <c r="AC108" s="679"/>
      <c r="AD108" s="678"/>
      <c r="AE108" s="678"/>
      <c r="AF108" s="678"/>
      <c r="AG108" s="678"/>
      <c r="AH108" s="678"/>
      <c r="AI108" s="678"/>
      <c r="AJ108" s="678"/>
      <c r="AK108" s="658"/>
    </row>
    <row r="109" spans="2:37" s="5" customFormat="1">
      <c r="B109" s="313"/>
      <c r="C109" s="835"/>
      <c r="D109" s="17" t="s">
        <v>30</v>
      </c>
      <c r="E109" s="67" t="s">
        <v>16</v>
      </c>
      <c r="F109" s="89">
        <f>G103+G104+G108</f>
        <v>12</v>
      </c>
      <c r="G109" s="68" t="s">
        <v>31</v>
      </c>
      <c r="H109" s="64">
        <f>SUM(H103:H108)</f>
        <v>1147679.4724431818</v>
      </c>
      <c r="I109" s="79"/>
      <c r="J109" s="52"/>
      <c r="K109" s="156"/>
      <c r="L109" s="383"/>
      <c r="M109" s="542"/>
      <c r="N109" s="578">
        <f t="shared" si="4"/>
        <v>-1147679.4724431818</v>
      </c>
      <c r="O109" s="678"/>
      <c r="P109" s="678"/>
      <c r="Q109" s="678"/>
      <c r="R109" s="678"/>
      <c r="S109" s="678"/>
      <c r="T109" s="678"/>
      <c r="U109" s="678"/>
      <c r="V109" s="678"/>
      <c r="W109" s="678"/>
      <c r="X109" s="678"/>
      <c r="Y109" s="678"/>
      <c r="Z109" s="678"/>
      <c r="AA109" s="678"/>
      <c r="AB109" s="678"/>
      <c r="AC109" s="678"/>
      <c r="AD109" s="678"/>
      <c r="AE109" s="678"/>
      <c r="AF109" s="678"/>
      <c r="AG109" s="678"/>
      <c r="AH109" s="678"/>
      <c r="AI109" s="678"/>
      <c r="AJ109" s="678"/>
      <c r="AK109" s="658"/>
    </row>
    <row r="110" spans="2:37" s="5" customFormat="1">
      <c r="B110" s="313"/>
      <c r="C110" s="835"/>
      <c r="D110" s="19" t="s">
        <v>32</v>
      </c>
      <c r="E110" s="67" t="s">
        <v>16</v>
      </c>
      <c r="F110" s="84">
        <f>SUM(H103:H108)</f>
        <v>1147679.4724431818</v>
      </c>
      <c r="G110" s="92">
        <f>$G$43</f>
        <v>8.3299999999999999E-2</v>
      </c>
      <c r="H110" s="64">
        <f>+G110*F110</f>
        <v>95601.700054517045</v>
      </c>
      <c r="I110" s="93"/>
      <c r="J110" s="52"/>
      <c r="K110" s="156"/>
      <c r="L110" s="383"/>
      <c r="M110" s="542"/>
      <c r="N110" s="578">
        <f t="shared" si="4"/>
        <v>-95601.700054517045</v>
      </c>
      <c r="O110" s="678"/>
      <c r="P110" s="678"/>
      <c r="Q110" s="679"/>
      <c r="R110" s="679"/>
      <c r="S110" s="679"/>
      <c r="T110" s="679"/>
      <c r="U110" s="679"/>
      <c r="V110" s="679"/>
      <c r="W110" s="679"/>
      <c r="X110" s="679"/>
      <c r="Y110" s="679"/>
      <c r="Z110" s="679"/>
      <c r="AA110" s="679"/>
      <c r="AB110" s="679"/>
      <c r="AC110" s="679"/>
      <c r="AD110" s="678"/>
      <c r="AE110" s="678"/>
      <c r="AF110" s="678"/>
      <c r="AG110" s="678"/>
      <c r="AH110" s="678"/>
      <c r="AI110" s="678"/>
      <c r="AJ110" s="678"/>
      <c r="AK110" s="658"/>
    </row>
    <row r="111" spans="2:37" s="5" customFormat="1">
      <c r="B111" s="313"/>
      <c r="C111" s="835"/>
      <c r="D111" s="19" t="s">
        <v>33</v>
      </c>
      <c r="E111" s="84">
        <f>F110/(5*F109)</f>
        <v>19127.991207386363</v>
      </c>
      <c r="F111" s="84">
        <f>E111*(F109*7)</f>
        <v>1606751.2614204546</v>
      </c>
      <c r="G111" s="95">
        <f>$G$44</f>
        <v>20</v>
      </c>
      <c r="H111" s="64">
        <f>F111/G111</f>
        <v>80337.563071022727</v>
      </c>
      <c r="I111" s="72">
        <f>SUM(H109:H111)</f>
        <v>1323618.7355687215</v>
      </c>
      <c r="J111" s="52">
        <f>SUM(G103:G111)</f>
        <v>38.083300000000001</v>
      </c>
      <c r="K111" s="156"/>
      <c r="L111" s="383"/>
      <c r="M111" s="542"/>
      <c r="N111" s="578">
        <f t="shared" si="4"/>
        <v>-80337.563071022727</v>
      </c>
      <c r="O111" s="678"/>
      <c r="P111" s="678"/>
      <c r="Q111" s="678"/>
      <c r="R111" s="678"/>
      <c r="S111" s="678"/>
      <c r="T111" s="678"/>
      <c r="U111" s="678"/>
      <c r="V111" s="678"/>
      <c r="W111" s="678"/>
      <c r="X111" s="678"/>
      <c r="Y111" s="678"/>
      <c r="Z111" s="678"/>
      <c r="AA111" s="678"/>
      <c r="AB111" s="678"/>
      <c r="AC111" s="678"/>
      <c r="AD111" s="678"/>
      <c r="AE111" s="678"/>
      <c r="AF111" s="678"/>
      <c r="AG111" s="678"/>
      <c r="AH111" s="678"/>
      <c r="AI111" s="678"/>
      <c r="AJ111" s="678"/>
      <c r="AK111" s="658"/>
    </row>
    <row r="112" spans="2:37" s="5" customFormat="1">
      <c r="B112" s="313"/>
      <c r="C112" s="835"/>
      <c r="D112" s="96"/>
      <c r="E112" s="9"/>
      <c r="F112" s="74"/>
      <c r="G112" s="97"/>
      <c r="H112" s="78"/>
      <c r="I112" s="79"/>
      <c r="J112" s="52"/>
      <c r="K112" s="156"/>
      <c r="L112" s="383"/>
      <c r="M112" s="542"/>
      <c r="N112" s="578">
        <f t="shared" si="4"/>
        <v>0</v>
      </c>
      <c r="O112" s="678"/>
      <c r="P112" s="678"/>
      <c r="Q112" s="678"/>
      <c r="R112" s="678"/>
      <c r="S112" s="678"/>
      <c r="T112" s="678"/>
      <c r="U112" s="678"/>
      <c r="V112" s="678"/>
      <c r="W112" s="678"/>
      <c r="X112" s="678"/>
      <c r="Y112" s="678"/>
      <c r="Z112" s="678"/>
      <c r="AA112" s="678"/>
      <c r="AB112" s="678"/>
      <c r="AC112" s="678"/>
      <c r="AD112" s="678"/>
      <c r="AE112" s="678"/>
      <c r="AF112" s="678"/>
      <c r="AG112" s="678"/>
      <c r="AH112" s="678"/>
      <c r="AI112" s="678"/>
      <c r="AJ112" s="678"/>
      <c r="AK112" s="658"/>
    </row>
    <row r="113" spans="2:37" s="5" customFormat="1" ht="15" customHeight="1">
      <c r="B113" s="317">
        <v>8</v>
      </c>
      <c r="C113" s="835" t="s">
        <v>869</v>
      </c>
      <c r="D113" s="80" t="s">
        <v>39</v>
      </c>
      <c r="E113" s="81">
        <v>57232.2</v>
      </c>
      <c r="F113" s="74"/>
      <c r="G113" s="75"/>
      <c r="H113" s="82"/>
      <c r="I113" s="83"/>
      <c r="J113" s="6"/>
      <c r="K113" s="156"/>
      <c r="L113" s="383"/>
      <c r="M113" s="542"/>
      <c r="N113" s="578">
        <f t="shared" si="4"/>
        <v>0</v>
      </c>
      <c r="O113" s="678"/>
      <c r="P113" s="678"/>
      <c r="Q113" s="678"/>
      <c r="R113" s="678"/>
      <c r="S113" s="678"/>
      <c r="T113" s="678"/>
      <c r="U113" s="678"/>
      <c r="V113" s="678"/>
      <c r="W113" s="678"/>
      <c r="X113" s="678"/>
      <c r="Y113" s="678"/>
      <c r="Z113" s="678"/>
      <c r="AA113" s="678"/>
      <c r="AB113" s="678"/>
      <c r="AC113" s="678"/>
      <c r="AD113" s="678"/>
      <c r="AE113" s="678"/>
      <c r="AF113" s="678"/>
      <c r="AG113" s="678"/>
      <c r="AH113" s="678"/>
      <c r="AI113" s="678"/>
      <c r="AJ113" s="678"/>
      <c r="AK113" s="658"/>
    </row>
    <row r="114" spans="2:37" s="5" customFormat="1">
      <c r="B114" s="313"/>
      <c r="C114" s="835"/>
      <c r="D114" s="17" t="s">
        <v>0</v>
      </c>
      <c r="E114" s="81" t="s">
        <v>27</v>
      </c>
      <c r="F114" s="84">
        <f>E113</f>
        <v>57232.2</v>
      </c>
      <c r="G114" s="654">
        <v>4</v>
      </c>
      <c r="H114" s="64">
        <f>+G114*F114</f>
        <v>228928.8</v>
      </c>
      <c r="I114" s="79"/>
      <c r="J114" s="52"/>
      <c r="K114" s="156"/>
      <c r="L114" s="383"/>
      <c r="M114" s="542"/>
      <c r="N114" s="578">
        <f t="shared" si="4"/>
        <v>-228928.8</v>
      </c>
      <c r="O114" s="678"/>
      <c r="P114" s="678"/>
      <c r="Q114" s="678"/>
      <c r="R114" s="678"/>
      <c r="S114" s="678"/>
      <c r="T114" s="678"/>
      <c r="U114" s="678"/>
      <c r="V114" s="678"/>
      <c r="W114" s="678"/>
      <c r="X114" s="678"/>
      <c r="Y114" s="678"/>
      <c r="Z114" s="678"/>
      <c r="AA114" s="678"/>
      <c r="AB114" s="678"/>
      <c r="AC114" s="678"/>
      <c r="AD114" s="678"/>
      <c r="AE114" s="678"/>
      <c r="AF114" s="678"/>
      <c r="AG114" s="678"/>
      <c r="AH114" s="678"/>
      <c r="AI114" s="678"/>
      <c r="AJ114" s="678"/>
      <c r="AK114" s="658"/>
    </row>
    <row r="115" spans="2:37" s="5" customFormat="1">
      <c r="B115" s="313"/>
      <c r="C115" s="835"/>
      <c r="D115" s="17" t="s">
        <v>3</v>
      </c>
      <c r="E115" s="81" t="s">
        <v>27</v>
      </c>
      <c r="F115" s="84">
        <f>E113</f>
        <v>57232.2</v>
      </c>
      <c r="G115" s="64">
        <v>6</v>
      </c>
      <c r="H115" s="64">
        <f>+G115*F115</f>
        <v>343393.19999999995</v>
      </c>
      <c r="I115" s="79"/>
      <c r="J115" s="52"/>
      <c r="K115" s="156"/>
      <c r="L115" s="383"/>
      <c r="M115" s="542"/>
      <c r="N115" s="578">
        <f t="shared" si="4"/>
        <v>-343393.19999999995</v>
      </c>
      <c r="O115" s="678"/>
      <c r="P115" s="678"/>
      <c r="Q115" s="678"/>
      <c r="R115" s="678"/>
      <c r="S115" s="678"/>
      <c r="T115" s="678"/>
      <c r="U115" s="678"/>
      <c r="V115" s="678"/>
      <c r="W115" s="678"/>
      <c r="X115" s="678"/>
      <c r="Y115" s="678"/>
      <c r="Z115" s="678"/>
      <c r="AA115" s="678"/>
      <c r="AB115" s="678"/>
      <c r="AC115" s="678"/>
      <c r="AD115" s="678"/>
      <c r="AE115" s="678"/>
      <c r="AF115" s="678"/>
      <c r="AG115" s="678"/>
      <c r="AH115" s="678"/>
      <c r="AI115" s="678"/>
      <c r="AJ115" s="678"/>
      <c r="AK115" s="658"/>
    </row>
    <row r="116" spans="2:37" s="5" customFormat="1">
      <c r="B116" s="313"/>
      <c r="C116" s="835"/>
      <c r="D116" s="17" t="s">
        <v>28</v>
      </c>
      <c r="E116" s="88">
        <f>$H$5+2</f>
        <v>15.25</v>
      </c>
      <c r="F116" s="84">
        <f>E113/44*1.5</f>
        <v>1951.0977272727273</v>
      </c>
      <c r="G116" s="87">
        <v>6</v>
      </c>
      <c r="H116" s="64">
        <f>+G116*F116*E116</f>
        <v>178525.44204545458</v>
      </c>
      <c r="I116" s="79"/>
      <c r="J116" s="52"/>
      <c r="K116" s="156"/>
      <c r="L116" s="383"/>
      <c r="M116" s="542"/>
      <c r="N116" s="578">
        <f t="shared" si="4"/>
        <v>-178525.44204545458</v>
      </c>
      <c r="O116" s="678"/>
      <c r="P116" s="678"/>
      <c r="Q116" s="678"/>
      <c r="R116" s="678"/>
      <c r="S116" s="678"/>
      <c r="T116" s="678"/>
      <c r="U116" s="678"/>
      <c r="V116" s="678"/>
      <c r="W116" s="678"/>
      <c r="X116" s="678"/>
      <c r="Y116" s="678"/>
      <c r="Z116" s="678"/>
      <c r="AA116" s="678"/>
      <c r="AB116" s="678"/>
      <c r="AC116" s="678"/>
      <c r="AD116" s="678"/>
      <c r="AE116" s="678"/>
      <c r="AF116" s="678"/>
      <c r="AG116" s="678"/>
      <c r="AH116" s="678"/>
      <c r="AI116" s="678"/>
      <c r="AJ116" s="678"/>
      <c r="AK116" s="658"/>
    </row>
    <row r="117" spans="2:37" s="5" customFormat="1">
      <c r="B117" s="313"/>
      <c r="C117" s="835"/>
      <c r="D117" s="17" t="s">
        <v>1</v>
      </c>
      <c r="E117" s="67" t="s">
        <v>29</v>
      </c>
      <c r="F117" s="84">
        <f>E113/5*1.5</f>
        <v>17169.659999999996</v>
      </c>
      <c r="G117" s="64">
        <f>$H$3</f>
        <v>0</v>
      </c>
      <c r="H117" s="64">
        <f>+G117*F117</f>
        <v>0</v>
      </c>
      <c r="I117" s="79"/>
      <c r="J117" s="52"/>
      <c r="K117" s="156"/>
      <c r="L117" s="383"/>
      <c r="M117" s="542"/>
      <c r="N117" s="578">
        <f t="shared" si="4"/>
        <v>0</v>
      </c>
      <c r="O117" s="678"/>
      <c r="P117" s="678"/>
      <c r="Q117" s="678"/>
      <c r="R117" s="678"/>
      <c r="S117" s="678"/>
      <c r="T117" s="678"/>
      <c r="U117" s="678"/>
      <c r="V117" s="678"/>
      <c r="W117" s="678"/>
      <c r="X117" s="678"/>
      <c r="Y117" s="678"/>
      <c r="Z117" s="678"/>
      <c r="AA117" s="678"/>
      <c r="AB117" s="678"/>
      <c r="AC117" s="678"/>
      <c r="AD117" s="678"/>
      <c r="AE117" s="678"/>
      <c r="AF117" s="678"/>
      <c r="AG117" s="678"/>
      <c r="AH117" s="678"/>
      <c r="AI117" s="678"/>
      <c r="AJ117" s="678"/>
      <c r="AK117" s="658"/>
    </row>
    <row r="118" spans="2:37" s="5" customFormat="1">
      <c r="B118" s="313"/>
      <c r="C118" s="835"/>
      <c r="D118" s="17" t="s">
        <v>4</v>
      </c>
      <c r="E118" s="67" t="s">
        <v>29</v>
      </c>
      <c r="F118" s="84">
        <f>E113/5*2</f>
        <v>22892.879999999997</v>
      </c>
      <c r="G118" s="64">
        <f>$H$4</f>
        <v>0</v>
      </c>
      <c r="H118" s="64">
        <f>+G118*F118</f>
        <v>0</v>
      </c>
      <c r="I118" s="79"/>
      <c r="J118" s="52"/>
      <c r="K118" s="156"/>
      <c r="L118" s="383"/>
      <c r="M118" s="542"/>
      <c r="N118" s="578">
        <f t="shared" si="4"/>
        <v>0</v>
      </c>
      <c r="O118" s="678"/>
      <c r="P118" s="678"/>
      <c r="Q118" s="678"/>
      <c r="R118" s="678"/>
      <c r="S118" s="678"/>
      <c r="T118" s="678"/>
      <c r="U118" s="678"/>
      <c r="V118" s="678"/>
      <c r="W118" s="678"/>
      <c r="X118" s="678"/>
      <c r="Y118" s="678"/>
      <c r="Z118" s="678"/>
      <c r="AA118" s="678"/>
      <c r="AB118" s="678"/>
      <c r="AC118" s="678"/>
      <c r="AD118" s="678"/>
      <c r="AE118" s="678"/>
      <c r="AF118" s="678"/>
      <c r="AG118" s="678"/>
      <c r="AH118" s="678"/>
      <c r="AI118" s="678"/>
      <c r="AJ118" s="678"/>
      <c r="AK118" s="658"/>
    </row>
    <row r="119" spans="2:37" s="5" customFormat="1">
      <c r="B119" s="313"/>
      <c r="C119" s="835"/>
      <c r="D119" s="17" t="s">
        <v>5</v>
      </c>
      <c r="E119" s="81" t="s">
        <v>27</v>
      </c>
      <c r="F119" s="84">
        <f>E113</f>
        <v>57232.2</v>
      </c>
      <c r="G119" s="64">
        <f>$F$5-$F$5</f>
        <v>0</v>
      </c>
      <c r="H119" s="64">
        <f>+G119*F119</f>
        <v>0</v>
      </c>
      <c r="I119" s="79"/>
      <c r="J119" s="52"/>
      <c r="K119" s="156"/>
      <c r="L119" s="383"/>
      <c r="M119" s="542"/>
      <c r="N119" s="578">
        <f t="shared" si="4"/>
        <v>0</v>
      </c>
      <c r="O119" s="678"/>
      <c r="P119" s="678"/>
      <c r="Q119" s="678"/>
      <c r="R119" s="678"/>
      <c r="S119" s="678"/>
      <c r="T119" s="678"/>
      <c r="U119" s="678"/>
      <c r="V119" s="678"/>
      <c r="W119" s="678"/>
      <c r="X119" s="678"/>
      <c r="Y119" s="678"/>
      <c r="Z119" s="678"/>
      <c r="AA119" s="678"/>
      <c r="AB119" s="678"/>
      <c r="AC119" s="679"/>
      <c r="AD119" s="678"/>
      <c r="AE119" s="678"/>
      <c r="AF119" s="678"/>
      <c r="AG119" s="678"/>
      <c r="AH119" s="678"/>
      <c r="AI119" s="678"/>
      <c r="AJ119" s="678"/>
      <c r="AK119" s="658"/>
    </row>
    <row r="120" spans="2:37" s="5" customFormat="1">
      <c r="B120" s="313"/>
      <c r="C120" s="835"/>
      <c r="D120" s="17" t="s">
        <v>30</v>
      </c>
      <c r="E120" s="67" t="s">
        <v>16</v>
      </c>
      <c r="F120" s="89">
        <f>G114+G115+G119</f>
        <v>10</v>
      </c>
      <c r="G120" s="68" t="s">
        <v>31</v>
      </c>
      <c r="H120" s="64">
        <f>SUM(H114:H119)</f>
        <v>750847.44204545463</v>
      </c>
      <c r="I120" s="79"/>
      <c r="J120" s="52"/>
      <c r="K120" s="156"/>
      <c r="L120" s="383"/>
      <c r="M120" s="542"/>
      <c r="N120" s="578">
        <f t="shared" si="4"/>
        <v>-750847.44204545463</v>
      </c>
      <c r="O120" s="678"/>
      <c r="P120" s="678"/>
      <c r="Q120" s="678"/>
      <c r="R120" s="678"/>
      <c r="S120" s="678"/>
      <c r="T120" s="678"/>
      <c r="U120" s="678"/>
      <c r="V120" s="678"/>
      <c r="W120" s="678"/>
      <c r="X120" s="678"/>
      <c r="Y120" s="678"/>
      <c r="Z120" s="678"/>
      <c r="AA120" s="678"/>
      <c r="AB120" s="678"/>
      <c r="AC120" s="678"/>
      <c r="AD120" s="678"/>
      <c r="AE120" s="678"/>
      <c r="AF120" s="678"/>
      <c r="AG120" s="678"/>
      <c r="AH120" s="678"/>
      <c r="AI120" s="678"/>
      <c r="AJ120" s="678"/>
      <c r="AK120" s="658"/>
    </row>
    <row r="121" spans="2:37" s="5" customFormat="1">
      <c r="B121" s="313"/>
      <c r="C121" s="835"/>
      <c r="D121" s="19" t="s">
        <v>32</v>
      </c>
      <c r="E121" s="67" t="s">
        <v>16</v>
      </c>
      <c r="F121" s="84">
        <f>SUM(H114:H119)</f>
        <v>750847.44204545463</v>
      </c>
      <c r="G121" s="92">
        <f>$G$43</f>
        <v>8.3299999999999999E-2</v>
      </c>
      <c r="H121" s="64">
        <f>+G121*F121</f>
        <v>62545.591922386368</v>
      </c>
      <c r="I121" s="93"/>
      <c r="J121" s="52"/>
      <c r="K121" s="156"/>
      <c r="L121" s="383"/>
      <c r="M121" s="542"/>
      <c r="N121" s="578">
        <f t="shared" si="4"/>
        <v>-62545.591922386368</v>
      </c>
      <c r="O121" s="678"/>
      <c r="P121" s="678"/>
      <c r="Q121" s="679"/>
      <c r="R121" s="679"/>
      <c r="S121" s="679"/>
      <c r="T121" s="679"/>
      <c r="U121" s="679"/>
      <c r="V121" s="679"/>
      <c r="W121" s="679"/>
      <c r="X121" s="679"/>
      <c r="Y121" s="679"/>
      <c r="Z121" s="679"/>
      <c r="AA121" s="679"/>
      <c r="AB121" s="679"/>
      <c r="AC121" s="679"/>
      <c r="AD121" s="678"/>
      <c r="AE121" s="678"/>
      <c r="AF121" s="678"/>
      <c r="AG121" s="678"/>
      <c r="AH121" s="678"/>
      <c r="AI121" s="678"/>
      <c r="AJ121" s="678"/>
      <c r="AK121" s="658"/>
    </row>
    <row r="122" spans="2:37" s="5" customFormat="1">
      <c r="B122" s="313"/>
      <c r="C122" s="835"/>
      <c r="D122" s="19" t="s">
        <v>33</v>
      </c>
      <c r="E122" s="84">
        <f>F121/(5*F120)</f>
        <v>15016.948840909092</v>
      </c>
      <c r="F122" s="84">
        <f>E122*(F120*7)</f>
        <v>1051186.4188636364</v>
      </c>
      <c r="G122" s="95">
        <f>$G$44</f>
        <v>20</v>
      </c>
      <c r="H122" s="64">
        <f>F122/G122</f>
        <v>52559.320943181825</v>
      </c>
      <c r="I122" s="72">
        <f>SUM(H120:H122)</f>
        <v>865952.35491102282</v>
      </c>
      <c r="J122" s="52">
        <f>SUM(G114:G122)</f>
        <v>36.083300000000001</v>
      </c>
      <c r="K122" s="156"/>
      <c r="L122" s="383"/>
      <c r="M122" s="542"/>
      <c r="N122" s="578">
        <f t="shared" si="4"/>
        <v>-52559.320943181825</v>
      </c>
      <c r="O122" s="678"/>
      <c r="P122" s="678"/>
      <c r="Q122" s="678"/>
      <c r="R122" s="678"/>
      <c r="S122" s="678"/>
      <c r="T122" s="678"/>
      <c r="U122" s="678"/>
      <c r="V122" s="678"/>
      <c r="W122" s="678"/>
      <c r="X122" s="678"/>
      <c r="Y122" s="678"/>
      <c r="Z122" s="678"/>
      <c r="AA122" s="678"/>
      <c r="AB122" s="678"/>
      <c r="AC122" s="678"/>
      <c r="AD122" s="678"/>
      <c r="AE122" s="678"/>
      <c r="AF122" s="678"/>
      <c r="AG122" s="678"/>
      <c r="AH122" s="678"/>
      <c r="AI122" s="678"/>
      <c r="AJ122" s="678"/>
      <c r="AK122" s="658"/>
    </row>
    <row r="123" spans="2:37" s="5" customFormat="1">
      <c r="B123" s="313"/>
      <c r="C123" s="835"/>
      <c r="D123" s="96"/>
      <c r="E123" s="100"/>
      <c r="F123" s="74"/>
      <c r="G123" s="97"/>
      <c r="H123" s="78"/>
      <c r="I123" s="79"/>
      <c r="J123" s="52"/>
      <c r="K123" s="156"/>
      <c r="L123" s="383"/>
      <c r="M123" s="542"/>
      <c r="N123" s="578">
        <f t="shared" si="4"/>
        <v>0</v>
      </c>
      <c r="O123" s="678"/>
      <c r="P123" s="678"/>
      <c r="Q123" s="678"/>
      <c r="R123" s="678"/>
      <c r="S123" s="678"/>
      <c r="T123" s="678"/>
      <c r="U123" s="678"/>
      <c r="V123" s="678"/>
      <c r="W123" s="678"/>
      <c r="X123" s="678"/>
      <c r="Y123" s="678"/>
      <c r="Z123" s="678"/>
      <c r="AA123" s="678"/>
      <c r="AB123" s="678"/>
      <c r="AC123" s="678"/>
      <c r="AD123" s="678"/>
      <c r="AE123" s="678"/>
      <c r="AF123" s="678"/>
      <c r="AG123" s="678"/>
      <c r="AH123" s="678"/>
      <c r="AI123" s="678"/>
      <c r="AJ123" s="678"/>
      <c r="AK123" s="658"/>
    </row>
    <row r="124" spans="2:37" s="5" customFormat="1" ht="15" customHeight="1">
      <c r="B124" s="317">
        <v>9</v>
      </c>
      <c r="C124" s="835" t="s">
        <v>870</v>
      </c>
      <c r="D124" s="80" t="s">
        <v>40</v>
      </c>
      <c r="E124" s="81">
        <v>37353.449999999997</v>
      </c>
      <c r="F124" s="74"/>
      <c r="G124" s="75"/>
      <c r="H124" s="82"/>
      <c r="I124" s="83"/>
      <c r="J124" s="6"/>
      <c r="K124" s="156"/>
      <c r="L124" s="383"/>
      <c r="M124" s="542"/>
      <c r="N124" s="578">
        <f t="shared" si="4"/>
        <v>0</v>
      </c>
      <c r="O124" s="678"/>
      <c r="P124" s="678"/>
      <c r="Q124" s="678"/>
      <c r="R124" s="678"/>
      <c r="S124" s="678"/>
      <c r="T124" s="678"/>
      <c r="U124" s="678"/>
      <c r="V124" s="678"/>
      <c r="W124" s="678"/>
      <c r="X124" s="678"/>
      <c r="Y124" s="678"/>
      <c r="Z124" s="678"/>
      <c r="AA124" s="678"/>
      <c r="AB124" s="678"/>
      <c r="AC124" s="678"/>
      <c r="AD124" s="678"/>
      <c r="AE124" s="678"/>
      <c r="AF124" s="678"/>
      <c r="AG124" s="678"/>
      <c r="AH124" s="678"/>
      <c r="AI124" s="678"/>
      <c r="AJ124" s="678"/>
      <c r="AK124" s="658"/>
    </row>
    <row r="125" spans="2:37" s="5" customFormat="1">
      <c r="B125" s="313"/>
      <c r="C125" s="835"/>
      <c r="D125" s="17" t="s">
        <v>0</v>
      </c>
      <c r="E125" s="81" t="s">
        <v>27</v>
      </c>
      <c r="F125" s="84">
        <f>E124</f>
        <v>37353.449999999997</v>
      </c>
      <c r="G125" s="64">
        <v>6</v>
      </c>
      <c r="H125" s="64">
        <f t="shared" ref="H125:H130" si="5">F125*G125</f>
        <v>224120.69999999998</v>
      </c>
      <c r="I125" s="79"/>
      <c r="J125" s="52"/>
      <c r="K125" s="156"/>
      <c r="L125" s="383"/>
      <c r="M125" s="542"/>
      <c r="N125" s="578">
        <f t="shared" si="4"/>
        <v>-224120.69999999998</v>
      </c>
      <c r="O125" s="678"/>
      <c r="P125" s="678"/>
      <c r="Q125" s="678"/>
      <c r="R125" s="678"/>
      <c r="S125" s="678"/>
      <c r="T125" s="678"/>
      <c r="U125" s="678"/>
      <c r="V125" s="678"/>
      <c r="W125" s="678"/>
      <c r="X125" s="678"/>
      <c r="Y125" s="678"/>
      <c r="Z125" s="678"/>
      <c r="AA125" s="678"/>
      <c r="AB125" s="678"/>
      <c r="AC125" s="678"/>
      <c r="AD125" s="678"/>
      <c r="AE125" s="678"/>
      <c r="AF125" s="678"/>
      <c r="AG125" s="678"/>
      <c r="AH125" s="678"/>
      <c r="AI125" s="678"/>
      <c r="AJ125" s="678"/>
      <c r="AK125" s="658"/>
    </row>
    <row r="126" spans="2:37" s="5" customFormat="1">
      <c r="B126" s="313"/>
      <c r="C126" s="835"/>
      <c r="D126" s="17" t="s">
        <v>3</v>
      </c>
      <c r="E126" s="81" t="s">
        <v>27</v>
      </c>
      <c r="F126" s="84">
        <f>E124</f>
        <v>37353.449999999997</v>
      </c>
      <c r="G126" s="64">
        <v>6</v>
      </c>
      <c r="H126" s="64">
        <f t="shared" si="5"/>
        <v>224120.69999999998</v>
      </c>
      <c r="I126" s="79"/>
      <c r="J126" s="52"/>
      <c r="K126" s="156"/>
      <c r="L126" s="383"/>
      <c r="M126" s="542"/>
      <c r="N126" s="578">
        <f t="shared" si="4"/>
        <v>-224120.69999999998</v>
      </c>
      <c r="O126" s="678"/>
      <c r="P126" s="678"/>
      <c r="Q126" s="678"/>
      <c r="R126" s="678"/>
      <c r="S126" s="678"/>
      <c r="T126" s="678"/>
      <c r="U126" s="678"/>
      <c r="V126" s="678"/>
      <c r="W126" s="678"/>
      <c r="X126" s="678"/>
      <c r="Y126" s="678"/>
      <c r="Z126" s="678"/>
      <c r="AA126" s="678"/>
      <c r="AB126" s="678"/>
      <c r="AC126" s="678"/>
      <c r="AD126" s="678"/>
      <c r="AE126" s="678"/>
      <c r="AF126" s="678"/>
      <c r="AG126" s="678"/>
      <c r="AH126" s="678"/>
      <c r="AI126" s="678"/>
      <c r="AJ126" s="678"/>
      <c r="AK126" s="658"/>
    </row>
    <row r="127" spans="2:37" s="5" customFormat="1">
      <c r="B127" s="313"/>
      <c r="C127" s="835"/>
      <c r="D127" s="17" t="s">
        <v>28</v>
      </c>
      <c r="E127" s="88">
        <f>$H$5+2</f>
        <v>15.25</v>
      </c>
      <c r="F127" s="84">
        <f>E124/44*1.5</f>
        <v>1273.4130681818181</v>
      </c>
      <c r="G127" s="87">
        <v>6</v>
      </c>
      <c r="H127" s="64">
        <f>F127*G127*15</f>
        <v>114607.17613636363</v>
      </c>
      <c r="I127" s="79"/>
      <c r="J127" s="52"/>
      <c r="K127" s="156"/>
      <c r="L127" s="383"/>
      <c r="M127" s="542"/>
      <c r="N127" s="578">
        <f t="shared" si="4"/>
        <v>-114607.17613636363</v>
      </c>
      <c r="O127" s="678"/>
      <c r="P127" s="678"/>
      <c r="Q127" s="678"/>
      <c r="R127" s="678"/>
      <c r="S127" s="678"/>
      <c r="T127" s="678"/>
      <c r="U127" s="678"/>
      <c r="V127" s="678"/>
      <c r="W127" s="678"/>
      <c r="X127" s="678"/>
      <c r="Y127" s="678"/>
      <c r="Z127" s="678"/>
      <c r="AA127" s="678"/>
      <c r="AB127" s="678"/>
      <c r="AC127" s="678"/>
      <c r="AD127" s="678"/>
      <c r="AE127" s="678"/>
      <c r="AF127" s="678"/>
      <c r="AG127" s="678"/>
      <c r="AH127" s="678"/>
      <c r="AI127" s="678"/>
      <c r="AJ127" s="678"/>
      <c r="AK127" s="658"/>
    </row>
    <row r="128" spans="2:37" s="5" customFormat="1">
      <c r="B128" s="313"/>
      <c r="C128" s="835"/>
      <c r="D128" s="17" t="s">
        <v>1</v>
      </c>
      <c r="E128" s="67" t="s">
        <v>29</v>
      </c>
      <c r="F128" s="84">
        <f>E124/5*1.5</f>
        <v>11206.035</v>
      </c>
      <c r="G128" s="64">
        <f>$H$3</f>
        <v>0</v>
      </c>
      <c r="H128" s="64">
        <f t="shared" si="5"/>
        <v>0</v>
      </c>
      <c r="I128" s="79"/>
      <c r="J128" s="52"/>
      <c r="K128" s="156"/>
      <c r="L128" s="383"/>
      <c r="M128" s="542"/>
      <c r="N128" s="578">
        <f t="shared" si="4"/>
        <v>0</v>
      </c>
      <c r="O128" s="678"/>
      <c r="P128" s="678"/>
      <c r="Q128" s="678"/>
      <c r="R128" s="678"/>
      <c r="S128" s="678"/>
      <c r="T128" s="678"/>
      <c r="U128" s="678"/>
      <c r="V128" s="678"/>
      <c r="W128" s="678"/>
      <c r="X128" s="678"/>
      <c r="Y128" s="678"/>
      <c r="Z128" s="678"/>
      <c r="AA128" s="678"/>
      <c r="AB128" s="678"/>
      <c r="AC128" s="678"/>
      <c r="AD128" s="678"/>
      <c r="AE128" s="678"/>
      <c r="AF128" s="678"/>
      <c r="AG128" s="678"/>
      <c r="AH128" s="678"/>
      <c r="AI128" s="678"/>
      <c r="AJ128" s="678"/>
      <c r="AK128" s="658"/>
    </row>
    <row r="129" spans="2:37" s="5" customFormat="1">
      <c r="B129" s="313"/>
      <c r="C129" s="835"/>
      <c r="D129" s="17" t="s">
        <v>4</v>
      </c>
      <c r="E129" s="67" t="s">
        <v>29</v>
      </c>
      <c r="F129" s="84">
        <f>E124/5*2</f>
        <v>14941.38</v>
      </c>
      <c r="G129" s="64">
        <f>$H$4</f>
        <v>0</v>
      </c>
      <c r="H129" s="64">
        <f t="shared" si="5"/>
        <v>0</v>
      </c>
      <c r="I129" s="79"/>
      <c r="J129" s="52"/>
      <c r="K129" s="156"/>
      <c r="L129" s="383"/>
      <c r="M129" s="542"/>
      <c r="N129" s="578">
        <f t="shared" si="4"/>
        <v>0</v>
      </c>
      <c r="O129" s="678"/>
      <c r="P129" s="678"/>
      <c r="Q129" s="678"/>
      <c r="R129" s="678"/>
      <c r="S129" s="678"/>
      <c r="T129" s="678"/>
      <c r="U129" s="678"/>
      <c r="V129" s="678"/>
      <c r="W129" s="678"/>
      <c r="X129" s="678"/>
      <c r="Y129" s="678"/>
      <c r="Z129" s="678"/>
      <c r="AA129" s="678"/>
      <c r="AB129" s="678"/>
      <c r="AC129" s="678"/>
      <c r="AD129" s="678"/>
      <c r="AE129" s="678"/>
      <c r="AF129" s="678"/>
      <c r="AG129" s="678"/>
      <c r="AH129" s="678"/>
      <c r="AI129" s="678"/>
      <c r="AJ129" s="678"/>
      <c r="AK129" s="658"/>
    </row>
    <row r="130" spans="2:37" s="5" customFormat="1">
      <c r="B130" s="313"/>
      <c r="C130" s="835"/>
      <c r="D130" s="17" t="s">
        <v>5</v>
      </c>
      <c r="E130" s="81" t="s">
        <v>27</v>
      </c>
      <c r="F130" s="84">
        <f>E124</f>
        <v>37353.449999999997</v>
      </c>
      <c r="G130" s="64">
        <f>$F$5-$F$5</f>
        <v>0</v>
      </c>
      <c r="H130" s="64">
        <f t="shared" si="5"/>
        <v>0</v>
      </c>
      <c r="I130" s="79"/>
      <c r="J130" s="52"/>
      <c r="K130" s="156"/>
      <c r="L130" s="383"/>
      <c r="M130" s="542"/>
      <c r="N130" s="578">
        <f t="shared" si="4"/>
        <v>0</v>
      </c>
      <c r="O130" s="678"/>
      <c r="P130" s="678"/>
      <c r="Q130" s="678"/>
      <c r="R130" s="678"/>
      <c r="S130" s="678"/>
      <c r="T130" s="678"/>
      <c r="U130" s="678"/>
      <c r="V130" s="678"/>
      <c r="W130" s="678"/>
      <c r="X130" s="678"/>
      <c r="Y130" s="678"/>
      <c r="Z130" s="678"/>
      <c r="AA130" s="678"/>
      <c r="AB130" s="678"/>
      <c r="AC130" s="679"/>
      <c r="AD130" s="678"/>
      <c r="AE130" s="678"/>
      <c r="AF130" s="678"/>
      <c r="AG130" s="678"/>
      <c r="AH130" s="678"/>
      <c r="AI130" s="678"/>
      <c r="AJ130" s="678"/>
      <c r="AK130" s="658"/>
    </row>
    <row r="131" spans="2:37" s="5" customFormat="1">
      <c r="B131" s="313"/>
      <c r="C131" s="835"/>
      <c r="D131" s="17" t="s">
        <v>30</v>
      </c>
      <c r="E131" s="67" t="s">
        <v>16</v>
      </c>
      <c r="F131" s="89">
        <f>G125+G126+G130</f>
        <v>12</v>
      </c>
      <c r="G131" s="68" t="s">
        <v>31</v>
      </c>
      <c r="H131" s="64">
        <f>SUM(H125:H130)</f>
        <v>562848.57613636355</v>
      </c>
      <c r="I131" s="79"/>
      <c r="J131" s="52"/>
      <c r="K131" s="156"/>
      <c r="L131" s="383"/>
      <c r="M131" s="542"/>
      <c r="N131" s="578">
        <f t="shared" si="4"/>
        <v>-562848.57613636355</v>
      </c>
      <c r="O131" s="678"/>
      <c r="P131" s="678"/>
      <c r="Q131" s="678"/>
      <c r="R131" s="678"/>
      <c r="S131" s="678"/>
      <c r="T131" s="678"/>
      <c r="U131" s="678"/>
      <c r="V131" s="678"/>
      <c r="W131" s="678"/>
      <c r="X131" s="678"/>
      <c r="Y131" s="678"/>
      <c r="Z131" s="678"/>
      <c r="AA131" s="678"/>
      <c r="AB131" s="678"/>
      <c r="AC131" s="678"/>
      <c r="AD131" s="678"/>
      <c r="AE131" s="678"/>
      <c r="AF131" s="678"/>
      <c r="AG131" s="678"/>
      <c r="AH131" s="678"/>
      <c r="AI131" s="678"/>
      <c r="AJ131" s="678"/>
      <c r="AK131" s="658"/>
    </row>
    <row r="132" spans="2:37" s="5" customFormat="1">
      <c r="B132" s="313"/>
      <c r="C132" s="835"/>
      <c r="D132" s="19" t="s">
        <v>32</v>
      </c>
      <c r="E132" s="67" t="s">
        <v>16</v>
      </c>
      <c r="F132" s="84">
        <f>SUM(H125:H130)</f>
        <v>562848.57613636355</v>
      </c>
      <c r="G132" s="92">
        <f>$G$43</f>
        <v>8.3299999999999999E-2</v>
      </c>
      <c r="H132" s="64">
        <f>+G132*F132</f>
        <v>46885.286392159083</v>
      </c>
      <c r="I132" s="93"/>
      <c r="J132" s="52"/>
      <c r="K132" s="156"/>
      <c r="L132" s="383"/>
      <c r="M132" s="542"/>
      <c r="N132" s="578">
        <f t="shared" si="4"/>
        <v>-46885.286392159083</v>
      </c>
      <c r="O132" s="678"/>
      <c r="P132" s="678"/>
      <c r="Q132" s="679"/>
      <c r="R132" s="679"/>
      <c r="S132" s="679"/>
      <c r="T132" s="679"/>
      <c r="U132" s="679"/>
      <c r="V132" s="679"/>
      <c r="W132" s="679"/>
      <c r="X132" s="679"/>
      <c r="Y132" s="679"/>
      <c r="Z132" s="679"/>
      <c r="AA132" s="679"/>
      <c r="AB132" s="679"/>
      <c r="AC132" s="679"/>
      <c r="AD132" s="678"/>
      <c r="AE132" s="678"/>
      <c r="AF132" s="678"/>
      <c r="AG132" s="678"/>
      <c r="AH132" s="678"/>
      <c r="AI132" s="678"/>
      <c r="AJ132" s="678"/>
      <c r="AK132" s="658"/>
    </row>
    <row r="133" spans="2:37" s="5" customFormat="1">
      <c r="B133" s="313"/>
      <c r="C133" s="835"/>
      <c r="D133" s="19" t="s">
        <v>33</v>
      </c>
      <c r="E133" s="84">
        <f>F132/(5*F131)</f>
        <v>9380.8096022727259</v>
      </c>
      <c r="F133" s="84">
        <f>E133*(F131*7)</f>
        <v>787988.00659090898</v>
      </c>
      <c r="G133" s="95">
        <f>$G$44</f>
        <v>20</v>
      </c>
      <c r="H133" s="64">
        <f>F133/G133</f>
        <v>39399.400329545446</v>
      </c>
      <c r="I133" s="72">
        <f>SUM(H131:H133)</f>
        <v>649133.2628580681</v>
      </c>
      <c r="J133" s="52">
        <f>SUM(G125:G133)</f>
        <v>38.083300000000001</v>
      </c>
      <c r="K133" s="156"/>
      <c r="L133" s="383"/>
      <c r="M133" s="542"/>
      <c r="N133" s="578">
        <f t="shared" si="4"/>
        <v>-39399.400329545446</v>
      </c>
      <c r="O133" s="678"/>
      <c r="P133" s="678"/>
      <c r="Q133" s="678"/>
      <c r="R133" s="678"/>
      <c r="S133" s="678"/>
      <c r="T133" s="678"/>
      <c r="U133" s="678"/>
      <c r="V133" s="678"/>
      <c r="W133" s="678"/>
      <c r="X133" s="678"/>
      <c r="Y133" s="678"/>
      <c r="Z133" s="678"/>
      <c r="AA133" s="678"/>
      <c r="AB133" s="678"/>
      <c r="AC133" s="678"/>
      <c r="AD133" s="678"/>
      <c r="AE133" s="678"/>
      <c r="AF133" s="678"/>
      <c r="AG133" s="678"/>
      <c r="AH133" s="678"/>
      <c r="AI133" s="678"/>
      <c r="AJ133" s="678"/>
      <c r="AK133" s="658"/>
    </row>
    <row r="134" spans="2:37" s="5" customFormat="1">
      <c r="B134" s="313"/>
      <c r="C134" s="835"/>
      <c r="D134" s="96"/>
      <c r="E134" s="100"/>
      <c r="F134" s="74"/>
      <c r="G134" s="97"/>
      <c r="H134" s="78"/>
      <c r="I134" s="79"/>
      <c r="J134" s="52"/>
      <c r="K134" s="156"/>
      <c r="L134" s="383"/>
      <c r="M134" s="542"/>
      <c r="N134" s="578">
        <f t="shared" si="4"/>
        <v>0</v>
      </c>
      <c r="O134" s="678"/>
      <c r="P134" s="678"/>
      <c r="Q134" s="678"/>
      <c r="R134" s="678"/>
      <c r="S134" s="678"/>
      <c r="T134" s="678"/>
      <c r="U134" s="678"/>
      <c r="V134" s="678"/>
      <c r="W134" s="678"/>
      <c r="X134" s="678"/>
      <c r="Y134" s="678"/>
      <c r="Z134" s="678"/>
      <c r="AA134" s="678"/>
      <c r="AB134" s="678"/>
      <c r="AC134" s="678"/>
      <c r="AD134" s="678"/>
      <c r="AE134" s="678"/>
      <c r="AF134" s="678"/>
      <c r="AG134" s="678"/>
      <c r="AH134" s="678"/>
      <c r="AI134" s="678"/>
      <c r="AJ134" s="678"/>
      <c r="AK134" s="658"/>
    </row>
    <row r="135" spans="2:37" s="5" customFormat="1" ht="15" customHeight="1">
      <c r="B135" s="317">
        <v>10</v>
      </c>
      <c r="C135" s="835" t="s">
        <v>871</v>
      </c>
      <c r="D135" s="80" t="s">
        <v>41</v>
      </c>
      <c r="E135" s="81">
        <v>75908.149999999994</v>
      </c>
      <c r="F135" s="74"/>
      <c r="G135" s="75"/>
      <c r="H135" s="82"/>
      <c r="I135" s="83"/>
      <c r="J135" s="6"/>
      <c r="K135" s="156"/>
      <c r="L135" s="383"/>
      <c r="M135" s="542"/>
      <c r="N135" s="578">
        <f t="shared" si="4"/>
        <v>0</v>
      </c>
      <c r="O135" s="678"/>
      <c r="P135" s="678"/>
      <c r="Q135" s="678"/>
      <c r="R135" s="678"/>
      <c r="S135" s="678"/>
      <c r="T135" s="678"/>
      <c r="U135" s="678"/>
      <c r="V135" s="678"/>
      <c r="W135" s="678"/>
      <c r="X135" s="678"/>
      <c r="Y135" s="678"/>
      <c r="Z135" s="678"/>
      <c r="AA135" s="678"/>
      <c r="AB135" s="678"/>
      <c r="AC135" s="678"/>
      <c r="AD135" s="678"/>
      <c r="AE135" s="678"/>
      <c r="AF135" s="678"/>
      <c r="AG135" s="678"/>
      <c r="AH135" s="678"/>
      <c r="AI135" s="678"/>
      <c r="AJ135" s="678"/>
      <c r="AK135" s="658"/>
    </row>
    <row r="136" spans="2:37" s="5" customFormat="1">
      <c r="B136" s="313"/>
      <c r="C136" s="835"/>
      <c r="D136" s="17" t="s">
        <v>0</v>
      </c>
      <c r="E136" s="81" t="s">
        <v>27</v>
      </c>
      <c r="F136" s="84">
        <f>E135</f>
        <v>75908.149999999994</v>
      </c>
      <c r="G136" s="64">
        <v>8</v>
      </c>
      <c r="H136" s="64">
        <f t="shared" ref="H136:H141" si="6">F136*G136</f>
        <v>607265.19999999995</v>
      </c>
      <c r="I136" s="79"/>
      <c r="J136" s="52"/>
      <c r="K136" s="156"/>
      <c r="L136" s="383"/>
      <c r="M136" s="542"/>
      <c r="N136" s="578">
        <f t="shared" si="4"/>
        <v>-607265.19999999995</v>
      </c>
      <c r="O136" s="690"/>
      <c r="P136" s="690"/>
      <c r="Q136" s="678"/>
      <c r="R136" s="678"/>
      <c r="S136" s="678"/>
      <c r="T136" s="678"/>
      <c r="U136" s="678"/>
      <c r="V136" s="678"/>
      <c r="W136" s="678"/>
      <c r="X136" s="678"/>
      <c r="Y136" s="678"/>
      <c r="Z136" s="678"/>
      <c r="AA136" s="678"/>
      <c r="AB136" s="678"/>
      <c r="AC136" s="678"/>
      <c r="AD136" s="678"/>
      <c r="AE136" s="678"/>
      <c r="AF136" s="678"/>
      <c r="AG136" s="678"/>
      <c r="AH136" s="678"/>
      <c r="AI136" s="678"/>
      <c r="AJ136" s="678"/>
      <c r="AK136" s="658"/>
    </row>
    <row r="137" spans="2:37" s="5" customFormat="1">
      <c r="B137" s="313"/>
      <c r="C137" s="835"/>
      <c r="D137" s="17" t="s">
        <v>3</v>
      </c>
      <c r="E137" s="81" t="s">
        <v>27</v>
      </c>
      <c r="F137" s="84">
        <f>E135</f>
        <v>75908.149999999994</v>
      </c>
      <c r="G137" s="64">
        <v>6</v>
      </c>
      <c r="H137" s="64">
        <f t="shared" si="6"/>
        <v>455448.89999999997</v>
      </c>
      <c r="I137" s="79"/>
      <c r="J137" s="52"/>
      <c r="K137" s="156"/>
      <c r="L137" s="383"/>
      <c r="M137" s="542"/>
      <c r="N137" s="578">
        <f t="shared" si="4"/>
        <v>-455448.89999999997</v>
      </c>
      <c r="O137" s="678"/>
      <c r="P137" s="678"/>
      <c r="Q137" s="678"/>
      <c r="R137" s="678"/>
      <c r="S137" s="678"/>
      <c r="T137" s="678"/>
      <c r="U137" s="678"/>
      <c r="V137" s="678"/>
      <c r="W137" s="678"/>
      <c r="X137" s="678"/>
      <c r="Y137" s="678"/>
      <c r="Z137" s="678"/>
      <c r="AA137" s="678"/>
      <c r="AB137" s="678"/>
      <c r="AC137" s="678"/>
      <c r="AD137" s="678"/>
      <c r="AE137" s="678"/>
      <c r="AF137" s="678"/>
      <c r="AG137" s="678"/>
      <c r="AH137" s="678"/>
      <c r="AI137" s="678"/>
      <c r="AJ137" s="678"/>
      <c r="AK137" s="658"/>
    </row>
    <row r="138" spans="2:37" s="5" customFormat="1">
      <c r="B138" s="313"/>
      <c r="C138" s="835"/>
      <c r="D138" s="17" t="s">
        <v>28</v>
      </c>
      <c r="E138" s="88">
        <f>$H$5-H5</f>
        <v>0</v>
      </c>
      <c r="F138" s="84">
        <f>E135/44*0</f>
        <v>0</v>
      </c>
      <c r="G138" s="64">
        <v>0</v>
      </c>
      <c r="H138" s="64">
        <f t="shared" si="6"/>
        <v>0</v>
      </c>
      <c r="I138" s="79"/>
      <c r="J138" s="52"/>
      <c r="K138" s="156"/>
      <c r="L138" s="383"/>
      <c r="M138" s="542"/>
      <c r="N138" s="578">
        <f t="shared" si="4"/>
        <v>0</v>
      </c>
      <c r="O138" s="678"/>
      <c r="P138" s="678"/>
      <c r="Q138" s="678"/>
      <c r="R138" s="678"/>
      <c r="S138" s="678"/>
      <c r="T138" s="678"/>
      <c r="U138" s="678"/>
      <c r="V138" s="678"/>
      <c r="W138" s="678"/>
      <c r="X138" s="678"/>
      <c r="Y138" s="678"/>
      <c r="Z138" s="678"/>
      <c r="AA138" s="678"/>
      <c r="AB138" s="678"/>
      <c r="AC138" s="678"/>
      <c r="AD138" s="678"/>
      <c r="AE138" s="678"/>
      <c r="AF138" s="678"/>
      <c r="AG138" s="678"/>
      <c r="AH138" s="678"/>
      <c r="AI138" s="678"/>
      <c r="AJ138" s="678"/>
      <c r="AK138" s="658"/>
    </row>
    <row r="139" spans="2:37" s="5" customFormat="1">
      <c r="B139" s="313"/>
      <c r="C139" s="835"/>
      <c r="D139" s="17" t="s">
        <v>1</v>
      </c>
      <c r="E139" s="67" t="s">
        <v>29</v>
      </c>
      <c r="F139" s="84">
        <f>E135/5*1.5</f>
        <v>22772.445</v>
      </c>
      <c r="G139" s="64">
        <v>0</v>
      </c>
      <c r="H139" s="64">
        <f t="shared" si="6"/>
        <v>0</v>
      </c>
      <c r="I139" s="79"/>
      <c r="J139" s="52"/>
      <c r="K139" s="156"/>
      <c r="L139" s="383"/>
      <c r="M139" s="542"/>
      <c r="N139" s="578">
        <f t="shared" si="4"/>
        <v>0</v>
      </c>
      <c r="O139" s="678"/>
      <c r="P139" s="678"/>
      <c r="Q139" s="678"/>
      <c r="R139" s="678"/>
      <c r="S139" s="678"/>
      <c r="T139" s="678"/>
      <c r="U139" s="678"/>
      <c r="V139" s="678"/>
      <c r="W139" s="678"/>
      <c r="X139" s="678"/>
      <c r="Y139" s="678"/>
      <c r="Z139" s="678"/>
      <c r="AA139" s="678"/>
      <c r="AB139" s="678"/>
      <c r="AC139" s="678"/>
      <c r="AD139" s="678"/>
      <c r="AE139" s="678"/>
      <c r="AF139" s="678"/>
      <c r="AG139" s="678"/>
      <c r="AH139" s="678"/>
      <c r="AI139" s="678"/>
      <c r="AJ139" s="678"/>
      <c r="AK139" s="658"/>
    </row>
    <row r="140" spans="2:37" s="5" customFormat="1">
      <c r="B140" s="313"/>
      <c r="C140" s="835"/>
      <c r="D140" s="17" t="s">
        <v>4</v>
      </c>
      <c r="E140" s="67" t="s">
        <v>29</v>
      </c>
      <c r="F140" s="84">
        <f>E135/5*2</f>
        <v>30363.26</v>
      </c>
      <c r="G140" s="64">
        <v>0</v>
      </c>
      <c r="H140" s="64">
        <f t="shared" si="6"/>
        <v>0</v>
      </c>
      <c r="I140" s="79"/>
      <c r="J140" s="52"/>
      <c r="K140" s="156"/>
      <c r="L140" s="383"/>
      <c r="M140" s="542"/>
      <c r="N140" s="578">
        <f t="shared" si="4"/>
        <v>0</v>
      </c>
      <c r="O140" s="678"/>
      <c r="P140" s="678"/>
      <c r="Q140" s="678"/>
      <c r="R140" s="678"/>
      <c r="S140" s="678"/>
      <c r="T140" s="678"/>
      <c r="U140" s="678"/>
      <c r="V140" s="678"/>
      <c r="W140" s="678"/>
      <c r="X140" s="678"/>
      <c r="Y140" s="678"/>
      <c r="Z140" s="678"/>
      <c r="AA140" s="678"/>
      <c r="AB140" s="678"/>
      <c r="AC140" s="678"/>
      <c r="AD140" s="678"/>
      <c r="AE140" s="678"/>
      <c r="AF140" s="678"/>
      <c r="AG140" s="678"/>
      <c r="AH140" s="678"/>
      <c r="AI140" s="678"/>
      <c r="AJ140" s="678"/>
      <c r="AK140" s="658"/>
    </row>
    <row r="141" spans="2:37" s="5" customFormat="1">
      <c r="B141" s="313"/>
      <c r="C141" s="835"/>
      <c r="D141" s="17" t="s">
        <v>5</v>
      </c>
      <c r="E141" s="81" t="s">
        <v>27</v>
      </c>
      <c r="F141" s="84">
        <f>E135</f>
        <v>75908.149999999994</v>
      </c>
      <c r="G141" s="64">
        <f>$F$5-$F$5</f>
        <v>0</v>
      </c>
      <c r="H141" s="64">
        <f t="shared" si="6"/>
        <v>0</v>
      </c>
      <c r="I141" s="79"/>
      <c r="J141" s="52"/>
      <c r="K141" s="156"/>
      <c r="L141" s="383"/>
      <c r="M141" s="542"/>
      <c r="N141" s="578">
        <f t="shared" si="4"/>
        <v>0</v>
      </c>
      <c r="O141" s="678"/>
      <c r="P141" s="678"/>
      <c r="Q141" s="678"/>
      <c r="R141" s="678"/>
      <c r="S141" s="678"/>
      <c r="T141" s="678"/>
      <c r="U141" s="678"/>
      <c r="V141" s="678"/>
      <c r="W141" s="678"/>
      <c r="X141" s="678"/>
      <c r="Y141" s="678"/>
      <c r="Z141" s="678"/>
      <c r="AA141" s="678"/>
      <c r="AB141" s="678"/>
      <c r="AC141" s="679"/>
      <c r="AD141" s="678"/>
      <c r="AE141" s="678"/>
      <c r="AF141" s="678"/>
      <c r="AG141" s="678"/>
      <c r="AH141" s="678"/>
      <c r="AI141" s="678"/>
      <c r="AJ141" s="678"/>
      <c r="AK141" s="658"/>
    </row>
    <row r="142" spans="2:37" s="5" customFormat="1">
      <c r="B142" s="313"/>
      <c r="C142" s="835"/>
      <c r="D142" s="17" t="s">
        <v>30</v>
      </c>
      <c r="E142" s="67" t="s">
        <v>16</v>
      </c>
      <c r="F142" s="89">
        <f>G136+G137+G141</f>
        <v>14</v>
      </c>
      <c r="G142" s="68" t="s">
        <v>31</v>
      </c>
      <c r="H142" s="64">
        <f>SUM(H136:H141)</f>
        <v>1062714.0999999999</v>
      </c>
      <c r="I142" s="79"/>
      <c r="J142" s="52"/>
      <c r="K142" s="156"/>
      <c r="L142" s="383"/>
      <c r="M142" s="542"/>
      <c r="N142" s="578">
        <f t="shared" si="4"/>
        <v>-1062714.0999999999</v>
      </c>
      <c r="O142" s="678"/>
      <c r="P142" s="678"/>
      <c r="Q142" s="678"/>
      <c r="R142" s="678"/>
      <c r="S142" s="678"/>
      <c r="T142" s="678"/>
      <c r="U142" s="678"/>
      <c r="V142" s="678"/>
      <c r="W142" s="678"/>
      <c r="X142" s="678"/>
      <c r="Y142" s="678"/>
      <c r="Z142" s="678"/>
      <c r="AA142" s="678"/>
      <c r="AB142" s="678"/>
      <c r="AC142" s="678"/>
      <c r="AD142" s="678"/>
      <c r="AE142" s="678"/>
      <c r="AF142" s="678"/>
      <c r="AG142" s="678"/>
      <c r="AH142" s="678"/>
      <c r="AI142" s="678"/>
      <c r="AJ142" s="678"/>
      <c r="AK142" s="658"/>
    </row>
    <row r="143" spans="2:37" s="5" customFormat="1">
      <c r="B143" s="313"/>
      <c r="C143" s="835"/>
      <c r="D143" s="19" t="s">
        <v>32</v>
      </c>
      <c r="E143" s="67" t="s">
        <v>16</v>
      </c>
      <c r="F143" s="84">
        <f>SUM(H136:H141)</f>
        <v>1062714.0999999999</v>
      </c>
      <c r="G143" s="92">
        <f>$G$43</f>
        <v>8.3299999999999999E-2</v>
      </c>
      <c r="H143" s="64">
        <f>+G143*F143</f>
        <v>88524.084529999993</v>
      </c>
      <c r="I143" s="93"/>
      <c r="J143" s="52"/>
      <c r="K143" s="156"/>
      <c r="L143" s="383"/>
      <c r="M143" s="542"/>
      <c r="N143" s="578">
        <f t="shared" si="4"/>
        <v>-88524.084529999993</v>
      </c>
      <c r="O143" s="679"/>
      <c r="P143" s="679"/>
      <c r="Q143" s="679"/>
      <c r="R143" s="679"/>
      <c r="S143" s="679"/>
      <c r="T143" s="679"/>
      <c r="U143" s="679"/>
      <c r="V143" s="679"/>
      <c r="W143" s="679"/>
      <c r="X143" s="679"/>
      <c r="Y143" s="679"/>
      <c r="Z143" s="679"/>
      <c r="AA143" s="679"/>
      <c r="AB143" s="679"/>
      <c r="AC143" s="679"/>
      <c r="AD143" s="678"/>
      <c r="AE143" s="678"/>
      <c r="AF143" s="678"/>
      <c r="AG143" s="678"/>
      <c r="AH143" s="678"/>
      <c r="AI143" s="678"/>
      <c r="AJ143" s="678"/>
      <c r="AK143" s="658"/>
    </row>
    <row r="144" spans="2:37" s="5" customFormat="1">
      <c r="B144" s="313"/>
      <c r="C144" s="835"/>
      <c r="D144" s="19" t="s">
        <v>33</v>
      </c>
      <c r="E144" s="84">
        <f>F143/(5*F142)</f>
        <v>15181.629999999997</v>
      </c>
      <c r="F144" s="84">
        <f>E144*(F142*7)</f>
        <v>1487799.7399999998</v>
      </c>
      <c r="G144" s="95">
        <v>20</v>
      </c>
      <c r="H144" s="64">
        <f>F144/G144</f>
        <v>74389.986999999994</v>
      </c>
      <c r="I144" s="72">
        <f>SUM(H142:H144)</f>
        <v>1225628.1715299997</v>
      </c>
      <c r="J144" s="52">
        <f>SUM(G136:G144)</f>
        <v>34.083300000000001</v>
      </c>
      <c r="K144" s="156"/>
      <c r="L144" s="383"/>
      <c r="M144" s="542"/>
      <c r="N144" s="578">
        <f t="shared" si="4"/>
        <v>-74389.986999999994</v>
      </c>
      <c r="O144" s="678"/>
      <c r="P144" s="678"/>
      <c r="Q144" s="678"/>
      <c r="R144" s="678"/>
      <c r="S144" s="678"/>
      <c r="T144" s="678"/>
      <c r="U144" s="678"/>
      <c r="V144" s="678"/>
      <c r="W144" s="678"/>
      <c r="X144" s="678"/>
      <c r="Y144" s="678"/>
      <c r="Z144" s="678"/>
      <c r="AA144" s="678"/>
      <c r="AB144" s="678"/>
      <c r="AC144" s="678"/>
      <c r="AD144" s="678"/>
      <c r="AE144" s="678"/>
      <c r="AF144" s="678"/>
      <c r="AG144" s="678"/>
      <c r="AH144" s="678"/>
      <c r="AI144" s="678"/>
      <c r="AJ144" s="678"/>
      <c r="AK144" s="658"/>
    </row>
    <row r="145" spans="2:37" s="5" customFormat="1">
      <c r="B145" s="313"/>
      <c r="C145" s="835"/>
      <c r="D145" s="96"/>
      <c r="E145" s="100"/>
      <c r="F145" s="74"/>
      <c r="G145" s="97"/>
      <c r="H145" s="78"/>
      <c r="I145" s="79"/>
      <c r="J145" s="52"/>
      <c r="K145" s="156"/>
      <c r="L145" s="383"/>
      <c r="M145" s="542"/>
      <c r="N145" s="578">
        <f t="shared" si="4"/>
        <v>0</v>
      </c>
      <c r="O145" s="678"/>
      <c r="P145" s="678"/>
      <c r="Q145" s="678"/>
      <c r="R145" s="678"/>
      <c r="S145" s="678"/>
      <c r="T145" s="678"/>
      <c r="U145" s="678"/>
      <c r="V145" s="678"/>
      <c r="W145" s="678"/>
      <c r="X145" s="678"/>
      <c r="Y145" s="678"/>
      <c r="Z145" s="678"/>
      <c r="AA145" s="678"/>
      <c r="AB145" s="678"/>
      <c r="AC145" s="678"/>
      <c r="AD145" s="678"/>
      <c r="AE145" s="678"/>
      <c r="AF145" s="678"/>
      <c r="AG145" s="678"/>
      <c r="AH145" s="678"/>
      <c r="AI145" s="678"/>
      <c r="AJ145" s="678"/>
      <c r="AK145" s="658"/>
    </row>
    <row r="146" spans="2:37" s="5" customFormat="1" ht="15" customHeight="1">
      <c r="B146" s="317">
        <v>11</v>
      </c>
      <c r="C146" s="835" t="s">
        <v>872</v>
      </c>
      <c r="D146" s="80" t="s">
        <v>42</v>
      </c>
      <c r="E146" s="81">
        <v>52273.75</v>
      </c>
      <c r="F146" s="74"/>
      <c r="G146" s="75"/>
      <c r="H146" s="82"/>
      <c r="I146" s="83"/>
      <c r="J146" s="6"/>
      <c r="K146" s="193"/>
      <c r="L146" s="388"/>
      <c r="M146" s="597"/>
      <c r="N146" s="578">
        <f t="shared" si="4"/>
        <v>0</v>
      </c>
      <c r="O146" s="678"/>
      <c r="P146" s="678"/>
      <c r="Q146" s="678"/>
      <c r="R146" s="678"/>
      <c r="S146" s="678"/>
      <c r="T146" s="678"/>
      <c r="U146" s="678"/>
      <c r="V146" s="678"/>
      <c r="W146" s="678"/>
      <c r="X146" s="678"/>
      <c r="Y146" s="678"/>
      <c r="Z146" s="678"/>
      <c r="AA146" s="678"/>
      <c r="AB146" s="678"/>
      <c r="AC146" s="678"/>
      <c r="AD146" s="678"/>
      <c r="AE146" s="678"/>
      <c r="AF146" s="678"/>
      <c r="AG146" s="678"/>
      <c r="AH146" s="678"/>
      <c r="AI146" s="678"/>
      <c r="AJ146" s="678"/>
      <c r="AK146" s="658"/>
    </row>
    <row r="147" spans="2:37" s="5" customFormat="1">
      <c r="B147" s="313"/>
      <c r="C147" s="835"/>
      <c r="D147" s="17" t="s">
        <v>0</v>
      </c>
      <c r="E147" s="81" t="s">
        <v>27</v>
      </c>
      <c r="F147" s="84">
        <f>E146</f>
        <v>52273.75</v>
      </c>
      <c r="G147" s="64">
        <v>8</v>
      </c>
      <c r="H147" s="64">
        <f t="shared" ref="H147:H152" si="7">F147*G147</f>
        <v>418190</v>
      </c>
      <c r="I147" s="79"/>
      <c r="J147" s="52"/>
      <c r="K147" s="193"/>
      <c r="L147" s="388"/>
      <c r="M147" s="597"/>
      <c r="N147" s="578">
        <f t="shared" si="4"/>
        <v>-418190</v>
      </c>
      <c r="O147" s="678"/>
      <c r="P147" s="678"/>
      <c r="Q147" s="678"/>
      <c r="R147" s="678"/>
      <c r="S147" s="678"/>
      <c r="T147" s="678"/>
      <c r="U147" s="678"/>
      <c r="V147" s="678"/>
      <c r="W147" s="678"/>
      <c r="X147" s="678"/>
      <c r="Y147" s="678"/>
      <c r="Z147" s="678"/>
      <c r="AA147" s="678"/>
      <c r="AB147" s="678"/>
      <c r="AC147" s="678"/>
      <c r="AD147" s="678"/>
      <c r="AE147" s="678"/>
      <c r="AF147" s="678"/>
      <c r="AG147" s="678"/>
      <c r="AH147" s="678"/>
      <c r="AI147" s="678"/>
      <c r="AJ147" s="678"/>
      <c r="AK147" s="658"/>
    </row>
    <row r="148" spans="2:37" s="5" customFormat="1">
      <c r="B148" s="313"/>
      <c r="C148" s="835"/>
      <c r="D148" s="17" t="s">
        <v>3</v>
      </c>
      <c r="E148" s="81" t="s">
        <v>27</v>
      </c>
      <c r="F148" s="84">
        <f>E146</f>
        <v>52273.75</v>
      </c>
      <c r="G148" s="64">
        <f>F4-5</f>
        <v>1</v>
      </c>
      <c r="H148" s="64">
        <f t="shared" si="7"/>
        <v>52273.75</v>
      </c>
      <c r="I148" s="79"/>
      <c r="J148" s="52"/>
      <c r="K148" s="193"/>
      <c r="L148" s="388"/>
      <c r="M148" s="597"/>
      <c r="N148" s="578">
        <f t="shared" si="4"/>
        <v>-52273.75</v>
      </c>
      <c r="O148" s="678"/>
      <c r="P148" s="678"/>
      <c r="Q148" s="678"/>
      <c r="R148" s="678"/>
      <c r="S148" s="678"/>
      <c r="T148" s="678"/>
      <c r="U148" s="678"/>
      <c r="V148" s="678"/>
      <c r="W148" s="678"/>
      <c r="X148" s="678"/>
      <c r="Y148" s="678"/>
      <c r="Z148" s="678"/>
      <c r="AA148" s="678"/>
      <c r="AB148" s="678"/>
      <c r="AC148" s="678"/>
      <c r="AD148" s="678"/>
      <c r="AE148" s="678"/>
      <c r="AF148" s="678"/>
      <c r="AG148" s="678"/>
      <c r="AH148" s="678"/>
      <c r="AI148" s="678"/>
      <c r="AJ148" s="678"/>
      <c r="AK148" s="658"/>
    </row>
    <row r="149" spans="2:37" s="5" customFormat="1">
      <c r="B149" s="313"/>
      <c r="C149" s="835"/>
      <c r="D149" s="17" t="s">
        <v>28</v>
      </c>
      <c r="E149" s="88">
        <f>$H$5-H5</f>
        <v>0</v>
      </c>
      <c r="F149" s="84">
        <f>E146/44*0</f>
        <v>0</v>
      </c>
      <c r="G149" s="64">
        <v>0</v>
      </c>
      <c r="H149" s="64">
        <f t="shared" si="7"/>
        <v>0</v>
      </c>
      <c r="I149" s="79"/>
      <c r="J149" s="52"/>
      <c r="K149" s="193"/>
      <c r="L149" s="388"/>
      <c r="M149" s="597"/>
      <c r="N149" s="578">
        <f t="shared" si="4"/>
        <v>0</v>
      </c>
      <c r="O149" s="678"/>
      <c r="P149" s="678"/>
      <c r="Q149" s="678"/>
      <c r="R149" s="678"/>
      <c r="S149" s="678"/>
      <c r="T149" s="678"/>
      <c r="U149" s="678"/>
      <c r="V149" s="678"/>
      <c r="W149" s="678"/>
      <c r="X149" s="678"/>
      <c r="Y149" s="678"/>
      <c r="Z149" s="678"/>
      <c r="AA149" s="678"/>
      <c r="AB149" s="678"/>
      <c r="AC149" s="678"/>
      <c r="AD149" s="678"/>
      <c r="AE149" s="678"/>
      <c r="AF149" s="678"/>
      <c r="AG149" s="678"/>
      <c r="AH149" s="678"/>
      <c r="AI149" s="678"/>
      <c r="AJ149" s="678"/>
      <c r="AK149" s="658"/>
    </row>
    <row r="150" spans="2:37" s="5" customFormat="1">
      <c r="B150" s="313"/>
      <c r="C150" s="835"/>
      <c r="D150" s="17" t="s">
        <v>1</v>
      </c>
      <c r="E150" s="67" t="s">
        <v>29</v>
      </c>
      <c r="F150" s="84">
        <f>E146/5*1.5</f>
        <v>15682.125</v>
      </c>
      <c r="G150" s="64">
        <v>0</v>
      </c>
      <c r="H150" s="64">
        <f t="shared" si="7"/>
        <v>0</v>
      </c>
      <c r="I150" s="79"/>
      <c r="J150" s="52"/>
      <c r="K150" s="193"/>
      <c r="L150" s="388"/>
      <c r="M150" s="597"/>
      <c r="N150" s="578">
        <f t="shared" si="4"/>
        <v>0</v>
      </c>
      <c r="O150" s="678"/>
      <c r="P150" s="678"/>
      <c r="Q150" s="678"/>
      <c r="R150" s="678"/>
      <c r="S150" s="678"/>
      <c r="T150" s="678"/>
      <c r="U150" s="678"/>
      <c r="V150" s="678"/>
      <c r="W150" s="678"/>
      <c r="X150" s="678"/>
      <c r="Y150" s="678"/>
      <c r="Z150" s="678"/>
      <c r="AA150" s="678"/>
      <c r="AB150" s="678"/>
      <c r="AC150" s="678"/>
      <c r="AD150" s="678"/>
      <c r="AE150" s="678"/>
      <c r="AF150" s="678"/>
      <c r="AG150" s="678"/>
      <c r="AH150" s="678"/>
      <c r="AI150" s="678"/>
      <c r="AJ150" s="678"/>
      <c r="AK150" s="658"/>
    </row>
    <row r="151" spans="2:37" s="5" customFormat="1">
      <c r="B151" s="313"/>
      <c r="C151" s="835"/>
      <c r="D151" s="17" t="s">
        <v>4</v>
      </c>
      <c r="E151" s="67" t="s">
        <v>29</v>
      </c>
      <c r="F151" s="84">
        <f>E146/5*2</f>
        <v>20909.5</v>
      </c>
      <c r="G151" s="64">
        <v>0</v>
      </c>
      <c r="H151" s="64">
        <f t="shared" si="7"/>
        <v>0</v>
      </c>
      <c r="I151" s="79"/>
      <c r="J151" s="52"/>
      <c r="K151" s="193"/>
      <c r="L151" s="388"/>
      <c r="M151" s="597"/>
      <c r="N151" s="578">
        <f t="shared" si="4"/>
        <v>0</v>
      </c>
      <c r="O151" s="678"/>
      <c r="P151" s="678"/>
      <c r="Q151" s="678"/>
      <c r="R151" s="678"/>
      <c r="S151" s="678"/>
      <c r="T151" s="678"/>
      <c r="U151" s="678"/>
      <c r="V151" s="678"/>
      <c r="W151" s="678"/>
      <c r="X151" s="678"/>
      <c r="Y151" s="678"/>
      <c r="Z151" s="678"/>
      <c r="AA151" s="678"/>
      <c r="AB151" s="678"/>
      <c r="AC151" s="678"/>
      <c r="AD151" s="678"/>
      <c r="AE151" s="678"/>
      <c r="AF151" s="678"/>
      <c r="AG151" s="678"/>
      <c r="AH151" s="678"/>
      <c r="AI151" s="678"/>
      <c r="AJ151" s="678"/>
      <c r="AK151" s="658"/>
    </row>
    <row r="152" spans="2:37" s="5" customFormat="1">
      <c r="B152" s="313"/>
      <c r="C152" s="835"/>
      <c r="D152" s="17" t="s">
        <v>5</v>
      </c>
      <c r="E152" s="81" t="s">
        <v>27</v>
      </c>
      <c r="F152" s="84">
        <f>E146</f>
        <v>52273.75</v>
      </c>
      <c r="G152" s="64">
        <f>$F$5-$F$5</f>
        <v>0</v>
      </c>
      <c r="H152" s="64">
        <f t="shared" si="7"/>
        <v>0</v>
      </c>
      <c r="I152" s="79"/>
      <c r="J152" s="52"/>
      <c r="K152" s="193"/>
      <c r="L152" s="388"/>
      <c r="M152" s="597"/>
      <c r="N152" s="578">
        <f t="shared" si="4"/>
        <v>0</v>
      </c>
      <c r="O152" s="678"/>
      <c r="P152" s="678"/>
      <c r="Q152" s="678"/>
      <c r="R152" s="678"/>
      <c r="S152" s="678"/>
      <c r="T152" s="678"/>
      <c r="U152" s="678"/>
      <c r="V152" s="678"/>
      <c r="W152" s="678"/>
      <c r="X152" s="678"/>
      <c r="Y152" s="678"/>
      <c r="Z152" s="678"/>
      <c r="AA152" s="678"/>
      <c r="AB152" s="678"/>
      <c r="AC152" s="679"/>
      <c r="AD152" s="678"/>
      <c r="AE152" s="678"/>
      <c r="AF152" s="678"/>
      <c r="AG152" s="678"/>
      <c r="AH152" s="678"/>
      <c r="AI152" s="678"/>
      <c r="AJ152" s="678"/>
      <c r="AK152" s="658"/>
    </row>
    <row r="153" spans="2:37" s="5" customFormat="1">
      <c r="B153" s="313"/>
      <c r="C153" s="835"/>
      <c r="D153" s="17" t="s">
        <v>30</v>
      </c>
      <c r="E153" s="67" t="s">
        <v>16</v>
      </c>
      <c r="F153" s="89">
        <f>G147+G148+G152</f>
        <v>9</v>
      </c>
      <c r="G153" s="68" t="s">
        <v>31</v>
      </c>
      <c r="H153" s="64">
        <f>SUM(H147:H152)</f>
        <v>470463.75</v>
      </c>
      <c r="I153" s="79"/>
      <c r="J153" s="52"/>
      <c r="K153" s="193"/>
      <c r="L153" s="388"/>
      <c r="M153" s="597"/>
      <c r="N153" s="578">
        <f t="shared" si="4"/>
        <v>-470463.75</v>
      </c>
      <c r="O153" s="678"/>
      <c r="P153" s="678"/>
      <c r="Q153" s="678"/>
      <c r="R153" s="678"/>
      <c r="S153" s="678"/>
      <c r="T153" s="678"/>
      <c r="U153" s="678"/>
      <c r="V153" s="678"/>
      <c r="W153" s="678"/>
      <c r="X153" s="678"/>
      <c r="Y153" s="678"/>
      <c r="Z153" s="678"/>
      <c r="AA153" s="678"/>
      <c r="AB153" s="678"/>
      <c r="AC153" s="678"/>
      <c r="AD153" s="678"/>
      <c r="AE153" s="678"/>
      <c r="AF153" s="678"/>
      <c r="AG153" s="678"/>
      <c r="AH153" s="678"/>
      <c r="AI153" s="678"/>
      <c r="AJ153" s="678"/>
      <c r="AK153" s="658"/>
    </row>
    <row r="154" spans="2:37" s="5" customFormat="1">
      <c r="B154" s="313"/>
      <c r="C154" s="835"/>
      <c r="D154" s="19" t="s">
        <v>32</v>
      </c>
      <c r="E154" s="67" t="s">
        <v>16</v>
      </c>
      <c r="F154" s="84">
        <f>SUM(H147:H152)</f>
        <v>470463.75</v>
      </c>
      <c r="G154" s="92">
        <f>$G$43</f>
        <v>8.3299999999999999E-2</v>
      </c>
      <c r="H154" s="64">
        <f>+G154*F154</f>
        <v>39189.630375000001</v>
      </c>
      <c r="I154" s="93"/>
      <c r="J154" s="52"/>
      <c r="K154" s="193"/>
      <c r="L154" s="388"/>
      <c r="M154" s="597"/>
      <c r="N154" s="578">
        <f t="shared" si="4"/>
        <v>-39189.630375000001</v>
      </c>
      <c r="O154" s="679"/>
      <c r="P154" s="679"/>
      <c r="Q154" s="679"/>
      <c r="R154" s="679"/>
      <c r="S154" s="679"/>
      <c r="T154" s="679"/>
      <c r="U154" s="679"/>
      <c r="V154" s="679"/>
      <c r="W154" s="679"/>
      <c r="X154" s="679"/>
      <c r="Y154" s="679"/>
      <c r="Z154" s="679"/>
      <c r="AA154" s="679"/>
      <c r="AB154" s="679"/>
      <c r="AC154" s="679"/>
      <c r="AD154" s="678"/>
      <c r="AE154" s="678"/>
      <c r="AF154" s="678"/>
      <c r="AG154" s="678"/>
      <c r="AH154" s="678"/>
      <c r="AI154" s="678"/>
      <c r="AJ154" s="678"/>
      <c r="AK154" s="658"/>
    </row>
    <row r="155" spans="2:37" s="5" customFormat="1">
      <c r="B155" s="313"/>
      <c r="C155" s="835"/>
      <c r="D155" s="19" t="s">
        <v>278</v>
      </c>
      <c r="E155" s="84">
        <f>F154/(5*F153)</f>
        <v>10454.75</v>
      </c>
      <c r="F155" s="84">
        <f>E155*(F153*7)</f>
        <v>658649.25</v>
      </c>
      <c r="G155" s="95">
        <f>$G$44</f>
        <v>20</v>
      </c>
      <c r="H155" s="64">
        <f>F155/G155</f>
        <v>32932.462500000001</v>
      </c>
      <c r="I155" s="72">
        <f>SUM(H153:H155)</f>
        <v>542585.84287499997</v>
      </c>
      <c r="J155" s="52">
        <f>SUM(G147:G155)</f>
        <v>29.083300000000001</v>
      </c>
      <c r="K155" s="193"/>
      <c r="L155" s="388"/>
      <c r="M155" s="597"/>
      <c r="N155" s="578">
        <f t="shared" si="4"/>
        <v>-32932.462500000001</v>
      </c>
      <c r="O155" s="678"/>
      <c r="P155" s="678"/>
      <c r="Q155" s="678"/>
      <c r="R155" s="678"/>
      <c r="S155" s="678"/>
      <c r="T155" s="678"/>
      <c r="U155" s="678"/>
      <c r="V155" s="678"/>
      <c r="W155" s="678"/>
      <c r="X155" s="678"/>
      <c r="Y155" s="678"/>
      <c r="Z155" s="678"/>
      <c r="AA155" s="678"/>
      <c r="AB155" s="678"/>
      <c r="AC155" s="678"/>
      <c r="AD155" s="678"/>
      <c r="AE155" s="678"/>
      <c r="AF155" s="678"/>
      <c r="AG155" s="678"/>
      <c r="AH155" s="678"/>
      <c r="AI155" s="678"/>
      <c r="AJ155" s="678"/>
      <c r="AK155" s="658"/>
    </row>
    <row r="156" spans="2:37" s="5" customFormat="1">
      <c r="B156" s="313"/>
      <c r="C156" s="835"/>
      <c r="D156" s="96"/>
      <c r="E156" s="100"/>
      <c r="F156" s="74"/>
      <c r="G156" s="97"/>
      <c r="H156" s="78"/>
      <c r="I156" s="79"/>
      <c r="J156" s="52"/>
      <c r="K156" s="193"/>
      <c r="L156" s="388"/>
      <c r="M156" s="597"/>
      <c r="N156" s="578">
        <f t="shared" si="4"/>
        <v>0</v>
      </c>
      <c r="O156" s="678"/>
      <c r="P156" s="678"/>
      <c r="Q156" s="678"/>
      <c r="R156" s="678"/>
      <c r="S156" s="678"/>
      <c r="T156" s="678"/>
      <c r="U156" s="678"/>
      <c r="V156" s="678"/>
      <c r="W156" s="678"/>
      <c r="X156" s="678"/>
      <c r="Y156" s="678"/>
      <c r="Z156" s="678"/>
      <c r="AA156" s="678"/>
      <c r="AB156" s="678"/>
      <c r="AC156" s="678"/>
      <c r="AD156" s="678"/>
      <c r="AE156" s="678"/>
      <c r="AF156" s="678"/>
      <c r="AG156" s="678"/>
      <c r="AH156" s="678"/>
      <c r="AI156" s="678"/>
      <c r="AJ156" s="678"/>
      <c r="AK156" s="658"/>
    </row>
    <row r="157" spans="2:37" s="532" customFormat="1" ht="15" customHeight="1">
      <c r="B157" s="744">
        <v>12</v>
      </c>
      <c r="C157" s="835" t="s">
        <v>873</v>
      </c>
      <c r="D157" s="745" t="s">
        <v>43</v>
      </c>
      <c r="E157" s="626">
        <v>84572.65</v>
      </c>
      <c r="F157" s="746"/>
      <c r="G157" s="570"/>
      <c r="H157" s="747"/>
      <c r="I157" s="748"/>
      <c r="J157" s="617"/>
      <c r="K157" s="540"/>
      <c r="L157" s="541"/>
      <c r="M157" s="542"/>
      <c r="N157" s="749">
        <f t="shared" si="4"/>
        <v>0</v>
      </c>
      <c r="O157" s="690"/>
      <c r="P157" s="690"/>
      <c r="Q157" s="690"/>
      <c r="R157" s="690"/>
      <c r="S157" s="690"/>
      <c r="T157" s="690"/>
      <c r="U157" s="690"/>
      <c r="V157" s="690"/>
      <c r="W157" s="690"/>
      <c r="X157" s="690"/>
      <c r="Y157" s="690"/>
      <c r="Z157" s="690"/>
      <c r="AA157" s="690"/>
      <c r="AB157" s="690"/>
      <c r="AC157" s="690"/>
      <c r="AD157" s="690"/>
      <c r="AE157" s="690"/>
      <c r="AF157" s="690"/>
      <c r="AG157" s="690"/>
      <c r="AH157" s="690"/>
      <c r="AI157" s="690"/>
      <c r="AJ157" s="690"/>
      <c r="AK157" s="750"/>
    </row>
    <row r="158" spans="2:37" s="5" customFormat="1" ht="15" customHeight="1">
      <c r="B158" s="317"/>
      <c r="C158" s="837"/>
      <c r="D158" s="412" t="s">
        <v>468</v>
      </c>
      <c r="E158" s="413">
        <f>E157/2</f>
        <v>42286.324999999997</v>
      </c>
      <c r="F158" s="414">
        <f>E158</f>
        <v>42286.324999999997</v>
      </c>
      <c r="G158" s="415">
        <v>9</v>
      </c>
      <c r="H158" s="416">
        <f>G158*F158</f>
        <v>380576.92499999999</v>
      </c>
      <c r="I158" s="83"/>
      <c r="J158" s="6"/>
      <c r="K158" s="156"/>
      <c r="L158" s="383"/>
      <c r="M158" s="542"/>
      <c r="N158" s="578">
        <f t="shared" si="4"/>
        <v>-380576.92499999999</v>
      </c>
      <c r="O158" s="679"/>
      <c r="P158" s="679"/>
      <c r="Q158" s="679"/>
      <c r="R158" s="679"/>
      <c r="S158" s="679"/>
      <c r="T158" s="678"/>
      <c r="U158" s="678"/>
      <c r="V158" s="678"/>
      <c r="W158" s="678"/>
      <c r="X158" s="678"/>
      <c r="Y158" s="678"/>
      <c r="Z158" s="678"/>
      <c r="AA158" s="678"/>
      <c r="AB158" s="678"/>
      <c r="AC158" s="679"/>
      <c r="AD158" s="679"/>
      <c r="AE158" s="679"/>
      <c r="AF158" s="678"/>
      <c r="AG158" s="678"/>
      <c r="AH158" s="678"/>
      <c r="AI158" s="678"/>
      <c r="AJ158" s="678"/>
      <c r="AK158" s="658"/>
    </row>
    <row r="159" spans="2:37" s="5" customFormat="1">
      <c r="B159" s="313"/>
      <c r="C159" s="835"/>
      <c r="D159" s="17" t="s">
        <v>318</v>
      </c>
      <c r="E159" s="81" t="s">
        <v>27</v>
      </c>
      <c r="F159" s="84">
        <f>E157</f>
        <v>84572.65</v>
      </c>
      <c r="G159" s="255">
        <v>3</v>
      </c>
      <c r="H159" s="64">
        <f>F159*G159</f>
        <v>253717.94999999998</v>
      </c>
      <c r="I159" s="79"/>
      <c r="J159" s="52"/>
      <c r="K159" s="156"/>
      <c r="L159" s="383"/>
      <c r="M159" s="542"/>
      <c r="N159" s="578">
        <f t="shared" si="4"/>
        <v>-253717.94999999998</v>
      </c>
      <c r="O159" s="679"/>
      <c r="P159" s="679"/>
      <c r="Q159" s="679"/>
      <c r="R159" s="678"/>
      <c r="S159" s="678"/>
      <c r="T159" s="678"/>
      <c r="U159" s="678"/>
      <c r="V159" s="678"/>
      <c r="W159" s="678"/>
      <c r="X159" s="678"/>
      <c r="Y159" s="678"/>
      <c r="Z159" s="678"/>
      <c r="AA159" s="678"/>
      <c r="AB159" s="678"/>
      <c r="AC159" s="678"/>
      <c r="AD159" s="679"/>
      <c r="AE159" s="679"/>
      <c r="AF159" s="678"/>
      <c r="AG159" s="678"/>
      <c r="AH159" s="678"/>
      <c r="AI159" s="678"/>
      <c r="AJ159" s="678"/>
      <c r="AK159" s="658"/>
    </row>
    <row r="160" spans="2:37" s="5" customFormat="1">
      <c r="B160" s="313"/>
      <c r="C160" s="835"/>
      <c r="D160" s="17" t="s">
        <v>3</v>
      </c>
      <c r="E160" s="81" t="s">
        <v>27</v>
      </c>
      <c r="F160" s="84">
        <f>E157</f>
        <v>84572.65</v>
      </c>
      <c r="G160" s="64">
        <v>6</v>
      </c>
      <c r="H160" s="64">
        <f>F160*G160</f>
        <v>507435.89999999997</v>
      </c>
      <c r="I160" s="79"/>
      <c r="J160" s="52"/>
      <c r="K160" s="156"/>
      <c r="L160" s="383"/>
      <c r="M160" s="542"/>
      <c r="N160" s="578">
        <f t="shared" si="4"/>
        <v>-507435.89999999997</v>
      </c>
      <c r="O160" s="678"/>
      <c r="P160" s="678"/>
      <c r="Q160" s="678"/>
      <c r="R160" s="678"/>
      <c r="S160" s="678"/>
      <c r="T160" s="678"/>
      <c r="U160" s="678"/>
      <c r="V160" s="678"/>
      <c r="W160" s="678"/>
      <c r="X160" s="678"/>
      <c r="Y160" s="678"/>
      <c r="Z160" s="678"/>
      <c r="AA160" s="678"/>
      <c r="AB160" s="678"/>
      <c r="AC160" s="678"/>
      <c r="AD160" s="679"/>
      <c r="AE160" s="679"/>
      <c r="AF160" s="678"/>
      <c r="AG160" s="678"/>
      <c r="AH160" s="678"/>
      <c r="AI160" s="678"/>
      <c r="AJ160" s="678"/>
      <c r="AK160" s="658"/>
    </row>
    <row r="161" spans="2:37" s="5" customFormat="1">
      <c r="B161" s="313"/>
      <c r="C161" s="835"/>
      <c r="D161" s="17" t="s">
        <v>28</v>
      </c>
      <c r="E161" s="88">
        <f>$H$5+2</f>
        <v>15.25</v>
      </c>
      <c r="F161" s="84">
        <f>E157/44*1.5</f>
        <v>2883.1585227272726</v>
      </c>
      <c r="G161" s="87">
        <v>6</v>
      </c>
      <c r="H161" s="64">
        <f>F161*G161*E161</f>
        <v>263809.00482954539</v>
      </c>
      <c r="I161" s="79"/>
      <c r="J161" s="52"/>
      <c r="K161" s="156"/>
      <c r="L161" s="383"/>
      <c r="M161" s="542"/>
      <c r="N161" s="578">
        <f t="shared" si="4"/>
        <v>-263809.00482954539</v>
      </c>
      <c r="O161" s="678"/>
      <c r="P161" s="678"/>
      <c r="Q161" s="678"/>
      <c r="R161" s="678"/>
      <c r="S161" s="678"/>
      <c r="T161" s="678"/>
      <c r="U161" s="678"/>
      <c r="V161" s="678"/>
      <c r="W161" s="678"/>
      <c r="X161" s="678"/>
      <c r="Y161" s="678"/>
      <c r="Z161" s="678"/>
      <c r="AA161" s="678"/>
      <c r="AB161" s="678"/>
      <c r="AC161" s="678"/>
      <c r="AD161" s="679"/>
      <c r="AE161" s="679"/>
      <c r="AF161" s="678"/>
      <c r="AG161" s="678"/>
      <c r="AH161" s="678"/>
      <c r="AI161" s="678"/>
      <c r="AJ161" s="678"/>
      <c r="AK161" s="658"/>
    </row>
    <row r="162" spans="2:37" s="5" customFormat="1">
      <c r="B162" s="313"/>
      <c r="C162" s="835"/>
      <c r="D162" s="17" t="s">
        <v>1</v>
      </c>
      <c r="E162" s="67" t="s">
        <v>29</v>
      </c>
      <c r="F162" s="84">
        <f>E157/5*1.5</f>
        <v>25371.794999999998</v>
      </c>
      <c r="G162" s="64">
        <f>$H$3</f>
        <v>0</v>
      </c>
      <c r="H162" s="64">
        <f>F162*G162</f>
        <v>0</v>
      </c>
      <c r="I162" s="79"/>
      <c r="J162" s="52"/>
      <c r="K162" s="156"/>
      <c r="L162" s="383"/>
      <c r="M162" s="542"/>
      <c r="N162" s="578">
        <f t="shared" ref="N162:N225" si="8">SUM(O162:AL162)-H162</f>
        <v>0</v>
      </c>
      <c r="O162" s="678"/>
      <c r="P162" s="678"/>
      <c r="Q162" s="678"/>
      <c r="R162" s="678"/>
      <c r="S162" s="678"/>
      <c r="T162" s="678"/>
      <c r="U162" s="678"/>
      <c r="V162" s="678"/>
      <c r="W162" s="678"/>
      <c r="X162" s="678"/>
      <c r="Y162" s="678"/>
      <c r="Z162" s="678"/>
      <c r="AA162" s="678"/>
      <c r="AB162" s="678"/>
      <c r="AC162" s="678"/>
      <c r="AD162" s="679"/>
      <c r="AE162" s="679"/>
      <c r="AF162" s="678"/>
      <c r="AG162" s="678"/>
      <c r="AH162" s="678"/>
      <c r="AI162" s="678"/>
      <c r="AJ162" s="678"/>
      <c r="AK162" s="658"/>
    </row>
    <row r="163" spans="2:37" s="5" customFormat="1">
      <c r="B163" s="313"/>
      <c r="C163" s="835"/>
      <c r="D163" s="17" t="s">
        <v>4</v>
      </c>
      <c r="E163" s="67" t="s">
        <v>29</v>
      </c>
      <c r="F163" s="84">
        <f>E157/5*2</f>
        <v>33829.06</v>
      </c>
      <c r="G163" s="64">
        <f>$H$4</f>
        <v>0</v>
      </c>
      <c r="H163" s="64">
        <f>F163*G163</f>
        <v>0</v>
      </c>
      <c r="I163" s="79"/>
      <c r="J163" s="52"/>
      <c r="K163" s="156"/>
      <c r="L163" s="383"/>
      <c r="M163" s="542"/>
      <c r="N163" s="578">
        <f t="shared" si="8"/>
        <v>0</v>
      </c>
      <c r="O163" s="678"/>
      <c r="P163" s="678"/>
      <c r="Q163" s="678"/>
      <c r="R163" s="678"/>
      <c r="S163" s="678"/>
      <c r="T163" s="678"/>
      <c r="U163" s="678"/>
      <c r="V163" s="678"/>
      <c r="W163" s="678"/>
      <c r="X163" s="678"/>
      <c r="Y163" s="678"/>
      <c r="Z163" s="678"/>
      <c r="AA163" s="678"/>
      <c r="AB163" s="678"/>
      <c r="AC163" s="678"/>
      <c r="AD163" s="679"/>
      <c r="AE163" s="679"/>
      <c r="AF163" s="678"/>
      <c r="AG163" s="678"/>
      <c r="AH163" s="678"/>
      <c r="AI163" s="678"/>
      <c r="AJ163" s="678"/>
      <c r="AK163" s="658"/>
    </row>
    <row r="164" spans="2:37" s="5" customFormat="1">
      <c r="B164" s="313"/>
      <c r="C164" s="835"/>
      <c r="D164" s="17" t="s">
        <v>5</v>
      </c>
      <c r="E164" s="81" t="s">
        <v>27</v>
      </c>
      <c r="F164" s="84">
        <f>E157</f>
        <v>84572.65</v>
      </c>
      <c r="G164" s="64">
        <v>3</v>
      </c>
      <c r="H164" s="64">
        <f>F164*G164</f>
        <v>253717.94999999998</v>
      </c>
      <c r="I164" s="79"/>
      <c r="J164" s="52"/>
      <c r="K164" s="156"/>
      <c r="L164" s="383"/>
      <c r="M164" s="542"/>
      <c r="N164" s="578">
        <f t="shared" si="8"/>
        <v>-253717.94999999998</v>
      </c>
      <c r="O164" s="678"/>
      <c r="P164" s="678"/>
      <c r="Q164" s="678"/>
      <c r="R164" s="678"/>
      <c r="S164" s="678"/>
      <c r="T164" s="678"/>
      <c r="U164" s="678"/>
      <c r="V164" s="678"/>
      <c r="W164" s="678"/>
      <c r="X164" s="678"/>
      <c r="Y164" s="678"/>
      <c r="Z164" s="678"/>
      <c r="AA164" s="678"/>
      <c r="AB164" s="678"/>
      <c r="AC164" s="679"/>
      <c r="AD164" s="679"/>
      <c r="AE164" s="679"/>
      <c r="AF164" s="678"/>
      <c r="AG164" s="678"/>
      <c r="AH164" s="678"/>
      <c r="AI164" s="678"/>
      <c r="AJ164" s="678"/>
      <c r="AK164" s="658"/>
    </row>
    <row r="165" spans="2:37" s="5" customFormat="1">
      <c r="B165" s="313"/>
      <c r="C165" s="835"/>
      <c r="D165" s="17" t="s">
        <v>30</v>
      </c>
      <c r="E165" s="67" t="s">
        <v>16</v>
      </c>
      <c r="F165" s="89">
        <f>G159+G160+G164</f>
        <v>12</v>
      </c>
      <c r="G165" s="68" t="s">
        <v>31</v>
      </c>
      <c r="H165" s="64">
        <f>SUM(H159:H164)</f>
        <v>1278680.8048295453</v>
      </c>
      <c r="I165" s="79"/>
      <c r="J165" s="52"/>
      <c r="K165" s="156"/>
      <c r="L165" s="383"/>
      <c r="M165" s="542"/>
      <c r="N165" s="578">
        <f t="shared" si="8"/>
        <v>-1278680.8048295453</v>
      </c>
      <c r="O165" s="678"/>
      <c r="P165" s="678"/>
      <c r="Q165" s="678"/>
      <c r="R165" s="678"/>
      <c r="S165" s="678"/>
      <c r="T165" s="678"/>
      <c r="U165" s="678"/>
      <c r="V165" s="678"/>
      <c r="W165" s="678"/>
      <c r="X165" s="678"/>
      <c r="Y165" s="678"/>
      <c r="Z165" s="678"/>
      <c r="AA165" s="678"/>
      <c r="AB165" s="678"/>
      <c r="AC165" s="678"/>
      <c r="AD165" s="679"/>
      <c r="AE165" s="679"/>
      <c r="AF165" s="678"/>
      <c r="AG165" s="678"/>
      <c r="AH165" s="678"/>
      <c r="AI165" s="678"/>
      <c r="AJ165" s="678"/>
      <c r="AK165" s="658"/>
    </row>
    <row r="166" spans="2:37" s="5" customFormat="1">
      <c r="B166" s="313"/>
      <c r="C166" s="835"/>
      <c r="D166" s="19" t="s">
        <v>32</v>
      </c>
      <c r="E166" s="67" t="s">
        <v>16</v>
      </c>
      <c r="F166" s="84">
        <f>SUM(H159:H164)</f>
        <v>1278680.8048295453</v>
      </c>
      <c r="G166" s="92">
        <f>$G$43</f>
        <v>8.3299999999999999E-2</v>
      </c>
      <c r="H166" s="64">
        <f>+G166*F166</f>
        <v>106514.11104230113</v>
      </c>
      <c r="I166" s="93"/>
      <c r="J166" s="52"/>
      <c r="K166" s="156"/>
      <c r="L166" s="658">
        <f t="shared" ref="L166" si="9">SUM(L159:L165)*$G$166</f>
        <v>0</v>
      </c>
      <c r="M166" s="658"/>
      <c r="N166" s="578">
        <f t="shared" si="8"/>
        <v>-106514.11104230113</v>
      </c>
      <c r="O166" s="679"/>
      <c r="P166" s="679"/>
      <c r="Q166" s="679"/>
      <c r="R166" s="679"/>
      <c r="S166" s="679"/>
      <c r="T166" s="679"/>
      <c r="U166" s="679"/>
      <c r="V166" s="679"/>
      <c r="W166" s="679"/>
      <c r="X166" s="679"/>
      <c r="Y166" s="679"/>
      <c r="Z166" s="679"/>
      <c r="AA166" s="679"/>
      <c r="AB166" s="679"/>
      <c r="AC166" s="679"/>
      <c r="AD166" s="679"/>
      <c r="AE166" s="679"/>
      <c r="AF166" s="679"/>
      <c r="AG166" s="679"/>
      <c r="AH166" s="678"/>
      <c r="AI166" s="678"/>
      <c r="AJ166" s="678"/>
      <c r="AK166" s="658"/>
    </row>
    <row r="167" spans="2:37" s="5" customFormat="1">
      <c r="B167" s="313"/>
      <c r="C167" s="835"/>
      <c r="D167" s="19" t="s">
        <v>33</v>
      </c>
      <c r="E167" s="84">
        <f>F166/(5*F165)</f>
        <v>21311.346747159088</v>
      </c>
      <c r="F167" s="84">
        <f>E167*(F165*7)</f>
        <v>1790153.1267613634</v>
      </c>
      <c r="G167" s="95">
        <f>$G$44</f>
        <v>20</v>
      </c>
      <c r="H167" s="64">
        <f>F167/G167</f>
        <v>89507.656338068162</v>
      </c>
      <c r="I167" s="72">
        <f>SUM(H165:H167)+H158</f>
        <v>1855279.4972099147</v>
      </c>
      <c r="J167" s="52">
        <f>SUM(G159:G167)</f>
        <v>38.083300000000001</v>
      </c>
      <c r="K167" s="156"/>
      <c r="L167" s="383"/>
      <c r="M167" s="542"/>
      <c r="N167" s="578">
        <f t="shared" si="8"/>
        <v>-89507.656338068162</v>
      </c>
      <c r="O167" s="678"/>
      <c r="P167" s="678"/>
      <c r="Q167" s="678"/>
      <c r="R167" s="678"/>
      <c r="S167" s="678"/>
      <c r="T167" s="678"/>
      <c r="U167" s="678"/>
      <c r="V167" s="678"/>
      <c r="W167" s="678"/>
      <c r="X167" s="678"/>
      <c r="Y167" s="678"/>
      <c r="Z167" s="678"/>
      <c r="AA167" s="678"/>
      <c r="AB167" s="678"/>
      <c r="AC167" s="678"/>
      <c r="AD167" s="679"/>
      <c r="AE167" s="679"/>
      <c r="AF167" s="678"/>
      <c r="AG167" s="678"/>
      <c r="AH167" s="678"/>
      <c r="AI167" s="678"/>
      <c r="AJ167" s="678"/>
      <c r="AK167" s="658"/>
    </row>
    <row r="168" spans="2:37" s="5" customFormat="1">
      <c r="B168" s="313"/>
      <c r="C168" s="835"/>
      <c r="D168" s="96"/>
      <c r="E168" s="9"/>
      <c r="F168" s="74"/>
      <c r="G168" s="97"/>
      <c r="H168" s="78"/>
      <c r="I168" s="79"/>
      <c r="J168" s="52"/>
      <c r="K168" s="156"/>
      <c r="L168" s="383"/>
      <c r="M168" s="542"/>
      <c r="N168" s="578">
        <f t="shared" si="8"/>
        <v>0</v>
      </c>
      <c r="O168" s="678"/>
      <c r="P168" s="678"/>
      <c r="Q168" s="678"/>
      <c r="R168" s="678"/>
      <c r="S168" s="678"/>
      <c r="T168" s="678"/>
      <c r="U168" s="678"/>
      <c r="V168" s="678"/>
      <c r="W168" s="678"/>
      <c r="X168" s="678"/>
      <c r="Y168" s="678"/>
      <c r="Z168" s="678"/>
      <c r="AA168" s="678"/>
      <c r="AB168" s="678"/>
      <c r="AC168" s="678"/>
      <c r="AD168" s="678"/>
      <c r="AE168" s="678"/>
      <c r="AF168" s="678"/>
      <c r="AG168" s="678"/>
      <c r="AH168" s="678"/>
      <c r="AI168" s="678"/>
      <c r="AJ168" s="678"/>
      <c r="AK168" s="658"/>
    </row>
    <row r="169" spans="2:37" s="5" customFormat="1" ht="15" customHeight="1">
      <c r="B169" s="317">
        <v>13</v>
      </c>
      <c r="C169" s="835" t="s">
        <v>874</v>
      </c>
      <c r="D169" s="80" t="s">
        <v>44</v>
      </c>
      <c r="E169" s="81">
        <v>74632.5</v>
      </c>
      <c r="F169" s="74"/>
      <c r="G169" s="75"/>
      <c r="H169" s="82"/>
      <c r="I169" s="83"/>
      <c r="J169" s="6"/>
      <c r="K169" s="156"/>
      <c r="L169" s="383"/>
      <c r="M169" s="542"/>
      <c r="N169" s="578">
        <f t="shared" si="8"/>
        <v>0</v>
      </c>
      <c r="O169" s="678"/>
      <c r="P169" s="678"/>
      <c r="Q169" s="678"/>
      <c r="R169" s="678"/>
      <c r="S169" s="678"/>
      <c r="T169" s="678"/>
      <c r="U169" s="678"/>
      <c r="V169" s="678"/>
      <c r="W169" s="678"/>
      <c r="X169" s="678"/>
      <c r="Y169" s="678"/>
      <c r="Z169" s="678"/>
      <c r="AA169" s="678"/>
      <c r="AB169" s="678"/>
      <c r="AC169" s="678"/>
      <c r="AD169" s="678"/>
      <c r="AE169" s="678"/>
      <c r="AF169" s="678"/>
      <c r="AG169" s="678"/>
      <c r="AH169" s="678"/>
      <c r="AI169" s="678"/>
      <c r="AJ169" s="678"/>
      <c r="AK169" s="658"/>
    </row>
    <row r="170" spans="2:37" s="5" customFormat="1">
      <c r="B170" s="313"/>
      <c r="C170" s="835"/>
      <c r="D170" s="17" t="s">
        <v>45</v>
      </c>
      <c r="E170" s="81" t="s">
        <v>27</v>
      </c>
      <c r="F170" s="84">
        <f>E169</f>
        <v>74632.5</v>
      </c>
      <c r="G170" s="99">
        <f>$F$3-5.4</f>
        <v>0.59999999999999964</v>
      </c>
      <c r="H170" s="64">
        <f>+G170*F170</f>
        <v>44779.499999999971</v>
      </c>
      <c r="I170" s="79"/>
      <c r="J170" s="52"/>
      <c r="K170" s="156"/>
      <c r="L170" s="383"/>
      <c r="M170" s="542"/>
      <c r="N170" s="578">
        <f t="shared" si="8"/>
        <v>-44779.499999999971</v>
      </c>
      <c r="O170" s="678"/>
      <c r="P170" s="678"/>
      <c r="Q170" s="680"/>
      <c r="R170" s="680"/>
      <c r="S170" s="680"/>
      <c r="T170" s="680"/>
      <c r="U170" s="680"/>
      <c r="V170" s="680"/>
      <c r="W170" s="680"/>
      <c r="X170" s="680"/>
      <c r="Y170" s="680"/>
      <c r="Z170" s="680"/>
      <c r="AA170" s="680"/>
      <c r="AB170" s="680"/>
      <c r="AC170" s="680"/>
      <c r="AD170" s="678"/>
      <c r="AE170" s="678"/>
      <c r="AF170" s="678"/>
      <c r="AG170" s="678"/>
      <c r="AH170" s="678"/>
      <c r="AI170" s="678"/>
      <c r="AJ170" s="678"/>
      <c r="AK170" s="658"/>
    </row>
    <row r="171" spans="2:37" s="5" customFormat="1">
      <c r="B171" s="313"/>
      <c r="C171" s="835"/>
      <c r="D171" s="17" t="s">
        <v>3</v>
      </c>
      <c r="E171" s="81" t="s">
        <v>27</v>
      </c>
      <c r="F171" s="84">
        <f>E169</f>
        <v>74632.5</v>
      </c>
      <c r="G171" s="64">
        <v>6</v>
      </c>
      <c r="H171" s="64">
        <f>+G171*F171</f>
        <v>447795</v>
      </c>
      <c r="I171" s="79"/>
      <c r="J171" s="52"/>
      <c r="K171" s="156"/>
      <c r="L171" s="383"/>
      <c r="M171" s="542"/>
      <c r="N171" s="578">
        <f t="shared" si="8"/>
        <v>-447795</v>
      </c>
      <c r="O171" s="678"/>
      <c r="P171" s="678"/>
      <c r="Q171" s="680"/>
      <c r="R171" s="680"/>
      <c r="S171" s="680"/>
      <c r="T171" s="680"/>
      <c r="U171" s="680"/>
      <c r="V171" s="680"/>
      <c r="W171" s="680"/>
      <c r="X171" s="680"/>
      <c r="Y171" s="680"/>
      <c r="Z171" s="680"/>
      <c r="AA171" s="680"/>
      <c r="AB171" s="680"/>
      <c r="AC171" s="680"/>
      <c r="AD171" s="678"/>
      <c r="AE171" s="678"/>
      <c r="AF171" s="678"/>
      <c r="AG171" s="678"/>
      <c r="AH171" s="678"/>
      <c r="AI171" s="678"/>
      <c r="AJ171" s="678"/>
      <c r="AK171" s="658"/>
    </row>
    <row r="172" spans="2:37" s="5" customFormat="1">
      <c r="B172" s="313"/>
      <c r="C172" s="835"/>
      <c r="D172" s="17" t="s">
        <v>28</v>
      </c>
      <c r="E172" s="88">
        <f>$H$5+2.5+2</f>
        <v>17.75</v>
      </c>
      <c r="F172" s="84">
        <f>E169/44*1.5</f>
        <v>2544.2897727272725</v>
      </c>
      <c r="G172" s="87">
        <v>6</v>
      </c>
      <c r="H172" s="64">
        <f>+G172*F172*E172</f>
        <v>270966.86079545453</v>
      </c>
      <c r="I172" s="79"/>
      <c r="J172" s="52"/>
      <c r="K172" s="156"/>
      <c r="L172" s="383"/>
      <c r="M172" s="542"/>
      <c r="N172" s="578">
        <f t="shared" si="8"/>
        <v>-270966.86079545453</v>
      </c>
      <c r="O172" s="678"/>
      <c r="P172" s="678"/>
      <c r="Q172" s="680"/>
      <c r="R172" s="680"/>
      <c r="S172" s="680"/>
      <c r="T172" s="680"/>
      <c r="U172" s="680"/>
      <c r="V172" s="680"/>
      <c r="W172" s="680"/>
      <c r="X172" s="680"/>
      <c r="Y172" s="680"/>
      <c r="Z172" s="680"/>
      <c r="AA172" s="680"/>
      <c r="AB172" s="680"/>
      <c r="AC172" s="680"/>
      <c r="AD172" s="678"/>
      <c r="AE172" s="678"/>
      <c r="AF172" s="678"/>
      <c r="AG172" s="678"/>
      <c r="AH172" s="678"/>
      <c r="AI172" s="678"/>
      <c r="AJ172" s="678"/>
      <c r="AK172" s="658"/>
    </row>
    <row r="173" spans="2:37" s="5" customFormat="1">
      <c r="B173" s="313"/>
      <c r="C173" s="835"/>
      <c r="D173" s="17" t="s">
        <v>1</v>
      </c>
      <c r="E173" s="67" t="s">
        <v>29</v>
      </c>
      <c r="F173" s="84">
        <f>E169/5*1.5</f>
        <v>22389.75</v>
      </c>
      <c r="G173" s="64">
        <f>$H$3</f>
        <v>0</v>
      </c>
      <c r="H173" s="64">
        <f>+G173*F173</f>
        <v>0</v>
      </c>
      <c r="I173" s="79"/>
      <c r="J173" s="52"/>
      <c r="K173" s="156"/>
      <c r="L173" s="383"/>
      <c r="M173" s="542"/>
      <c r="N173" s="578">
        <f t="shared" si="8"/>
        <v>0</v>
      </c>
      <c r="O173" s="678"/>
      <c r="P173" s="678"/>
      <c r="Q173" s="680"/>
      <c r="R173" s="680"/>
      <c r="S173" s="680"/>
      <c r="T173" s="680"/>
      <c r="U173" s="680"/>
      <c r="V173" s="680"/>
      <c r="W173" s="680"/>
      <c r="X173" s="680"/>
      <c r="Y173" s="680"/>
      <c r="Z173" s="680"/>
      <c r="AA173" s="680"/>
      <c r="AB173" s="680"/>
      <c r="AC173" s="680"/>
      <c r="AD173" s="678"/>
      <c r="AE173" s="678"/>
      <c r="AF173" s="678"/>
      <c r="AG173" s="678"/>
      <c r="AH173" s="678"/>
      <c r="AI173" s="678"/>
      <c r="AJ173" s="678"/>
      <c r="AK173" s="658"/>
    </row>
    <row r="174" spans="2:37" s="5" customFormat="1">
      <c r="B174" s="313"/>
      <c r="C174" s="835"/>
      <c r="D174" s="17" t="s">
        <v>4</v>
      </c>
      <c r="E174" s="67" t="s">
        <v>29</v>
      </c>
      <c r="F174" s="84">
        <f>E169/5*2</f>
        <v>29853</v>
      </c>
      <c r="G174" s="64">
        <f>$H$4</f>
        <v>0</v>
      </c>
      <c r="H174" s="64">
        <f>+G174*F174</f>
        <v>0</v>
      </c>
      <c r="I174" s="79"/>
      <c r="J174" s="52"/>
      <c r="K174" s="156"/>
      <c r="L174" s="383"/>
      <c r="M174" s="542"/>
      <c r="N174" s="578">
        <f t="shared" si="8"/>
        <v>0</v>
      </c>
      <c r="O174" s="678"/>
      <c r="P174" s="678"/>
      <c r="Q174" s="680"/>
      <c r="R174" s="680"/>
      <c r="S174" s="680"/>
      <c r="T174" s="680"/>
      <c r="U174" s="680"/>
      <c r="V174" s="680"/>
      <c r="W174" s="680"/>
      <c r="X174" s="680"/>
      <c r="Y174" s="680"/>
      <c r="Z174" s="680"/>
      <c r="AA174" s="680"/>
      <c r="AB174" s="680"/>
      <c r="AC174" s="680"/>
      <c r="AD174" s="678"/>
      <c r="AE174" s="678"/>
      <c r="AF174" s="678"/>
      <c r="AG174" s="678"/>
      <c r="AH174" s="678"/>
      <c r="AI174" s="678"/>
      <c r="AJ174" s="678"/>
      <c r="AK174" s="658"/>
    </row>
    <row r="175" spans="2:37" s="5" customFormat="1">
      <c r="B175" s="313"/>
      <c r="C175" s="835"/>
      <c r="D175" s="17" t="s">
        <v>46</v>
      </c>
      <c r="E175" s="81" t="s">
        <v>27</v>
      </c>
      <c r="F175" s="84">
        <f>E169</f>
        <v>74632.5</v>
      </c>
      <c r="G175" s="99">
        <v>0</v>
      </c>
      <c r="H175" s="64">
        <f>+G175*F175</f>
        <v>0</v>
      </c>
      <c r="I175" s="79"/>
      <c r="J175" s="52"/>
      <c r="K175" s="156"/>
      <c r="L175" s="383"/>
      <c r="M175" s="542"/>
      <c r="N175" s="578">
        <f t="shared" si="8"/>
        <v>0</v>
      </c>
      <c r="O175" s="678"/>
      <c r="P175" s="678"/>
      <c r="Q175" s="680"/>
      <c r="R175" s="680"/>
      <c r="S175" s="680"/>
      <c r="T175" s="680"/>
      <c r="U175" s="680"/>
      <c r="V175" s="680"/>
      <c r="W175" s="680"/>
      <c r="X175" s="680"/>
      <c r="Y175" s="680"/>
      <c r="Z175" s="680"/>
      <c r="AA175" s="680"/>
      <c r="AB175" s="680"/>
      <c r="AC175" s="680"/>
      <c r="AD175" s="678"/>
      <c r="AE175" s="678"/>
      <c r="AF175" s="678"/>
      <c r="AG175" s="678"/>
      <c r="AH175" s="678"/>
      <c r="AI175" s="678"/>
      <c r="AJ175" s="678"/>
      <c r="AK175" s="658"/>
    </row>
    <row r="176" spans="2:37" s="5" customFormat="1">
      <c r="B176" s="313"/>
      <c r="C176" s="835"/>
      <c r="D176" s="17" t="s">
        <v>30</v>
      </c>
      <c r="E176" s="67" t="s">
        <v>16</v>
      </c>
      <c r="F176" s="101">
        <f>G170+G171+G175</f>
        <v>6.6</v>
      </c>
      <c r="G176" s="68" t="s">
        <v>31</v>
      </c>
      <c r="H176" s="64">
        <f>SUM(H170:H175)</f>
        <v>763541.36079545459</v>
      </c>
      <c r="I176" s="79"/>
      <c r="J176" s="52"/>
      <c r="K176" s="156"/>
      <c r="L176" s="383"/>
      <c r="M176" s="542"/>
      <c r="N176" s="578">
        <f t="shared" si="8"/>
        <v>-763541.36079545459</v>
      </c>
      <c r="O176" s="678"/>
      <c r="P176" s="678"/>
      <c r="Q176" s="680"/>
      <c r="R176" s="680"/>
      <c r="S176" s="680"/>
      <c r="T176" s="680"/>
      <c r="U176" s="680"/>
      <c r="V176" s="680"/>
      <c r="W176" s="680"/>
      <c r="X176" s="680"/>
      <c r="Y176" s="680"/>
      <c r="Z176" s="680"/>
      <c r="AA176" s="680"/>
      <c r="AB176" s="680"/>
      <c r="AC176" s="681"/>
      <c r="AD176" s="678"/>
      <c r="AE176" s="678"/>
      <c r="AF176" s="678"/>
      <c r="AG176" s="678"/>
      <c r="AH176" s="678"/>
      <c r="AI176" s="678"/>
      <c r="AJ176" s="678"/>
      <c r="AK176" s="658"/>
    </row>
    <row r="177" spans="2:37" s="5" customFormat="1">
      <c r="B177" s="313"/>
      <c r="C177" s="835"/>
      <c r="D177" s="19" t="s">
        <v>32</v>
      </c>
      <c r="E177" s="67" t="s">
        <v>16</v>
      </c>
      <c r="F177" s="84">
        <f>SUM(H170:H175)</f>
        <v>763541.36079545459</v>
      </c>
      <c r="G177" s="92">
        <f>$G$43</f>
        <v>8.3299999999999999E-2</v>
      </c>
      <c r="H177" s="64">
        <f>+G177*F177</f>
        <v>63602.995354261366</v>
      </c>
      <c r="I177" s="93"/>
      <c r="J177" s="52"/>
      <c r="K177" s="156"/>
      <c r="L177" s="383"/>
      <c r="M177" s="542"/>
      <c r="N177" s="578">
        <f t="shared" si="8"/>
        <v>-63602.995354261366</v>
      </c>
      <c r="O177" s="678"/>
      <c r="P177" s="678"/>
      <c r="Q177" s="680"/>
      <c r="R177" s="680"/>
      <c r="S177" s="680"/>
      <c r="T177" s="680"/>
      <c r="U177" s="680"/>
      <c r="V177" s="680"/>
      <c r="W177" s="680"/>
      <c r="X177" s="680"/>
      <c r="Y177" s="680"/>
      <c r="Z177" s="680"/>
      <c r="AA177" s="680"/>
      <c r="AB177" s="680"/>
      <c r="AC177" s="680"/>
      <c r="AD177" s="678"/>
      <c r="AE177" s="678"/>
      <c r="AF177" s="678"/>
      <c r="AG177" s="678"/>
      <c r="AH177" s="678"/>
      <c r="AI177" s="678"/>
      <c r="AJ177" s="678"/>
      <c r="AK177" s="658"/>
    </row>
    <row r="178" spans="2:37" s="5" customFormat="1">
      <c r="B178" s="313"/>
      <c r="C178" s="835"/>
      <c r="D178" s="19" t="s">
        <v>33</v>
      </c>
      <c r="E178" s="84">
        <f>F177/(5*F176)</f>
        <v>23137.616993801654</v>
      </c>
      <c r="F178" s="84">
        <f>E178*(F176*7)</f>
        <v>1068957.9051136363</v>
      </c>
      <c r="G178" s="95">
        <f>$G$44</f>
        <v>20</v>
      </c>
      <c r="H178" s="64">
        <f>F178/G178</f>
        <v>53447.895255681811</v>
      </c>
      <c r="I178" s="72">
        <f>SUM(H176:H178)</f>
        <v>880592.25140539778</v>
      </c>
      <c r="J178" s="52">
        <f>SUM(G170:G178)</f>
        <v>32.683300000000003</v>
      </c>
      <c r="K178" s="156"/>
      <c r="L178" s="383"/>
      <c r="M178" s="542"/>
      <c r="N178" s="578">
        <f t="shared" si="8"/>
        <v>-53447.895255681811</v>
      </c>
      <c r="O178" s="678"/>
      <c r="P178" s="678"/>
      <c r="Q178" s="681"/>
      <c r="R178" s="681"/>
      <c r="S178" s="681"/>
      <c r="T178" s="681"/>
      <c r="U178" s="681"/>
      <c r="V178" s="681"/>
      <c r="W178" s="681"/>
      <c r="X178" s="681"/>
      <c r="Y178" s="681"/>
      <c r="Z178" s="681"/>
      <c r="AA178" s="681"/>
      <c r="AB178" s="681"/>
      <c r="AC178" s="681"/>
      <c r="AD178" s="678"/>
      <c r="AE178" s="678"/>
      <c r="AF178" s="678"/>
      <c r="AG178" s="678"/>
      <c r="AH178" s="678"/>
      <c r="AI178" s="678"/>
      <c r="AJ178" s="678"/>
      <c r="AK178" s="658"/>
    </row>
    <row r="179" spans="2:37" s="5" customFormat="1">
      <c r="B179" s="313"/>
      <c r="C179" s="835"/>
      <c r="D179" s="96"/>
      <c r="E179" s="9"/>
      <c r="F179" s="74"/>
      <c r="G179" s="97"/>
      <c r="H179" s="78"/>
      <c r="I179" s="79"/>
      <c r="J179" s="52"/>
      <c r="K179" s="156"/>
      <c r="L179" s="383"/>
      <c r="M179" s="542"/>
      <c r="N179" s="578">
        <f t="shared" si="8"/>
        <v>0</v>
      </c>
      <c r="O179" s="678"/>
      <c r="P179" s="678"/>
      <c r="Q179" s="678"/>
      <c r="R179" s="678"/>
      <c r="S179" s="678"/>
      <c r="T179" s="678"/>
      <c r="U179" s="678"/>
      <c r="V179" s="678"/>
      <c r="W179" s="678"/>
      <c r="X179" s="678"/>
      <c r="Y179" s="678"/>
      <c r="Z179" s="678"/>
      <c r="AA179" s="678"/>
      <c r="AB179" s="678"/>
      <c r="AC179" s="678"/>
      <c r="AD179" s="678"/>
      <c r="AE179" s="678"/>
      <c r="AF179" s="678"/>
      <c r="AG179" s="678"/>
      <c r="AH179" s="678"/>
      <c r="AI179" s="678"/>
      <c r="AJ179" s="678"/>
      <c r="AK179" s="658"/>
    </row>
    <row r="180" spans="2:37" s="5" customFormat="1" ht="15" customHeight="1">
      <c r="B180" s="317">
        <v>14</v>
      </c>
      <c r="C180" s="835" t="s">
        <v>875</v>
      </c>
      <c r="D180" s="80" t="s">
        <v>47</v>
      </c>
      <c r="E180" s="81">
        <v>67896.2</v>
      </c>
      <c r="F180" s="74"/>
      <c r="G180" s="75"/>
      <c r="H180" s="82"/>
      <c r="I180" s="83"/>
      <c r="J180" s="6"/>
      <c r="K180" s="156"/>
      <c r="L180" s="383"/>
      <c r="M180" s="542"/>
      <c r="N180" s="578">
        <f t="shared" si="8"/>
        <v>0</v>
      </c>
      <c r="O180" s="678"/>
      <c r="P180" s="678"/>
      <c r="Q180" s="678"/>
      <c r="R180" s="678"/>
      <c r="S180" s="678"/>
      <c r="T180" s="678"/>
      <c r="U180" s="678"/>
      <c r="V180" s="678"/>
      <c r="W180" s="678"/>
      <c r="X180" s="678"/>
      <c r="Y180" s="678"/>
      <c r="Z180" s="678"/>
      <c r="AA180" s="678"/>
      <c r="AB180" s="678"/>
      <c r="AC180" s="678"/>
      <c r="AD180" s="678"/>
      <c r="AE180" s="678"/>
      <c r="AF180" s="678"/>
      <c r="AG180" s="678"/>
      <c r="AH180" s="678"/>
      <c r="AI180" s="678"/>
      <c r="AJ180" s="678"/>
      <c r="AK180" s="658"/>
    </row>
    <row r="181" spans="2:37" s="5" customFormat="1">
      <c r="B181" s="313"/>
      <c r="C181" s="835"/>
      <c r="D181" s="17" t="s">
        <v>45</v>
      </c>
      <c r="E181" s="81" t="s">
        <v>27</v>
      </c>
      <c r="F181" s="84">
        <f>E180</f>
        <v>67896.2</v>
      </c>
      <c r="G181" s="99">
        <f>$F$3-5.4</f>
        <v>0.59999999999999964</v>
      </c>
      <c r="H181" s="64">
        <f>F181*G181</f>
        <v>40737.719999999972</v>
      </c>
      <c r="I181" s="79"/>
      <c r="J181" s="52"/>
      <c r="K181" s="156"/>
      <c r="L181" s="383"/>
      <c r="M181" s="542"/>
      <c r="N181" s="578">
        <f t="shared" si="8"/>
        <v>-40737.719999999972</v>
      </c>
      <c r="O181" s="678"/>
      <c r="P181" s="678"/>
      <c r="Q181" s="678"/>
      <c r="R181" s="678"/>
      <c r="S181" s="678"/>
      <c r="T181" s="678"/>
      <c r="U181" s="678"/>
      <c r="V181" s="680"/>
      <c r="W181" s="680"/>
      <c r="X181" s="680"/>
      <c r="Y181" s="680"/>
      <c r="Z181" s="680"/>
      <c r="AA181" s="680"/>
      <c r="AB181" s="680"/>
      <c r="AC181" s="680"/>
      <c r="AD181" s="678"/>
      <c r="AE181" s="678"/>
      <c r="AF181" s="678"/>
      <c r="AG181" s="678"/>
      <c r="AH181" s="678"/>
      <c r="AI181" s="678"/>
      <c r="AJ181" s="678"/>
      <c r="AK181" s="658"/>
    </row>
    <row r="182" spans="2:37" s="5" customFormat="1">
      <c r="B182" s="313"/>
      <c r="C182" s="835"/>
      <c r="D182" s="17" t="s">
        <v>3</v>
      </c>
      <c r="E182" s="81" t="s">
        <v>27</v>
      </c>
      <c r="F182" s="84">
        <f>E180</f>
        <v>67896.2</v>
      </c>
      <c r="G182" s="64">
        <v>6</v>
      </c>
      <c r="H182" s="64">
        <f>F182*G182</f>
        <v>407377.19999999995</v>
      </c>
      <c r="I182" s="79"/>
      <c r="J182" s="52"/>
      <c r="K182" s="156"/>
      <c r="L182" s="383"/>
      <c r="M182" s="542"/>
      <c r="N182" s="578">
        <f t="shared" si="8"/>
        <v>-407377.19999999995</v>
      </c>
      <c r="O182" s="678"/>
      <c r="P182" s="678"/>
      <c r="Q182" s="678"/>
      <c r="R182" s="678"/>
      <c r="S182" s="678"/>
      <c r="T182" s="678"/>
      <c r="U182" s="678"/>
      <c r="V182" s="680"/>
      <c r="W182" s="680"/>
      <c r="X182" s="680"/>
      <c r="Y182" s="680"/>
      <c r="Z182" s="680"/>
      <c r="AA182" s="680"/>
      <c r="AB182" s="680"/>
      <c r="AC182" s="680"/>
      <c r="AD182" s="678"/>
      <c r="AE182" s="678"/>
      <c r="AF182" s="678"/>
      <c r="AG182" s="678"/>
      <c r="AH182" s="678"/>
      <c r="AI182" s="678"/>
      <c r="AJ182" s="678"/>
      <c r="AK182" s="658"/>
    </row>
    <row r="183" spans="2:37" s="5" customFormat="1">
      <c r="B183" s="313"/>
      <c r="C183" s="835"/>
      <c r="D183" s="17" t="s">
        <v>28</v>
      </c>
      <c r="E183" s="88">
        <f>$H$5+2</f>
        <v>15.25</v>
      </c>
      <c r="F183" s="84">
        <f>E180/44*1.5</f>
        <v>2314.6431818181818</v>
      </c>
      <c r="G183" s="87">
        <v>6</v>
      </c>
      <c r="H183" s="64">
        <f>F183*G183*E183</f>
        <v>211789.85113636364</v>
      </c>
      <c r="I183" s="79"/>
      <c r="J183" s="52"/>
      <c r="K183" s="156"/>
      <c r="L183" s="383"/>
      <c r="M183" s="542"/>
      <c r="N183" s="578">
        <f t="shared" si="8"/>
        <v>-211789.85113636364</v>
      </c>
      <c r="O183" s="678"/>
      <c r="P183" s="678"/>
      <c r="Q183" s="678"/>
      <c r="R183" s="678"/>
      <c r="S183" s="678"/>
      <c r="T183" s="678"/>
      <c r="U183" s="678"/>
      <c r="V183" s="680"/>
      <c r="W183" s="680"/>
      <c r="X183" s="680"/>
      <c r="Y183" s="680"/>
      <c r="Z183" s="680"/>
      <c r="AA183" s="680"/>
      <c r="AB183" s="680"/>
      <c r="AC183" s="680"/>
      <c r="AD183" s="678"/>
      <c r="AE183" s="678"/>
      <c r="AF183" s="678"/>
      <c r="AG183" s="678"/>
      <c r="AH183" s="678"/>
      <c r="AI183" s="678"/>
      <c r="AJ183" s="678"/>
      <c r="AK183" s="658"/>
    </row>
    <row r="184" spans="2:37" s="5" customFormat="1">
      <c r="B184" s="313"/>
      <c r="C184" s="835"/>
      <c r="D184" s="17" t="s">
        <v>1</v>
      </c>
      <c r="E184" s="67" t="s">
        <v>29</v>
      </c>
      <c r="F184" s="84">
        <f>E180/5*1.5</f>
        <v>20368.86</v>
      </c>
      <c r="G184" s="64">
        <v>0</v>
      </c>
      <c r="H184" s="64">
        <f>F184*G184</f>
        <v>0</v>
      </c>
      <c r="I184" s="79"/>
      <c r="J184" s="52"/>
      <c r="K184" s="156"/>
      <c r="L184" s="383"/>
      <c r="M184" s="542"/>
      <c r="N184" s="578">
        <f t="shared" si="8"/>
        <v>0</v>
      </c>
      <c r="O184" s="678"/>
      <c r="P184" s="678"/>
      <c r="Q184" s="678"/>
      <c r="R184" s="678"/>
      <c r="S184" s="678"/>
      <c r="T184" s="678"/>
      <c r="U184" s="678"/>
      <c r="V184" s="680"/>
      <c r="W184" s="680"/>
      <c r="X184" s="680"/>
      <c r="Y184" s="680"/>
      <c r="Z184" s="680"/>
      <c r="AA184" s="680"/>
      <c r="AB184" s="680"/>
      <c r="AC184" s="680"/>
      <c r="AD184" s="678"/>
      <c r="AE184" s="678"/>
      <c r="AF184" s="678"/>
      <c r="AG184" s="678"/>
      <c r="AH184" s="678"/>
      <c r="AI184" s="678"/>
      <c r="AJ184" s="678"/>
      <c r="AK184" s="658"/>
    </row>
    <row r="185" spans="2:37" s="5" customFormat="1">
      <c r="B185" s="313"/>
      <c r="C185" s="835"/>
      <c r="D185" s="17" t="s">
        <v>4</v>
      </c>
      <c r="E185" s="67" t="s">
        <v>29</v>
      </c>
      <c r="F185" s="84">
        <f>E180/5*2</f>
        <v>27158.48</v>
      </c>
      <c r="G185" s="64">
        <f>$H$4</f>
        <v>0</v>
      </c>
      <c r="H185" s="64">
        <f>F185*G185</f>
        <v>0</v>
      </c>
      <c r="I185" s="79"/>
      <c r="J185" s="52"/>
      <c r="K185" s="156"/>
      <c r="L185" s="383"/>
      <c r="M185" s="542"/>
      <c r="N185" s="578">
        <f t="shared" si="8"/>
        <v>0</v>
      </c>
      <c r="O185" s="678"/>
      <c r="P185" s="678"/>
      <c r="Q185" s="678"/>
      <c r="R185" s="678"/>
      <c r="S185" s="678"/>
      <c r="T185" s="678"/>
      <c r="U185" s="678"/>
      <c r="V185" s="680"/>
      <c r="W185" s="680"/>
      <c r="X185" s="680"/>
      <c r="Y185" s="680"/>
      <c r="Z185" s="680"/>
      <c r="AA185" s="680"/>
      <c r="AB185" s="680"/>
      <c r="AC185" s="680"/>
      <c r="AD185" s="678"/>
      <c r="AE185" s="678"/>
      <c r="AF185" s="678"/>
      <c r="AG185" s="678"/>
      <c r="AH185" s="678"/>
      <c r="AI185" s="678"/>
      <c r="AJ185" s="678"/>
      <c r="AK185" s="658"/>
    </row>
    <row r="186" spans="2:37" s="5" customFormat="1">
      <c r="B186" s="313"/>
      <c r="C186" s="835"/>
      <c r="D186" s="17" t="s">
        <v>46</v>
      </c>
      <c r="E186" s="81" t="s">
        <v>27</v>
      </c>
      <c r="F186" s="84">
        <f>E180</f>
        <v>67896.2</v>
      </c>
      <c r="G186" s="64">
        <f>$F$5-$F$5</f>
        <v>0</v>
      </c>
      <c r="H186" s="64">
        <f>F186*G186</f>
        <v>0</v>
      </c>
      <c r="I186" s="79"/>
      <c r="J186" s="52"/>
      <c r="K186" s="156"/>
      <c r="L186" s="383"/>
      <c r="M186" s="542"/>
      <c r="N186" s="578">
        <f t="shared" si="8"/>
        <v>0</v>
      </c>
      <c r="O186" s="678"/>
      <c r="P186" s="678"/>
      <c r="Q186" s="678"/>
      <c r="R186" s="678"/>
      <c r="S186" s="678"/>
      <c r="T186" s="678"/>
      <c r="U186" s="678"/>
      <c r="V186" s="680"/>
      <c r="W186" s="680"/>
      <c r="X186" s="680"/>
      <c r="Y186" s="680"/>
      <c r="Z186" s="680"/>
      <c r="AA186" s="680"/>
      <c r="AB186" s="680"/>
      <c r="AC186" s="680"/>
      <c r="AD186" s="678"/>
      <c r="AE186" s="678"/>
      <c r="AF186" s="678"/>
      <c r="AG186" s="678"/>
      <c r="AH186" s="678"/>
      <c r="AI186" s="678"/>
      <c r="AJ186" s="678"/>
      <c r="AK186" s="658"/>
    </row>
    <row r="187" spans="2:37" s="5" customFormat="1">
      <c r="B187" s="313"/>
      <c r="C187" s="835"/>
      <c r="D187" s="17" t="s">
        <v>30</v>
      </c>
      <c r="E187" s="67" t="s">
        <v>16</v>
      </c>
      <c r="F187" s="101">
        <f>G181+G182+G186</f>
        <v>6.6</v>
      </c>
      <c r="G187" s="68" t="s">
        <v>31</v>
      </c>
      <c r="H187" s="64">
        <f>SUM(H181:H186)</f>
        <v>659904.7711363635</v>
      </c>
      <c r="I187" s="79"/>
      <c r="J187" s="52"/>
      <c r="K187" s="156"/>
      <c r="L187" s="383"/>
      <c r="M187" s="542"/>
      <c r="N187" s="578">
        <f t="shared" si="8"/>
        <v>-659904.7711363635</v>
      </c>
      <c r="O187" s="678"/>
      <c r="P187" s="678"/>
      <c r="Q187" s="678"/>
      <c r="R187" s="678"/>
      <c r="S187" s="678"/>
      <c r="T187" s="678"/>
      <c r="U187" s="678"/>
      <c r="V187" s="680"/>
      <c r="W187" s="680"/>
      <c r="X187" s="680"/>
      <c r="Y187" s="680"/>
      <c r="Z187" s="680"/>
      <c r="AA187" s="680"/>
      <c r="AB187" s="680"/>
      <c r="AC187" s="681"/>
      <c r="AD187" s="678"/>
      <c r="AE187" s="678"/>
      <c r="AF187" s="678"/>
      <c r="AG187" s="678"/>
      <c r="AH187" s="678"/>
      <c r="AI187" s="678"/>
      <c r="AJ187" s="678"/>
      <c r="AK187" s="658"/>
    </row>
    <row r="188" spans="2:37" s="5" customFormat="1">
      <c r="B188" s="313"/>
      <c r="C188" s="835"/>
      <c r="D188" s="19" t="s">
        <v>32</v>
      </c>
      <c r="E188" s="67" t="s">
        <v>16</v>
      </c>
      <c r="F188" s="84">
        <f>SUM(H181:H186)</f>
        <v>659904.7711363635</v>
      </c>
      <c r="G188" s="92">
        <f>$G$43</f>
        <v>8.3299999999999999E-2</v>
      </c>
      <c r="H188" s="64">
        <f>+G188*F188</f>
        <v>54970.067435659083</v>
      </c>
      <c r="I188" s="93"/>
      <c r="J188" s="52"/>
      <c r="K188" s="156"/>
      <c r="L188" s="383"/>
      <c r="M188" s="542"/>
      <c r="N188" s="578">
        <f t="shared" si="8"/>
        <v>-54970.067435659083</v>
      </c>
      <c r="O188" s="678"/>
      <c r="P188" s="678"/>
      <c r="Q188" s="678"/>
      <c r="R188" s="678"/>
      <c r="S188" s="678"/>
      <c r="T188" s="678"/>
      <c r="U188" s="678"/>
      <c r="V188" s="680"/>
      <c r="W188" s="680"/>
      <c r="X188" s="680"/>
      <c r="Y188" s="680"/>
      <c r="Z188" s="680"/>
      <c r="AA188" s="680"/>
      <c r="AB188" s="680"/>
      <c r="AC188" s="680"/>
      <c r="AD188" s="678"/>
      <c r="AE188" s="678"/>
      <c r="AF188" s="678"/>
      <c r="AG188" s="678"/>
      <c r="AH188" s="678"/>
      <c r="AI188" s="678"/>
      <c r="AJ188" s="678"/>
      <c r="AK188" s="658"/>
    </row>
    <row r="189" spans="2:37" s="5" customFormat="1">
      <c r="B189" s="313"/>
      <c r="C189" s="835"/>
      <c r="D189" s="19" t="s">
        <v>33</v>
      </c>
      <c r="E189" s="84">
        <f>F188/(5*F187)</f>
        <v>19997.114276859502</v>
      </c>
      <c r="F189" s="84">
        <f>E189*(F187*7)</f>
        <v>923866.67959090893</v>
      </c>
      <c r="G189" s="95">
        <f>$G$44</f>
        <v>20</v>
      </c>
      <c r="H189" s="64">
        <f>F189/G189</f>
        <v>46193.333979545445</v>
      </c>
      <c r="I189" s="72">
        <f>SUM(H187:H189)</f>
        <v>761068.17255156802</v>
      </c>
      <c r="J189" s="52">
        <f>SUM(G181:G189)</f>
        <v>32.683300000000003</v>
      </c>
      <c r="K189" s="156"/>
      <c r="L189" s="383"/>
      <c r="M189" s="542"/>
      <c r="N189" s="578">
        <f t="shared" si="8"/>
        <v>-46193.333979545445</v>
      </c>
      <c r="O189" s="678"/>
      <c r="P189" s="678"/>
      <c r="Q189" s="678"/>
      <c r="R189" s="678"/>
      <c r="S189" s="678"/>
      <c r="T189" s="678"/>
      <c r="U189" s="678"/>
      <c r="V189" s="681"/>
      <c r="W189" s="681"/>
      <c r="X189" s="681"/>
      <c r="Y189" s="681"/>
      <c r="Z189" s="681"/>
      <c r="AA189" s="681"/>
      <c r="AB189" s="681"/>
      <c r="AC189" s="681"/>
      <c r="AD189" s="678"/>
      <c r="AE189" s="678"/>
      <c r="AF189" s="678"/>
      <c r="AG189" s="678"/>
      <c r="AH189" s="678"/>
      <c r="AI189" s="678"/>
      <c r="AJ189" s="678"/>
      <c r="AK189" s="658"/>
    </row>
    <row r="190" spans="2:37" s="5" customFormat="1">
      <c r="B190" s="313"/>
      <c r="C190" s="835"/>
      <c r="D190" s="96"/>
      <c r="E190" s="9"/>
      <c r="F190" s="74"/>
      <c r="G190" s="97"/>
      <c r="H190" s="78"/>
      <c r="I190" s="79"/>
      <c r="J190" s="52"/>
      <c r="K190" s="156"/>
      <c r="L190" s="383"/>
      <c r="M190" s="542"/>
      <c r="N190" s="578">
        <f t="shared" si="8"/>
        <v>0</v>
      </c>
      <c r="O190" s="678"/>
      <c r="P190" s="678"/>
      <c r="Q190" s="678"/>
      <c r="R190" s="678"/>
      <c r="S190" s="678"/>
      <c r="T190" s="678"/>
      <c r="U190" s="678"/>
      <c r="V190" s="678"/>
      <c r="W190" s="678"/>
      <c r="X190" s="678"/>
      <c r="Y190" s="678"/>
      <c r="Z190" s="678"/>
      <c r="AA190" s="678"/>
      <c r="AB190" s="678"/>
      <c r="AC190" s="678"/>
      <c r="AD190" s="678"/>
      <c r="AE190" s="678"/>
      <c r="AF190" s="678"/>
      <c r="AG190" s="678"/>
      <c r="AH190" s="678"/>
      <c r="AI190" s="678"/>
      <c r="AJ190" s="678"/>
      <c r="AK190" s="658"/>
    </row>
    <row r="191" spans="2:37" s="5" customFormat="1" ht="15" customHeight="1">
      <c r="B191" s="317">
        <v>15</v>
      </c>
      <c r="C191" s="835" t="s">
        <v>876</v>
      </c>
      <c r="D191" s="80" t="s">
        <v>48</v>
      </c>
      <c r="E191" s="81">
        <v>57232.2</v>
      </c>
      <c r="F191" s="74"/>
      <c r="G191" s="75"/>
      <c r="H191" s="82"/>
      <c r="I191" s="83"/>
      <c r="J191" s="6"/>
      <c r="K191" s="156"/>
      <c r="L191" s="383"/>
      <c r="M191" s="542"/>
      <c r="N191" s="578">
        <f t="shared" si="8"/>
        <v>0</v>
      </c>
      <c r="O191" s="678"/>
      <c r="P191" s="678"/>
      <c r="Q191" s="678"/>
      <c r="R191" s="678"/>
      <c r="S191" s="678"/>
      <c r="T191" s="678"/>
      <c r="U191" s="678"/>
      <c r="V191" s="678"/>
      <c r="W191" s="678"/>
      <c r="X191" s="678"/>
      <c r="Y191" s="678"/>
      <c r="Z191" s="678"/>
      <c r="AA191" s="678"/>
      <c r="AB191" s="678"/>
      <c r="AC191" s="678"/>
      <c r="AD191" s="678"/>
      <c r="AE191" s="678"/>
      <c r="AF191" s="678"/>
      <c r="AG191" s="678"/>
      <c r="AH191" s="678"/>
      <c r="AI191" s="678"/>
      <c r="AJ191" s="678"/>
      <c r="AK191" s="658"/>
    </row>
    <row r="192" spans="2:37" s="5" customFormat="1">
      <c r="B192" s="313"/>
      <c r="C192" s="835"/>
      <c r="D192" s="17" t="s">
        <v>45</v>
      </c>
      <c r="E192" s="81" t="s">
        <v>27</v>
      </c>
      <c r="F192" s="84">
        <f>E191</f>
        <v>57232.2</v>
      </c>
      <c r="G192" s="99">
        <f>$F$3-5.4</f>
        <v>0.59999999999999964</v>
      </c>
      <c r="H192" s="64">
        <f>+G192*F192</f>
        <v>34339.319999999978</v>
      </c>
      <c r="I192" s="79"/>
      <c r="J192" s="52"/>
      <c r="K192" s="156"/>
      <c r="L192" s="383"/>
      <c r="M192" s="542"/>
      <c r="N192" s="578">
        <f t="shared" si="8"/>
        <v>-34339.319999999978</v>
      </c>
      <c r="O192" s="678"/>
      <c r="P192" s="678"/>
      <c r="Q192" s="678"/>
      <c r="R192" s="678"/>
      <c r="S192" s="678"/>
      <c r="T192" s="678"/>
      <c r="U192" s="678"/>
      <c r="V192" s="680"/>
      <c r="W192" s="680"/>
      <c r="X192" s="680"/>
      <c r="Y192" s="680"/>
      <c r="Z192" s="680"/>
      <c r="AA192" s="680"/>
      <c r="AB192" s="680"/>
      <c r="AC192" s="680"/>
      <c r="AD192" s="678"/>
      <c r="AE192" s="678"/>
      <c r="AF192" s="678"/>
      <c r="AG192" s="678"/>
      <c r="AH192" s="678"/>
      <c r="AI192" s="678"/>
      <c r="AJ192" s="678"/>
      <c r="AK192" s="658"/>
    </row>
    <row r="193" spans="2:37" s="5" customFormat="1">
      <c r="B193" s="313"/>
      <c r="C193" s="835"/>
      <c r="D193" s="17" t="s">
        <v>3</v>
      </c>
      <c r="E193" s="81" t="s">
        <v>27</v>
      </c>
      <c r="F193" s="84">
        <f>E191</f>
        <v>57232.2</v>
      </c>
      <c r="G193" s="64">
        <v>6</v>
      </c>
      <c r="H193" s="64">
        <f>+G193*F193</f>
        <v>343393.19999999995</v>
      </c>
      <c r="I193" s="79"/>
      <c r="J193" s="52"/>
      <c r="K193" s="156"/>
      <c r="L193" s="383"/>
      <c r="M193" s="542"/>
      <c r="N193" s="578">
        <f t="shared" si="8"/>
        <v>-343393.19999999995</v>
      </c>
      <c r="O193" s="678"/>
      <c r="P193" s="678"/>
      <c r="Q193" s="678"/>
      <c r="R193" s="678"/>
      <c r="S193" s="678"/>
      <c r="T193" s="678"/>
      <c r="U193" s="678"/>
      <c r="V193" s="680"/>
      <c r="W193" s="680"/>
      <c r="X193" s="680"/>
      <c r="Y193" s="680"/>
      <c r="Z193" s="680"/>
      <c r="AA193" s="680"/>
      <c r="AB193" s="680"/>
      <c r="AC193" s="680"/>
      <c r="AD193" s="678"/>
      <c r="AE193" s="678"/>
      <c r="AF193" s="678"/>
      <c r="AG193" s="678"/>
      <c r="AH193" s="678"/>
      <c r="AI193" s="678"/>
      <c r="AJ193" s="678"/>
      <c r="AK193" s="658"/>
    </row>
    <row r="194" spans="2:37" s="5" customFormat="1">
      <c r="B194" s="313"/>
      <c r="C194" s="835"/>
      <c r="D194" s="17" t="s">
        <v>28</v>
      </c>
      <c r="E194" s="88">
        <f>$H$5+2.5+2</f>
        <v>17.75</v>
      </c>
      <c r="F194" s="84">
        <f>E191/44*1.5</f>
        <v>1951.0977272727273</v>
      </c>
      <c r="G194" s="87">
        <v>6</v>
      </c>
      <c r="H194" s="64">
        <f>+G194*F194*E194</f>
        <v>207791.90795454546</v>
      </c>
      <c r="I194" s="79"/>
      <c r="J194" s="52"/>
      <c r="K194" s="156"/>
      <c r="L194" s="383"/>
      <c r="M194" s="542"/>
      <c r="N194" s="578">
        <f t="shared" si="8"/>
        <v>-207791.90795454546</v>
      </c>
      <c r="O194" s="678"/>
      <c r="P194" s="678"/>
      <c r="Q194" s="678"/>
      <c r="R194" s="678"/>
      <c r="S194" s="678"/>
      <c r="T194" s="678"/>
      <c r="U194" s="678"/>
      <c r="V194" s="680"/>
      <c r="W194" s="680"/>
      <c r="X194" s="680"/>
      <c r="Y194" s="680"/>
      <c r="Z194" s="680"/>
      <c r="AA194" s="680"/>
      <c r="AB194" s="680"/>
      <c r="AC194" s="680"/>
      <c r="AD194" s="678"/>
      <c r="AE194" s="678"/>
      <c r="AF194" s="678"/>
      <c r="AG194" s="678"/>
      <c r="AH194" s="678"/>
      <c r="AI194" s="678"/>
      <c r="AJ194" s="678"/>
      <c r="AK194" s="658"/>
    </row>
    <row r="195" spans="2:37" s="5" customFormat="1">
      <c r="B195" s="313"/>
      <c r="C195" s="835"/>
      <c r="D195" s="17" t="s">
        <v>1</v>
      </c>
      <c r="E195" s="67" t="s">
        <v>29</v>
      </c>
      <c r="F195" s="84">
        <f>E191/5*1.5</f>
        <v>17169.659999999996</v>
      </c>
      <c r="G195" s="64">
        <f>$H$3</f>
        <v>0</v>
      </c>
      <c r="H195" s="64">
        <f>+G195*F195</f>
        <v>0</v>
      </c>
      <c r="I195" s="79"/>
      <c r="J195" s="52"/>
      <c r="K195" s="156"/>
      <c r="L195" s="383"/>
      <c r="M195" s="542"/>
      <c r="N195" s="578">
        <f t="shared" si="8"/>
        <v>0</v>
      </c>
      <c r="O195" s="678"/>
      <c r="P195" s="678"/>
      <c r="Q195" s="678"/>
      <c r="R195" s="678"/>
      <c r="S195" s="678"/>
      <c r="T195" s="678"/>
      <c r="U195" s="678"/>
      <c r="V195" s="680"/>
      <c r="W195" s="680"/>
      <c r="X195" s="680"/>
      <c r="Y195" s="680"/>
      <c r="Z195" s="680"/>
      <c r="AA195" s="680"/>
      <c r="AB195" s="680"/>
      <c r="AC195" s="680"/>
      <c r="AD195" s="678"/>
      <c r="AE195" s="678"/>
      <c r="AF195" s="678"/>
      <c r="AG195" s="678"/>
      <c r="AH195" s="678"/>
      <c r="AI195" s="678"/>
      <c r="AJ195" s="678"/>
      <c r="AK195" s="658"/>
    </row>
    <row r="196" spans="2:37" s="5" customFormat="1">
      <c r="B196" s="313"/>
      <c r="C196" s="835"/>
      <c r="D196" s="17" t="s">
        <v>4</v>
      </c>
      <c r="E196" s="67" t="s">
        <v>29</v>
      </c>
      <c r="F196" s="84">
        <f>E191/5*2</f>
        <v>22892.879999999997</v>
      </c>
      <c r="G196" s="64">
        <f>$H$4</f>
        <v>0</v>
      </c>
      <c r="H196" s="64">
        <f>+G196*F196</f>
        <v>0</v>
      </c>
      <c r="I196" s="79"/>
      <c r="J196" s="52"/>
      <c r="K196" s="156"/>
      <c r="L196" s="383"/>
      <c r="M196" s="542"/>
      <c r="N196" s="578">
        <f t="shared" si="8"/>
        <v>0</v>
      </c>
      <c r="O196" s="678"/>
      <c r="P196" s="678"/>
      <c r="Q196" s="678"/>
      <c r="R196" s="678"/>
      <c r="S196" s="678"/>
      <c r="T196" s="678"/>
      <c r="U196" s="678"/>
      <c r="V196" s="680"/>
      <c r="W196" s="680"/>
      <c r="X196" s="680"/>
      <c r="Y196" s="680"/>
      <c r="Z196" s="680"/>
      <c r="AA196" s="680"/>
      <c r="AB196" s="680"/>
      <c r="AC196" s="680"/>
      <c r="AD196" s="678"/>
      <c r="AE196" s="678"/>
      <c r="AF196" s="678"/>
      <c r="AG196" s="678"/>
      <c r="AH196" s="678"/>
      <c r="AI196" s="678"/>
      <c r="AJ196" s="678"/>
      <c r="AK196" s="658"/>
    </row>
    <row r="197" spans="2:37" s="5" customFormat="1">
      <c r="B197" s="313"/>
      <c r="C197" s="835"/>
      <c r="D197" s="17" t="s">
        <v>46</v>
      </c>
      <c r="E197" s="81" t="s">
        <v>27</v>
      </c>
      <c r="F197" s="84">
        <f>E191</f>
        <v>57232.2</v>
      </c>
      <c r="G197" s="99">
        <v>0</v>
      </c>
      <c r="H197" s="64">
        <f>+G197*F197</f>
        <v>0</v>
      </c>
      <c r="I197" s="79"/>
      <c r="J197" s="52"/>
      <c r="K197" s="156"/>
      <c r="L197" s="383"/>
      <c r="M197" s="542"/>
      <c r="N197" s="578">
        <f t="shared" si="8"/>
        <v>0</v>
      </c>
      <c r="O197" s="678"/>
      <c r="P197" s="678"/>
      <c r="Q197" s="678"/>
      <c r="R197" s="678"/>
      <c r="S197" s="678"/>
      <c r="T197" s="678"/>
      <c r="U197" s="678"/>
      <c r="V197" s="680"/>
      <c r="W197" s="680"/>
      <c r="X197" s="680"/>
      <c r="Y197" s="680"/>
      <c r="Z197" s="680"/>
      <c r="AA197" s="680"/>
      <c r="AB197" s="680"/>
      <c r="AC197" s="680"/>
      <c r="AD197" s="678"/>
      <c r="AE197" s="678"/>
      <c r="AF197" s="678"/>
      <c r="AG197" s="678"/>
      <c r="AH197" s="678"/>
      <c r="AI197" s="678"/>
      <c r="AJ197" s="678"/>
      <c r="AK197" s="658"/>
    </row>
    <row r="198" spans="2:37" s="5" customFormat="1">
      <c r="B198" s="313"/>
      <c r="C198" s="835"/>
      <c r="D198" s="17" t="s">
        <v>30</v>
      </c>
      <c r="E198" s="67" t="s">
        <v>16</v>
      </c>
      <c r="F198" s="101">
        <f>G192+G193+G197</f>
        <v>6.6</v>
      </c>
      <c r="G198" s="68" t="s">
        <v>31</v>
      </c>
      <c r="H198" s="64">
        <f>SUM(H192:H197)</f>
        <v>585524.42795454536</v>
      </c>
      <c r="I198" s="79"/>
      <c r="J198" s="52"/>
      <c r="K198" s="156"/>
      <c r="L198" s="383"/>
      <c r="M198" s="542"/>
      <c r="N198" s="578">
        <f t="shared" si="8"/>
        <v>-585524.42795454536</v>
      </c>
      <c r="O198" s="678"/>
      <c r="P198" s="678"/>
      <c r="Q198" s="678"/>
      <c r="R198" s="678"/>
      <c r="S198" s="678"/>
      <c r="T198" s="678"/>
      <c r="U198" s="678"/>
      <c r="V198" s="680"/>
      <c r="W198" s="680"/>
      <c r="X198" s="680"/>
      <c r="Y198" s="680"/>
      <c r="Z198" s="680"/>
      <c r="AA198" s="680"/>
      <c r="AB198" s="680"/>
      <c r="AC198" s="681"/>
      <c r="AD198" s="678"/>
      <c r="AE198" s="678"/>
      <c r="AF198" s="678"/>
      <c r="AG198" s="678"/>
      <c r="AH198" s="678"/>
      <c r="AI198" s="678"/>
      <c r="AJ198" s="678"/>
      <c r="AK198" s="658"/>
    </row>
    <row r="199" spans="2:37" s="5" customFormat="1">
      <c r="B199" s="313"/>
      <c r="C199" s="835"/>
      <c r="D199" s="19" t="s">
        <v>32</v>
      </c>
      <c r="E199" s="67" t="s">
        <v>16</v>
      </c>
      <c r="F199" s="84">
        <f>SUM(H192:H197)</f>
        <v>585524.42795454536</v>
      </c>
      <c r="G199" s="92">
        <f>$G$43</f>
        <v>8.3299999999999999E-2</v>
      </c>
      <c r="H199" s="64">
        <f>+G199*F199</f>
        <v>48774.18484861363</v>
      </c>
      <c r="I199" s="93"/>
      <c r="J199" s="52"/>
      <c r="K199" s="156"/>
      <c r="L199" s="383"/>
      <c r="M199" s="542"/>
      <c r="N199" s="578">
        <f t="shared" si="8"/>
        <v>-48774.18484861363</v>
      </c>
      <c r="O199" s="678"/>
      <c r="P199" s="678"/>
      <c r="Q199" s="678"/>
      <c r="R199" s="678"/>
      <c r="S199" s="678"/>
      <c r="T199" s="678"/>
      <c r="U199" s="678"/>
      <c r="V199" s="680"/>
      <c r="W199" s="680"/>
      <c r="X199" s="680"/>
      <c r="Y199" s="680"/>
      <c r="Z199" s="680"/>
      <c r="AA199" s="680"/>
      <c r="AB199" s="680"/>
      <c r="AC199" s="680"/>
      <c r="AD199" s="678"/>
      <c r="AE199" s="678"/>
      <c r="AF199" s="678"/>
      <c r="AG199" s="678"/>
      <c r="AH199" s="678"/>
      <c r="AI199" s="678"/>
      <c r="AJ199" s="678"/>
      <c r="AK199" s="658"/>
    </row>
    <row r="200" spans="2:37" s="5" customFormat="1">
      <c r="B200" s="313"/>
      <c r="C200" s="835"/>
      <c r="D200" s="19" t="s">
        <v>33</v>
      </c>
      <c r="E200" s="84">
        <f>F199/(5*F198)</f>
        <v>17743.164483471071</v>
      </c>
      <c r="F200" s="84">
        <f>E200*(F198*7)</f>
        <v>819734.19913636346</v>
      </c>
      <c r="G200" s="95">
        <f>$G$44</f>
        <v>20</v>
      </c>
      <c r="H200" s="64">
        <f>F200/G200</f>
        <v>40986.709956818173</v>
      </c>
      <c r="I200" s="72">
        <f>SUM(H198:H200)</f>
        <v>675285.32275997719</v>
      </c>
      <c r="J200" s="52">
        <f>SUM(G192:G200)</f>
        <v>32.683300000000003</v>
      </c>
      <c r="K200" s="156"/>
      <c r="L200" s="383"/>
      <c r="M200" s="542"/>
      <c r="N200" s="578">
        <f t="shared" si="8"/>
        <v>-40986.709956818173</v>
      </c>
      <c r="O200" s="678"/>
      <c r="P200" s="678"/>
      <c r="Q200" s="678"/>
      <c r="R200" s="678"/>
      <c r="S200" s="678"/>
      <c r="T200" s="678"/>
      <c r="U200" s="678"/>
      <c r="V200" s="681"/>
      <c r="W200" s="681"/>
      <c r="X200" s="681"/>
      <c r="Y200" s="681"/>
      <c r="Z200" s="681"/>
      <c r="AA200" s="681"/>
      <c r="AB200" s="681"/>
      <c r="AC200" s="681"/>
      <c r="AD200" s="678"/>
      <c r="AE200" s="678"/>
      <c r="AF200" s="678"/>
      <c r="AG200" s="678"/>
      <c r="AH200" s="678"/>
      <c r="AI200" s="678"/>
      <c r="AJ200" s="678"/>
      <c r="AK200" s="658"/>
    </row>
    <row r="201" spans="2:37" s="5" customFormat="1">
      <c r="B201" s="313"/>
      <c r="C201" s="835"/>
      <c r="D201" s="96"/>
      <c r="E201" s="9"/>
      <c r="F201" s="74"/>
      <c r="G201" s="97"/>
      <c r="H201" s="78"/>
      <c r="I201" s="79"/>
      <c r="J201" s="52"/>
      <c r="K201" s="156"/>
      <c r="L201" s="383"/>
      <c r="M201" s="542"/>
      <c r="N201" s="578">
        <f t="shared" si="8"/>
        <v>0</v>
      </c>
      <c r="O201" s="678"/>
      <c r="P201" s="678"/>
      <c r="Q201" s="678"/>
      <c r="R201" s="678"/>
      <c r="S201" s="678"/>
      <c r="T201" s="678"/>
      <c r="U201" s="678"/>
      <c r="V201" s="678"/>
      <c r="W201" s="678"/>
      <c r="X201" s="678"/>
      <c r="Y201" s="678"/>
      <c r="Z201" s="678"/>
      <c r="AA201" s="678"/>
      <c r="AB201" s="678"/>
      <c r="AC201" s="678"/>
      <c r="AD201" s="678"/>
      <c r="AE201" s="678"/>
      <c r="AF201" s="678"/>
      <c r="AG201" s="678"/>
      <c r="AH201" s="678"/>
      <c r="AI201" s="678"/>
      <c r="AJ201" s="678"/>
      <c r="AK201" s="658"/>
    </row>
    <row r="202" spans="2:37" s="5" customFormat="1" ht="15" customHeight="1">
      <c r="B202" s="317">
        <v>16</v>
      </c>
      <c r="C202" s="835" t="s">
        <v>877</v>
      </c>
      <c r="D202" s="80" t="s">
        <v>49</v>
      </c>
      <c r="E202" s="81">
        <v>44764</v>
      </c>
      <c r="F202" s="74"/>
      <c r="G202" s="75"/>
      <c r="H202" s="82"/>
      <c r="I202" s="83"/>
      <c r="J202" s="6"/>
      <c r="K202" s="156"/>
      <c r="L202" s="383"/>
      <c r="M202" s="542"/>
      <c r="N202" s="578">
        <f t="shared" si="8"/>
        <v>0</v>
      </c>
      <c r="O202" s="678"/>
      <c r="P202" s="678"/>
      <c r="Q202" s="678"/>
      <c r="R202" s="678"/>
      <c r="S202" s="678"/>
      <c r="T202" s="678"/>
      <c r="U202" s="678"/>
      <c r="V202" s="678"/>
      <c r="W202" s="678"/>
      <c r="X202" s="678"/>
      <c r="Y202" s="678"/>
      <c r="Z202" s="678"/>
      <c r="AA202" s="678"/>
      <c r="AB202" s="678"/>
      <c r="AC202" s="678"/>
      <c r="AD202" s="678"/>
      <c r="AE202" s="678"/>
      <c r="AF202" s="678"/>
      <c r="AG202" s="678"/>
      <c r="AH202" s="678"/>
      <c r="AI202" s="678"/>
      <c r="AJ202" s="678"/>
      <c r="AK202" s="658"/>
    </row>
    <row r="203" spans="2:37" s="5" customFormat="1">
      <c r="B203" s="313"/>
      <c r="C203" s="835"/>
      <c r="D203" s="17" t="s">
        <v>45</v>
      </c>
      <c r="E203" s="81" t="s">
        <v>27</v>
      </c>
      <c r="F203" s="84">
        <f>E202</f>
        <v>44764</v>
      </c>
      <c r="G203" s="99">
        <f>$F$3-5.4</f>
        <v>0.59999999999999964</v>
      </c>
      <c r="H203" s="64">
        <f>+G203*F203</f>
        <v>26858.399999999983</v>
      </c>
      <c r="I203" s="79"/>
      <c r="J203" s="52"/>
      <c r="K203" s="156"/>
      <c r="L203" s="383"/>
      <c r="M203" s="542"/>
      <c r="N203" s="578">
        <f t="shared" si="8"/>
        <v>-26858.399999999983</v>
      </c>
      <c r="O203" s="678"/>
      <c r="P203" s="678"/>
      <c r="Q203" s="678"/>
      <c r="R203" s="678"/>
      <c r="S203" s="678"/>
      <c r="T203" s="678"/>
      <c r="U203" s="678"/>
      <c r="V203" s="680"/>
      <c r="W203" s="680"/>
      <c r="X203" s="680"/>
      <c r="Y203" s="680"/>
      <c r="Z203" s="680"/>
      <c r="AA203" s="680"/>
      <c r="AB203" s="680"/>
      <c r="AC203" s="680"/>
      <c r="AD203" s="678"/>
      <c r="AE203" s="678"/>
      <c r="AF203" s="678"/>
      <c r="AG203" s="678"/>
      <c r="AH203" s="678"/>
      <c r="AI203" s="678"/>
      <c r="AJ203" s="678"/>
      <c r="AK203" s="658"/>
    </row>
    <row r="204" spans="2:37" s="5" customFormat="1">
      <c r="B204" s="313"/>
      <c r="C204" s="835"/>
      <c r="D204" s="17" t="s">
        <v>3</v>
      </c>
      <c r="E204" s="81" t="s">
        <v>27</v>
      </c>
      <c r="F204" s="84">
        <f>E202</f>
        <v>44764</v>
      </c>
      <c r="G204" s="64">
        <v>6</v>
      </c>
      <c r="H204" s="64">
        <f>+G204*F204</f>
        <v>268584</v>
      </c>
      <c r="I204" s="79"/>
      <c r="J204" s="52"/>
      <c r="K204" s="156"/>
      <c r="L204" s="383"/>
      <c r="M204" s="542"/>
      <c r="N204" s="578">
        <f t="shared" si="8"/>
        <v>-268584</v>
      </c>
      <c r="O204" s="678"/>
      <c r="P204" s="678"/>
      <c r="Q204" s="678"/>
      <c r="R204" s="678"/>
      <c r="S204" s="678"/>
      <c r="T204" s="678"/>
      <c r="U204" s="678"/>
      <c r="V204" s="680"/>
      <c r="W204" s="680"/>
      <c r="X204" s="680"/>
      <c r="Y204" s="680"/>
      <c r="Z204" s="680"/>
      <c r="AA204" s="680"/>
      <c r="AB204" s="680"/>
      <c r="AC204" s="680"/>
      <c r="AD204" s="678"/>
      <c r="AE204" s="678"/>
      <c r="AF204" s="678"/>
      <c r="AG204" s="678"/>
      <c r="AH204" s="678"/>
      <c r="AI204" s="678"/>
      <c r="AJ204" s="678"/>
      <c r="AK204" s="658"/>
    </row>
    <row r="205" spans="2:37" s="5" customFormat="1">
      <c r="B205" s="313"/>
      <c r="C205" s="835"/>
      <c r="D205" s="17" t="s">
        <v>28</v>
      </c>
      <c r="E205" s="88">
        <f>$H$5+2.5+2</f>
        <v>17.75</v>
      </c>
      <c r="F205" s="84">
        <f>E202/44*1.5</f>
        <v>1526.0454545454545</v>
      </c>
      <c r="G205" s="87">
        <v>6</v>
      </c>
      <c r="H205" s="64">
        <f>+G205*F205*E205</f>
        <v>162523.84090909091</v>
      </c>
      <c r="I205" s="79"/>
      <c r="J205" s="52"/>
      <c r="K205" s="156"/>
      <c r="L205" s="383"/>
      <c r="M205" s="542"/>
      <c r="N205" s="578">
        <f t="shared" si="8"/>
        <v>-162523.84090909091</v>
      </c>
      <c r="O205" s="678"/>
      <c r="P205" s="678"/>
      <c r="Q205" s="678"/>
      <c r="R205" s="678"/>
      <c r="S205" s="678"/>
      <c r="T205" s="678"/>
      <c r="U205" s="678"/>
      <c r="V205" s="680"/>
      <c r="W205" s="680"/>
      <c r="X205" s="680"/>
      <c r="Y205" s="680"/>
      <c r="Z205" s="680"/>
      <c r="AA205" s="680"/>
      <c r="AB205" s="680"/>
      <c r="AC205" s="680"/>
      <c r="AD205" s="678"/>
      <c r="AE205" s="678"/>
      <c r="AF205" s="678"/>
      <c r="AG205" s="678"/>
      <c r="AH205" s="678"/>
      <c r="AI205" s="678"/>
      <c r="AJ205" s="678"/>
      <c r="AK205" s="658"/>
    </row>
    <row r="206" spans="2:37" s="5" customFormat="1">
      <c r="B206" s="313"/>
      <c r="C206" s="835"/>
      <c r="D206" s="17" t="s">
        <v>1</v>
      </c>
      <c r="E206" s="67" t="s">
        <v>29</v>
      </c>
      <c r="F206" s="84">
        <f>E202/5*1.5</f>
        <v>13429.199999999999</v>
      </c>
      <c r="G206" s="64">
        <f>$H$3</f>
        <v>0</v>
      </c>
      <c r="H206" s="64">
        <f>+G206*F206</f>
        <v>0</v>
      </c>
      <c r="I206" s="79"/>
      <c r="J206" s="52"/>
      <c r="K206" s="156"/>
      <c r="L206" s="383"/>
      <c r="M206" s="542"/>
      <c r="N206" s="578">
        <f t="shared" si="8"/>
        <v>0</v>
      </c>
      <c r="O206" s="678"/>
      <c r="P206" s="678"/>
      <c r="Q206" s="678"/>
      <c r="R206" s="678"/>
      <c r="S206" s="678"/>
      <c r="T206" s="678"/>
      <c r="U206" s="678"/>
      <c r="V206" s="680"/>
      <c r="W206" s="680"/>
      <c r="X206" s="680"/>
      <c r="Y206" s="680"/>
      <c r="Z206" s="680"/>
      <c r="AA206" s="680"/>
      <c r="AB206" s="680"/>
      <c r="AC206" s="680"/>
      <c r="AD206" s="678"/>
      <c r="AE206" s="678"/>
      <c r="AF206" s="678"/>
      <c r="AG206" s="678"/>
      <c r="AH206" s="678"/>
      <c r="AI206" s="678"/>
      <c r="AJ206" s="678"/>
      <c r="AK206" s="658"/>
    </row>
    <row r="207" spans="2:37" s="5" customFormat="1">
      <c r="B207" s="313"/>
      <c r="C207" s="835"/>
      <c r="D207" s="17" t="s">
        <v>4</v>
      </c>
      <c r="E207" s="67" t="s">
        <v>29</v>
      </c>
      <c r="F207" s="84">
        <f>E202/5*2</f>
        <v>17905.599999999999</v>
      </c>
      <c r="G207" s="64">
        <f>$H$4</f>
        <v>0</v>
      </c>
      <c r="H207" s="64">
        <f>+G207*F207</f>
        <v>0</v>
      </c>
      <c r="I207" s="79"/>
      <c r="J207" s="52"/>
      <c r="K207" s="156"/>
      <c r="L207" s="383"/>
      <c r="M207" s="542"/>
      <c r="N207" s="578">
        <f t="shared" si="8"/>
        <v>0</v>
      </c>
      <c r="O207" s="678"/>
      <c r="P207" s="678"/>
      <c r="Q207" s="678"/>
      <c r="R207" s="678"/>
      <c r="S207" s="678"/>
      <c r="T207" s="678"/>
      <c r="U207" s="678"/>
      <c r="V207" s="680"/>
      <c r="W207" s="680"/>
      <c r="X207" s="680"/>
      <c r="Y207" s="680"/>
      <c r="Z207" s="680"/>
      <c r="AA207" s="680"/>
      <c r="AB207" s="680"/>
      <c r="AC207" s="680"/>
      <c r="AD207" s="678"/>
      <c r="AE207" s="678"/>
      <c r="AF207" s="678"/>
      <c r="AG207" s="678"/>
      <c r="AH207" s="678"/>
      <c r="AI207" s="678"/>
      <c r="AJ207" s="678"/>
      <c r="AK207" s="658"/>
    </row>
    <row r="208" spans="2:37" s="5" customFormat="1">
      <c r="B208" s="313"/>
      <c r="C208" s="835"/>
      <c r="D208" s="17" t="s">
        <v>46</v>
      </c>
      <c r="E208" s="81" t="s">
        <v>27</v>
      </c>
      <c r="F208" s="84">
        <f>E202</f>
        <v>44764</v>
      </c>
      <c r="G208" s="99">
        <v>0.2</v>
      </c>
      <c r="H208" s="64">
        <f>+G208*F208</f>
        <v>8952.8000000000011</v>
      </c>
      <c r="I208" s="79"/>
      <c r="J208" s="52"/>
      <c r="K208" s="156"/>
      <c r="L208" s="383"/>
      <c r="M208" s="542"/>
      <c r="N208" s="578">
        <f t="shared" si="8"/>
        <v>-8952.8000000000011</v>
      </c>
      <c r="O208" s="678"/>
      <c r="P208" s="678"/>
      <c r="Q208" s="678"/>
      <c r="R208" s="678"/>
      <c r="S208" s="678"/>
      <c r="T208" s="678"/>
      <c r="U208" s="678"/>
      <c r="V208" s="680"/>
      <c r="W208" s="680"/>
      <c r="X208" s="680"/>
      <c r="Y208" s="680"/>
      <c r="Z208" s="680"/>
      <c r="AA208" s="680"/>
      <c r="AB208" s="680"/>
      <c r="AC208" s="680"/>
      <c r="AD208" s="678"/>
      <c r="AE208" s="678"/>
      <c r="AF208" s="678"/>
      <c r="AG208" s="678"/>
      <c r="AH208" s="678"/>
      <c r="AI208" s="678"/>
      <c r="AJ208" s="678"/>
      <c r="AK208" s="658"/>
    </row>
    <row r="209" spans="2:37" s="5" customFormat="1">
      <c r="B209" s="313"/>
      <c r="C209" s="835"/>
      <c r="D209" s="17" t="s">
        <v>30</v>
      </c>
      <c r="E209" s="67" t="s">
        <v>16</v>
      </c>
      <c r="F209" s="101">
        <f>G203+G204+G208</f>
        <v>6.8</v>
      </c>
      <c r="G209" s="68" t="s">
        <v>31</v>
      </c>
      <c r="H209" s="64">
        <f>SUM(H203:H208)</f>
        <v>466919.04090909084</v>
      </c>
      <c r="I209" s="79"/>
      <c r="J209" s="52"/>
      <c r="K209" s="156"/>
      <c r="L209" s="383"/>
      <c r="M209" s="542"/>
      <c r="N209" s="578">
        <f t="shared" si="8"/>
        <v>-466919.04090909084</v>
      </c>
      <c r="O209" s="678"/>
      <c r="P209" s="678"/>
      <c r="Q209" s="678"/>
      <c r="R209" s="678"/>
      <c r="S209" s="678"/>
      <c r="T209" s="678"/>
      <c r="U209" s="678"/>
      <c r="V209" s="680"/>
      <c r="W209" s="680"/>
      <c r="X209" s="680"/>
      <c r="Y209" s="680"/>
      <c r="Z209" s="680"/>
      <c r="AA209" s="680"/>
      <c r="AB209" s="680"/>
      <c r="AC209" s="681"/>
      <c r="AD209" s="678"/>
      <c r="AE209" s="678"/>
      <c r="AF209" s="678"/>
      <c r="AG209" s="678"/>
      <c r="AH209" s="678"/>
      <c r="AI209" s="678"/>
      <c r="AJ209" s="678"/>
      <c r="AK209" s="658"/>
    </row>
    <row r="210" spans="2:37" s="5" customFormat="1">
      <c r="B210" s="313"/>
      <c r="C210" s="835"/>
      <c r="D210" s="19" t="s">
        <v>32</v>
      </c>
      <c r="E210" s="67" t="s">
        <v>16</v>
      </c>
      <c r="F210" s="84">
        <f>SUM(H203:H208)</f>
        <v>466919.04090909084</v>
      </c>
      <c r="G210" s="92">
        <f>$G$43</f>
        <v>8.3299999999999999E-2</v>
      </c>
      <c r="H210" s="64">
        <f>+G210*F210</f>
        <v>38894.356107727268</v>
      </c>
      <c r="I210" s="93"/>
      <c r="J210" s="52"/>
      <c r="K210" s="156"/>
      <c r="L210" s="383"/>
      <c r="M210" s="542"/>
      <c r="N210" s="578">
        <f t="shared" si="8"/>
        <v>-38894.356107727268</v>
      </c>
      <c r="O210" s="678"/>
      <c r="P210" s="678"/>
      <c r="Q210" s="678"/>
      <c r="R210" s="678"/>
      <c r="S210" s="678"/>
      <c r="T210" s="678"/>
      <c r="U210" s="678"/>
      <c r="V210" s="680"/>
      <c r="W210" s="680"/>
      <c r="X210" s="680"/>
      <c r="Y210" s="680"/>
      <c r="Z210" s="680"/>
      <c r="AA210" s="680"/>
      <c r="AB210" s="680"/>
      <c r="AC210" s="680"/>
      <c r="AD210" s="678"/>
      <c r="AE210" s="678"/>
      <c r="AF210" s="678"/>
      <c r="AG210" s="678"/>
      <c r="AH210" s="678"/>
      <c r="AI210" s="678"/>
      <c r="AJ210" s="678"/>
      <c r="AK210" s="658"/>
    </row>
    <row r="211" spans="2:37" s="5" customFormat="1">
      <c r="B211" s="313"/>
      <c r="C211" s="835"/>
      <c r="D211" s="19" t="s">
        <v>33</v>
      </c>
      <c r="E211" s="84">
        <f>F210/(5*F209)</f>
        <v>13732.912967914437</v>
      </c>
      <c r="F211" s="84">
        <f>E211*(F209*7)</f>
        <v>653686.65727272723</v>
      </c>
      <c r="G211" s="95">
        <f>$G$44</f>
        <v>20</v>
      </c>
      <c r="H211" s="64">
        <f>F211/G211</f>
        <v>32684.332863636362</v>
      </c>
      <c r="I211" s="72">
        <f>SUM(H209:H211)</f>
        <v>538497.72988045448</v>
      </c>
      <c r="J211" s="52">
        <f>SUM(G203:G211)</f>
        <v>32.883299999999998</v>
      </c>
      <c r="K211" s="156"/>
      <c r="L211" s="383"/>
      <c r="M211" s="542"/>
      <c r="N211" s="578">
        <f t="shared" si="8"/>
        <v>-32684.332863636362</v>
      </c>
      <c r="O211" s="678"/>
      <c r="P211" s="678"/>
      <c r="Q211" s="678"/>
      <c r="R211" s="678"/>
      <c r="S211" s="678"/>
      <c r="T211" s="678"/>
      <c r="U211" s="678"/>
      <c r="V211" s="681"/>
      <c r="W211" s="681"/>
      <c r="X211" s="681"/>
      <c r="Y211" s="681"/>
      <c r="Z211" s="681"/>
      <c r="AA211" s="681"/>
      <c r="AB211" s="681"/>
      <c r="AC211" s="681"/>
      <c r="AD211" s="678"/>
      <c r="AE211" s="678"/>
      <c r="AF211" s="678"/>
      <c r="AG211" s="678"/>
      <c r="AH211" s="678"/>
      <c r="AI211" s="678"/>
      <c r="AJ211" s="678"/>
      <c r="AK211" s="658"/>
    </row>
    <row r="212" spans="2:37" s="5" customFormat="1">
      <c r="B212" s="313"/>
      <c r="C212" s="835"/>
      <c r="D212" s="96"/>
      <c r="E212" s="100"/>
      <c r="F212" s="74"/>
      <c r="G212" s="97"/>
      <c r="H212" s="78"/>
      <c r="I212" s="79"/>
      <c r="J212" s="52"/>
      <c r="K212" s="156"/>
      <c r="L212" s="383"/>
      <c r="M212" s="542"/>
      <c r="N212" s="578">
        <f t="shared" si="8"/>
        <v>0</v>
      </c>
      <c r="O212" s="678"/>
      <c r="P212" s="678"/>
      <c r="Q212" s="678"/>
      <c r="R212" s="678"/>
      <c r="S212" s="678"/>
      <c r="T212" s="678"/>
      <c r="U212" s="678"/>
      <c r="V212" s="678"/>
      <c r="W212" s="678"/>
      <c r="X212" s="678"/>
      <c r="Y212" s="678"/>
      <c r="Z212" s="678"/>
      <c r="AA212" s="678"/>
      <c r="AB212" s="678"/>
      <c r="AC212" s="678"/>
      <c r="AD212" s="678"/>
      <c r="AE212" s="678"/>
      <c r="AF212" s="678"/>
      <c r="AG212" s="678"/>
      <c r="AH212" s="678"/>
      <c r="AI212" s="678"/>
      <c r="AJ212" s="678"/>
      <c r="AK212" s="658"/>
    </row>
    <row r="213" spans="2:37" s="5" customFormat="1" ht="15" customHeight="1">
      <c r="B213" s="317">
        <v>17</v>
      </c>
      <c r="C213" s="835" t="s">
        <v>878</v>
      </c>
      <c r="D213" s="80" t="s">
        <v>50</v>
      </c>
      <c r="E213" s="81">
        <v>57232.2</v>
      </c>
      <c r="F213" s="74"/>
      <c r="G213" s="75"/>
      <c r="H213" s="82"/>
      <c r="I213" s="83"/>
      <c r="J213" s="6"/>
      <c r="K213" s="156"/>
      <c r="L213" s="383"/>
      <c r="M213" s="542"/>
      <c r="N213" s="578">
        <f t="shared" si="8"/>
        <v>0</v>
      </c>
      <c r="O213" s="678"/>
      <c r="P213" s="678"/>
      <c r="Q213" s="678"/>
      <c r="R213" s="678"/>
      <c r="S213" s="678"/>
      <c r="T213" s="678"/>
      <c r="U213" s="678"/>
      <c r="V213" s="678"/>
      <c r="W213" s="678"/>
      <c r="X213" s="678"/>
      <c r="Y213" s="678"/>
      <c r="Z213" s="678"/>
      <c r="AA213" s="678"/>
      <c r="AB213" s="678"/>
      <c r="AC213" s="678"/>
      <c r="AD213" s="678"/>
      <c r="AE213" s="678"/>
      <c r="AF213" s="678"/>
      <c r="AG213" s="678"/>
      <c r="AH213" s="678"/>
      <c r="AI213" s="678"/>
      <c r="AJ213" s="678"/>
      <c r="AK213" s="658"/>
    </row>
    <row r="214" spans="2:37" s="5" customFormat="1">
      <c r="B214" s="313"/>
      <c r="C214" s="835"/>
      <c r="D214" s="17" t="s">
        <v>319</v>
      </c>
      <c r="E214" s="81" t="s">
        <v>27</v>
      </c>
      <c r="F214" s="84">
        <f>E213</f>
        <v>57232.2</v>
      </c>
      <c r="G214" s="99">
        <v>1</v>
      </c>
      <c r="H214" s="64">
        <f>+G214*F214</f>
        <v>57232.2</v>
      </c>
      <c r="I214" s="79"/>
      <c r="J214" s="52"/>
      <c r="K214" s="156"/>
      <c r="L214" s="383"/>
      <c r="M214" s="542"/>
      <c r="N214" s="578">
        <f t="shared" si="8"/>
        <v>-57232.2</v>
      </c>
      <c r="O214" s="678"/>
      <c r="P214" s="678"/>
      <c r="Q214" s="678"/>
      <c r="R214" s="678"/>
      <c r="S214" s="678"/>
      <c r="T214" s="678"/>
      <c r="U214" s="678"/>
      <c r="V214" s="680"/>
      <c r="W214" s="680"/>
      <c r="X214" s="680"/>
      <c r="Y214" s="680"/>
      <c r="Z214" s="680"/>
      <c r="AA214" s="680"/>
      <c r="AB214" s="680"/>
      <c r="AC214" s="680"/>
      <c r="AD214" s="678"/>
      <c r="AE214" s="678"/>
      <c r="AF214" s="678"/>
      <c r="AG214" s="678"/>
      <c r="AH214" s="678"/>
      <c r="AI214" s="678"/>
      <c r="AJ214" s="678"/>
      <c r="AK214" s="658"/>
    </row>
    <row r="215" spans="2:37" s="5" customFormat="1">
      <c r="B215" s="313"/>
      <c r="C215" s="835"/>
      <c r="D215" s="17" t="s">
        <v>3</v>
      </c>
      <c r="E215" s="81" t="s">
        <v>27</v>
      </c>
      <c r="F215" s="84">
        <f>E213</f>
        <v>57232.2</v>
      </c>
      <c r="G215" s="64">
        <v>6</v>
      </c>
      <c r="H215" s="64">
        <f>+G215*F215</f>
        <v>343393.19999999995</v>
      </c>
      <c r="I215" s="79"/>
      <c r="J215" s="52"/>
      <c r="K215" s="156"/>
      <c r="L215" s="383"/>
      <c r="M215" s="542"/>
      <c r="N215" s="578">
        <f t="shared" si="8"/>
        <v>-343393.19999999995</v>
      </c>
      <c r="O215" s="678"/>
      <c r="P215" s="678"/>
      <c r="Q215" s="678"/>
      <c r="R215" s="678"/>
      <c r="S215" s="678"/>
      <c r="T215" s="678"/>
      <c r="U215" s="678"/>
      <c r="V215" s="680"/>
      <c r="W215" s="680"/>
      <c r="X215" s="680"/>
      <c r="Y215" s="680"/>
      <c r="Z215" s="680"/>
      <c r="AA215" s="680"/>
      <c r="AB215" s="680"/>
      <c r="AC215" s="680"/>
      <c r="AD215" s="678"/>
      <c r="AE215" s="678"/>
      <c r="AF215" s="678"/>
      <c r="AG215" s="678"/>
      <c r="AH215" s="678"/>
      <c r="AI215" s="678"/>
      <c r="AJ215" s="678"/>
      <c r="AK215" s="658"/>
    </row>
    <row r="216" spans="2:37" s="5" customFormat="1">
      <c r="B216" s="313"/>
      <c r="C216" s="835"/>
      <c r="D216" s="17" t="s">
        <v>28</v>
      </c>
      <c r="E216" s="88">
        <f>$H$5+2.5+2</f>
        <v>17.75</v>
      </c>
      <c r="F216" s="84">
        <f>E213/44*1.5</f>
        <v>1951.0977272727273</v>
      </c>
      <c r="G216" s="87">
        <v>6</v>
      </c>
      <c r="H216" s="64">
        <f>+G216*F216*E216</f>
        <v>207791.90795454546</v>
      </c>
      <c r="I216" s="79"/>
      <c r="J216" s="52"/>
      <c r="K216" s="156"/>
      <c r="L216" s="383"/>
      <c r="M216" s="542"/>
      <c r="N216" s="578">
        <f t="shared" si="8"/>
        <v>-207791.90795454546</v>
      </c>
      <c r="O216" s="678"/>
      <c r="P216" s="678"/>
      <c r="Q216" s="678"/>
      <c r="R216" s="678"/>
      <c r="S216" s="678"/>
      <c r="T216" s="678"/>
      <c r="U216" s="678"/>
      <c r="V216" s="680"/>
      <c r="W216" s="680"/>
      <c r="X216" s="680"/>
      <c r="Y216" s="680"/>
      <c r="Z216" s="680"/>
      <c r="AA216" s="680"/>
      <c r="AB216" s="680"/>
      <c r="AC216" s="680"/>
      <c r="AD216" s="678"/>
      <c r="AE216" s="678"/>
      <c r="AF216" s="678"/>
      <c r="AG216" s="678"/>
      <c r="AH216" s="678"/>
      <c r="AI216" s="678"/>
      <c r="AJ216" s="678"/>
      <c r="AK216" s="658"/>
    </row>
    <row r="217" spans="2:37" s="5" customFormat="1">
      <c r="B217" s="313"/>
      <c r="C217" s="835"/>
      <c r="D217" s="17" t="s">
        <v>1</v>
      </c>
      <c r="E217" s="67" t="s">
        <v>29</v>
      </c>
      <c r="F217" s="84">
        <f>E213/5*1.5</f>
        <v>17169.659999999996</v>
      </c>
      <c r="G217" s="64">
        <f>$H$3</f>
        <v>0</v>
      </c>
      <c r="H217" s="64">
        <f>+G217*F217</f>
        <v>0</v>
      </c>
      <c r="I217" s="79"/>
      <c r="J217" s="52"/>
      <c r="K217" s="156"/>
      <c r="L217" s="383"/>
      <c r="M217" s="542"/>
      <c r="N217" s="578">
        <f t="shared" si="8"/>
        <v>0</v>
      </c>
      <c r="O217" s="678"/>
      <c r="P217" s="678"/>
      <c r="Q217" s="678"/>
      <c r="R217" s="678"/>
      <c r="S217" s="678"/>
      <c r="T217" s="678"/>
      <c r="U217" s="678"/>
      <c r="V217" s="680"/>
      <c r="W217" s="680"/>
      <c r="X217" s="680"/>
      <c r="Y217" s="680"/>
      <c r="Z217" s="680"/>
      <c r="AA217" s="680"/>
      <c r="AB217" s="680"/>
      <c r="AC217" s="680"/>
      <c r="AD217" s="678"/>
      <c r="AE217" s="678"/>
      <c r="AF217" s="678"/>
      <c r="AG217" s="678"/>
      <c r="AH217" s="678"/>
      <c r="AI217" s="678"/>
      <c r="AJ217" s="678"/>
      <c r="AK217" s="658"/>
    </row>
    <row r="218" spans="2:37" s="5" customFormat="1">
      <c r="B218" s="313"/>
      <c r="C218" s="835"/>
      <c r="D218" s="17" t="s">
        <v>4</v>
      </c>
      <c r="E218" s="67" t="s">
        <v>29</v>
      </c>
      <c r="F218" s="84">
        <f>E213/5*2</f>
        <v>22892.879999999997</v>
      </c>
      <c r="G218" s="64">
        <f>$H$4</f>
        <v>0</v>
      </c>
      <c r="H218" s="64">
        <f>+G218*F218</f>
        <v>0</v>
      </c>
      <c r="I218" s="79"/>
      <c r="J218" s="52"/>
      <c r="K218" s="156"/>
      <c r="L218" s="383"/>
      <c r="M218" s="542"/>
      <c r="N218" s="578">
        <f t="shared" si="8"/>
        <v>0</v>
      </c>
      <c r="O218" s="678"/>
      <c r="P218" s="678"/>
      <c r="Q218" s="678"/>
      <c r="R218" s="678"/>
      <c r="S218" s="678"/>
      <c r="T218" s="678"/>
      <c r="U218" s="678"/>
      <c r="V218" s="680"/>
      <c r="W218" s="680"/>
      <c r="X218" s="680"/>
      <c r="Y218" s="680"/>
      <c r="Z218" s="680"/>
      <c r="AA218" s="680"/>
      <c r="AB218" s="680"/>
      <c r="AC218" s="680"/>
      <c r="AD218" s="678"/>
      <c r="AE218" s="678"/>
      <c r="AF218" s="678"/>
      <c r="AG218" s="678"/>
      <c r="AH218" s="678"/>
      <c r="AI218" s="678"/>
      <c r="AJ218" s="678"/>
      <c r="AK218" s="658"/>
    </row>
    <row r="219" spans="2:37" s="5" customFormat="1">
      <c r="B219" s="313"/>
      <c r="C219" s="835"/>
      <c r="D219" s="17" t="s">
        <v>46</v>
      </c>
      <c r="E219" s="81" t="s">
        <v>27</v>
      </c>
      <c r="F219" s="84">
        <f>E213</f>
        <v>57232.2</v>
      </c>
      <c r="G219" s="99">
        <v>0.2</v>
      </c>
      <c r="H219" s="64">
        <f>+G219*F219</f>
        <v>11446.44</v>
      </c>
      <c r="I219" s="79"/>
      <c r="J219" s="52"/>
      <c r="K219" s="156"/>
      <c r="L219" s="383"/>
      <c r="M219" s="542"/>
      <c r="N219" s="578">
        <f t="shared" si="8"/>
        <v>-11446.44</v>
      </c>
      <c r="O219" s="678"/>
      <c r="P219" s="678"/>
      <c r="Q219" s="678"/>
      <c r="R219" s="678"/>
      <c r="S219" s="678"/>
      <c r="T219" s="678"/>
      <c r="U219" s="678"/>
      <c r="V219" s="680"/>
      <c r="W219" s="680"/>
      <c r="X219" s="680"/>
      <c r="Y219" s="680"/>
      <c r="Z219" s="680"/>
      <c r="AA219" s="680"/>
      <c r="AB219" s="680"/>
      <c r="AC219" s="680"/>
      <c r="AD219" s="678"/>
      <c r="AE219" s="678"/>
      <c r="AF219" s="678"/>
      <c r="AG219" s="678"/>
      <c r="AH219" s="678"/>
      <c r="AI219" s="678"/>
      <c r="AJ219" s="678"/>
      <c r="AK219" s="658"/>
    </row>
    <row r="220" spans="2:37" s="5" customFormat="1">
      <c r="B220" s="313"/>
      <c r="C220" s="835"/>
      <c r="D220" s="17" t="s">
        <v>30</v>
      </c>
      <c r="E220" s="67" t="s">
        <v>16</v>
      </c>
      <c r="F220" s="101">
        <f>G214+G215+G219</f>
        <v>7.2</v>
      </c>
      <c r="G220" s="68" t="s">
        <v>31</v>
      </c>
      <c r="H220" s="64">
        <f>SUM(H214:H219)</f>
        <v>619863.74795454531</v>
      </c>
      <c r="I220" s="79"/>
      <c r="J220" s="52"/>
      <c r="K220" s="156"/>
      <c r="L220" s="383"/>
      <c r="M220" s="542"/>
      <c r="N220" s="578">
        <f t="shared" si="8"/>
        <v>-619863.74795454531</v>
      </c>
      <c r="O220" s="678"/>
      <c r="P220" s="678"/>
      <c r="Q220" s="678"/>
      <c r="R220" s="678"/>
      <c r="S220" s="678"/>
      <c r="T220" s="678"/>
      <c r="U220" s="678"/>
      <c r="V220" s="680"/>
      <c r="W220" s="680"/>
      <c r="X220" s="680"/>
      <c r="Y220" s="680"/>
      <c r="Z220" s="680"/>
      <c r="AA220" s="680"/>
      <c r="AB220" s="680"/>
      <c r="AC220" s="681"/>
      <c r="AD220" s="678"/>
      <c r="AE220" s="678"/>
      <c r="AF220" s="678"/>
      <c r="AG220" s="678"/>
      <c r="AH220" s="678"/>
      <c r="AI220" s="678"/>
      <c r="AJ220" s="678"/>
      <c r="AK220" s="658"/>
    </row>
    <row r="221" spans="2:37" s="5" customFormat="1">
      <c r="B221" s="313"/>
      <c r="C221" s="835"/>
      <c r="D221" s="19" t="s">
        <v>32</v>
      </c>
      <c r="E221" s="67" t="s">
        <v>16</v>
      </c>
      <c r="F221" s="84">
        <f>SUM(H214:H219)</f>
        <v>619863.74795454531</v>
      </c>
      <c r="G221" s="92">
        <f>$G$43</f>
        <v>8.3299999999999999E-2</v>
      </c>
      <c r="H221" s="64">
        <f>+G221*F221</f>
        <v>51634.650204613623</v>
      </c>
      <c r="I221" s="93"/>
      <c r="J221" s="52"/>
      <c r="K221" s="156"/>
      <c r="L221" s="383"/>
      <c r="M221" s="542"/>
      <c r="N221" s="578">
        <f t="shared" si="8"/>
        <v>-51634.650204613623</v>
      </c>
      <c r="O221" s="678"/>
      <c r="P221" s="678"/>
      <c r="Q221" s="678"/>
      <c r="R221" s="678"/>
      <c r="S221" s="678"/>
      <c r="T221" s="678"/>
      <c r="U221" s="678"/>
      <c r="V221" s="680"/>
      <c r="W221" s="680"/>
      <c r="X221" s="680"/>
      <c r="Y221" s="680"/>
      <c r="Z221" s="680"/>
      <c r="AA221" s="680"/>
      <c r="AB221" s="680"/>
      <c r="AC221" s="680"/>
      <c r="AD221" s="678"/>
      <c r="AE221" s="678"/>
      <c r="AF221" s="678"/>
      <c r="AG221" s="678"/>
      <c r="AH221" s="678"/>
      <c r="AI221" s="678"/>
      <c r="AJ221" s="678"/>
      <c r="AK221" s="658"/>
    </row>
    <row r="222" spans="2:37" s="5" customFormat="1">
      <c r="B222" s="313"/>
      <c r="C222" s="835"/>
      <c r="D222" s="19" t="s">
        <v>33</v>
      </c>
      <c r="E222" s="84">
        <f>F221/(5*F220)</f>
        <v>17218.437443181814</v>
      </c>
      <c r="F222" s="84">
        <f>E222*(F220*7)</f>
        <v>867809.24713636341</v>
      </c>
      <c r="G222" s="95">
        <f>$G$44</f>
        <v>20</v>
      </c>
      <c r="H222" s="64">
        <f>F222/G222</f>
        <v>43390.462356818171</v>
      </c>
      <c r="I222" s="72">
        <f>SUM(H220:H222)</f>
        <v>714888.86051597702</v>
      </c>
      <c r="J222" s="52">
        <f>SUM(G214:G222)</f>
        <v>33.283299999999997</v>
      </c>
      <c r="K222" s="156"/>
      <c r="L222" s="383"/>
      <c r="M222" s="542"/>
      <c r="N222" s="578">
        <f t="shared" si="8"/>
        <v>-43390.462356818171</v>
      </c>
      <c r="O222" s="678"/>
      <c r="P222" s="678"/>
      <c r="Q222" s="678"/>
      <c r="R222" s="678"/>
      <c r="S222" s="678"/>
      <c r="T222" s="678"/>
      <c r="U222" s="678"/>
      <c r="V222" s="681"/>
      <c r="W222" s="681"/>
      <c r="X222" s="681"/>
      <c r="Y222" s="681"/>
      <c r="Z222" s="681"/>
      <c r="AA222" s="681"/>
      <c r="AB222" s="681"/>
      <c r="AC222" s="681"/>
      <c r="AD222" s="678"/>
      <c r="AE222" s="678"/>
      <c r="AF222" s="678"/>
      <c r="AG222" s="678"/>
      <c r="AH222" s="678"/>
      <c r="AI222" s="678"/>
      <c r="AJ222" s="678"/>
      <c r="AK222" s="658"/>
    </row>
    <row r="223" spans="2:37" s="5" customFormat="1">
      <c r="B223" s="313"/>
      <c r="C223" s="835"/>
      <c r="D223" s="96"/>
      <c r="E223" s="100"/>
      <c r="F223" s="74"/>
      <c r="G223" s="97"/>
      <c r="H223" s="78"/>
      <c r="I223" s="79"/>
      <c r="J223" s="52"/>
      <c r="K223" s="156"/>
      <c r="L223" s="383"/>
      <c r="M223" s="542"/>
      <c r="N223" s="578">
        <f t="shared" si="8"/>
        <v>0</v>
      </c>
      <c r="O223" s="678"/>
      <c r="P223" s="678"/>
      <c r="Q223" s="678"/>
      <c r="R223" s="678"/>
      <c r="S223" s="678"/>
      <c r="T223" s="678"/>
      <c r="U223" s="678"/>
      <c r="V223" s="678"/>
      <c r="W223" s="678"/>
      <c r="X223" s="678"/>
      <c r="Y223" s="678"/>
      <c r="Z223" s="678"/>
      <c r="AA223" s="678"/>
      <c r="AB223" s="678"/>
      <c r="AC223" s="678"/>
      <c r="AD223" s="678"/>
      <c r="AE223" s="678"/>
      <c r="AF223" s="678"/>
      <c r="AG223" s="678"/>
      <c r="AH223" s="678"/>
      <c r="AI223" s="678"/>
      <c r="AJ223" s="678"/>
      <c r="AK223" s="658"/>
    </row>
    <row r="224" spans="2:37" s="5" customFormat="1" ht="15" customHeight="1">
      <c r="B224" s="317">
        <v>18</v>
      </c>
      <c r="C224" s="835" t="s">
        <v>879</v>
      </c>
      <c r="D224" s="80" t="s">
        <v>51</v>
      </c>
      <c r="E224" s="81">
        <v>52273.75</v>
      </c>
      <c r="F224" s="81">
        <f>+E224</f>
        <v>52273.75</v>
      </c>
      <c r="G224" s="75"/>
      <c r="H224" s="82"/>
      <c r="I224" s="83"/>
      <c r="J224" s="6"/>
      <c r="K224" s="193"/>
      <c r="L224" s="388"/>
      <c r="M224" s="597"/>
      <c r="N224" s="578">
        <f t="shared" si="8"/>
        <v>0</v>
      </c>
      <c r="O224" s="678"/>
      <c r="P224" s="678"/>
      <c r="Q224" s="678"/>
      <c r="R224" s="678"/>
      <c r="S224" s="678"/>
      <c r="T224" s="678"/>
      <c r="U224" s="678"/>
      <c r="V224" s="678"/>
      <c r="W224" s="678"/>
      <c r="X224" s="678"/>
      <c r="Y224" s="678"/>
      <c r="Z224" s="678"/>
      <c r="AA224" s="678"/>
      <c r="AB224" s="678"/>
      <c r="AC224" s="678"/>
      <c r="AD224" s="678"/>
      <c r="AE224" s="678"/>
      <c r="AF224" s="678"/>
      <c r="AG224" s="678"/>
      <c r="AH224" s="678"/>
      <c r="AI224" s="678"/>
      <c r="AJ224" s="678"/>
      <c r="AK224" s="658"/>
    </row>
    <row r="225" spans="2:37" s="5" customFormat="1">
      <c r="B225" s="313"/>
      <c r="C225" s="835"/>
      <c r="D225" s="17" t="s">
        <v>316</v>
      </c>
      <c r="E225" s="81" t="s">
        <v>27</v>
      </c>
      <c r="F225" s="84">
        <f>E224</f>
        <v>52273.75</v>
      </c>
      <c r="G225" s="99">
        <v>0.6</v>
      </c>
      <c r="H225" s="64">
        <f>+G225*F225</f>
        <v>31364.25</v>
      </c>
      <c r="I225" s="79"/>
      <c r="J225" s="52"/>
      <c r="K225" s="193"/>
      <c r="L225" s="388"/>
      <c r="M225" s="597"/>
      <c r="N225" s="578">
        <f t="shared" si="8"/>
        <v>-31364.25</v>
      </c>
      <c r="O225" s="678"/>
      <c r="P225" s="678"/>
      <c r="Q225" s="678"/>
      <c r="R225" s="678"/>
      <c r="S225" s="678"/>
      <c r="T225" s="678"/>
      <c r="U225" s="678"/>
      <c r="V225" s="680"/>
      <c r="W225" s="680"/>
      <c r="X225" s="680"/>
      <c r="Y225" s="680"/>
      <c r="Z225" s="680"/>
      <c r="AA225" s="680"/>
      <c r="AB225" s="680"/>
      <c r="AC225" s="680"/>
      <c r="AD225" s="678"/>
      <c r="AE225" s="678"/>
      <c r="AF225" s="678"/>
      <c r="AG225" s="678"/>
      <c r="AH225" s="678"/>
      <c r="AI225" s="678"/>
      <c r="AJ225" s="678"/>
      <c r="AK225" s="658"/>
    </row>
    <row r="226" spans="2:37" s="5" customFormat="1">
      <c r="B226" s="313"/>
      <c r="C226" s="835"/>
      <c r="D226" s="17" t="s">
        <v>3</v>
      </c>
      <c r="E226" s="81" t="s">
        <v>27</v>
      </c>
      <c r="F226" s="84">
        <f>E224</f>
        <v>52273.75</v>
      </c>
      <c r="G226" s="64">
        <v>6</v>
      </c>
      <c r="H226" s="64">
        <f>+G226*F226</f>
        <v>313642.5</v>
      </c>
      <c r="I226" s="79"/>
      <c r="J226" s="52"/>
      <c r="K226" s="193"/>
      <c r="L226" s="388"/>
      <c r="M226" s="597"/>
      <c r="N226" s="578">
        <f t="shared" ref="N226:N265" si="10">SUM(O226:AL226)-H226</f>
        <v>-313642.5</v>
      </c>
      <c r="O226" s="678"/>
      <c r="P226" s="678"/>
      <c r="Q226" s="678"/>
      <c r="R226" s="678"/>
      <c r="S226" s="678"/>
      <c r="T226" s="678"/>
      <c r="U226" s="678"/>
      <c r="V226" s="680"/>
      <c r="W226" s="680"/>
      <c r="X226" s="680"/>
      <c r="Y226" s="680"/>
      <c r="Z226" s="680"/>
      <c r="AA226" s="680"/>
      <c r="AB226" s="680"/>
      <c r="AC226" s="680"/>
      <c r="AD226" s="678"/>
      <c r="AE226" s="678"/>
      <c r="AF226" s="678"/>
      <c r="AG226" s="678"/>
      <c r="AH226" s="678"/>
      <c r="AI226" s="678"/>
      <c r="AJ226" s="678"/>
      <c r="AK226" s="658"/>
    </row>
    <row r="227" spans="2:37" s="5" customFormat="1">
      <c r="B227" s="313"/>
      <c r="C227" s="835"/>
      <c r="D227" s="17" t="s">
        <v>28</v>
      </c>
      <c r="E227" s="88">
        <f>$H$5+2.5+2</f>
        <v>17.75</v>
      </c>
      <c r="F227" s="84">
        <f>E224/44*1.5</f>
        <v>1782.059659090909</v>
      </c>
      <c r="G227" s="87">
        <v>6</v>
      </c>
      <c r="H227" s="64">
        <f>+G227*F227*E227</f>
        <v>189789.35369318182</v>
      </c>
      <c r="I227" s="79"/>
      <c r="J227" s="52"/>
      <c r="K227" s="193"/>
      <c r="L227" s="388"/>
      <c r="M227" s="597"/>
      <c r="N227" s="578">
        <f t="shared" si="10"/>
        <v>-189789.35369318182</v>
      </c>
      <c r="O227" s="678"/>
      <c r="P227" s="678"/>
      <c r="Q227" s="678"/>
      <c r="R227" s="678"/>
      <c r="S227" s="678"/>
      <c r="T227" s="678"/>
      <c r="U227" s="678"/>
      <c r="V227" s="680"/>
      <c r="W227" s="680"/>
      <c r="X227" s="680"/>
      <c r="Y227" s="680"/>
      <c r="Z227" s="680"/>
      <c r="AA227" s="680"/>
      <c r="AB227" s="680"/>
      <c r="AC227" s="680"/>
      <c r="AD227" s="678"/>
      <c r="AE227" s="678"/>
      <c r="AF227" s="678"/>
      <c r="AG227" s="678"/>
      <c r="AH227" s="678"/>
      <c r="AI227" s="678"/>
      <c r="AJ227" s="678"/>
      <c r="AK227" s="658"/>
    </row>
    <row r="228" spans="2:37" s="5" customFormat="1">
      <c r="B228" s="313"/>
      <c r="C228" s="835"/>
      <c r="D228" s="17" t="s">
        <v>1</v>
      </c>
      <c r="E228" s="67" t="s">
        <v>29</v>
      </c>
      <c r="F228" s="84">
        <f>E224/5*1.5</f>
        <v>15682.125</v>
      </c>
      <c r="G228" s="64">
        <f>$H$3</f>
        <v>0</v>
      </c>
      <c r="H228" s="64">
        <f>+G228*F228</f>
        <v>0</v>
      </c>
      <c r="I228" s="79"/>
      <c r="J228" s="52"/>
      <c r="K228" s="193"/>
      <c r="L228" s="388"/>
      <c r="M228" s="597"/>
      <c r="N228" s="578">
        <f t="shared" si="10"/>
        <v>0</v>
      </c>
      <c r="O228" s="678"/>
      <c r="P228" s="678"/>
      <c r="Q228" s="678"/>
      <c r="R228" s="678"/>
      <c r="S228" s="678"/>
      <c r="T228" s="678"/>
      <c r="U228" s="678"/>
      <c r="V228" s="680"/>
      <c r="W228" s="680"/>
      <c r="X228" s="680"/>
      <c r="Y228" s="680"/>
      <c r="Z228" s="680"/>
      <c r="AA228" s="680"/>
      <c r="AB228" s="680"/>
      <c r="AC228" s="680"/>
      <c r="AD228" s="678"/>
      <c r="AE228" s="678"/>
      <c r="AF228" s="678"/>
      <c r="AG228" s="678"/>
      <c r="AH228" s="678"/>
      <c r="AI228" s="678"/>
      <c r="AJ228" s="678"/>
      <c r="AK228" s="658"/>
    </row>
    <row r="229" spans="2:37" s="5" customFormat="1">
      <c r="B229" s="313"/>
      <c r="C229" s="835"/>
      <c r="D229" s="17" t="s">
        <v>4</v>
      </c>
      <c r="E229" s="67" t="s">
        <v>29</v>
      </c>
      <c r="F229" s="84">
        <f>E224/5*2</f>
        <v>20909.5</v>
      </c>
      <c r="G229" s="64">
        <f>$H$4</f>
        <v>0</v>
      </c>
      <c r="H229" s="64">
        <f>+G229*F229</f>
        <v>0</v>
      </c>
      <c r="I229" s="79"/>
      <c r="J229" s="52"/>
      <c r="K229" s="193"/>
      <c r="L229" s="388"/>
      <c r="M229" s="597"/>
      <c r="N229" s="578">
        <f t="shared" si="10"/>
        <v>0</v>
      </c>
      <c r="O229" s="678"/>
      <c r="P229" s="678"/>
      <c r="Q229" s="678"/>
      <c r="R229" s="678"/>
      <c r="S229" s="678"/>
      <c r="T229" s="678"/>
      <c r="U229" s="678"/>
      <c r="V229" s="680"/>
      <c r="W229" s="680"/>
      <c r="X229" s="680"/>
      <c r="Y229" s="680"/>
      <c r="Z229" s="680"/>
      <c r="AA229" s="680"/>
      <c r="AB229" s="680"/>
      <c r="AC229" s="680"/>
      <c r="AD229" s="678"/>
      <c r="AE229" s="678"/>
      <c r="AF229" s="678"/>
      <c r="AG229" s="678"/>
      <c r="AH229" s="678"/>
      <c r="AI229" s="678"/>
      <c r="AJ229" s="678"/>
      <c r="AK229" s="658"/>
    </row>
    <row r="230" spans="2:37" s="5" customFormat="1">
      <c r="B230" s="313"/>
      <c r="C230" s="835"/>
      <c r="D230" s="17" t="s">
        <v>46</v>
      </c>
      <c r="E230" s="81" t="s">
        <v>27</v>
      </c>
      <c r="F230" s="84">
        <f>E224</f>
        <v>52273.75</v>
      </c>
      <c r="G230" s="99">
        <v>0</v>
      </c>
      <c r="H230" s="64">
        <f>+G230*F230</f>
        <v>0</v>
      </c>
      <c r="I230" s="79"/>
      <c r="J230" s="52"/>
      <c r="K230" s="193"/>
      <c r="L230" s="388"/>
      <c r="M230" s="597"/>
      <c r="N230" s="578">
        <f t="shared" si="10"/>
        <v>0</v>
      </c>
      <c r="O230" s="678"/>
      <c r="P230" s="678"/>
      <c r="Q230" s="678"/>
      <c r="R230" s="678"/>
      <c r="S230" s="678"/>
      <c r="T230" s="678"/>
      <c r="U230" s="678"/>
      <c r="V230" s="680"/>
      <c r="W230" s="680"/>
      <c r="X230" s="680"/>
      <c r="Y230" s="680"/>
      <c r="Z230" s="680"/>
      <c r="AA230" s="680"/>
      <c r="AB230" s="680"/>
      <c r="AC230" s="680"/>
      <c r="AD230" s="678"/>
      <c r="AE230" s="678"/>
      <c r="AF230" s="678"/>
      <c r="AG230" s="678"/>
      <c r="AH230" s="678"/>
      <c r="AI230" s="678"/>
      <c r="AJ230" s="678"/>
      <c r="AK230" s="658"/>
    </row>
    <row r="231" spans="2:37" s="5" customFormat="1">
      <c r="B231" s="313"/>
      <c r="C231" s="835"/>
      <c r="D231" s="17" t="s">
        <v>30</v>
      </c>
      <c r="E231" s="67" t="s">
        <v>16</v>
      </c>
      <c r="F231" s="101">
        <f>G225+G226+G230</f>
        <v>6.6</v>
      </c>
      <c r="G231" s="68" t="s">
        <v>31</v>
      </c>
      <c r="H231" s="64">
        <f>SUM(H225:H230)</f>
        <v>534796.10369318188</v>
      </c>
      <c r="I231" s="79"/>
      <c r="J231" s="52"/>
      <c r="K231" s="193"/>
      <c r="L231" s="388"/>
      <c r="M231" s="597"/>
      <c r="N231" s="578">
        <f t="shared" si="10"/>
        <v>-534796.10369318188</v>
      </c>
      <c r="O231" s="678"/>
      <c r="P231" s="678"/>
      <c r="Q231" s="678"/>
      <c r="R231" s="678"/>
      <c r="S231" s="678"/>
      <c r="T231" s="678"/>
      <c r="U231" s="678"/>
      <c r="V231" s="680"/>
      <c r="W231" s="680"/>
      <c r="X231" s="680"/>
      <c r="Y231" s="680"/>
      <c r="Z231" s="680"/>
      <c r="AA231" s="680"/>
      <c r="AB231" s="680"/>
      <c r="AC231" s="681"/>
      <c r="AD231" s="678"/>
      <c r="AE231" s="678"/>
      <c r="AF231" s="678"/>
      <c r="AG231" s="678"/>
      <c r="AH231" s="678"/>
      <c r="AI231" s="678"/>
      <c r="AJ231" s="678"/>
      <c r="AK231" s="658"/>
    </row>
    <row r="232" spans="2:37" s="5" customFormat="1">
      <c r="B232" s="313"/>
      <c r="C232" s="835"/>
      <c r="D232" s="19" t="s">
        <v>32</v>
      </c>
      <c r="E232" s="67" t="s">
        <v>16</v>
      </c>
      <c r="F232" s="84">
        <f>SUM(H225:H230)</f>
        <v>534796.10369318188</v>
      </c>
      <c r="G232" s="92">
        <f>$G$43</f>
        <v>8.3299999999999999E-2</v>
      </c>
      <c r="H232" s="64">
        <f>+G232*F232</f>
        <v>44548.515437642047</v>
      </c>
      <c r="I232" s="93"/>
      <c r="J232" s="52"/>
      <c r="K232" s="193"/>
      <c r="L232" s="388"/>
      <c r="M232" s="597"/>
      <c r="N232" s="578">
        <f t="shared" si="10"/>
        <v>-44548.515437642047</v>
      </c>
      <c r="O232" s="678"/>
      <c r="P232" s="678"/>
      <c r="Q232" s="678"/>
      <c r="R232" s="678"/>
      <c r="S232" s="678"/>
      <c r="T232" s="678"/>
      <c r="U232" s="678"/>
      <c r="V232" s="680"/>
      <c r="W232" s="680"/>
      <c r="X232" s="680"/>
      <c r="Y232" s="680"/>
      <c r="Z232" s="680"/>
      <c r="AA232" s="680"/>
      <c r="AB232" s="680"/>
      <c r="AC232" s="680"/>
      <c r="AD232" s="678"/>
      <c r="AE232" s="678"/>
      <c r="AF232" s="678"/>
      <c r="AG232" s="678"/>
      <c r="AH232" s="678"/>
      <c r="AI232" s="678"/>
      <c r="AJ232" s="678"/>
      <c r="AK232" s="658"/>
    </row>
    <row r="233" spans="2:37" s="5" customFormat="1">
      <c r="B233" s="313"/>
      <c r="C233" s="835"/>
      <c r="D233" s="19" t="s">
        <v>278</v>
      </c>
      <c r="E233" s="84">
        <f>F232/(5*F231)</f>
        <v>16205.942536157027</v>
      </c>
      <c r="F233" s="84">
        <f>E233*(F231*7)</f>
        <v>748714.54517045454</v>
      </c>
      <c r="G233" s="95">
        <f>$G$44</f>
        <v>20</v>
      </c>
      <c r="H233" s="64">
        <f>F233/G233</f>
        <v>37435.727258522726</v>
      </c>
      <c r="I233" s="72">
        <f>SUM(H231:H233)</f>
        <v>616780.34638934664</v>
      </c>
      <c r="J233" s="52">
        <f>SUM(G225:G233)</f>
        <v>32.683300000000003</v>
      </c>
      <c r="K233" s="193"/>
      <c r="L233" s="388"/>
      <c r="M233" s="597"/>
      <c r="N233" s="578">
        <f t="shared" si="10"/>
        <v>-37435.727258522726</v>
      </c>
      <c r="O233" s="678"/>
      <c r="P233" s="678"/>
      <c r="Q233" s="678"/>
      <c r="R233" s="678"/>
      <c r="S233" s="678"/>
      <c r="T233" s="678"/>
      <c r="U233" s="678"/>
      <c r="V233" s="681"/>
      <c r="W233" s="681"/>
      <c r="X233" s="681"/>
      <c r="Y233" s="681"/>
      <c r="Z233" s="681"/>
      <c r="AA233" s="681"/>
      <c r="AB233" s="681"/>
      <c r="AC233" s="681"/>
      <c r="AD233" s="678"/>
      <c r="AE233" s="678"/>
      <c r="AF233" s="678"/>
      <c r="AG233" s="678"/>
      <c r="AH233" s="678"/>
      <c r="AI233" s="678"/>
      <c r="AJ233" s="678"/>
      <c r="AK233" s="658"/>
    </row>
    <row r="234" spans="2:37" s="188" customFormat="1">
      <c r="B234" s="319"/>
      <c r="C234" s="840"/>
      <c r="D234" s="198"/>
      <c r="E234" s="187"/>
      <c r="F234" s="185"/>
      <c r="G234" s="199"/>
      <c r="H234" s="197"/>
      <c r="I234" s="186"/>
      <c r="J234" s="295"/>
      <c r="K234" s="196"/>
      <c r="L234" s="389"/>
      <c r="M234" s="598"/>
      <c r="N234" s="578">
        <f t="shared" si="10"/>
        <v>0</v>
      </c>
      <c r="O234" s="684"/>
      <c r="P234" s="684"/>
      <c r="Q234" s="684"/>
      <c r="R234" s="684"/>
      <c r="S234" s="684"/>
      <c r="T234" s="684"/>
      <c r="U234" s="684"/>
      <c r="V234" s="678"/>
      <c r="W234" s="678"/>
      <c r="X234" s="678"/>
      <c r="Y234" s="678"/>
      <c r="Z234" s="678"/>
      <c r="AA234" s="678"/>
      <c r="AB234" s="678"/>
      <c r="AC234" s="678"/>
      <c r="AD234" s="684"/>
      <c r="AE234" s="684"/>
      <c r="AF234" s="684"/>
      <c r="AG234" s="684"/>
      <c r="AH234" s="684"/>
      <c r="AI234" s="684"/>
      <c r="AJ234" s="684"/>
      <c r="AK234" s="658"/>
    </row>
    <row r="235" spans="2:37" s="5" customFormat="1" ht="15" customHeight="1">
      <c r="B235" s="317">
        <v>19</v>
      </c>
      <c r="C235" s="835" t="s">
        <v>880</v>
      </c>
      <c r="D235" s="80" t="s">
        <v>425</v>
      </c>
      <c r="E235" s="81">
        <v>39782.300000000003</v>
      </c>
      <c r="F235" s="81">
        <f>+E235</f>
        <v>39782.300000000003</v>
      </c>
      <c r="G235" s="75"/>
      <c r="H235" s="82"/>
      <c r="I235" s="83"/>
      <c r="J235" s="6"/>
      <c r="K235" s="193"/>
      <c r="L235" s="388"/>
      <c r="M235" s="597"/>
      <c r="N235" s="578">
        <f t="shared" si="10"/>
        <v>0</v>
      </c>
      <c r="O235" s="678"/>
      <c r="P235" s="678"/>
      <c r="Q235" s="678"/>
      <c r="R235" s="678"/>
      <c r="S235" s="678"/>
      <c r="T235" s="678"/>
      <c r="U235" s="678"/>
      <c r="V235" s="678"/>
      <c r="W235" s="678"/>
      <c r="X235" s="678"/>
      <c r="Y235" s="678"/>
      <c r="Z235" s="678"/>
      <c r="AA235" s="678"/>
      <c r="AB235" s="678"/>
      <c r="AC235" s="678"/>
      <c r="AD235" s="678"/>
      <c r="AE235" s="678"/>
      <c r="AF235" s="678"/>
      <c r="AG235" s="678"/>
      <c r="AH235" s="678"/>
      <c r="AI235" s="678"/>
      <c r="AJ235" s="678"/>
      <c r="AK235" s="658"/>
    </row>
    <row r="236" spans="2:37" s="5" customFormat="1">
      <c r="B236" s="313"/>
      <c r="C236" s="835"/>
      <c r="D236" s="17" t="s">
        <v>316</v>
      </c>
      <c r="E236" s="81" t="s">
        <v>27</v>
      </c>
      <c r="F236" s="81">
        <f>F235</f>
        <v>39782.300000000003</v>
      </c>
      <c r="G236" s="99">
        <v>0</v>
      </c>
      <c r="H236" s="64">
        <f>+G236*F236</f>
        <v>0</v>
      </c>
      <c r="I236" s="79"/>
      <c r="J236" s="52"/>
      <c r="K236" s="193"/>
      <c r="L236" s="388"/>
      <c r="M236" s="597"/>
      <c r="N236" s="578">
        <f t="shared" si="10"/>
        <v>0</v>
      </c>
      <c r="O236" s="678"/>
      <c r="P236" s="678"/>
      <c r="Q236" s="678"/>
      <c r="R236" s="678"/>
      <c r="S236" s="678"/>
      <c r="T236" s="678"/>
      <c r="U236" s="678"/>
      <c r="V236" s="680"/>
      <c r="W236" s="680"/>
      <c r="X236" s="680"/>
      <c r="Y236" s="680"/>
      <c r="Z236" s="680"/>
      <c r="AA236" s="680"/>
      <c r="AB236" s="680"/>
      <c r="AC236" s="680"/>
      <c r="AD236" s="678"/>
      <c r="AE236" s="678"/>
      <c r="AF236" s="678"/>
      <c r="AG236" s="678"/>
      <c r="AH236" s="678"/>
      <c r="AI236" s="678"/>
      <c r="AJ236" s="678"/>
      <c r="AK236" s="658"/>
    </row>
    <row r="237" spans="2:37" s="5" customFormat="1">
      <c r="B237" s="313"/>
      <c r="C237" s="835"/>
      <c r="D237" s="17" t="s">
        <v>3</v>
      </c>
      <c r="E237" s="81" t="s">
        <v>27</v>
      </c>
      <c r="F237" s="81">
        <f>F236</f>
        <v>39782.300000000003</v>
      </c>
      <c r="G237" s="99">
        <v>4</v>
      </c>
      <c r="H237" s="64">
        <f>+G237*F237</f>
        <v>159129.20000000001</v>
      </c>
      <c r="I237" s="79"/>
      <c r="J237" s="52"/>
      <c r="K237" s="193"/>
      <c r="L237" s="388"/>
      <c r="M237" s="597"/>
      <c r="N237" s="578">
        <f t="shared" si="10"/>
        <v>-159129.20000000001</v>
      </c>
      <c r="O237" s="678"/>
      <c r="P237" s="678"/>
      <c r="Q237" s="678"/>
      <c r="R237" s="678"/>
      <c r="S237" s="678"/>
      <c r="T237" s="678"/>
      <c r="U237" s="678"/>
      <c r="V237" s="680"/>
      <c r="W237" s="680"/>
      <c r="X237" s="680"/>
      <c r="Y237" s="680"/>
      <c r="Z237" s="680"/>
      <c r="AA237" s="680"/>
      <c r="AB237" s="680"/>
      <c r="AC237" s="680"/>
      <c r="AD237" s="678"/>
      <c r="AE237" s="678"/>
      <c r="AF237" s="678"/>
      <c r="AG237" s="678"/>
      <c r="AH237" s="678"/>
      <c r="AI237" s="678"/>
      <c r="AJ237" s="678"/>
      <c r="AK237" s="658"/>
    </row>
    <row r="238" spans="2:37" s="5" customFormat="1">
      <c r="B238" s="313"/>
      <c r="C238" s="835"/>
      <c r="D238" s="17" t="s">
        <v>28</v>
      </c>
      <c r="E238" s="88">
        <f>$H$5</f>
        <v>13.25</v>
      </c>
      <c r="F238" s="84">
        <f>E235/44*1.5</f>
        <v>1356.2147727272729</v>
      </c>
      <c r="G238" s="87">
        <v>4</v>
      </c>
      <c r="H238" s="64">
        <f>+G238*F238*E238</f>
        <v>71879.382954545465</v>
      </c>
      <c r="I238" s="79"/>
      <c r="J238" s="52"/>
      <c r="K238" s="193"/>
      <c r="L238" s="388"/>
      <c r="M238" s="597"/>
      <c r="N238" s="578">
        <f t="shared" si="10"/>
        <v>-71879.382954545465</v>
      </c>
      <c r="O238" s="678"/>
      <c r="P238" s="678"/>
      <c r="Q238" s="678"/>
      <c r="R238" s="678"/>
      <c r="S238" s="678"/>
      <c r="T238" s="678"/>
      <c r="U238" s="678"/>
      <c r="V238" s="680"/>
      <c r="W238" s="680"/>
      <c r="X238" s="680"/>
      <c r="Y238" s="680"/>
      <c r="Z238" s="680"/>
      <c r="AA238" s="680"/>
      <c r="AB238" s="680"/>
      <c r="AC238" s="680"/>
      <c r="AD238" s="678"/>
      <c r="AE238" s="678"/>
      <c r="AF238" s="678"/>
      <c r="AG238" s="678"/>
      <c r="AH238" s="678"/>
      <c r="AI238" s="678"/>
      <c r="AJ238" s="678"/>
      <c r="AK238" s="658"/>
    </row>
    <row r="239" spans="2:37" s="5" customFormat="1">
      <c r="B239" s="313"/>
      <c r="C239" s="835"/>
      <c r="D239" s="17" t="s">
        <v>1</v>
      </c>
      <c r="E239" s="67" t="s">
        <v>29</v>
      </c>
      <c r="F239" s="84">
        <f>E235/5*1.5</f>
        <v>11934.690000000002</v>
      </c>
      <c r="G239" s="64">
        <f>$H$3</f>
        <v>0</v>
      </c>
      <c r="H239" s="64">
        <f>+G239*F239</f>
        <v>0</v>
      </c>
      <c r="I239" s="79"/>
      <c r="J239" s="52"/>
      <c r="K239" s="193"/>
      <c r="L239" s="388"/>
      <c r="M239" s="597"/>
      <c r="N239" s="578">
        <f t="shared" si="10"/>
        <v>0</v>
      </c>
      <c r="O239" s="678"/>
      <c r="P239" s="678"/>
      <c r="Q239" s="678"/>
      <c r="R239" s="678"/>
      <c r="S239" s="678"/>
      <c r="T239" s="678"/>
      <c r="U239" s="678"/>
      <c r="V239" s="680"/>
      <c r="W239" s="680"/>
      <c r="X239" s="680"/>
      <c r="Y239" s="680"/>
      <c r="Z239" s="680"/>
      <c r="AA239" s="680"/>
      <c r="AB239" s="680"/>
      <c r="AC239" s="680"/>
      <c r="AD239" s="678"/>
      <c r="AE239" s="678"/>
      <c r="AF239" s="678"/>
      <c r="AG239" s="678"/>
      <c r="AH239" s="678"/>
      <c r="AI239" s="678"/>
      <c r="AJ239" s="678"/>
      <c r="AK239" s="658"/>
    </row>
    <row r="240" spans="2:37" s="5" customFormat="1">
      <c r="B240" s="313"/>
      <c r="C240" s="835"/>
      <c r="D240" s="17" t="s">
        <v>4</v>
      </c>
      <c r="E240" s="67" t="s">
        <v>29</v>
      </c>
      <c r="F240" s="84">
        <f>E235/5*2</f>
        <v>15912.920000000002</v>
      </c>
      <c r="G240" s="64">
        <f>$H$4</f>
        <v>0</v>
      </c>
      <c r="H240" s="64">
        <f>+G240*F240</f>
        <v>0</v>
      </c>
      <c r="I240" s="79"/>
      <c r="J240" s="52"/>
      <c r="K240" s="193"/>
      <c r="L240" s="388"/>
      <c r="M240" s="597"/>
      <c r="N240" s="578">
        <f t="shared" si="10"/>
        <v>0</v>
      </c>
      <c r="O240" s="678"/>
      <c r="P240" s="678"/>
      <c r="Q240" s="678"/>
      <c r="R240" s="678"/>
      <c r="S240" s="678"/>
      <c r="T240" s="678"/>
      <c r="U240" s="678"/>
      <c r="V240" s="680"/>
      <c r="W240" s="680"/>
      <c r="X240" s="680"/>
      <c r="Y240" s="680"/>
      <c r="Z240" s="680"/>
      <c r="AA240" s="680"/>
      <c r="AB240" s="680"/>
      <c r="AC240" s="680"/>
      <c r="AD240" s="678"/>
      <c r="AE240" s="678"/>
      <c r="AF240" s="678"/>
      <c r="AG240" s="678"/>
      <c r="AH240" s="678"/>
      <c r="AI240" s="678"/>
      <c r="AJ240" s="678"/>
      <c r="AK240" s="658"/>
    </row>
    <row r="241" spans="2:37" s="5" customFormat="1">
      <c r="B241" s="313"/>
      <c r="C241" s="835"/>
      <c r="D241" s="17" t="s">
        <v>46</v>
      </c>
      <c r="E241" s="81" t="s">
        <v>27</v>
      </c>
      <c r="F241" s="84">
        <f>E235</f>
        <v>39782.300000000003</v>
      </c>
      <c r="G241" s="99">
        <v>0</v>
      </c>
      <c r="H241" s="64">
        <f>+G241*F241</f>
        <v>0</v>
      </c>
      <c r="I241" s="79"/>
      <c r="J241" s="52"/>
      <c r="K241" s="193"/>
      <c r="L241" s="388"/>
      <c r="M241" s="597"/>
      <c r="N241" s="578">
        <f t="shared" si="10"/>
        <v>0</v>
      </c>
      <c r="O241" s="678"/>
      <c r="P241" s="678"/>
      <c r="Q241" s="678"/>
      <c r="R241" s="678"/>
      <c r="S241" s="678"/>
      <c r="T241" s="678"/>
      <c r="U241" s="678"/>
      <c r="V241" s="680"/>
      <c r="W241" s="680"/>
      <c r="X241" s="680"/>
      <c r="Y241" s="680"/>
      <c r="Z241" s="680"/>
      <c r="AA241" s="680"/>
      <c r="AB241" s="680"/>
      <c r="AC241" s="680"/>
      <c r="AD241" s="678"/>
      <c r="AE241" s="678"/>
      <c r="AF241" s="678"/>
      <c r="AG241" s="678"/>
      <c r="AH241" s="678"/>
      <c r="AI241" s="678"/>
      <c r="AJ241" s="678"/>
      <c r="AK241" s="658"/>
    </row>
    <row r="242" spans="2:37" s="5" customFormat="1">
      <c r="B242" s="313"/>
      <c r="C242" s="835"/>
      <c r="D242" s="17" t="s">
        <v>30</v>
      </c>
      <c r="E242" s="67" t="s">
        <v>16</v>
      </c>
      <c r="F242" s="101">
        <f>G236+G237+G241</f>
        <v>4</v>
      </c>
      <c r="G242" s="68" t="s">
        <v>31</v>
      </c>
      <c r="H242" s="64">
        <f>SUM(H236:H241)</f>
        <v>231008.58295454548</v>
      </c>
      <c r="I242" s="79"/>
      <c r="J242" s="52"/>
      <c r="K242" s="193"/>
      <c r="L242" s="388"/>
      <c r="M242" s="597"/>
      <c r="N242" s="578">
        <f t="shared" si="10"/>
        <v>-231008.58295454548</v>
      </c>
      <c r="O242" s="678"/>
      <c r="P242" s="678"/>
      <c r="Q242" s="678"/>
      <c r="R242" s="678"/>
      <c r="S242" s="678"/>
      <c r="T242" s="678"/>
      <c r="U242" s="678"/>
      <c r="V242" s="680"/>
      <c r="W242" s="680"/>
      <c r="X242" s="680"/>
      <c r="Y242" s="680"/>
      <c r="Z242" s="680"/>
      <c r="AA242" s="680"/>
      <c r="AB242" s="680"/>
      <c r="AC242" s="681"/>
      <c r="AD242" s="678"/>
      <c r="AE242" s="678"/>
      <c r="AF242" s="678"/>
      <c r="AG242" s="678"/>
      <c r="AH242" s="678"/>
      <c r="AI242" s="678"/>
      <c r="AJ242" s="678"/>
      <c r="AK242" s="658"/>
    </row>
    <row r="243" spans="2:37" s="5" customFormat="1">
      <c r="B243" s="313"/>
      <c r="C243" s="835"/>
      <c r="D243" s="19" t="s">
        <v>32</v>
      </c>
      <c r="E243" s="67" t="s">
        <v>16</v>
      </c>
      <c r="F243" s="84">
        <f>SUM(H236:H241)</f>
        <v>231008.58295454548</v>
      </c>
      <c r="G243" s="92">
        <f>$G$43</f>
        <v>8.3299999999999999E-2</v>
      </c>
      <c r="H243" s="64">
        <f>+G243*F243</f>
        <v>19243.014960113636</v>
      </c>
      <c r="I243" s="93"/>
      <c r="J243" s="52"/>
      <c r="K243" s="193"/>
      <c r="L243" s="388"/>
      <c r="M243" s="597"/>
      <c r="N243" s="578">
        <f t="shared" si="10"/>
        <v>-19243.014960113636</v>
      </c>
      <c r="O243" s="678"/>
      <c r="P243" s="678"/>
      <c r="Q243" s="678"/>
      <c r="R243" s="678"/>
      <c r="S243" s="678"/>
      <c r="T243" s="678"/>
      <c r="U243" s="678"/>
      <c r="V243" s="680"/>
      <c r="W243" s="680"/>
      <c r="X243" s="680"/>
      <c r="Y243" s="680"/>
      <c r="Z243" s="680"/>
      <c r="AA243" s="680"/>
      <c r="AB243" s="680"/>
      <c r="AC243" s="680"/>
      <c r="AD243" s="678"/>
      <c r="AE243" s="678"/>
      <c r="AF243" s="678"/>
      <c r="AG243" s="678"/>
      <c r="AH243" s="678"/>
      <c r="AI243" s="678"/>
      <c r="AJ243" s="678"/>
      <c r="AK243" s="658"/>
    </row>
    <row r="244" spans="2:37" s="5" customFormat="1">
      <c r="B244" s="313"/>
      <c r="C244" s="835"/>
      <c r="D244" s="19" t="s">
        <v>278</v>
      </c>
      <c r="E244" s="84">
        <f>F243/(5*F242)</f>
        <v>11550.429147727275</v>
      </c>
      <c r="F244" s="84">
        <f>E244*(F242*7)</f>
        <v>323412.01613636367</v>
      </c>
      <c r="G244" s="95">
        <f>$G$44</f>
        <v>20</v>
      </c>
      <c r="H244" s="64">
        <f>F244/G244</f>
        <v>16170.600806818184</v>
      </c>
      <c r="I244" s="72">
        <f>SUM(H242:H244)</f>
        <v>266422.1987214773</v>
      </c>
      <c r="J244" s="52">
        <f>SUM(G236:G244)</f>
        <v>28.083300000000001</v>
      </c>
      <c r="K244" s="193"/>
      <c r="L244" s="388"/>
      <c r="M244" s="597"/>
      <c r="N244" s="578">
        <f t="shared" si="10"/>
        <v>-16170.600806818184</v>
      </c>
      <c r="O244" s="678"/>
      <c r="P244" s="678"/>
      <c r="Q244" s="678"/>
      <c r="R244" s="678"/>
      <c r="S244" s="678"/>
      <c r="T244" s="678"/>
      <c r="U244" s="678"/>
      <c r="V244" s="681"/>
      <c r="W244" s="681"/>
      <c r="X244" s="681"/>
      <c r="Y244" s="681"/>
      <c r="Z244" s="681"/>
      <c r="AA244" s="681"/>
      <c r="AB244" s="681"/>
      <c r="AC244" s="681"/>
      <c r="AD244" s="678"/>
      <c r="AE244" s="678"/>
      <c r="AF244" s="678"/>
      <c r="AG244" s="678"/>
      <c r="AH244" s="678"/>
      <c r="AI244" s="678"/>
      <c r="AJ244" s="678"/>
      <c r="AK244" s="658"/>
    </row>
    <row r="245" spans="2:37" s="188" customFormat="1">
      <c r="B245" s="319"/>
      <c r="C245" s="840"/>
      <c r="D245" s="198"/>
      <c r="E245" s="187"/>
      <c r="F245" s="185"/>
      <c r="G245" s="199"/>
      <c r="H245" s="197"/>
      <c r="I245" s="186"/>
      <c r="J245" s="295"/>
      <c r="K245" s="196"/>
      <c r="L245" s="389"/>
      <c r="M245" s="598"/>
      <c r="N245" s="578">
        <f t="shared" si="10"/>
        <v>0</v>
      </c>
      <c r="O245" s="684"/>
      <c r="P245" s="684"/>
      <c r="Q245" s="684"/>
      <c r="R245" s="684"/>
      <c r="S245" s="684"/>
      <c r="T245" s="684"/>
      <c r="U245" s="684"/>
      <c r="V245" s="678"/>
      <c r="W245" s="678"/>
      <c r="X245" s="678"/>
      <c r="Y245" s="678"/>
      <c r="Z245" s="678"/>
      <c r="AA245" s="678"/>
      <c r="AB245" s="678"/>
      <c r="AC245" s="678"/>
      <c r="AD245" s="684"/>
      <c r="AE245" s="684"/>
      <c r="AF245" s="684"/>
      <c r="AG245" s="684"/>
      <c r="AH245" s="684"/>
      <c r="AI245" s="684"/>
      <c r="AJ245" s="684"/>
      <c r="AK245" s="658"/>
    </row>
    <row r="246" spans="2:37" s="5" customFormat="1" ht="15" customHeight="1">
      <c r="B246" s="317">
        <v>20</v>
      </c>
      <c r="C246" s="835" t="s">
        <v>881</v>
      </c>
      <c r="D246" s="80" t="s">
        <v>53</v>
      </c>
      <c r="E246" s="81">
        <v>34123.25</v>
      </c>
      <c r="F246" s="74"/>
      <c r="G246" s="75"/>
      <c r="H246" s="82"/>
      <c r="I246" s="83"/>
      <c r="J246" s="6"/>
      <c r="K246" s="156"/>
      <c r="L246" s="383"/>
      <c r="M246" s="542"/>
      <c r="N246" s="578">
        <f t="shared" si="10"/>
        <v>0</v>
      </c>
      <c r="O246" s="678"/>
      <c r="P246" s="678"/>
      <c r="Q246" s="678"/>
      <c r="R246" s="678"/>
      <c r="S246" s="678"/>
      <c r="T246" s="678"/>
      <c r="U246" s="678"/>
      <c r="V246" s="678"/>
      <c r="W246" s="678"/>
      <c r="X246" s="678"/>
      <c r="Y246" s="678"/>
      <c r="Z246" s="678"/>
      <c r="AA246" s="678"/>
      <c r="AB246" s="678"/>
      <c r="AC246" s="678"/>
      <c r="AD246" s="678"/>
      <c r="AE246" s="678"/>
      <c r="AF246" s="678"/>
      <c r="AG246" s="678"/>
      <c r="AH246" s="678"/>
      <c r="AI246" s="678"/>
      <c r="AJ246" s="678"/>
      <c r="AK246" s="658"/>
    </row>
    <row r="247" spans="2:37" s="5" customFormat="1">
      <c r="B247" s="313"/>
      <c r="C247" s="835"/>
      <c r="D247" s="17" t="s">
        <v>316</v>
      </c>
      <c r="E247" s="81" t="s">
        <v>27</v>
      </c>
      <c r="F247" s="84">
        <f>E246</f>
        <v>34123.25</v>
      </c>
      <c r="G247" s="99">
        <v>0.6</v>
      </c>
      <c r="H247" s="64">
        <f>+G247*F247</f>
        <v>20473.95</v>
      </c>
      <c r="I247" s="79"/>
      <c r="J247" s="52"/>
      <c r="K247" s="156"/>
      <c r="L247" s="383"/>
      <c r="M247" s="542"/>
      <c r="N247" s="578">
        <f t="shared" si="10"/>
        <v>-20473.95</v>
      </c>
      <c r="O247" s="678"/>
      <c r="P247" s="678"/>
      <c r="Q247" s="678"/>
      <c r="R247" s="678"/>
      <c r="S247" s="678"/>
      <c r="T247" s="678"/>
      <c r="U247" s="678"/>
      <c r="V247" s="680"/>
      <c r="W247" s="680"/>
      <c r="X247" s="680"/>
      <c r="Y247" s="680"/>
      <c r="Z247" s="680"/>
      <c r="AA247" s="680"/>
      <c r="AB247" s="680"/>
      <c r="AC247" s="680"/>
      <c r="AD247" s="678"/>
      <c r="AE247" s="678"/>
      <c r="AF247" s="678"/>
      <c r="AG247" s="678"/>
      <c r="AH247" s="678"/>
      <c r="AI247" s="678"/>
      <c r="AJ247" s="678"/>
      <c r="AK247" s="658"/>
    </row>
    <row r="248" spans="2:37" s="5" customFormat="1">
      <c r="B248" s="313"/>
      <c r="C248" s="835"/>
      <c r="D248" s="17" t="s">
        <v>3</v>
      </c>
      <c r="E248" s="81" t="s">
        <v>27</v>
      </c>
      <c r="F248" s="84">
        <f>E246</f>
        <v>34123.25</v>
      </c>
      <c r="G248" s="64">
        <v>6</v>
      </c>
      <c r="H248" s="64">
        <f>+G248*F248</f>
        <v>204739.5</v>
      </c>
      <c r="I248" s="79"/>
      <c r="J248" s="52"/>
      <c r="K248" s="156"/>
      <c r="L248" s="383"/>
      <c r="M248" s="542"/>
      <c r="N248" s="578">
        <f t="shared" si="10"/>
        <v>-204739.5</v>
      </c>
      <c r="O248" s="678"/>
      <c r="P248" s="678"/>
      <c r="Q248" s="678"/>
      <c r="R248" s="678"/>
      <c r="S248" s="678"/>
      <c r="T248" s="678"/>
      <c r="U248" s="678"/>
      <c r="V248" s="680"/>
      <c r="W248" s="680"/>
      <c r="X248" s="680"/>
      <c r="Y248" s="680"/>
      <c r="Z248" s="680"/>
      <c r="AA248" s="680"/>
      <c r="AB248" s="680"/>
      <c r="AC248" s="680"/>
      <c r="AD248" s="678"/>
      <c r="AE248" s="678"/>
      <c r="AF248" s="678"/>
      <c r="AG248" s="678"/>
      <c r="AH248" s="678"/>
      <c r="AI248" s="678"/>
      <c r="AJ248" s="678"/>
      <c r="AK248" s="658"/>
    </row>
    <row r="249" spans="2:37" s="5" customFormat="1">
      <c r="B249" s="313"/>
      <c r="C249" s="835"/>
      <c r="D249" s="17" t="s">
        <v>28</v>
      </c>
      <c r="E249" s="88">
        <f>$H$5+2.5+2</f>
        <v>17.75</v>
      </c>
      <c r="F249" s="84">
        <f>E246/44*1.5</f>
        <v>1163.2926136363637</v>
      </c>
      <c r="G249" s="87">
        <v>6</v>
      </c>
      <c r="H249" s="64">
        <f>+G249*F249*E249</f>
        <v>123890.66335227274</v>
      </c>
      <c r="I249" s="79"/>
      <c r="J249" s="52"/>
      <c r="K249" s="156"/>
      <c r="L249" s="383"/>
      <c r="M249" s="542"/>
      <c r="N249" s="578">
        <f t="shared" si="10"/>
        <v>-123890.66335227274</v>
      </c>
      <c r="O249" s="678"/>
      <c r="P249" s="678"/>
      <c r="Q249" s="678"/>
      <c r="R249" s="678"/>
      <c r="S249" s="678"/>
      <c r="T249" s="678"/>
      <c r="U249" s="678"/>
      <c r="V249" s="680"/>
      <c r="W249" s="680"/>
      <c r="X249" s="680"/>
      <c r="Y249" s="680"/>
      <c r="Z249" s="680"/>
      <c r="AA249" s="680"/>
      <c r="AB249" s="680"/>
      <c r="AC249" s="680"/>
      <c r="AD249" s="678"/>
      <c r="AE249" s="678"/>
      <c r="AF249" s="678"/>
      <c r="AG249" s="678"/>
      <c r="AH249" s="678"/>
      <c r="AI249" s="678"/>
      <c r="AJ249" s="678"/>
      <c r="AK249" s="658"/>
    </row>
    <row r="250" spans="2:37" s="5" customFormat="1">
      <c r="B250" s="313"/>
      <c r="C250" s="835"/>
      <c r="D250" s="17" t="s">
        <v>1</v>
      </c>
      <c r="E250" s="67" t="s">
        <v>29</v>
      </c>
      <c r="F250" s="84">
        <f>E246/5*1.5</f>
        <v>10236.974999999999</v>
      </c>
      <c r="G250" s="64">
        <f>$H$3</f>
        <v>0</v>
      </c>
      <c r="H250" s="64">
        <f>+G250*F250</f>
        <v>0</v>
      </c>
      <c r="I250" s="79"/>
      <c r="J250" s="52"/>
      <c r="K250" s="156"/>
      <c r="L250" s="383"/>
      <c r="M250" s="542"/>
      <c r="N250" s="578">
        <f t="shared" si="10"/>
        <v>0</v>
      </c>
      <c r="O250" s="678"/>
      <c r="P250" s="678"/>
      <c r="Q250" s="678"/>
      <c r="R250" s="678"/>
      <c r="S250" s="678"/>
      <c r="T250" s="678"/>
      <c r="U250" s="678"/>
      <c r="V250" s="680"/>
      <c r="W250" s="680"/>
      <c r="X250" s="680"/>
      <c r="Y250" s="680"/>
      <c r="Z250" s="680"/>
      <c r="AA250" s="680"/>
      <c r="AB250" s="680"/>
      <c r="AC250" s="680"/>
      <c r="AD250" s="678"/>
      <c r="AE250" s="678"/>
      <c r="AF250" s="678"/>
      <c r="AG250" s="678"/>
      <c r="AH250" s="678"/>
      <c r="AI250" s="678"/>
      <c r="AJ250" s="678"/>
      <c r="AK250" s="658"/>
    </row>
    <row r="251" spans="2:37" s="5" customFormat="1">
      <c r="B251" s="313"/>
      <c r="C251" s="835"/>
      <c r="D251" s="17" t="s">
        <v>4</v>
      </c>
      <c r="E251" s="67" t="s">
        <v>29</v>
      </c>
      <c r="F251" s="84">
        <f>E246/5*2</f>
        <v>13649.3</v>
      </c>
      <c r="G251" s="64">
        <f>$H$4</f>
        <v>0</v>
      </c>
      <c r="H251" s="64">
        <f>+G251*F251</f>
        <v>0</v>
      </c>
      <c r="I251" s="79"/>
      <c r="J251" s="52"/>
      <c r="K251" s="156"/>
      <c r="L251" s="383"/>
      <c r="M251" s="542"/>
      <c r="N251" s="578">
        <f t="shared" si="10"/>
        <v>0</v>
      </c>
      <c r="O251" s="678"/>
      <c r="P251" s="678"/>
      <c r="Q251" s="678"/>
      <c r="R251" s="678"/>
      <c r="S251" s="678"/>
      <c r="T251" s="678"/>
      <c r="U251" s="678"/>
      <c r="V251" s="680"/>
      <c r="W251" s="680"/>
      <c r="X251" s="680"/>
      <c r="Y251" s="680"/>
      <c r="Z251" s="680"/>
      <c r="AA251" s="680"/>
      <c r="AB251" s="680"/>
      <c r="AC251" s="680"/>
      <c r="AD251" s="678"/>
      <c r="AE251" s="678"/>
      <c r="AF251" s="678"/>
      <c r="AG251" s="678"/>
      <c r="AH251" s="678"/>
      <c r="AI251" s="678"/>
      <c r="AJ251" s="678"/>
      <c r="AK251" s="658"/>
    </row>
    <row r="252" spans="2:37" s="5" customFormat="1">
      <c r="B252" s="313"/>
      <c r="C252" s="835"/>
      <c r="D252" s="17" t="s">
        <v>46</v>
      </c>
      <c r="E252" s="81" t="s">
        <v>27</v>
      </c>
      <c r="F252" s="84">
        <f>E246</f>
        <v>34123.25</v>
      </c>
      <c r="G252" s="99">
        <v>0.2</v>
      </c>
      <c r="H252" s="64">
        <f>+G252*F252</f>
        <v>6824.6500000000005</v>
      </c>
      <c r="I252" s="79"/>
      <c r="J252" s="52"/>
      <c r="K252" s="156"/>
      <c r="L252" s="383"/>
      <c r="M252" s="542"/>
      <c r="N252" s="578">
        <f t="shared" si="10"/>
        <v>-6824.6500000000005</v>
      </c>
      <c r="O252" s="678"/>
      <c r="P252" s="678"/>
      <c r="Q252" s="678"/>
      <c r="R252" s="678"/>
      <c r="S252" s="678"/>
      <c r="T252" s="678"/>
      <c r="U252" s="678"/>
      <c r="V252" s="680"/>
      <c r="W252" s="680"/>
      <c r="X252" s="680"/>
      <c r="Y252" s="680"/>
      <c r="Z252" s="680"/>
      <c r="AA252" s="680"/>
      <c r="AB252" s="680"/>
      <c r="AC252" s="680"/>
      <c r="AD252" s="678"/>
      <c r="AE252" s="678"/>
      <c r="AF252" s="678"/>
      <c r="AG252" s="678"/>
      <c r="AH252" s="678"/>
      <c r="AI252" s="678"/>
      <c r="AJ252" s="678"/>
      <c r="AK252" s="658"/>
    </row>
    <row r="253" spans="2:37" s="5" customFormat="1">
      <c r="B253" s="313"/>
      <c r="C253" s="835"/>
      <c r="D253" s="17" t="s">
        <v>30</v>
      </c>
      <c r="E253" s="67" t="s">
        <v>16</v>
      </c>
      <c r="F253" s="101">
        <f>G247+G248+G252</f>
        <v>6.8</v>
      </c>
      <c r="G253" s="68" t="s">
        <v>31</v>
      </c>
      <c r="H253" s="64">
        <f>SUM(H247:H252)</f>
        <v>355928.7633522728</v>
      </c>
      <c r="I253" s="79"/>
      <c r="J253" s="52"/>
      <c r="K253" s="156"/>
      <c r="L253" s="383"/>
      <c r="M253" s="542"/>
      <c r="N253" s="578">
        <f t="shared" si="10"/>
        <v>-355928.7633522728</v>
      </c>
      <c r="O253" s="678"/>
      <c r="P253" s="678"/>
      <c r="Q253" s="678"/>
      <c r="R253" s="678"/>
      <c r="S253" s="678"/>
      <c r="T253" s="678"/>
      <c r="U253" s="678"/>
      <c r="V253" s="680"/>
      <c r="W253" s="680"/>
      <c r="X253" s="680"/>
      <c r="Y253" s="680"/>
      <c r="Z253" s="680"/>
      <c r="AA253" s="680"/>
      <c r="AB253" s="680"/>
      <c r="AC253" s="681"/>
      <c r="AD253" s="678"/>
      <c r="AE253" s="678"/>
      <c r="AF253" s="678"/>
      <c r="AG253" s="678"/>
      <c r="AH253" s="678"/>
      <c r="AI253" s="678"/>
      <c r="AJ253" s="678"/>
      <c r="AK253" s="658"/>
    </row>
    <row r="254" spans="2:37" s="5" customFormat="1">
      <c r="B254" s="313"/>
      <c r="C254" s="835"/>
      <c r="D254" s="19" t="s">
        <v>32</v>
      </c>
      <c r="E254" s="67" t="s">
        <v>16</v>
      </c>
      <c r="F254" s="84">
        <f>SUM(H247:H252)</f>
        <v>355928.7633522728</v>
      </c>
      <c r="G254" s="92">
        <f>$G$43</f>
        <v>8.3299999999999999E-2</v>
      </c>
      <c r="H254" s="64">
        <f>+G254*F254</f>
        <v>29648.865987244324</v>
      </c>
      <c r="I254" s="93"/>
      <c r="J254" s="52"/>
      <c r="K254" s="156"/>
      <c r="L254" s="383"/>
      <c r="M254" s="542"/>
      <c r="N254" s="578">
        <f t="shared" si="10"/>
        <v>-29648.865987244324</v>
      </c>
      <c r="O254" s="678"/>
      <c r="P254" s="678"/>
      <c r="Q254" s="678"/>
      <c r="R254" s="678"/>
      <c r="S254" s="678"/>
      <c r="T254" s="678"/>
      <c r="U254" s="678"/>
      <c r="V254" s="680"/>
      <c r="W254" s="680"/>
      <c r="X254" s="680"/>
      <c r="Y254" s="680"/>
      <c r="Z254" s="680"/>
      <c r="AA254" s="680"/>
      <c r="AB254" s="680"/>
      <c r="AC254" s="680"/>
      <c r="AD254" s="678"/>
      <c r="AE254" s="678"/>
      <c r="AF254" s="678"/>
      <c r="AG254" s="678"/>
      <c r="AH254" s="678"/>
      <c r="AI254" s="678"/>
      <c r="AJ254" s="678"/>
      <c r="AK254" s="658"/>
    </row>
    <row r="255" spans="2:37" s="5" customFormat="1">
      <c r="B255" s="313"/>
      <c r="C255" s="835"/>
      <c r="D255" s="19" t="s">
        <v>33</v>
      </c>
      <c r="E255" s="84">
        <f>F254/(5*F253)</f>
        <v>10468.493039772729</v>
      </c>
      <c r="F255" s="84">
        <f>E255*(F253*7)</f>
        <v>498300.26869318192</v>
      </c>
      <c r="G255" s="95">
        <f>$G$44</f>
        <v>20</v>
      </c>
      <c r="H255" s="64">
        <f>F255/G255</f>
        <v>24915.013434659097</v>
      </c>
      <c r="I255" s="72">
        <f>SUM(H253:H255)</f>
        <v>410492.6427741762</v>
      </c>
      <c r="J255" s="52">
        <f>SUM(G247:G255)</f>
        <v>32.883299999999998</v>
      </c>
      <c r="K255" s="156"/>
      <c r="L255" s="383"/>
      <c r="M255" s="542"/>
      <c r="N255" s="578">
        <f t="shared" si="10"/>
        <v>-24915.013434659097</v>
      </c>
      <c r="O255" s="678"/>
      <c r="P255" s="678"/>
      <c r="Q255" s="678"/>
      <c r="R255" s="678"/>
      <c r="S255" s="678"/>
      <c r="T255" s="678"/>
      <c r="U255" s="678"/>
      <c r="V255" s="681"/>
      <c r="W255" s="681"/>
      <c r="X255" s="681"/>
      <c r="Y255" s="681"/>
      <c r="Z255" s="681"/>
      <c r="AA255" s="681"/>
      <c r="AB255" s="681"/>
      <c r="AC255" s="681"/>
      <c r="AD255" s="678"/>
      <c r="AE255" s="678"/>
      <c r="AF255" s="678"/>
      <c r="AG255" s="678"/>
      <c r="AH255" s="678"/>
      <c r="AI255" s="678"/>
      <c r="AJ255" s="678"/>
      <c r="AK255" s="658"/>
    </row>
    <row r="256" spans="2:37" s="5" customFormat="1" ht="15" customHeight="1">
      <c r="B256" s="317">
        <v>20</v>
      </c>
      <c r="C256" s="835" t="s">
        <v>882</v>
      </c>
      <c r="D256" s="80" t="s">
        <v>851</v>
      </c>
      <c r="E256" s="81">
        <v>34123.25</v>
      </c>
      <c r="F256" s="74"/>
      <c r="G256" s="75"/>
      <c r="H256" s="82"/>
      <c r="I256" s="83"/>
      <c r="J256" s="6"/>
      <c r="K256" s="156"/>
      <c r="L256" s="383"/>
      <c r="M256" s="542"/>
      <c r="N256" s="578">
        <f t="shared" si="10"/>
        <v>0</v>
      </c>
      <c r="O256" s="678"/>
      <c r="P256" s="678"/>
      <c r="Q256" s="678"/>
      <c r="R256" s="678"/>
      <c r="S256" s="678"/>
      <c r="T256" s="678"/>
      <c r="U256" s="678"/>
      <c r="V256" s="678"/>
      <c r="W256" s="678"/>
      <c r="X256" s="678"/>
      <c r="Y256" s="678"/>
      <c r="Z256" s="678"/>
      <c r="AA256" s="678"/>
      <c r="AB256" s="678"/>
      <c r="AC256" s="678"/>
      <c r="AD256" s="678"/>
      <c r="AE256" s="678"/>
      <c r="AF256" s="678"/>
      <c r="AG256" s="678"/>
      <c r="AH256" s="678"/>
      <c r="AI256" s="678"/>
      <c r="AJ256" s="678"/>
      <c r="AK256" s="658"/>
    </row>
    <row r="257" spans="2:37" s="5" customFormat="1">
      <c r="B257" s="313"/>
      <c r="C257" s="835"/>
      <c r="D257" s="17" t="s">
        <v>316</v>
      </c>
      <c r="E257" s="81" t="s">
        <v>27</v>
      </c>
      <c r="F257" s="84">
        <f>E256</f>
        <v>34123.25</v>
      </c>
      <c r="G257" s="99">
        <v>0.6</v>
      </c>
      <c r="H257" s="64">
        <f>+G257*F257</f>
        <v>20473.95</v>
      </c>
      <c r="I257" s="79"/>
      <c r="J257" s="52"/>
      <c r="K257" s="156"/>
      <c r="L257" s="383"/>
      <c r="M257" s="542"/>
      <c r="N257" s="578">
        <f t="shared" si="10"/>
        <v>-20473.95</v>
      </c>
      <c r="O257" s="678"/>
      <c r="P257" s="678"/>
      <c r="Q257" s="678"/>
      <c r="R257" s="678"/>
      <c r="S257" s="678"/>
      <c r="T257" s="678"/>
      <c r="U257" s="678"/>
      <c r="V257" s="680"/>
      <c r="W257" s="680"/>
      <c r="X257" s="680"/>
      <c r="Y257" s="680"/>
      <c r="Z257" s="680"/>
      <c r="AA257" s="680"/>
      <c r="AB257" s="680"/>
      <c r="AC257" s="680"/>
      <c r="AD257" s="678"/>
      <c r="AE257" s="678"/>
      <c r="AF257" s="678"/>
      <c r="AG257" s="678"/>
      <c r="AH257" s="678"/>
      <c r="AI257" s="678"/>
      <c r="AJ257" s="678"/>
      <c r="AK257" s="658"/>
    </row>
    <row r="258" spans="2:37" s="5" customFormat="1">
      <c r="B258" s="313"/>
      <c r="C258" s="835"/>
      <c r="D258" s="17" t="s">
        <v>3</v>
      </c>
      <c r="E258" s="81" t="s">
        <v>27</v>
      </c>
      <c r="F258" s="84">
        <f>E256</f>
        <v>34123.25</v>
      </c>
      <c r="G258" s="64">
        <v>6</v>
      </c>
      <c r="H258" s="64">
        <f>+G258*F258</f>
        <v>204739.5</v>
      </c>
      <c r="I258" s="79"/>
      <c r="J258" s="52"/>
      <c r="K258" s="156"/>
      <c r="L258" s="383"/>
      <c r="M258" s="542"/>
      <c r="N258" s="578">
        <f t="shared" si="10"/>
        <v>-204739.5</v>
      </c>
      <c r="O258" s="678"/>
      <c r="P258" s="678"/>
      <c r="Q258" s="678"/>
      <c r="R258" s="678"/>
      <c r="S258" s="678"/>
      <c r="T258" s="678"/>
      <c r="U258" s="678"/>
      <c r="V258" s="680"/>
      <c r="W258" s="680"/>
      <c r="X258" s="680"/>
      <c r="Y258" s="680"/>
      <c r="Z258" s="680"/>
      <c r="AA258" s="680"/>
      <c r="AB258" s="680"/>
      <c r="AC258" s="680"/>
      <c r="AD258" s="678"/>
      <c r="AE258" s="678"/>
      <c r="AF258" s="678"/>
      <c r="AG258" s="678"/>
      <c r="AH258" s="678"/>
      <c r="AI258" s="678"/>
      <c r="AJ258" s="678"/>
      <c r="AK258" s="658"/>
    </row>
    <row r="259" spans="2:37" s="5" customFormat="1">
      <c r="B259" s="313"/>
      <c r="C259" s="835"/>
      <c r="D259" s="17" t="s">
        <v>28</v>
      </c>
      <c r="E259" s="88">
        <f>$H$5+2.5+2</f>
        <v>17.75</v>
      </c>
      <c r="F259" s="84">
        <f>E256/44*1.5</f>
        <v>1163.2926136363637</v>
      </c>
      <c r="G259" s="87">
        <v>6</v>
      </c>
      <c r="H259" s="64">
        <f>+G259*F259*E259</f>
        <v>123890.66335227274</v>
      </c>
      <c r="I259" s="79"/>
      <c r="J259" s="52"/>
      <c r="K259" s="156"/>
      <c r="L259" s="383"/>
      <c r="M259" s="542"/>
      <c r="N259" s="578">
        <f t="shared" si="10"/>
        <v>-123890.66335227274</v>
      </c>
      <c r="O259" s="678"/>
      <c r="P259" s="678"/>
      <c r="Q259" s="678"/>
      <c r="R259" s="678"/>
      <c r="S259" s="678"/>
      <c r="T259" s="678"/>
      <c r="U259" s="678"/>
      <c r="V259" s="680"/>
      <c r="W259" s="680"/>
      <c r="X259" s="680"/>
      <c r="Y259" s="680"/>
      <c r="Z259" s="680"/>
      <c r="AA259" s="680"/>
      <c r="AB259" s="680"/>
      <c r="AC259" s="680"/>
      <c r="AD259" s="678"/>
      <c r="AE259" s="678"/>
      <c r="AF259" s="678"/>
      <c r="AG259" s="678"/>
      <c r="AH259" s="678"/>
      <c r="AI259" s="678"/>
      <c r="AJ259" s="678"/>
      <c r="AK259" s="658"/>
    </row>
    <row r="260" spans="2:37" s="5" customFormat="1">
      <c r="B260" s="313"/>
      <c r="C260" s="835"/>
      <c r="D260" s="17" t="s">
        <v>1</v>
      </c>
      <c r="E260" s="67" t="s">
        <v>29</v>
      </c>
      <c r="F260" s="84">
        <f>E256/5*1.5</f>
        <v>10236.974999999999</v>
      </c>
      <c r="G260" s="64">
        <f>$H$3</f>
        <v>0</v>
      </c>
      <c r="H260" s="64">
        <f>+G260*F260</f>
        <v>0</v>
      </c>
      <c r="I260" s="79"/>
      <c r="J260" s="52"/>
      <c r="K260" s="156"/>
      <c r="L260" s="383"/>
      <c r="M260" s="542"/>
      <c r="N260" s="578">
        <f t="shared" si="10"/>
        <v>0</v>
      </c>
      <c r="O260" s="678"/>
      <c r="P260" s="678"/>
      <c r="Q260" s="678"/>
      <c r="R260" s="678"/>
      <c r="S260" s="678"/>
      <c r="T260" s="678"/>
      <c r="U260" s="678"/>
      <c r="V260" s="680"/>
      <c r="W260" s="680"/>
      <c r="X260" s="680"/>
      <c r="Y260" s="680"/>
      <c r="Z260" s="680"/>
      <c r="AA260" s="680"/>
      <c r="AB260" s="680"/>
      <c r="AC260" s="680"/>
      <c r="AD260" s="678"/>
      <c r="AE260" s="678"/>
      <c r="AF260" s="678"/>
      <c r="AG260" s="678"/>
      <c r="AH260" s="678"/>
      <c r="AI260" s="678"/>
      <c r="AJ260" s="678"/>
      <c r="AK260" s="658"/>
    </row>
    <row r="261" spans="2:37" s="5" customFormat="1">
      <c r="B261" s="313"/>
      <c r="C261" s="835"/>
      <c r="D261" s="17" t="s">
        <v>4</v>
      </c>
      <c r="E261" s="67" t="s">
        <v>29</v>
      </c>
      <c r="F261" s="84">
        <f>E256/5*2</f>
        <v>13649.3</v>
      </c>
      <c r="G261" s="64">
        <f>$H$4</f>
        <v>0</v>
      </c>
      <c r="H261" s="64">
        <f>+G261*F261</f>
        <v>0</v>
      </c>
      <c r="I261" s="79"/>
      <c r="J261" s="52"/>
      <c r="K261" s="156"/>
      <c r="L261" s="383"/>
      <c r="M261" s="542"/>
      <c r="N261" s="578">
        <f t="shared" si="10"/>
        <v>0</v>
      </c>
      <c r="O261" s="678"/>
      <c r="P261" s="678"/>
      <c r="Q261" s="678"/>
      <c r="R261" s="678"/>
      <c r="S261" s="678"/>
      <c r="T261" s="678"/>
      <c r="U261" s="678"/>
      <c r="V261" s="680"/>
      <c r="W261" s="680"/>
      <c r="X261" s="680"/>
      <c r="Y261" s="680"/>
      <c r="Z261" s="680"/>
      <c r="AA261" s="680"/>
      <c r="AB261" s="680"/>
      <c r="AC261" s="680"/>
      <c r="AD261" s="678"/>
      <c r="AE261" s="678"/>
      <c r="AF261" s="678"/>
      <c r="AG261" s="678"/>
      <c r="AH261" s="678"/>
      <c r="AI261" s="678"/>
      <c r="AJ261" s="678"/>
      <c r="AK261" s="658"/>
    </row>
    <row r="262" spans="2:37" s="5" customFormat="1">
      <c r="B262" s="313"/>
      <c r="C262" s="835"/>
      <c r="D262" s="17" t="s">
        <v>46</v>
      </c>
      <c r="E262" s="81" t="s">
        <v>27</v>
      </c>
      <c r="F262" s="84">
        <f>E256</f>
        <v>34123.25</v>
      </c>
      <c r="G262" s="99">
        <v>0.2</v>
      </c>
      <c r="H262" s="64">
        <f>+G262*F262</f>
        <v>6824.6500000000005</v>
      </c>
      <c r="I262" s="79"/>
      <c r="J262" s="52"/>
      <c r="K262" s="156"/>
      <c r="L262" s="383"/>
      <c r="M262" s="542"/>
      <c r="N262" s="578">
        <f t="shared" si="10"/>
        <v>-6824.6500000000005</v>
      </c>
      <c r="O262" s="678"/>
      <c r="P262" s="678"/>
      <c r="Q262" s="678"/>
      <c r="R262" s="678"/>
      <c r="S262" s="678"/>
      <c r="T262" s="678"/>
      <c r="U262" s="678"/>
      <c r="V262" s="680"/>
      <c r="W262" s="680"/>
      <c r="X262" s="680"/>
      <c r="Y262" s="680"/>
      <c r="Z262" s="680"/>
      <c r="AA262" s="680"/>
      <c r="AB262" s="680"/>
      <c r="AC262" s="680"/>
      <c r="AD262" s="678"/>
      <c r="AE262" s="678"/>
      <c r="AF262" s="678"/>
      <c r="AG262" s="678"/>
      <c r="AH262" s="678"/>
      <c r="AI262" s="678"/>
      <c r="AJ262" s="678"/>
      <c r="AK262" s="658"/>
    </row>
    <row r="263" spans="2:37" s="5" customFormat="1">
      <c r="B263" s="313"/>
      <c r="C263" s="835"/>
      <c r="D263" s="17" t="s">
        <v>30</v>
      </c>
      <c r="E263" s="67" t="s">
        <v>16</v>
      </c>
      <c r="F263" s="101">
        <f>G257+G258+G262</f>
        <v>6.8</v>
      </c>
      <c r="G263" s="68" t="s">
        <v>31</v>
      </c>
      <c r="H263" s="64">
        <f>SUM(H257:H262)</f>
        <v>355928.7633522728</v>
      </c>
      <c r="I263" s="79"/>
      <c r="J263" s="52"/>
      <c r="K263" s="156"/>
      <c r="L263" s="383"/>
      <c r="M263" s="542"/>
      <c r="N263" s="578">
        <f t="shared" si="10"/>
        <v>-355928.7633522728</v>
      </c>
      <c r="O263" s="678"/>
      <c r="P263" s="678"/>
      <c r="Q263" s="678"/>
      <c r="R263" s="678"/>
      <c r="S263" s="678"/>
      <c r="T263" s="678"/>
      <c r="U263" s="678"/>
      <c r="V263" s="680"/>
      <c r="W263" s="680"/>
      <c r="X263" s="680"/>
      <c r="Y263" s="680"/>
      <c r="Z263" s="680"/>
      <c r="AA263" s="680"/>
      <c r="AB263" s="680"/>
      <c r="AC263" s="681"/>
      <c r="AD263" s="678"/>
      <c r="AE263" s="678"/>
      <c r="AF263" s="678"/>
      <c r="AG263" s="678"/>
      <c r="AH263" s="678"/>
      <c r="AI263" s="678"/>
      <c r="AJ263" s="678"/>
      <c r="AK263" s="658"/>
    </row>
    <row r="264" spans="2:37" s="5" customFormat="1">
      <c r="B264" s="313"/>
      <c r="C264" s="835"/>
      <c r="D264" s="19" t="s">
        <v>32</v>
      </c>
      <c r="E264" s="67" t="s">
        <v>16</v>
      </c>
      <c r="F264" s="84">
        <f>SUM(H257:H262)</f>
        <v>355928.7633522728</v>
      </c>
      <c r="G264" s="92">
        <f>$G$43</f>
        <v>8.3299999999999999E-2</v>
      </c>
      <c r="H264" s="64">
        <f>+G264*F264</f>
        <v>29648.865987244324</v>
      </c>
      <c r="I264" s="93"/>
      <c r="J264" s="52"/>
      <c r="K264" s="156"/>
      <c r="L264" s="383"/>
      <c r="M264" s="542"/>
      <c r="N264" s="578">
        <f t="shared" si="10"/>
        <v>-29648.865987244324</v>
      </c>
      <c r="O264" s="678"/>
      <c r="P264" s="678"/>
      <c r="Q264" s="678"/>
      <c r="R264" s="678"/>
      <c r="S264" s="678"/>
      <c r="T264" s="678"/>
      <c r="U264" s="678"/>
      <c r="V264" s="680"/>
      <c r="W264" s="680"/>
      <c r="X264" s="680"/>
      <c r="Y264" s="680"/>
      <c r="Z264" s="680"/>
      <c r="AA264" s="680"/>
      <c r="AB264" s="680"/>
      <c r="AC264" s="680"/>
      <c r="AD264" s="678"/>
      <c r="AE264" s="678"/>
      <c r="AF264" s="678"/>
      <c r="AG264" s="678"/>
      <c r="AH264" s="678"/>
      <c r="AI264" s="678"/>
      <c r="AJ264" s="678"/>
      <c r="AK264" s="658"/>
    </row>
    <row r="265" spans="2:37" s="5" customFormat="1">
      <c r="B265" s="313"/>
      <c r="C265" s="835"/>
      <c r="D265" s="19" t="s">
        <v>33</v>
      </c>
      <c r="E265" s="84">
        <f>F264/(5*F263)</f>
        <v>10468.493039772729</v>
      </c>
      <c r="F265" s="84">
        <f>E265*(F263*7)</f>
        <v>498300.26869318192</v>
      </c>
      <c r="G265" s="95">
        <f>$G$44</f>
        <v>20</v>
      </c>
      <c r="H265" s="64">
        <f>F265/G265</f>
        <v>24915.013434659097</v>
      </c>
      <c r="I265" s="72">
        <f>SUM(H263:H265)</f>
        <v>410492.6427741762</v>
      </c>
      <c r="J265" s="52">
        <f>SUM(G257:G265)</f>
        <v>32.883299999999998</v>
      </c>
      <c r="K265" s="156"/>
      <c r="L265" s="383"/>
      <c r="M265" s="542"/>
      <c r="N265" s="578">
        <f t="shared" si="10"/>
        <v>-24915.013434659097</v>
      </c>
      <c r="O265" s="678"/>
      <c r="P265" s="678"/>
      <c r="Q265" s="678"/>
      <c r="R265" s="678"/>
      <c r="S265" s="678"/>
      <c r="T265" s="678"/>
      <c r="U265" s="678"/>
      <c r="V265" s="681"/>
      <c r="W265" s="681"/>
      <c r="X265" s="681"/>
      <c r="Y265" s="681"/>
      <c r="Z265" s="681"/>
      <c r="AA265" s="681"/>
      <c r="AB265" s="681"/>
      <c r="AC265" s="681"/>
      <c r="AD265" s="678"/>
      <c r="AE265" s="678"/>
      <c r="AF265" s="678"/>
      <c r="AG265" s="678"/>
      <c r="AH265" s="678"/>
      <c r="AI265" s="678"/>
      <c r="AJ265" s="678"/>
      <c r="AK265" s="658"/>
    </row>
    <row r="266" spans="2:37" s="5" customFormat="1">
      <c r="B266" s="313"/>
      <c r="C266" s="835"/>
      <c r="D266" s="96"/>
      <c r="E266" s="799"/>
      <c r="F266" s="74"/>
      <c r="G266" s="97"/>
      <c r="H266" s="78"/>
      <c r="I266" s="79"/>
      <c r="J266" s="52"/>
      <c r="K266" s="156"/>
      <c r="L266" s="383"/>
      <c r="M266" s="542"/>
      <c r="N266" s="578"/>
      <c r="O266" s="678"/>
      <c r="P266" s="678"/>
      <c r="Q266" s="678"/>
      <c r="R266" s="678"/>
      <c r="S266" s="678"/>
      <c r="T266" s="678"/>
      <c r="U266" s="678"/>
      <c r="V266" s="678"/>
      <c r="W266" s="678"/>
      <c r="X266" s="678"/>
      <c r="Y266" s="678"/>
      <c r="Z266" s="678"/>
      <c r="AA266" s="678"/>
      <c r="AB266" s="678"/>
      <c r="AC266" s="678"/>
      <c r="AD266" s="678"/>
      <c r="AE266" s="678"/>
      <c r="AF266" s="678"/>
      <c r="AG266" s="678"/>
      <c r="AH266" s="678"/>
      <c r="AI266" s="678"/>
      <c r="AJ266" s="678"/>
      <c r="AK266" s="658"/>
    </row>
    <row r="267" spans="2:37" s="5" customFormat="1">
      <c r="B267" s="313"/>
      <c r="C267" s="835"/>
      <c r="D267" s="96"/>
      <c r="E267" s="799"/>
      <c r="F267" s="74"/>
      <c r="G267" s="97"/>
      <c r="H267" s="78"/>
      <c r="I267" s="79"/>
      <c r="J267" s="52"/>
      <c r="K267" s="156"/>
      <c r="L267" s="383"/>
      <c r="M267" s="542"/>
      <c r="N267" s="578"/>
      <c r="O267" s="678"/>
      <c r="P267" s="678"/>
      <c r="Q267" s="678"/>
      <c r="R267" s="678"/>
      <c r="S267" s="678"/>
      <c r="T267" s="678"/>
      <c r="U267" s="678"/>
      <c r="V267" s="678"/>
      <c r="W267" s="678"/>
      <c r="X267" s="678"/>
      <c r="Y267" s="678"/>
      <c r="Z267" s="678"/>
      <c r="AA267" s="678"/>
      <c r="AB267" s="678"/>
      <c r="AC267" s="678"/>
      <c r="AD267" s="678"/>
      <c r="AE267" s="678"/>
      <c r="AF267" s="678"/>
      <c r="AG267" s="678"/>
      <c r="AH267" s="678"/>
      <c r="AI267" s="678"/>
      <c r="AJ267" s="678"/>
      <c r="AK267" s="658"/>
    </row>
    <row r="268" spans="2:37" s="5" customFormat="1" ht="15" customHeight="1">
      <c r="B268" s="317">
        <v>21</v>
      </c>
      <c r="C268" s="835" t="s">
        <v>883</v>
      </c>
      <c r="D268" s="80" t="s">
        <v>54</v>
      </c>
      <c r="E268" s="81">
        <v>57232.2</v>
      </c>
      <c r="F268" s="74"/>
      <c r="G268" s="75"/>
      <c r="H268" s="82"/>
      <c r="I268" s="83"/>
      <c r="J268" s="6"/>
      <c r="K268" s="156"/>
      <c r="L268" s="383"/>
      <c r="M268" s="542"/>
      <c r="N268" s="578">
        <f t="shared" ref="N268:N331" si="11">SUM(O268:AL268)-H268</f>
        <v>0</v>
      </c>
      <c r="O268" s="678"/>
      <c r="P268" s="678"/>
      <c r="Q268" s="678"/>
      <c r="R268" s="678"/>
      <c r="S268" s="678"/>
      <c r="T268" s="678"/>
      <c r="U268" s="678"/>
      <c r="V268" s="678"/>
      <c r="W268" s="678"/>
      <c r="X268" s="678"/>
      <c r="Y268" s="678"/>
      <c r="Z268" s="678"/>
      <c r="AA268" s="678"/>
      <c r="AB268" s="678"/>
      <c r="AC268" s="678"/>
      <c r="AD268" s="678"/>
      <c r="AE268" s="678"/>
      <c r="AF268" s="678"/>
      <c r="AG268" s="678"/>
      <c r="AH268" s="678"/>
      <c r="AI268" s="678"/>
      <c r="AJ268" s="678"/>
      <c r="AK268" s="658"/>
    </row>
    <row r="269" spans="2:37" s="5" customFormat="1">
      <c r="B269" s="313"/>
      <c r="C269" s="835"/>
      <c r="D269" s="17" t="s">
        <v>320</v>
      </c>
      <c r="E269" s="81" t="s">
        <v>27</v>
      </c>
      <c r="F269" s="84">
        <f>E268</f>
        <v>57232.2</v>
      </c>
      <c r="G269" s="256">
        <v>1</v>
      </c>
      <c r="H269" s="64">
        <f>+G269*F269</f>
        <v>57232.2</v>
      </c>
      <c r="I269" s="79"/>
      <c r="J269" s="52"/>
      <c r="K269" s="156"/>
      <c r="L269" s="383"/>
      <c r="M269" s="542"/>
      <c r="N269" s="578">
        <f t="shared" si="11"/>
        <v>-57232.2</v>
      </c>
      <c r="O269" s="678"/>
      <c r="P269" s="678"/>
      <c r="Q269" s="678"/>
      <c r="R269" s="678"/>
      <c r="S269" s="678"/>
      <c r="T269" s="678"/>
      <c r="U269" s="678"/>
      <c r="V269" s="680"/>
      <c r="W269" s="680"/>
      <c r="X269" s="680"/>
      <c r="Y269" s="680"/>
      <c r="Z269" s="680"/>
      <c r="AA269" s="680"/>
      <c r="AB269" s="680"/>
      <c r="AC269" s="680"/>
      <c r="AD269" s="678"/>
      <c r="AE269" s="678"/>
      <c r="AF269" s="678"/>
      <c r="AG269" s="678"/>
      <c r="AH269" s="678"/>
      <c r="AI269" s="678"/>
      <c r="AJ269" s="678"/>
      <c r="AK269" s="658"/>
    </row>
    <row r="270" spans="2:37" s="5" customFormat="1">
      <c r="B270" s="313"/>
      <c r="C270" s="835"/>
      <c r="D270" s="17" t="s">
        <v>3</v>
      </c>
      <c r="E270" s="81" t="s">
        <v>27</v>
      </c>
      <c r="F270" s="84">
        <f>E268</f>
        <v>57232.2</v>
      </c>
      <c r="G270" s="64">
        <v>6</v>
      </c>
      <c r="H270" s="64">
        <f>+G270*F270</f>
        <v>343393.19999999995</v>
      </c>
      <c r="I270" s="79"/>
      <c r="J270" s="52"/>
      <c r="K270" s="156"/>
      <c r="L270" s="383"/>
      <c r="M270" s="542"/>
      <c r="N270" s="578">
        <f t="shared" si="11"/>
        <v>-343393.19999999995</v>
      </c>
      <c r="O270" s="678"/>
      <c r="P270" s="678"/>
      <c r="Q270" s="678"/>
      <c r="R270" s="678"/>
      <c r="S270" s="678"/>
      <c r="T270" s="678"/>
      <c r="U270" s="678"/>
      <c r="V270" s="680"/>
      <c r="W270" s="680"/>
      <c r="X270" s="680"/>
      <c r="Y270" s="680"/>
      <c r="Z270" s="680"/>
      <c r="AA270" s="680"/>
      <c r="AB270" s="680"/>
      <c r="AC270" s="680"/>
      <c r="AD270" s="678"/>
      <c r="AE270" s="678"/>
      <c r="AF270" s="678"/>
      <c r="AG270" s="678"/>
      <c r="AH270" s="678"/>
      <c r="AI270" s="678"/>
      <c r="AJ270" s="678"/>
      <c r="AK270" s="658"/>
    </row>
    <row r="271" spans="2:37" s="5" customFormat="1">
      <c r="B271" s="313"/>
      <c r="C271" s="835"/>
      <c r="D271" s="17" t="s">
        <v>28</v>
      </c>
      <c r="E271" s="244">
        <f>$H$5+2</f>
        <v>15.25</v>
      </c>
      <c r="F271" s="84">
        <f>E268/44*1.5</f>
        <v>1951.0977272727273</v>
      </c>
      <c r="G271" s="87">
        <v>6</v>
      </c>
      <c r="H271" s="64">
        <f>+G271*F271*E271</f>
        <v>178525.44204545458</v>
      </c>
      <c r="I271" s="79"/>
      <c r="J271" s="52"/>
      <c r="K271" s="156"/>
      <c r="L271" s="383"/>
      <c r="M271" s="542"/>
      <c r="N271" s="578">
        <f t="shared" si="11"/>
        <v>-178525.44204545458</v>
      </c>
      <c r="O271" s="678"/>
      <c r="P271" s="678"/>
      <c r="Q271" s="678"/>
      <c r="R271" s="678"/>
      <c r="S271" s="678"/>
      <c r="T271" s="678"/>
      <c r="U271" s="678"/>
      <c r="V271" s="680"/>
      <c r="W271" s="680"/>
      <c r="X271" s="680"/>
      <c r="Y271" s="680"/>
      <c r="Z271" s="680"/>
      <c r="AA271" s="680"/>
      <c r="AB271" s="680"/>
      <c r="AC271" s="680"/>
      <c r="AD271" s="678"/>
      <c r="AE271" s="678"/>
      <c r="AF271" s="678"/>
      <c r="AG271" s="678"/>
      <c r="AH271" s="678"/>
      <c r="AI271" s="678"/>
      <c r="AJ271" s="678"/>
      <c r="AK271" s="658"/>
    </row>
    <row r="272" spans="2:37" s="5" customFormat="1">
      <c r="B272" s="313"/>
      <c r="C272" s="835"/>
      <c r="D272" s="17" t="s">
        <v>1</v>
      </c>
      <c r="E272" s="67" t="s">
        <v>29</v>
      </c>
      <c r="F272" s="84">
        <f>E268/5*1.5</f>
        <v>17169.659999999996</v>
      </c>
      <c r="G272" s="64">
        <f>$H$3</f>
        <v>0</v>
      </c>
      <c r="H272" s="64">
        <f>+G272*F272</f>
        <v>0</v>
      </c>
      <c r="I272" s="79"/>
      <c r="J272" s="52"/>
      <c r="K272" s="156"/>
      <c r="L272" s="383"/>
      <c r="M272" s="542"/>
      <c r="N272" s="578">
        <f t="shared" si="11"/>
        <v>0</v>
      </c>
      <c r="O272" s="678"/>
      <c r="P272" s="678"/>
      <c r="Q272" s="678"/>
      <c r="R272" s="678"/>
      <c r="S272" s="678"/>
      <c r="T272" s="678"/>
      <c r="U272" s="678"/>
      <c r="V272" s="680"/>
      <c r="W272" s="680"/>
      <c r="X272" s="680"/>
      <c r="Y272" s="680"/>
      <c r="Z272" s="680"/>
      <c r="AA272" s="680"/>
      <c r="AB272" s="680"/>
      <c r="AC272" s="680"/>
      <c r="AD272" s="678"/>
      <c r="AE272" s="678"/>
      <c r="AF272" s="678"/>
      <c r="AG272" s="678"/>
      <c r="AH272" s="678"/>
      <c r="AI272" s="678"/>
      <c r="AJ272" s="678"/>
      <c r="AK272" s="658"/>
    </row>
    <row r="273" spans="2:37" s="5" customFormat="1">
      <c r="B273" s="313"/>
      <c r="C273" s="835"/>
      <c r="D273" s="17" t="s">
        <v>4</v>
      </c>
      <c r="E273" s="67" t="s">
        <v>29</v>
      </c>
      <c r="F273" s="84">
        <f>E268/5*2</f>
        <v>22892.879999999997</v>
      </c>
      <c r="G273" s="64">
        <f>$H$4</f>
        <v>0</v>
      </c>
      <c r="H273" s="64">
        <f>+G273*F273</f>
        <v>0</v>
      </c>
      <c r="I273" s="79"/>
      <c r="J273" s="52"/>
      <c r="K273" s="156"/>
      <c r="L273" s="383"/>
      <c r="M273" s="542"/>
      <c r="N273" s="578">
        <f t="shared" si="11"/>
        <v>0</v>
      </c>
      <c r="O273" s="678"/>
      <c r="P273" s="678"/>
      <c r="Q273" s="678"/>
      <c r="R273" s="678"/>
      <c r="S273" s="678"/>
      <c r="T273" s="678"/>
      <c r="U273" s="678"/>
      <c r="V273" s="680"/>
      <c r="W273" s="680"/>
      <c r="X273" s="680"/>
      <c r="Y273" s="680"/>
      <c r="Z273" s="680"/>
      <c r="AA273" s="680"/>
      <c r="AB273" s="680"/>
      <c r="AC273" s="680"/>
      <c r="AD273" s="678"/>
      <c r="AE273" s="678"/>
      <c r="AF273" s="678"/>
      <c r="AG273" s="678"/>
      <c r="AH273" s="678"/>
      <c r="AI273" s="678"/>
      <c r="AJ273" s="678"/>
      <c r="AK273" s="658"/>
    </row>
    <row r="274" spans="2:37" s="5" customFormat="1">
      <c r="B274" s="313"/>
      <c r="C274" s="835"/>
      <c r="D274" s="17" t="s">
        <v>46</v>
      </c>
      <c r="E274" s="81" t="s">
        <v>27</v>
      </c>
      <c r="F274" s="84">
        <f>E268</f>
        <v>57232.2</v>
      </c>
      <c r="G274" s="99">
        <v>0</v>
      </c>
      <c r="H274" s="64">
        <f>+G274*F274</f>
        <v>0</v>
      </c>
      <c r="I274" s="79"/>
      <c r="J274" s="52"/>
      <c r="K274" s="156"/>
      <c r="L274" s="383"/>
      <c r="M274" s="542"/>
      <c r="N274" s="578">
        <f t="shared" si="11"/>
        <v>0</v>
      </c>
      <c r="O274" s="678"/>
      <c r="P274" s="678"/>
      <c r="Q274" s="678"/>
      <c r="R274" s="678"/>
      <c r="S274" s="678"/>
      <c r="T274" s="678"/>
      <c r="U274" s="678"/>
      <c r="V274" s="680"/>
      <c r="W274" s="680"/>
      <c r="X274" s="680"/>
      <c r="Y274" s="680"/>
      <c r="Z274" s="680"/>
      <c r="AA274" s="680"/>
      <c r="AB274" s="680"/>
      <c r="AC274" s="680"/>
      <c r="AD274" s="678"/>
      <c r="AE274" s="678"/>
      <c r="AF274" s="678"/>
      <c r="AG274" s="678"/>
      <c r="AH274" s="678"/>
      <c r="AI274" s="678"/>
      <c r="AJ274" s="678"/>
      <c r="AK274" s="658"/>
    </row>
    <row r="275" spans="2:37" s="5" customFormat="1">
      <c r="B275" s="313"/>
      <c r="C275" s="835"/>
      <c r="D275" s="17" t="s">
        <v>30</v>
      </c>
      <c r="E275" s="67" t="s">
        <v>16</v>
      </c>
      <c r="F275" s="101">
        <f>G269+G270+G274</f>
        <v>7</v>
      </c>
      <c r="G275" s="68" t="s">
        <v>31</v>
      </c>
      <c r="H275" s="64">
        <f>SUM(H269:H274)</f>
        <v>579150.84204545454</v>
      </c>
      <c r="I275" s="79"/>
      <c r="J275" s="52"/>
      <c r="K275" s="156"/>
      <c r="L275" s="383"/>
      <c r="M275" s="542"/>
      <c r="N275" s="578">
        <f t="shared" si="11"/>
        <v>-579150.84204545454</v>
      </c>
      <c r="O275" s="678"/>
      <c r="P275" s="678"/>
      <c r="Q275" s="678"/>
      <c r="R275" s="678"/>
      <c r="S275" s="678"/>
      <c r="T275" s="678"/>
      <c r="U275" s="678"/>
      <c r="V275" s="680"/>
      <c r="W275" s="680"/>
      <c r="X275" s="680"/>
      <c r="Y275" s="680"/>
      <c r="Z275" s="680"/>
      <c r="AA275" s="680"/>
      <c r="AB275" s="680"/>
      <c r="AC275" s="681"/>
      <c r="AD275" s="678"/>
      <c r="AE275" s="678"/>
      <c r="AF275" s="678"/>
      <c r="AG275" s="678"/>
      <c r="AH275" s="678"/>
      <c r="AI275" s="678"/>
      <c r="AJ275" s="678"/>
      <c r="AK275" s="658"/>
    </row>
    <row r="276" spans="2:37" s="5" customFormat="1">
      <c r="B276" s="313"/>
      <c r="C276" s="835"/>
      <c r="D276" s="19" t="s">
        <v>32</v>
      </c>
      <c r="E276" s="67" t="s">
        <v>16</v>
      </c>
      <c r="F276" s="84">
        <f>SUM(H269:H274)</f>
        <v>579150.84204545454</v>
      </c>
      <c r="G276" s="92">
        <f>$G$43</f>
        <v>8.3299999999999999E-2</v>
      </c>
      <c r="H276" s="64">
        <f>+G276*F276</f>
        <v>48243.265142386364</v>
      </c>
      <c r="I276" s="93"/>
      <c r="J276" s="52"/>
      <c r="K276" s="156"/>
      <c r="L276" s="383"/>
      <c r="M276" s="542"/>
      <c r="N276" s="578">
        <f t="shared" si="11"/>
        <v>-48243.265142386364</v>
      </c>
      <c r="O276" s="678"/>
      <c r="P276" s="678"/>
      <c r="Q276" s="678"/>
      <c r="R276" s="678"/>
      <c r="S276" s="678"/>
      <c r="T276" s="678"/>
      <c r="U276" s="678"/>
      <c r="V276" s="680"/>
      <c r="W276" s="680"/>
      <c r="X276" s="680"/>
      <c r="Y276" s="680"/>
      <c r="Z276" s="680"/>
      <c r="AA276" s="680"/>
      <c r="AB276" s="680"/>
      <c r="AC276" s="680"/>
      <c r="AD276" s="678"/>
      <c r="AE276" s="678"/>
      <c r="AF276" s="678"/>
      <c r="AG276" s="678"/>
      <c r="AH276" s="678"/>
      <c r="AI276" s="678"/>
      <c r="AJ276" s="678"/>
      <c r="AK276" s="658"/>
    </row>
    <row r="277" spans="2:37" s="5" customFormat="1">
      <c r="B277" s="313"/>
      <c r="C277" s="835"/>
      <c r="D277" s="19" t="s">
        <v>33</v>
      </c>
      <c r="E277" s="84">
        <f>F276/(5*F275)</f>
        <v>16547.166915584414</v>
      </c>
      <c r="F277" s="84">
        <f>E277*(F275*7)</f>
        <v>810811.17886363622</v>
      </c>
      <c r="G277" s="95">
        <f>$G$44</f>
        <v>20</v>
      </c>
      <c r="H277" s="64">
        <f>F277/G277</f>
        <v>40540.558943181808</v>
      </c>
      <c r="I277" s="72">
        <f>SUM(H275:H277)</f>
        <v>667934.66613102262</v>
      </c>
      <c r="J277" s="52">
        <f>SUM(G269:G277)</f>
        <v>33.083300000000001</v>
      </c>
      <c r="K277" s="156"/>
      <c r="L277" s="383"/>
      <c r="M277" s="542"/>
      <c r="N277" s="578">
        <f t="shared" si="11"/>
        <v>-40540.558943181808</v>
      </c>
      <c r="O277" s="678"/>
      <c r="P277" s="678"/>
      <c r="Q277" s="678"/>
      <c r="R277" s="678"/>
      <c r="S277" s="678"/>
      <c r="T277" s="678"/>
      <c r="U277" s="678"/>
      <c r="V277" s="681"/>
      <c r="W277" s="681"/>
      <c r="X277" s="681"/>
      <c r="Y277" s="681"/>
      <c r="Z277" s="681"/>
      <c r="AA277" s="681"/>
      <c r="AB277" s="681"/>
      <c r="AC277" s="681"/>
      <c r="AD277" s="678"/>
      <c r="AE277" s="678"/>
      <c r="AF277" s="678"/>
      <c r="AG277" s="678"/>
      <c r="AH277" s="678"/>
      <c r="AI277" s="678"/>
      <c r="AJ277" s="678"/>
      <c r="AK277" s="658"/>
    </row>
    <row r="278" spans="2:37" s="5" customFormat="1">
      <c r="B278" s="313"/>
      <c r="C278" s="835"/>
      <c r="D278" s="96"/>
      <c r="E278" s="9"/>
      <c r="F278" s="74"/>
      <c r="G278" s="97"/>
      <c r="H278" s="78"/>
      <c r="I278" s="79"/>
      <c r="J278" s="52"/>
      <c r="K278" s="156"/>
      <c r="L278" s="383"/>
      <c r="M278" s="542"/>
      <c r="N278" s="578">
        <f t="shared" si="11"/>
        <v>0</v>
      </c>
      <c r="O278" s="678"/>
      <c r="P278" s="678"/>
      <c r="Q278" s="678"/>
      <c r="R278" s="678"/>
      <c r="S278" s="678"/>
      <c r="T278" s="678"/>
      <c r="U278" s="678"/>
      <c r="V278" s="678"/>
      <c r="W278" s="678"/>
      <c r="X278" s="678"/>
      <c r="Y278" s="678"/>
      <c r="Z278" s="678"/>
      <c r="AA278" s="678"/>
      <c r="AB278" s="678"/>
      <c r="AC278" s="678"/>
      <c r="AD278" s="678"/>
      <c r="AE278" s="678"/>
      <c r="AF278" s="678"/>
      <c r="AG278" s="678"/>
      <c r="AH278" s="678"/>
      <c r="AI278" s="678"/>
      <c r="AJ278" s="678"/>
      <c r="AK278" s="658"/>
    </row>
    <row r="279" spans="2:37" s="5" customFormat="1" ht="15" customHeight="1">
      <c r="B279" s="317">
        <v>22</v>
      </c>
      <c r="C279" s="835" t="s">
        <v>884</v>
      </c>
      <c r="D279" s="80" t="s">
        <v>55</v>
      </c>
      <c r="E279" s="81">
        <v>52273.75</v>
      </c>
      <c r="F279" s="74"/>
      <c r="G279" s="75"/>
      <c r="H279" s="82"/>
      <c r="I279" s="83"/>
      <c r="J279" s="6"/>
      <c r="K279" s="156"/>
      <c r="L279" s="383"/>
      <c r="M279" s="542"/>
      <c r="N279" s="578">
        <f t="shared" si="11"/>
        <v>0</v>
      </c>
      <c r="O279" s="678"/>
      <c r="P279" s="678"/>
      <c r="Q279" s="678"/>
      <c r="R279" s="678"/>
      <c r="S279" s="678"/>
      <c r="T279" s="678"/>
      <c r="U279" s="678"/>
      <c r="V279" s="678"/>
      <c r="W279" s="678"/>
      <c r="X279" s="678"/>
      <c r="Y279" s="678"/>
      <c r="Z279" s="678"/>
      <c r="AA279" s="678"/>
      <c r="AB279" s="678"/>
      <c r="AC279" s="678"/>
      <c r="AD279" s="678"/>
      <c r="AE279" s="678"/>
      <c r="AF279" s="678"/>
      <c r="AG279" s="678"/>
      <c r="AH279" s="678"/>
      <c r="AI279" s="678"/>
      <c r="AJ279" s="678"/>
      <c r="AK279" s="658"/>
    </row>
    <row r="280" spans="2:37" s="5" customFormat="1">
      <c r="B280" s="313"/>
      <c r="C280" s="835"/>
      <c r="D280" s="17" t="s">
        <v>320</v>
      </c>
      <c r="E280" s="81" t="s">
        <v>27</v>
      </c>
      <c r="F280" s="84">
        <f>E279</f>
        <v>52273.75</v>
      </c>
      <c r="G280" s="99">
        <v>1</v>
      </c>
      <c r="H280" s="64">
        <f>+G280*F280</f>
        <v>52273.75</v>
      </c>
      <c r="I280" s="79"/>
      <c r="J280" s="52"/>
      <c r="K280" s="156"/>
      <c r="L280" s="383"/>
      <c r="M280" s="542"/>
      <c r="N280" s="578">
        <f t="shared" si="11"/>
        <v>-52273.75</v>
      </c>
      <c r="O280" s="678"/>
      <c r="P280" s="678"/>
      <c r="Q280" s="678"/>
      <c r="R280" s="678"/>
      <c r="S280" s="678"/>
      <c r="T280" s="678"/>
      <c r="U280" s="678"/>
      <c r="V280" s="680"/>
      <c r="W280" s="680"/>
      <c r="X280" s="680"/>
      <c r="Y280" s="680"/>
      <c r="Z280" s="680"/>
      <c r="AA280" s="680"/>
      <c r="AB280" s="680"/>
      <c r="AC280" s="680"/>
      <c r="AD280" s="678"/>
      <c r="AE280" s="678"/>
      <c r="AF280" s="678"/>
      <c r="AG280" s="678"/>
      <c r="AH280" s="678"/>
      <c r="AI280" s="678"/>
      <c r="AJ280" s="678"/>
      <c r="AK280" s="658"/>
    </row>
    <row r="281" spans="2:37" s="5" customFormat="1">
      <c r="B281" s="313"/>
      <c r="C281" s="835"/>
      <c r="D281" s="17" t="s">
        <v>3</v>
      </c>
      <c r="E281" s="81" t="s">
        <v>27</v>
      </c>
      <c r="F281" s="84">
        <f>E279</f>
        <v>52273.75</v>
      </c>
      <c r="G281" s="64">
        <v>6</v>
      </c>
      <c r="H281" s="64">
        <f>+G281*F281</f>
        <v>313642.5</v>
      </c>
      <c r="I281" s="79"/>
      <c r="J281" s="52"/>
      <c r="K281" s="156"/>
      <c r="L281" s="383"/>
      <c r="M281" s="542"/>
      <c r="N281" s="578">
        <f t="shared" si="11"/>
        <v>-313642.5</v>
      </c>
      <c r="O281" s="678"/>
      <c r="P281" s="678"/>
      <c r="Q281" s="678"/>
      <c r="R281" s="678"/>
      <c r="S281" s="678"/>
      <c r="T281" s="678"/>
      <c r="U281" s="678"/>
      <c r="V281" s="680"/>
      <c r="W281" s="680"/>
      <c r="X281" s="680"/>
      <c r="Y281" s="680"/>
      <c r="Z281" s="680"/>
      <c r="AA281" s="680"/>
      <c r="AB281" s="680"/>
      <c r="AC281" s="680"/>
      <c r="AD281" s="678"/>
      <c r="AE281" s="678"/>
      <c r="AF281" s="678"/>
      <c r="AG281" s="678"/>
      <c r="AH281" s="678"/>
      <c r="AI281" s="678"/>
      <c r="AJ281" s="678"/>
      <c r="AK281" s="658"/>
    </row>
    <row r="282" spans="2:37" s="5" customFormat="1">
      <c r="B282" s="313"/>
      <c r="C282" s="835"/>
      <c r="D282" s="17" t="s">
        <v>28</v>
      </c>
      <c r="E282" s="244">
        <f>$H$5+2+2</f>
        <v>17.25</v>
      </c>
      <c r="F282" s="84">
        <f>E279/44*1.5</f>
        <v>1782.059659090909</v>
      </c>
      <c r="G282" s="87">
        <v>6</v>
      </c>
      <c r="H282" s="64">
        <f>+G282*F282*E282</f>
        <v>184443.17471590909</v>
      </c>
      <c r="I282" s="79"/>
      <c r="J282" s="52"/>
      <c r="K282" s="156"/>
      <c r="L282" s="383"/>
      <c r="M282" s="542"/>
      <c r="N282" s="578">
        <f t="shared" si="11"/>
        <v>-184443.17471590909</v>
      </c>
      <c r="O282" s="678"/>
      <c r="P282" s="678"/>
      <c r="Q282" s="678"/>
      <c r="R282" s="678"/>
      <c r="S282" s="678"/>
      <c r="T282" s="678"/>
      <c r="U282" s="678"/>
      <c r="V282" s="680"/>
      <c r="W282" s="680"/>
      <c r="X282" s="680"/>
      <c r="Y282" s="680"/>
      <c r="Z282" s="680"/>
      <c r="AA282" s="680"/>
      <c r="AB282" s="680"/>
      <c r="AC282" s="680"/>
      <c r="AD282" s="678"/>
      <c r="AE282" s="678"/>
      <c r="AF282" s="678"/>
      <c r="AG282" s="678"/>
      <c r="AH282" s="678"/>
      <c r="AI282" s="678"/>
      <c r="AJ282" s="678"/>
      <c r="AK282" s="658"/>
    </row>
    <row r="283" spans="2:37" s="5" customFormat="1">
      <c r="B283" s="313"/>
      <c r="C283" s="835"/>
      <c r="D283" s="17" t="s">
        <v>1</v>
      </c>
      <c r="E283" s="67" t="s">
        <v>29</v>
      </c>
      <c r="F283" s="84">
        <f>E279/5*1.5</f>
        <v>15682.125</v>
      </c>
      <c r="G283" s="64">
        <f>$H$3</f>
        <v>0</v>
      </c>
      <c r="H283" s="64">
        <f>+G283*F283</f>
        <v>0</v>
      </c>
      <c r="I283" s="79"/>
      <c r="J283" s="52"/>
      <c r="K283" s="156"/>
      <c r="L283" s="383"/>
      <c r="M283" s="542"/>
      <c r="N283" s="578">
        <f t="shared" si="11"/>
        <v>0</v>
      </c>
      <c r="O283" s="678"/>
      <c r="P283" s="678"/>
      <c r="Q283" s="678"/>
      <c r="R283" s="678"/>
      <c r="S283" s="678"/>
      <c r="T283" s="678"/>
      <c r="U283" s="678"/>
      <c r="V283" s="680"/>
      <c r="W283" s="680"/>
      <c r="X283" s="680"/>
      <c r="Y283" s="680"/>
      <c r="Z283" s="680"/>
      <c r="AA283" s="680"/>
      <c r="AB283" s="680"/>
      <c r="AC283" s="680"/>
      <c r="AD283" s="678"/>
      <c r="AE283" s="678"/>
      <c r="AF283" s="678"/>
      <c r="AG283" s="678"/>
      <c r="AH283" s="678"/>
      <c r="AI283" s="678"/>
      <c r="AJ283" s="678"/>
      <c r="AK283" s="658"/>
    </row>
    <row r="284" spans="2:37" s="5" customFormat="1">
      <c r="B284" s="313"/>
      <c r="C284" s="835"/>
      <c r="D284" s="17" t="s">
        <v>4</v>
      </c>
      <c r="E284" s="67" t="s">
        <v>29</v>
      </c>
      <c r="F284" s="84">
        <f>E279/5*2</f>
        <v>20909.5</v>
      </c>
      <c r="G284" s="64">
        <f>$H$4</f>
        <v>0</v>
      </c>
      <c r="H284" s="64">
        <f>+G284*F284</f>
        <v>0</v>
      </c>
      <c r="I284" s="79"/>
      <c r="J284" s="52"/>
      <c r="K284" s="156"/>
      <c r="L284" s="383"/>
      <c r="M284" s="542"/>
      <c r="N284" s="578">
        <f t="shared" si="11"/>
        <v>0</v>
      </c>
      <c r="O284" s="678"/>
      <c r="P284" s="678"/>
      <c r="Q284" s="678"/>
      <c r="R284" s="678"/>
      <c r="S284" s="678"/>
      <c r="T284" s="678"/>
      <c r="U284" s="678"/>
      <c r="V284" s="680"/>
      <c r="W284" s="680"/>
      <c r="X284" s="680"/>
      <c r="Y284" s="680"/>
      <c r="Z284" s="680"/>
      <c r="AA284" s="680"/>
      <c r="AB284" s="680"/>
      <c r="AC284" s="680"/>
      <c r="AD284" s="678"/>
      <c r="AE284" s="678"/>
      <c r="AF284" s="678"/>
      <c r="AG284" s="678"/>
      <c r="AH284" s="678"/>
      <c r="AI284" s="678"/>
      <c r="AJ284" s="678"/>
      <c r="AK284" s="658"/>
    </row>
    <row r="285" spans="2:37" s="5" customFormat="1">
      <c r="B285" s="313"/>
      <c r="C285" s="835"/>
      <c r="D285" s="17" t="s">
        <v>46</v>
      </c>
      <c r="E285" s="81" t="s">
        <v>27</v>
      </c>
      <c r="F285" s="84">
        <f>E279</f>
        <v>52273.75</v>
      </c>
      <c r="G285" s="99">
        <v>0</v>
      </c>
      <c r="H285" s="64">
        <f>+G285*F285</f>
        <v>0</v>
      </c>
      <c r="I285" s="79"/>
      <c r="J285" s="52"/>
      <c r="K285" s="156"/>
      <c r="L285" s="383"/>
      <c r="M285" s="542"/>
      <c r="N285" s="578">
        <f t="shared" si="11"/>
        <v>0</v>
      </c>
      <c r="O285" s="678"/>
      <c r="P285" s="678"/>
      <c r="Q285" s="678"/>
      <c r="R285" s="678"/>
      <c r="S285" s="678"/>
      <c r="T285" s="678"/>
      <c r="U285" s="678"/>
      <c r="V285" s="680"/>
      <c r="W285" s="680"/>
      <c r="X285" s="680"/>
      <c r="Y285" s="680"/>
      <c r="Z285" s="680"/>
      <c r="AA285" s="680"/>
      <c r="AB285" s="680"/>
      <c r="AC285" s="680"/>
      <c r="AD285" s="678"/>
      <c r="AE285" s="678"/>
      <c r="AF285" s="678"/>
      <c r="AG285" s="678"/>
      <c r="AH285" s="678"/>
      <c r="AI285" s="678"/>
      <c r="AJ285" s="678"/>
      <c r="AK285" s="658"/>
    </row>
    <row r="286" spans="2:37" s="5" customFormat="1">
      <c r="B286" s="313"/>
      <c r="C286" s="835"/>
      <c r="D286" s="17" t="s">
        <v>30</v>
      </c>
      <c r="E286" s="67" t="s">
        <v>16</v>
      </c>
      <c r="F286" s="101">
        <f>G280+G281+G285</f>
        <v>7</v>
      </c>
      <c r="G286" s="68" t="s">
        <v>31</v>
      </c>
      <c r="H286" s="64">
        <f>SUM(H280:H285)</f>
        <v>550359.42471590906</v>
      </c>
      <c r="I286" s="79"/>
      <c r="J286" s="52"/>
      <c r="K286" s="156"/>
      <c r="L286" s="383"/>
      <c r="M286" s="542"/>
      <c r="N286" s="578">
        <f t="shared" si="11"/>
        <v>-550359.42471590906</v>
      </c>
      <c r="O286" s="678"/>
      <c r="P286" s="678"/>
      <c r="Q286" s="678"/>
      <c r="R286" s="678"/>
      <c r="S286" s="678"/>
      <c r="T286" s="678"/>
      <c r="U286" s="678"/>
      <c r="V286" s="680"/>
      <c r="W286" s="680"/>
      <c r="X286" s="680"/>
      <c r="Y286" s="680"/>
      <c r="Z286" s="680"/>
      <c r="AA286" s="680"/>
      <c r="AB286" s="680"/>
      <c r="AC286" s="681"/>
      <c r="AD286" s="678"/>
      <c r="AE286" s="678"/>
      <c r="AF286" s="678"/>
      <c r="AG286" s="678"/>
      <c r="AH286" s="678"/>
      <c r="AI286" s="678"/>
      <c r="AJ286" s="678"/>
      <c r="AK286" s="658"/>
    </row>
    <row r="287" spans="2:37" s="5" customFormat="1">
      <c r="B287" s="313"/>
      <c r="C287" s="835"/>
      <c r="D287" s="19" t="s">
        <v>32</v>
      </c>
      <c r="E287" s="67" t="s">
        <v>16</v>
      </c>
      <c r="F287" s="84">
        <f>SUM(H280:H285)</f>
        <v>550359.42471590906</v>
      </c>
      <c r="G287" s="92">
        <f>$G$43</f>
        <v>8.3299999999999999E-2</v>
      </c>
      <c r="H287" s="64">
        <f>+G287*F287</f>
        <v>45844.940078835221</v>
      </c>
      <c r="I287" s="93"/>
      <c r="J287" s="52"/>
      <c r="K287" s="156"/>
      <c r="L287" s="383"/>
      <c r="M287" s="542"/>
      <c r="N287" s="578">
        <f t="shared" si="11"/>
        <v>-45844.940078835221</v>
      </c>
      <c r="O287" s="678"/>
      <c r="P287" s="678"/>
      <c r="Q287" s="678"/>
      <c r="R287" s="678"/>
      <c r="S287" s="678"/>
      <c r="T287" s="678"/>
      <c r="U287" s="678"/>
      <c r="V287" s="680"/>
      <c r="W287" s="680"/>
      <c r="X287" s="680"/>
      <c r="Y287" s="680"/>
      <c r="Z287" s="680"/>
      <c r="AA287" s="680"/>
      <c r="AB287" s="680"/>
      <c r="AC287" s="680"/>
      <c r="AD287" s="678"/>
      <c r="AE287" s="678"/>
      <c r="AF287" s="678"/>
      <c r="AG287" s="678"/>
      <c r="AH287" s="678"/>
      <c r="AI287" s="678"/>
      <c r="AJ287" s="678"/>
      <c r="AK287" s="658"/>
    </row>
    <row r="288" spans="2:37" s="5" customFormat="1">
      <c r="B288" s="313"/>
      <c r="C288" s="835"/>
      <c r="D288" s="19" t="s">
        <v>33</v>
      </c>
      <c r="E288" s="84">
        <f>F287/(5*F286)</f>
        <v>15724.554991883117</v>
      </c>
      <c r="F288" s="84">
        <f>E288*(F286*7)</f>
        <v>770503.19460227271</v>
      </c>
      <c r="G288" s="95">
        <f>$G$44</f>
        <v>20</v>
      </c>
      <c r="H288" s="64">
        <f>F288/G288</f>
        <v>38525.159730113635</v>
      </c>
      <c r="I288" s="72">
        <f>SUM(H286:H288)</f>
        <v>634729.52452485799</v>
      </c>
      <c r="J288" s="52">
        <f>SUM(G280:G288)</f>
        <v>33.083300000000001</v>
      </c>
      <c r="K288" s="156"/>
      <c r="L288" s="383"/>
      <c r="M288" s="542"/>
      <c r="N288" s="578">
        <f t="shared" si="11"/>
        <v>-38525.159730113635</v>
      </c>
      <c r="O288" s="678"/>
      <c r="P288" s="678"/>
      <c r="Q288" s="678"/>
      <c r="R288" s="678"/>
      <c r="S288" s="678"/>
      <c r="T288" s="678"/>
      <c r="U288" s="678"/>
      <c r="V288" s="681"/>
      <c r="W288" s="681"/>
      <c r="X288" s="681"/>
      <c r="Y288" s="681"/>
      <c r="Z288" s="681"/>
      <c r="AA288" s="681"/>
      <c r="AB288" s="681"/>
      <c r="AC288" s="681"/>
      <c r="AD288" s="678"/>
      <c r="AE288" s="678"/>
      <c r="AF288" s="678"/>
      <c r="AG288" s="678"/>
      <c r="AH288" s="678"/>
      <c r="AI288" s="678"/>
      <c r="AJ288" s="678"/>
      <c r="AK288" s="658"/>
    </row>
    <row r="289" spans="2:37" s="5" customFormat="1">
      <c r="B289" s="313"/>
      <c r="C289" s="835"/>
      <c r="D289" s="96"/>
      <c r="E289" s="9"/>
      <c r="F289" s="74"/>
      <c r="G289" s="97"/>
      <c r="H289" s="78"/>
      <c r="I289" s="79"/>
      <c r="J289" s="52"/>
      <c r="K289" s="156"/>
      <c r="L289" s="383"/>
      <c r="M289" s="542"/>
      <c r="N289" s="578">
        <f t="shared" si="11"/>
        <v>0</v>
      </c>
      <c r="O289" s="678"/>
      <c r="P289" s="678"/>
      <c r="Q289" s="678"/>
      <c r="R289" s="678"/>
      <c r="S289" s="678"/>
      <c r="T289" s="678"/>
      <c r="U289" s="678"/>
      <c r="V289" s="678"/>
      <c r="W289" s="678"/>
      <c r="X289" s="678"/>
      <c r="Y289" s="678"/>
      <c r="Z289" s="678"/>
      <c r="AA289" s="678"/>
      <c r="AB289" s="678"/>
      <c r="AC289" s="678"/>
      <c r="AD289" s="678"/>
      <c r="AE289" s="678"/>
      <c r="AF289" s="678"/>
      <c r="AG289" s="678"/>
      <c r="AH289" s="678"/>
      <c r="AI289" s="678"/>
      <c r="AJ289" s="678"/>
      <c r="AK289" s="658"/>
    </row>
    <row r="290" spans="2:37" s="5" customFormat="1" ht="15" customHeight="1">
      <c r="B290" s="317">
        <v>23</v>
      </c>
      <c r="C290" s="835" t="s">
        <v>885</v>
      </c>
      <c r="D290" s="80" t="s">
        <v>56</v>
      </c>
      <c r="E290" s="81">
        <v>47292.05</v>
      </c>
      <c r="F290" s="74"/>
      <c r="G290" s="75"/>
      <c r="H290" s="82"/>
      <c r="I290" s="83"/>
      <c r="J290" s="6"/>
      <c r="K290" s="156"/>
      <c r="L290" s="383"/>
      <c r="M290" s="542"/>
      <c r="N290" s="578">
        <f t="shared" si="11"/>
        <v>0</v>
      </c>
      <c r="O290" s="678"/>
      <c r="P290" s="678"/>
      <c r="Q290" s="678"/>
      <c r="R290" s="678"/>
      <c r="S290" s="678"/>
      <c r="T290" s="678"/>
      <c r="U290" s="678"/>
      <c r="V290" s="678"/>
      <c r="W290" s="678"/>
      <c r="X290" s="678"/>
      <c r="Y290" s="678"/>
      <c r="Z290" s="678"/>
      <c r="AA290" s="678"/>
      <c r="AB290" s="678"/>
      <c r="AC290" s="678"/>
      <c r="AD290" s="678"/>
      <c r="AE290" s="678"/>
      <c r="AF290" s="678"/>
      <c r="AG290" s="678"/>
      <c r="AH290" s="678"/>
      <c r="AI290" s="678"/>
      <c r="AJ290" s="678"/>
      <c r="AK290" s="658"/>
    </row>
    <row r="291" spans="2:37" s="5" customFormat="1">
      <c r="B291" s="313"/>
      <c r="C291" s="835"/>
      <c r="D291" s="17" t="s">
        <v>316</v>
      </c>
      <c r="E291" s="243" t="s">
        <v>27</v>
      </c>
      <c r="F291" s="402">
        <f>E290</f>
        <v>47292.05</v>
      </c>
      <c r="G291" s="280">
        <v>0.6</v>
      </c>
      <c r="H291" s="64">
        <f>+G291*F291</f>
        <v>28375.23</v>
      </c>
      <c r="I291" s="79"/>
      <c r="J291" s="52"/>
      <c r="K291" s="156"/>
      <c r="L291" s="383"/>
      <c r="M291" s="542"/>
      <c r="N291" s="578">
        <f t="shared" si="11"/>
        <v>-28375.23</v>
      </c>
      <c r="O291" s="678"/>
      <c r="P291" s="678"/>
      <c r="Q291" s="678"/>
      <c r="R291" s="678"/>
      <c r="S291" s="678"/>
      <c r="T291" s="678"/>
      <c r="U291" s="678"/>
      <c r="V291" s="680"/>
      <c r="W291" s="680"/>
      <c r="X291" s="680"/>
      <c r="Y291" s="680"/>
      <c r="Z291" s="680"/>
      <c r="AA291" s="680"/>
      <c r="AB291" s="680"/>
      <c r="AC291" s="680"/>
      <c r="AD291" s="678"/>
      <c r="AE291" s="678"/>
      <c r="AF291" s="678"/>
      <c r="AG291" s="678"/>
      <c r="AH291" s="678"/>
      <c r="AI291" s="678"/>
      <c r="AJ291" s="678"/>
      <c r="AK291" s="658"/>
    </row>
    <row r="292" spans="2:37" s="5" customFormat="1">
      <c r="B292" s="313"/>
      <c r="C292" s="835"/>
      <c r="D292" s="17" t="s">
        <v>3</v>
      </c>
      <c r="E292" s="243" t="s">
        <v>27</v>
      </c>
      <c r="F292" s="402">
        <f>E290</f>
        <v>47292.05</v>
      </c>
      <c r="G292" s="279">
        <v>6</v>
      </c>
      <c r="H292" s="64">
        <f>+G292*F292</f>
        <v>283752.30000000005</v>
      </c>
      <c r="I292" s="79"/>
      <c r="J292" s="52"/>
      <c r="K292" s="156"/>
      <c r="L292" s="383"/>
      <c r="M292" s="542"/>
      <c r="N292" s="578">
        <f t="shared" si="11"/>
        <v>-283752.30000000005</v>
      </c>
      <c r="O292" s="678"/>
      <c r="P292" s="678"/>
      <c r="Q292" s="678"/>
      <c r="R292" s="678"/>
      <c r="S292" s="678"/>
      <c r="T292" s="678"/>
      <c r="U292" s="678"/>
      <c r="V292" s="680"/>
      <c r="W292" s="680"/>
      <c r="X292" s="680"/>
      <c r="Y292" s="680"/>
      <c r="Z292" s="680"/>
      <c r="AA292" s="680"/>
      <c r="AB292" s="680"/>
      <c r="AC292" s="680"/>
      <c r="AD292" s="678"/>
      <c r="AE292" s="678"/>
      <c r="AF292" s="678"/>
      <c r="AG292" s="678"/>
      <c r="AH292" s="678"/>
      <c r="AI292" s="678"/>
      <c r="AJ292" s="678"/>
      <c r="AK292" s="658"/>
    </row>
    <row r="293" spans="2:37" s="5" customFormat="1">
      <c r="B293" s="313"/>
      <c r="C293" s="835"/>
      <c r="D293" s="17" t="s">
        <v>28</v>
      </c>
      <c r="E293" s="244">
        <f>$H$5+2+2</f>
        <v>17.25</v>
      </c>
      <c r="F293" s="402">
        <f>E290/44*1.5</f>
        <v>1612.2289772727274</v>
      </c>
      <c r="G293" s="403">
        <v>6</v>
      </c>
      <c r="H293" s="64">
        <f>+G293*F293*E293</f>
        <v>166865.69914772731</v>
      </c>
      <c r="I293" s="79"/>
      <c r="J293" s="52"/>
      <c r="K293" s="156"/>
      <c r="L293" s="383"/>
      <c r="M293" s="542"/>
      <c r="N293" s="578">
        <f t="shared" si="11"/>
        <v>-166865.69914772731</v>
      </c>
      <c r="O293" s="678"/>
      <c r="P293" s="678"/>
      <c r="Q293" s="678"/>
      <c r="R293" s="678"/>
      <c r="S293" s="678"/>
      <c r="T293" s="678"/>
      <c r="U293" s="678"/>
      <c r="V293" s="680"/>
      <c r="W293" s="680"/>
      <c r="X293" s="680"/>
      <c r="Y293" s="680"/>
      <c r="Z293" s="680"/>
      <c r="AA293" s="680"/>
      <c r="AB293" s="680"/>
      <c r="AC293" s="680"/>
      <c r="AD293" s="678"/>
      <c r="AE293" s="678"/>
      <c r="AF293" s="678"/>
      <c r="AG293" s="678"/>
      <c r="AH293" s="678"/>
      <c r="AI293" s="678"/>
      <c r="AJ293" s="678"/>
      <c r="AK293" s="658"/>
    </row>
    <row r="294" spans="2:37" s="5" customFormat="1">
      <c r="B294" s="313"/>
      <c r="C294" s="835"/>
      <c r="D294" s="17" t="s">
        <v>1</v>
      </c>
      <c r="E294" s="245" t="s">
        <v>29</v>
      </c>
      <c r="F294" s="402">
        <f>E290/5*1.5</f>
        <v>14187.615</v>
      </c>
      <c r="G294" s="279">
        <f>$H$3</f>
        <v>0</v>
      </c>
      <c r="H294" s="64">
        <f>+G294*F294</f>
        <v>0</v>
      </c>
      <c r="I294" s="79"/>
      <c r="J294" s="52"/>
      <c r="K294" s="156"/>
      <c r="L294" s="383"/>
      <c r="M294" s="542"/>
      <c r="N294" s="578">
        <f t="shared" si="11"/>
        <v>0</v>
      </c>
      <c r="O294" s="678"/>
      <c r="P294" s="678"/>
      <c r="Q294" s="678"/>
      <c r="R294" s="678"/>
      <c r="S294" s="678"/>
      <c r="T294" s="678"/>
      <c r="U294" s="678"/>
      <c r="V294" s="680"/>
      <c r="W294" s="680"/>
      <c r="X294" s="680"/>
      <c r="Y294" s="680"/>
      <c r="Z294" s="680"/>
      <c r="AA294" s="680"/>
      <c r="AB294" s="680"/>
      <c r="AC294" s="680"/>
      <c r="AD294" s="678"/>
      <c r="AE294" s="678"/>
      <c r="AF294" s="678"/>
      <c r="AG294" s="678"/>
      <c r="AH294" s="678"/>
      <c r="AI294" s="678"/>
      <c r="AJ294" s="678"/>
      <c r="AK294" s="658"/>
    </row>
    <row r="295" spans="2:37" s="5" customFormat="1">
      <c r="B295" s="313"/>
      <c r="C295" s="835"/>
      <c r="D295" s="17" t="s">
        <v>4</v>
      </c>
      <c r="E295" s="245" t="s">
        <v>29</v>
      </c>
      <c r="F295" s="402">
        <f>E290/5*2</f>
        <v>18916.82</v>
      </c>
      <c r="G295" s="279">
        <f>$H$4</f>
        <v>0</v>
      </c>
      <c r="H295" s="64">
        <f>+G295*F295</f>
        <v>0</v>
      </c>
      <c r="I295" s="79"/>
      <c r="J295" s="52"/>
      <c r="K295" s="156"/>
      <c r="L295" s="383"/>
      <c r="M295" s="542"/>
      <c r="N295" s="578">
        <f t="shared" si="11"/>
        <v>0</v>
      </c>
      <c r="O295" s="678"/>
      <c r="P295" s="678"/>
      <c r="Q295" s="678"/>
      <c r="R295" s="678"/>
      <c r="S295" s="678"/>
      <c r="T295" s="678"/>
      <c r="U295" s="678"/>
      <c r="V295" s="680"/>
      <c r="W295" s="680"/>
      <c r="X295" s="680"/>
      <c r="Y295" s="680"/>
      <c r="Z295" s="680"/>
      <c r="AA295" s="680"/>
      <c r="AB295" s="680"/>
      <c r="AC295" s="680"/>
      <c r="AD295" s="678"/>
      <c r="AE295" s="678"/>
      <c r="AF295" s="678"/>
      <c r="AG295" s="678"/>
      <c r="AH295" s="678"/>
      <c r="AI295" s="678"/>
      <c r="AJ295" s="678"/>
      <c r="AK295" s="658"/>
    </row>
    <row r="296" spans="2:37" s="5" customFormat="1">
      <c r="B296" s="313"/>
      <c r="C296" s="835"/>
      <c r="D296" s="17" t="s">
        <v>46</v>
      </c>
      <c r="E296" s="243" t="s">
        <v>27</v>
      </c>
      <c r="F296" s="402">
        <f>E290</f>
        <v>47292.05</v>
      </c>
      <c r="G296" s="280">
        <v>0</v>
      </c>
      <c r="H296" s="64">
        <f>+G296*F296</f>
        <v>0</v>
      </c>
      <c r="I296" s="79"/>
      <c r="J296" s="52"/>
      <c r="K296" s="156"/>
      <c r="L296" s="383"/>
      <c r="M296" s="542"/>
      <c r="N296" s="578">
        <f t="shared" si="11"/>
        <v>0</v>
      </c>
      <c r="O296" s="678"/>
      <c r="P296" s="678"/>
      <c r="Q296" s="678"/>
      <c r="R296" s="678"/>
      <c r="S296" s="678"/>
      <c r="T296" s="678"/>
      <c r="U296" s="678"/>
      <c r="V296" s="680"/>
      <c r="W296" s="680"/>
      <c r="X296" s="680"/>
      <c r="Y296" s="680"/>
      <c r="Z296" s="680"/>
      <c r="AA296" s="680"/>
      <c r="AB296" s="680"/>
      <c r="AC296" s="680"/>
      <c r="AD296" s="678"/>
      <c r="AE296" s="678"/>
      <c r="AF296" s="678"/>
      <c r="AG296" s="678"/>
      <c r="AH296" s="678"/>
      <c r="AI296" s="678"/>
      <c r="AJ296" s="678"/>
      <c r="AK296" s="658"/>
    </row>
    <row r="297" spans="2:37" s="5" customFormat="1">
      <c r="B297" s="313"/>
      <c r="C297" s="835"/>
      <c r="D297" s="17" t="s">
        <v>30</v>
      </c>
      <c r="E297" s="245" t="s">
        <v>16</v>
      </c>
      <c r="F297" s="404">
        <f>G291+G292+G296</f>
        <v>6.6</v>
      </c>
      <c r="G297" s="405" t="s">
        <v>31</v>
      </c>
      <c r="H297" s="64">
        <f>SUM(H291:H296)</f>
        <v>478993.22914772737</v>
      </c>
      <c r="I297" s="79"/>
      <c r="J297" s="52"/>
      <c r="K297" s="156"/>
      <c r="L297" s="383"/>
      <c r="M297" s="542"/>
      <c r="N297" s="578">
        <f t="shared" si="11"/>
        <v>-478993.22914772737</v>
      </c>
      <c r="O297" s="678"/>
      <c r="P297" s="678"/>
      <c r="Q297" s="678"/>
      <c r="R297" s="678"/>
      <c r="S297" s="678"/>
      <c r="T297" s="678"/>
      <c r="U297" s="678"/>
      <c r="V297" s="680"/>
      <c r="W297" s="680"/>
      <c r="X297" s="680"/>
      <c r="Y297" s="680"/>
      <c r="Z297" s="680"/>
      <c r="AA297" s="680"/>
      <c r="AB297" s="680"/>
      <c r="AC297" s="681"/>
      <c r="AD297" s="678"/>
      <c r="AE297" s="678"/>
      <c r="AF297" s="678"/>
      <c r="AG297" s="678"/>
      <c r="AH297" s="678"/>
      <c r="AI297" s="678"/>
      <c r="AJ297" s="678"/>
      <c r="AK297" s="658"/>
    </row>
    <row r="298" spans="2:37" s="5" customFormat="1">
      <c r="B298" s="313"/>
      <c r="C298" s="835"/>
      <c r="D298" s="19" t="s">
        <v>32</v>
      </c>
      <c r="E298" s="245" t="s">
        <v>16</v>
      </c>
      <c r="F298" s="402">
        <f>SUM(H291:H296)</f>
        <v>478993.22914772737</v>
      </c>
      <c r="G298" s="406">
        <f>$G$43</f>
        <v>8.3299999999999999E-2</v>
      </c>
      <c r="H298" s="64">
        <f>+G298*F298</f>
        <v>39900.135988005692</v>
      </c>
      <c r="I298" s="93"/>
      <c r="J298" s="52"/>
      <c r="K298" s="156"/>
      <c r="L298" s="383"/>
      <c r="M298" s="542"/>
      <c r="N298" s="578">
        <f t="shared" si="11"/>
        <v>-39900.135988005692</v>
      </c>
      <c r="O298" s="678"/>
      <c r="P298" s="678"/>
      <c r="Q298" s="678"/>
      <c r="R298" s="678"/>
      <c r="S298" s="678"/>
      <c r="T298" s="678"/>
      <c r="U298" s="678"/>
      <c r="V298" s="680"/>
      <c r="W298" s="680"/>
      <c r="X298" s="680"/>
      <c r="Y298" s="680"/>
      <c r="Z298" s="680"/>
      <c r="AA298" s="680"/>
      <c r="AB298" s="680"/>
      <c r="AC298" s="680"/>
      <c r="AD298" s="678"/>
      <c r="AE298" s="678"/>
      <c r="AF298" s="678"/>
      <c r="AG298" s="678"/>
      <c r="AH298" s="678"/>
      <c r="AI298" s="678"/>
      <c r="AJ298" s="678"/>
      <c r="AK298" s="658"/>
    </row>
    <row r="299" spans="2:37" s="5" customFormat="1">
      <c r="B299" s="313"/>
      <c r="C299" s="835"/>
      <c r="D299" s="19" t="s">
        <v>33</v>
      </c>
      <c r="E299" s="402">
        <f>F298/(5*F297)</f>
        <v>14514.946337809921</v>
      </c>
      <c r="F299" s="402">
        <f>E299*(F297*7)</f>
        <v>670590.52080681827</v>
      </c>
      <c r="G299" s="407">
        <f>$G$44</f>
        <v>20</v>
      </c>
      <c r="H299" s="64">
        <f>F299/G299</f>
        <v>33529.526040340912</v>
      </c>
      <c r="I299" s="72">
        <f>SUM(H297:H299)</f>
        <v>552422.89117607393</v>
      </c>
      <c r="J299" s="52">
        <f>SUM(G291:G299)</f>
        <v>32.683300000000003</v>
      </c>
      <c r="K299" s="156"/>
      <c r="L299" s="383"/>
      <c r="M299" s="542"/>
      <c r="N299" s="578">
        <f t="shared" si="11"/>
        <v>-33529.526040340912</v>
      </c>
      <c r="O299" s="678"/>
      <c r="P299" s="678"/>
      <c r="Q299" s="678"/>
      <c r="R299" s="678"/>
      <c r="S299" s="678"/>
      <c r="T299" s="678"/>
      <c r="U299" s="678"/>
      <c r="V299" s="681"/>
      <c r="W299" s="681"/>
      <c r="X299" s="681"/>
      <c r="Y299" s="681"/>
      <c r="Z299" s="681"/>
      <c r="AA299" s="681"/>
      <c r="AB299" s="681"/>
      <c r="AC299" s="681"/>
      <c r="AD299" s="678"/>
      <c r="AE299" s="678"/>
      <c r="AF299" s="678"/>
      <c r="AG299" s="678"/>
      <c r="AH299" s="678"/>
      <c r="AI299" s="678"/>
      <c r="AJ299" s="678"/>
      <c r="AK299" s="658"/>
    </row>
    <row r="300" spans="2:37" s="5" customFormat="1">
      <c r="B300" s="313"/>
      <c r="C300" s="835"/>
      <c r="D300" s="96"/>
      <c r="E300" s="408"/>
      <c r="F300" s="409"/>
      <c r="G300" s="410"/>
      <c r="H300" s="78"/>
      <c r="I300" s="79"/>
      <c r="J300" s="52"/>
      <c r="K300" s="156"/>
      <c r="L300" s="383"/>
      <c r="M300" s="542"/>
      <c r="N300" s="578">
        <f t="shared" si="11"/>
        <v>0</v>
      </c>
      <c r="O300" s="678"/>
      <c r="P300" s="678"/>
      <c r="Q300" s="678"/>
      <c r="R300" s="678"/>
      <c r="S300" s="678"/>
      <c r="T300" s="678"/>
      <c r="U300" s="678"/>
      <c r="V300" s="678"/>
      <c r="W300" s="678"/>
      <c r="X300" s="678"/>
      <c r="Y300" s="678"/>
      <c r="Z300" s="678"/>
      <c r="AA300" s="678"/>
      <c r="AB300" s="678"/>
      <c r="AC300" s="678"/>
      <c r="AD300" s="678"/>
      <c r="AE300" s="678"/>
      <c r="AF300" s="678"/>
      <c r="AG300" s="678"/>
      <c r="AH300" s="678"/>
      <c r="AI300" s="678"/>
      <c r="AJ300" s="678"/>
      <c r="AK300" s="658"/>
    </row>
    <row r="301" spans="2:37" s="5" customFormat="1" ht="15" customHeight="1">
      <c r="B301" s="317">
        <v>24</v>
      </c>
      <c r="C301" s="835" t="s">
        <v>886</v>
      </c>
      <c r="D301" s="80" t="s">
        <v>57</v>
      </c>
      <c r="E301" s="243">
        <v>42310.35</v>
      </c>
      <c r="F301" s="402">
        <f>E301</f>
        <v>42310.35</v>
      </c>
      <c r="G301" s="411"/>
      <c r="H301" s="82"/>
      <c r="I301" s="83"/>
      <c r="J301" s="52"/>
      <c r="K301" s="156"/>
      <c r="L301" s="383"/>
      <c r="M301" s="542"/>
      <c r="N301" s="578">
        <f t="shared" si="11"/>
        <v>0</v>
      </c>
      <c r="O301" s="678"/>
      <c r="P301" s="678"/>
      <c r="Q301" s="678"/>
      <c r="R301" s="678"/>
      <c r="S301" s="678"/>
      <c r="T301" s="678"/>
      <c r="U301" s="678"/>
      <c r="V301" s="678"/>
      <c r="W301" s="678"/>
      <c r="X301" s="678"/>
      <c r="Y301" s="678"/>
      <c r="Z301" s="678"/>
      <c r="AA301" s="678"/>
      <c r="AB301" s="678"/>
      <c r="AC301" s="678"/>
      <c r="AD301" s="678"/>
      <c r="AE301" s="678"/>
      <c r="AF301" s="678"/>
      <c r="AG301" s="678"/>
      <c r="AH301" s="678"/>
      <c r="AI301" s="678"/>
      <c r="AJ301" s="678"/>
      <c r="AK301" s="658"/>
    </row>
    <row r="302" spans="2:37" s="5" customFormat="1">
      <c r="B302" s="313"/>
      <c r="C302" s="835"/>
      <c r="D302" s="17" t="s">
        <v>316</v>
      </c>
      <c r="E302" s="243" t="s">
        <v>27</v>
      </c>
      <c r="F302" s="402">
        <f>F301</f>
        <v>42310.35</v>
      </c>
      <c r="G302" s="280">
        <v>0.6</v>
      </c>
      <c r="H302" s="64">
        <f>+G302*F302</f>
        <v>25386.21</v>
      </c>
      <c r="I302" s="79"/>
      <c r="J302" s="52"/>
      <c r="K302" s="156"/>
      <c r="L302" s="383"/>
      <c r="M302" s="542"/>
      <c r="N302" s="578">
        <f t="shared" si="11"/>
        <v>-25386.21</v>
      </c>
      <c r="O302" s="678"/>
      <c r="P302" s="678"/>
      <c r="Q302" s="678"/>
      <c r="R302" s="678"/>
      <c r="S302" s="678"/>
      <c r="T302" s="678"/>
      <c r="U302" s="678"/>
      <c r="V302" s="680"/>
      <c r="W302" s="680"/>
      <c r="X302" s="680"/>
      <c r="Y302" s="680"/>
      <c r="Z302" s="680"/>
      <c r="AA302" s="680"/>
      <c r="AB302" s="680"/>
      <c r="AC302" s="680"/>
      <c r="AD302" s="678"/>
      <c r="AE302" s="678"/>
      <c r="AF302" s="678"/>
      <c r="AG302" s="678"/>
      <c r="AH302" s="678"/>
      <c r="AI302" s="678"/>
      <c r="AJ302" s="678"/>
      <c r="AK302" s="658"/>
    </row>
    <row r="303" spans="2:37" s="5" customFormat="1">
      <c r="B303" s="313"/>
      <c r="C303" s="835"/>
      <c r="D303" s="17" t="s">
        <v>3</v>
      </c>
      <c r="E303" s="243" t="s">
        <v>27</v>
      </c>
      <c r="F303" s="402">
        <f>F301</f>
        <v>42310.35</v>
      </c>
      <c r="G303" s="279">
        <v>6</v>
      </c>
      <c r="H303" s="64">
        <f>+G303*F303</f>
        <v>253862.09999999998</v>
      </c>
      <c r="I303" s="79"/>
      <c r="J303" s="52"/>
      <c r="K303" s="156"/>
      <c r="L303" s="383"/>
      <c r="M303" s="542"/>
      <c r="N303" s="578">
        <f t="shared" si="11"/>
        <v>-253862.09999999998</v>
      </c>
      <c r="O303" s="678"/>
      <c r="P303" s="678"/>
      <c r="Q303" s="678"/>
      <c r="R303" s="678"/>
      <c r="S303" s="678"/>
      <c r="T303" s="678"/>
      <c r="U303" s="678"/>
      <c r="V303" s="680"/>
      <c r="W303" s="680"/>
      <c r="X303" s="680"/>
      <c r="Y303" s="680"/>
      <c r="Z303" s="680"/>
      <c r="AA303" s="680"/>
      <c r="AB303" s="680"/>
      <c r="AC303" s="680"/>
      <c r="AD303" s="678"/>
      <c r="AE303" s="678"/>
      <c r="AF303" s="678"/>
      <c r="AG303" s="678"/>
      <c r="AH303" s="678"/>
      <c r="AI303" s="678"/>
      <c r="AJ303" s="678"/>
      <c r="AK303" s="658"/>
    </row>
    <row r="304" spans="2:37" s="5" customFormat="1">
      <c r="B304" s="313"/>
      <c r="C304" s="835"/>
      <c r="D304" s="17" t="s">
        <v>28</v>
      </c>
      <c r="E304" s="88">
        <f>$H$5+2+2</f>
        <v>17.25</v>
      </c>
      <c r="F304" s="84">
        <f>F301/44*1.5</f>
        <v>1442.3982954545454</v>
      </c>
      <c r="G304" s="87">
        <v>6</v>
      </c>
      <c r="H304" s="64">
        <f>+G304*F304*E304</f>
        <v>149288.22357954545</v>
      </c>
      <c r="I304" s="79"/>
      <c r="J304" s="52"/>
      <c r="K304" s="156"/>
      <c r="L304" s="383"/>
      <c r="M304" s="542"/>
      <c r="N304" s="578">
        <f t="shared" si="11"/>
        <v>-149288.22357954545</v>
      </c>
      <c r="O304" s="678"/>
      <c r="P304" s="678"/>
      <c r="Q304" s="678"/>
      <c r="R304" s="678"/>
      <c r="S304" s="678"/>
      <c r="T304" s="678"/>
      <c r="U304" s="678"/>
      <c r="V304" s="680"/>
      <c r="W304" s="680"/>
      <c r="X304" s="680"/>
      <c r="Y304" s="680"/>
      <c r="Z304" s="680"/>
      <c r="AA304" s="680"/>
      <c r="AB304" s="680"/>
      <c r="AC304" s="680"/>
      <c r="AD304" s="678"/>
      <c r="AE304" s="678"/>
      <c r="AF304" s="678"/>
      <c r="AG304" s="678"/>
      <c r="AH304" s="678"/>
      <c r="AI304" s="678"/>
      <c r="AJ304" s="678"/>
      <c r="AK304" s="658"/>
    </row>
    <row r="305" spans="2:37" s="5" customFormat="1">
      <c r="B305" s="313"/>
      <c r="C305" s="835"/>
      <c r="D305" s="17" t="s">
        <v>1</v>
      </c>
      <c r="E305" s="67" t="s">
        <v>29</v>
      </c>
      <c r="F305" s="84">
        <f>F301/5*1.5</f>
        <v>12693.105</v>
      </c>
      <c r="G305" s="64">
        <f>$H$3</f>
        <v>0</v>
      </c>
      <c r="H305" s="64">
        <f>+G305*F305</f>
        <v>0</v>
      </c>
      <c r="I305" s="79"/>
      <c r="J305" s="52"/>
      <c r="K305" s="156"/>
      <c r="L305" s="383"/>
      <c r="M305" s="542"/>
      <c r="N305" s="578">
        <f t="shared" si="11"/>
        <v>0</v>
      </c>
      <c r="O305" s="678"/>
      <c r="P305" s="678"/>
      <c r="Q305" s="678"/>
      <c r="R305" s="678"/>
      <c r="S305" s="678"/>
      <c r="T305" s="678"/>
      <c r="U305" s="678"/>
      <c r="V305" s="680"/>
      <c r="W305" s="680"/>
      <c r="X305" s="680"/>
      <c r="Y305" s="680"/>
      <c r="Z305" s="680"/>
      <c r="AA305" s="680"/>
      <c r="AB305" s="680"/>
      <c r="AC305" s="680"/>
      <c r="AD305" s="678"/>
      <c r="AE305" s="678"/>
      <c r="AF305" s="678"/>
      <c r="AG305" s="678"/>
      <c r="AH305" s="678"/>
      <c r="AI305" s="678"/>
      <c r="AJ305" s="678"/>
      <c r="AK305" s="658"/>
    </row>
    <row r="306" spans="2:37" s="5" customFormat="1">
      <c r="B306" s="313"/>
      <c r="C306" s="835"/>
      <c r="D306" s="17" t="s">
        <v>4</v>
      </c>
      <c r="E306" s="67" t="s">
        <v>29</v>
      </c>
      <c r="F306" s="84">
        <f>F301/5*2</f>
        <v>16924.14</v>
      </c>
      <c r="G306" s="64">
        <f>$H$4</f>
        <v>0</v>
      </c>
      <c r="H306" s="64">
        <f>+G306*F306</f>
        <v>0</v>
      </c>
      <c r="I306" s="79"/>
      <c r="J306" s="52"/>
      <c r="K306" s="156"/>
      <c r="L306" s="383"/>
      <c r="M306" s="542"/>
      <c r="N306" s="578">
        <f t="shared" si="11"/>
        <v>0</v>
      </c>
      <c r="O306" s="678"/>
      <c r="P306" s="678"/>
      <c r="Q306" s="678"/>
      <c r="R306" s="678"/>
      <c r="S306" s="678"/>
      <c r="T306" s="678"/>
      <c r="U306" s="678"/>
      <c r="V306" s="680"/>
      <c r="W306" s="680"/>
      <c r="X306" s="680"/>
      <c r="Y306" s="680"/>
      <c r="Z306" s="680"/>
      <c r="AA306" s="680"/>
      <c r="AB306" s="680"/>
      <c r="AC306" s="680"/>
      <c r="AD306" s="678"/>
      <c r="AE306" s="678"/>
      <c r="AF306" s="678"/>
      <c r="AG306" s="678"/>
      <c r="AH306" s="678"/>
      <c r="AI306" s="678"/>
      <c r="AJ306" s="678"/>
      <c r="AK306" s="658"/>
    </row>
    <row r="307" spans="2:37" s="5" customFormat="1">
      <c r="B307" s="313"/>
      <c r="C307" s="835"/>
      <c r="D307" s="17" t="s">
        <v>46</v>
      </c>
      <c r="E307" s="81" t="s">
        <v>27</v>
      </c>
      <c r="F307" s="84">
        <f>F301</f>
        <v>42310.35</v>
      </c>
      <c r="G307" s="99">
        <v>0</v>
      </c>
      <c r="H307" s="64">
        <f>+G307*F307</f>
        <v>0</v>
      </c>
      <c r="I307" s="79"/>
      <c r="J307" s="52"/>
      <c r="K307" s="156"/>
      <c r="L307" s="383"/>
      <c r="M307" s="542"/>
      <c r="N307" s="578">
        <f t="shared" si="11"/>
        <v>0</v>
      </c>
      <c r="O307" s="678"/>
      <c r="P307" s="678"/>
      <c r="Q307" s="678"/>
      <c r="R307" s="678"/>
      <c r="S307" s="678"/>
      <c r="T307" s="678"/>
      <c r="U307" s="678"/>
      <c r="V307" s="680"/>
      <c r="W307" s="680"/>
      <c r="X307" s="680"/>
      <c r="Y307" s="680"/>
      <c r="Z307" s="680"/>
      <c r="AA307" s="680"/>
      <c r="AB307" s="680"/>
      <c r="AC307" s="680"/>
      <c r="AD307" s="678"/>
      <c r="AE307" s="678"/>
      <c r="AF307" s="678"/>
      <c r="AG307" s="678"/>
      <c r="AH307" s="678"/>
      <c r="AI307" s="678"/>
      <c r="AJ307" s="678"/>
      <c r="AK307" s="658"/>
    </row>
    <row r="308" spans="2:37" s="5" customFormat="1">
      <c r="B308" s="313"/>
      <c r="C308" s="835"/>
      <c r="D308" s="17" t="s">
        <v>30</v>
      </c>
      <c r="E308" s="67" t="s">
        <v>16</v>
      </c>
      <c r="F308" s="101">
        <f>G302+G303+G307</f>
        <v>6.6</v>
      </c>
      <c r="G308" s="68" t="s">
        <v>31</v>
      </c>
      <c r="H308" s="64">
        <f>SUM(H302:H307)</f>
        <v>428536.53357954544</v>
      </c>
      <c r="I308" s="79"/>
      <c r="J308" s="52"/>
      <c r="K308" s="156"/>
      <c r="L308" s="383"/>
      <c r="M308" s="542"/>
      <c r="N308" s="578">
        <f t="shared" si="11"/>
        <v>-428536.53357954544</v>
      </c>
      <c r="O308" s="678"/>
      <c r="P308" s="678"/>
      <c r="Q308" s="678"/>
      <c r="R308" s="678"/>
      <c r="S308" s="678"/>
      <c r="T308" s="678"/>
      <c r="U308" s="678"/>
      <c r="V308" s="680"/>
      <c r="W308" s="680"/>
      <c r="X308" s="680"/>
      <c r="Y308" s="680"/>
      <c r="Z308" s="680"/>
      <c r="AA308" s="680"/>
      <c r="AB308" s="680"/>
      <c r="AC308" s="681"/>
      <c r="AD308" s="678"/>
      <c r="AE308" s="678"/>
      <c r="AF308" s="678"/>
      <c r="AG308" s="678"/>
      <c r="AH308" s="678"/>
      <c r="AI308" s="678"/>
      <c r="AJ308" s="678"/>
      <c r="AK308" s="658"/>
    </row>
    <row r="309" spans="2:37" s="5" customFormat="1">
      <c r="B309" s="313"/>
      <c r="C309" s="835"/>
      <c r="D309" s="19" t="s">
        <v>32</v>
      </c>
      <c r="E309" s="67" t="s">
        <v>16</v>
      </c>
      <c r="F309" s="84">
        <f>SUM(H302:H307)</f>
        <v>428536.53357954544</v>
      </c>
      <c r="G309" s="92">
        <f>$G$43</f>
        <v>8.3299999999999999E-2</v>
      </c>
      <c r="H309" s="64">
        <f>+G309*F309</f>
        <v>35697.093247176133</v>
      </c>
      <c r="I309" s="93"/>
      <c r="J309" s="52"/>
      <c r="K309" s="156"/>
      <c r="L309" s="383"/>
      <c r="M309" s="542"/>
      <c r="N309" s="578">
        <f t="shared" si="11"/>
        <v>-35697.093247176133</v>
      </c>
      <c r="O309" s="678"/>
      <c r="P309" s="678"/>
      <c r="Q309" s="678"/>
      <c r="R309" s="678"/>
      <c r="S309" s="678"/>
      <c r="T309" s="678"/>
      <c r="U309" s="678"/>
      <c r="V309" s="680"/>
      <c r="W309" s="680"/>
      <c r="X309" s="680"/>
      <c r="Y309" s="680"/>
      <c r="Z309" s="680"/>
      <c r="AA309" s="680"/>
      <c r="AB309" s="680"/>
      <c r="AC309" s="680"/>
      <c r="AD309" s="678"/>
      <c r="AE309" s="678"/>
      <c r="AF309" s="678"/>
      <c r="AG309" s="678"/>
      <c r="AH309" s="678"/>
      <c r="AI309" s="678"/>
      <c r="AJ309" s="678"/>
      <c r="AK309" s="658"/>
    </row>
    <row r="310" spans="2:37" s="5" customFormat="1">
      <c r="B310" s="313"/>
      <c r="C310" s="835"/>
      <c r="D310" s="19" t="s">
        <v>33</v>
      </c>
      <c r="E310" s="84">
        <f>F309/(5*F308)</f>
        <v>12985.955563016529</v>
      </c>
      <c r="F310" s="84">
        <f>E310*(F308*7)</f>
        <v>599951.14701136353</v>
      </c>
      <c r="G310" s="95">
        <f>$G$44</f>
        <v>20</v>
      </c>
      <c r="H310" s="64">
        <f>F310/G310</f>
        <v>29997.557350568175</v>
      </c>
      <c r="I310" s="72">
        <f>SUM(H308:H310)</f>
        <v>494231.18417728978</v>
      </c>
      <c r="J310" s="52">
        <f>SUM(G302:G310)</f>
        <v>32.683300000000003</v>
      </c>
      <c r="K310" s="156"/>
      <c r="L310" s="383"/>
      <c r="M310" s="542"/>
      <c r="N310" s="578">
        <f t="shared" si="11"/>
        <v>-29997.557350568175</v>
      </c>
      <c r="O310" s="678"/>
      <c r="P310" s="678"/>
      <c r="Q310" s="678"/>
      <c r="R310" s="678"/>
      <c r="S310" s="678"/>
      <c r="T310" s="678"/>
      <c r="U310" s="678"/>
      <c r="V310" s="681"/>
      <c r="W310" s="681"/>
      <c r="X310" s="681"/>
      <c r="Y310" s="681"/>
      <c r="Z310" s="681"/>
      <c r="AA310" s="681"/>
      <c r="AB310" s="681"/>
      <c r="AC310" s="681"/>
      <c r="AD310" s="678"/>
      <c r="AE310" s="678"/>
      <c r="AF310" s="678"/>
      <c r="AG310" s="678"/>
      <c r="AH310" s="678"/>
      <c r="AI310" s="678"/>
      <c r="AJ310" s="678"/>
      <c r="AK310" s="658"/>
    </row>
    <row r="311" spans="2:37" s="5" customFormat="1">
      <c r="B311" s="313"/>
      <c r="C311" s="835"/>
      <c r="D311" s="96"/>
      <c r="E311" s="9"/>
      <c r="F311" s="74"/>
      <c r="G311" s="97"/>
      <c r="H311" s="78"/>
      <c r="I311" s="79"/>
      <c r="J311" s="52"/>
      <c r="K311" s="156"/>
      <c r="L311" s="383"/>
      <c r="M311" s="542"/>
      <c r="N311" s="578">
        <f t="shared" si="11"/>
        <v>0</v>
      </c>
      <c r="O311" s="678"/>
      <c r="P311" s="678"/>
      <c r="Q311" s="678"/>
      <c r="R311" s="678"/>
      <c r="S311" s="678"/>
      <c r="T311" s="678"/>
      <c r="U311" s="678"/>
      <c r="V311" s="678"/>
      <c r="W311" s="678"/>
      <c r="X311" s="678"/>
      <c r="Y311" s="678"/>
      <c r="Z311" s="678"/>
      <c r="AA311" s="678"/>
      <c r="AB311" s="678"/>
      <c r="AC311" s="678"/>
      <c r="AD311" s="678"/>
      <c r="AE311" s="678"/>
      <c r="AF311" s="678"/>
      <c r="AG311" s="678"/>
      <c r="AH311" s="678"/>
      <c r="AI311" s="678"/>
      <c r="AJ311" s="678"/>
      <c r="AK311" s="658"/>
    </row>
    <row r="312" spans="2:37" s="5" customFormat="1" ht="15" customHeight="1">
      <c r="B312" s="317">
        <v>25</v>
      </c>
      <c r="C312" s="835" t="s">
        <v>887</v>
      </c>
      <c r="D312" s="80" t="s">
        <v>426</v>
      </c>
      <c r="E312" s="243">
        <v>42310.35</v>
      </c>
      <c r="F312" s="402">
        <f>E312</f>
        <v>42310.35</v>
      </c>
      <c r="G312" s="411"/>
      <c r="H312" s="82"/>
      <c r="I312" s="83"/>
      <c r="J312" s="52"/>
      <c r="K312" s="156"/>
      <c r="L312" s="383"/>
      <c r="M312" s="542"/>
      <c r="N312" s="578">
        <f t="shared" si="11"/>
        <v>0</v>
      </c>
      <c r="O312" s="678"/>
      <c r="P312" s="678"/>
      <c r="Q312" s="678"/>
      <c r="R312" s="678"/>
      <c r="S312" s="678"/>
      <c r="T312" s="678"/>
      <c r="U312" s="678"/>
      <c r="V312" s="678"/>
      <c r="W312" s="678"/>
      <c r="X312" s="678"/>
      <c r="Y312" s="678"/>
      <c r="Z312" s="678"/>
      <c r="AA312" s="678"/>
      <c r="AB312" s="678"/>
      <c r="AC312" s="678"/>
      <c r="AD312" s="678"/>
      <c r="AE312" s="678"/>
      <c r="AF312" s="678"/>
      <c r="AG312" s="678"/>
      <c r="AH312" s="678"/>
      <c r="AI312" s="678"/>
      <c r="AJ312" s="678"/>
      <c r="AK312" s="658"/>
    </row>
    <row r="313" spans="2:37" s="5" customFormat="1">
      <c r="B313" s="313"/>
      <c r="C313" s="835"/>
      <c r="D313" s="17" t="s">
        <v>316</v>
      </c>
      <c r="E313" s="243" t="s">
        <v>27</v>
      </c>
      <c r="F313" s="402">
        <f>F312</f>
        <v>42310.35</v>
      </c>
      <c r="G313" s="280">
        <v>0</v>
      </c>
      <c r="H313" s="64">
        <f>+G313*F313</f>
        <v>0</v>
      </c>
      <c r="I313" s="79"/>
      <c r="J313" s="52"/>
      <c r="K313" s="156"/>
      <c r="L313" s="383"/>
      <c r="M313" s="542"/>
      <c r="N313" s="578">
        <f t="shared" si="11"/>
        <v>0</v>
      </c>
      <c r="O313" s="678"/>
      <c r="P313" s="678"/>
      <c r="Q313" s="678"/>
      <c r="R313" s="678"/>
      <c r="S313" s="678"/>
      <c r="T313" s="678"/>
      <c r="U313" s="678"/>
      <c r="V313" s="680"/>
      <c r="W313" s="680"/>
      <c r="X313" s="680"/>
      <c r="Y313" s="680"/>
      <c r="Z313" s="680"/>
      <c r="AA313" s="680"/>
      <c r="AB313" s="680"/>
      <c r="AC313" s="680"/>
      <c r="AD313" s="678"/>
      <c r="AE313" s="678"/>
      <c r="AF313" s="678"/>
      <c r="AG313" s="678"/>
      <c r="AH313" s="678"/>
      <c r="AI313" s="678"/>
      <c r="AJ313" s="678"/>
      <c r="AK313" s="658"/>
    </row>
    <row r="314" spans="2:37" s="5" customFormat="1">
      <c r="B314" s="313"/>
      <c r="C314" s="835"/>
      <c r="D314" s="17" t="s">
        <v>3</v>
      </c>
      <c r="E314" s="243" t="s">
        <v>27</v>
      </c>
      <c r="F314" s="402">
        <f>F312</f>
        <v>42310.35</v>
      </c>
      <c r="G314" s="279">
        <v>6</v>
      </c>
      <c r="H314" s="64">
        <f>+G314*F314</f>
        <v>253862.09999999998</v>
      </c>
      <c r="I314" s="79"/>
      <c r="J314" s="52"/>
      <c r="K314" s="156"/>
      <c r="L314" s="383"/>
      <c r="M314" s="542"/>
      <c r="N314" s="578">
        <f t="shared" si="11"/>
        <v>-253862.09999999998</v>
      </c>
      <c r="O314" s="678"/>
      <c r="P314" s="678"/>
      <c r="Q314" s="678"/>
      <c r="R314" s="678"/>
      <c r="S314" s="678"/>
      <c r="T314" s="678"/>
      <c r="U314" s="678"/>
      <c r="V314" s="680"/>
      <c r="W314" s="680"/>
      <c r="X314" s="680"/>
      <c r="Y314" s="680"/>
      <c r="Z314" s="680"/>
      <c r="AA314" s="680"/>
      <c r="AB314" s="680"/>
      <c r="AC314" s="680"/>
      <c r="AD314" s="678"/>
      <c r="AE314" s="678"/>
      <c r="AF314" s="678"/>
      <c r="AG314" s="678"/>
      <c r="AH314" s="678"/>
      <c r="AI314" s="678"/>
      <c r="AJ314" s="678"/>
      <c r="AK314" s="658"/>
    </row>
    <row r="315" spans="2:37" s="5" customFormat="1">
      <c r="B315" s="313"/>
      <c r="C315" s="835"/>
      <c r="D315" s="17" t="s">
        <v>28</v>
      </c>
      <c r="E315" s="88">
        <f>$H$5+2+2</f>
        <v>17.25</v>
      </c>
      <c r="F315" s="84">
        <f>F312/44*1.5</f>
        <v>1442.3982954545454</v>
      </c>
      <c r="G315" s="87">
        <v>6</v>
      </c>
      <c r="H315" s="64">
        <f>+G315*F315*E315</f>
        <v>149288.22357954545</v>
      </c>
      <c r="I315" s="79"/>
      <c r="J315" s="52"/>
      <c r="K315" s="156"/>
      <c r="L315" s="383"/>
      <c r="M315" s="542"/>
      <c r="N315" s="578">
        <f t="shared" si="11"/>
        <v>-149288.22357954545</v>
      </c>
      <c r="O315" s="678"/>
      <c r="P315" s="678"/>
      <c r="Q315" s="678"/>
      <c r="R315" s="678"/>
      <c r="S315" s="678"/>
      <c r="T315" s="678"/>
      <c r="U315" s="678"/>
      <c r="V315" s="680"/>
      <c r="W315" s="680"/>
      <c r="X315" s="680"/>
      <c r="Y315" s="680"/>
      <c r="Z315" s="680"/>
      <c r="AA315" s="680"/>
      <c r="AB315" s="680"/>
      <c r="AC315" s="680"/>
      <c r="AD315" s="678"/>
      <c r="AE315" s="678"/>
      <c r="AF315" s="678"/>
      <c r="AG315" s="678"/>
      <c r="AH315" s="678"/>
      <c r="AI315" s="678"/>
      <c r="AJ315" s="678"/>
      <c r="AK315" s="658"/>
    </row>
    <row r="316" spans="2:37" s="5" customFormat="1">
      <c r="B316" s="313"/>
      <c r="C316" s="835"/>
      <c r="D316" s="17" t="s">
        <v>1</v>
      </c>
      <c r="E316" s="67" t="s">
        <v>29</v>
      </c>
      <c r="F316" s="84">
        <f>F312/5*1.5</f>
        <v>12693.105</v>
      </c>
      <c r="G316" s="64">
        <f>$H$3</f>
        <v>0</v>
      </c>
      <c r="H316" s="64">
        <f>+G316*F316</f>
        <v>0</v>
      </c>
      <c r="I316" s="79"/>
      <c r="J316" s="52"/>
      <c r="K316" s="156"/>
      <c r="L316" s="383"/>
      <c r="M316" s="542"/>
      <c r="N316" s="578">
        <f t="shared" si="11"/>
        <v>0</v>
      </c>
      <c r="O316" s="678"/>
      <c r="P316" s="678"/>
      <c r="Q316" s="678"/>
      <c r="R316" s="678"/>
      <c r="S316" s="678"/>
      <c r="T316" s="678"/>
      <c r="U316" s="678"/>
      <c r="V316" s="680"/>
      <c r="W316" s="680"/>
      <c r="X316" s="680"/>
      <c r="Y316" s="680"/>
      <c r="Z316" s="680"/>
      <c r="AA316" s="680"/>
      <c r="AB316" s="680"/>
      <c r="AC316" s="680"/>
      <c r="AD316" s="678"/>
      <c r="AE316" s="678"/>
      <c r="AF316" s="678"/>
      <c r="AG316" s="678"/>
      <c r="AH316" s="678"/>
      <c r="AI316" s="678"/>
      <c r="AJ316" s="678"/>
      <c r="AK316" s="658"/>
    </row>
    <row r="317" spans="2:37" s="5" customFormat="1">
      <c r="B317" s="313"/>
      <c r="C317" s="835"/>
      <c r="D317" s="17" t="s">
        <v>4</v>
      </c>
      <c r="E317" s="67" t="s">
        <v>29</v>
      </c>
      <c r="F317" s="84">
        <f>F312/5*2</f>
        <v>16924.14</v>
      </c>
      <c r="G317" s="64">
        <f>$H$4</f>
        <v>0</v>
      </c>
      <c r="H317" s="64">
        <f>+G317*F317</f>
        <v>0</v>
      </c>
      <c r="I317" s="79"/>
      <c r="J317" s="52"/>
      <c r="K317" s="156"/>
      <c r="L317" s="383"/>
      <c r="M317" s="542"/>
      <c r="N317" s="578">
        <f t="shared" si="11"/>
        <v>0</v>
      </c>
      <c r="O317" s="678"/>
      <c r="P317" s="678"/>
      <c r="Q317" s="678"/>
      <c r="R317" s="678"/>
      <c r="S317" s="678"/>
      <c r="T317" s="678"/>
      <c r="U317" s="678"/>
      <c r="V317" s="680"/>
      <c r="W317" s="680"/>
      <c r="X317" s="680"/>
      <c r="Y317" s="680"/>
      <c r="Z317" s="680"/>
      <c r="AA317" s="680"/>
      <c r="AB317" s="680"/>
      <c r="AC317" s="680"/>
      <c r="AD317" s="678"/>
      <c r="AE317" s="678"/>
      <c r="AF317" s="678"/>
      <c r="AG317" s="678"/>
      <c r="AH317" s="678"/>
      <c r="AI317" s="678"/>
      <c r="AJ317" s="678"/>
      <c r="AK317" s="658"/>
    </row>
    <row r="318" spans="2:37" s="5" customFormat="1">
      <c r="B318" s="313"/>
      <c r="C318" s="835"/>
      <c r="D318" s="17" t="s">
        <v>46</v>
      </c>
      <c r="E318" s="81" t="s">
        <v>27</v>
      </c>
      <c r="F318" s="84">
        <f>F312</f>
        <v>42310.35</v>
      </c>
      <c r="G318" s="99">
        <v>0</v>
      </c>
      <c r="H318" s="64">
        <f>+G318*F318</f>
        <v>0</v>
      </c>
      <c r="I318" s="79"/>
      <c r="J318" s="52"/>
      <c r="K318" s="156"/>
      <c r="L318" s="383"/>
      <c r="M318" s="542"/>
      <c r="N318" s="578">
        <f t="shared" si="11"/>
        <v>0</v>
      </c>
      <c r="O318" s="678"/>
      <c r="P318" s="678"/>
      <c r="Q318" s="678"/>
      <c r="R318" s="678"/>
      <c r="S318" s="678"/>
      <c r="T318" s="678"/>
      <c r="U318" s="678"/>
      <c r="V318" s="680"/>
      <c r="W318" s="680"/>
      <c r="X318" s="680"/>
      <c r="Y318" s="680"/>
      <c r="Z318" s="680"/>
      <c r="AA318" s="680"/>
      <c r="AB318" s="680"/>
      <c r="AC318" s="680"/>
      <c r="AD318" s="678"/>
      <c r="AE318" s="678"/>
      <c r="AF318" s="678"/>
      <c r="AG318" s="678"/>
      <c r="AH318" s="678"/>
      <c r="AI318" s="678"/>
      <c r="AJ318" s="678"/>
      <c r="AK318" s="658"/>
    </row>
    <row r="319" spans="2:37" s="5" customFormat="1">
      <c r="B319" s="313"/>
      <c r="C319" s="835"/>
      <c r="D319" s="17" t="s">
        <v>30</v>
      </c>
      <c r="E319" s="67" t="s">
        <v>16</v>
      </c>
      <c r="F319" s="101">
        <f>G313+G314+G318</f>
        <v>6</v>
      </c>
      <c r="G319" s="68" t="s">
        <v>31</v>
      </c>
      <c r="H319" s="64">
        <f>SUM(H313:H318)</f>
        <v>403150.32357954542</v>
      </c>
      <c r="I319" s="79"/>
      <c r="J319" s="52"/>
      <c r="K319" s="156"/>
      <c r="L319" s="383"/>
      <c r="M319" s="542"/>
      <c r="N319" s="578">
        <f t="shared" si="11"/>
        <v>-403150.32357954542</v>
      </c>
      <c r="O319" s="678"/>
      <c r="P319" s="678"/>
      <c r="Q319" s="678"/>
      <c r="R319" s="678"/>
      <c r="S319" s="678"/>
      <c r="T319" s="678"/>
      <c r="U319" s="678"/>
      <c r="V319" s="680"/>
      <c r="W319" s="680"/>
      <c r="X319" s="680"/>
      <c r="Y319" s="680"/>
      <c r="Z319" s="680"/>
      <c r="AA319" s="680"/>
      <c r="AB319" s="680"/>
      <c r="AC319" s="681"/>
      <c r="AD319" s="678"/>
      <c r="AE319" s="678"/>
      <c r="AF319" s="678"/>
      <c r="AG319" s="678"/>
      <c r="AH319" s="678"/>
      <c r="AI319" s="678"/>
      <c r="AJ319" s="678"/>
      <c r="AK319" s="658"/>
    </row>
    <row r="320" spans="2:37" s="5" customFormat="1">
      <c r="B320" s="313"/>
      <c r="C320" s="835"/>
      <c r="D320" s="19" t="s">
        <v>32</v>
      </c>
      <c r="E320" s="67" t="s">
        <v>16</v>
      </c>
      <c r="F320" s="84">
        <f>SUM(H313:H318)</f>
        <v>403150.32357954542</v>
      </c>
      <c r="G320" s="92">
        <f>$G$43</f>
        <v>8.3299999999999999E-2</v>
      </c>
      <c r="H320" s="64">
        <f>+G320*F320</f>
        <v>33582.421954176134</v>
      </c>
      <c r="I320" s="93"/>
      <c r="J320" s="52"/>
      <c r="K320" s="156"/>
      <c r="L320" s="383"/>
      <c r="M320" s="542"/>
      <c r="N320" s="578">
        <f t="shared" si="11"/>
        <v>-33582.421954176134</v>
      </c>
      <c r="O320" s="678"/>
      <c r="P320" s="678"/>
      <c r="Q320" s="678"/>
      <c r="R320" s="678"/>
      <c r="S320" s="678"/>
      <c r="T320" s="678"/>
      <c r="U320" s="678"/>
      <c r="V320" s="680"/>
      <c r="W320" s="680"/>
      <c r="X320" s="680"/>
      <c r="Y320" s="680"/>
      <c r="Z320" s="680"/>
      <c r="AA320" s="680"/>
      <c r="AB320" s="680"/>
      <c r="AC320" s="680"/>
      <c r="AD320" s="678"/>
      <c r="AE320" s="678"/>
      <c r="AF320" s="678"/>
      <c r="AG320" s="678"/>
      <c r="AH320" s="678"/>
      <c r="AI320" s="678"/>
      <c r="AJ320" s="678"/>
      <c r="AK320" s="658"/>
    </row>
    <row r="321" spans="2:37" s="5" customFormat="1">
      <c r="B321" s="313"/>
      <c r="C321" s="835"/>
      <c r="D321" s="19" t="s">
        <v>33</v>
      </c>
      <c r="E321" s="84">
        <f>F320/(5*F319)</f>
        <v>13438.344119318181</v>
      </c>
      <c r="F321" s="84">
        <f>E321*(F319*7)</f>
        <v>564410.45301136363</v>
      </c>
      <c r="G321" s="95">
        <f>$G$44</f>
        <v>20</v>
      </c>
      <c r="H321" s="64">
        <f>F321/G321</f>
        <v>28220.522650568182</v>
      </c>
      <c r="I321" s="72">
        <f>SUM(H319:H321)</f>
        <v>464953.26818428974</v>
      </c>
      <c r="J321" s="52">
        <f>SUM(G313:G321)</f>
        <v>32.083300000000001</v>
      </c>
      <c r="K321" s="156"/>
      <c r="L321" s="383"/>
      <c r="M321" s="542"/>
      <c r="N321" s="578">
        <f t="shared" si="11"/>
        <v>-28220.522650568182</v>
      </c>
      <c r="O321" s="678"/>
      <c r="P321" s="678"/>
      <c r="Q321" s="678"/>
      <c r="R321" s="678"/>
      <c r="S321" s="678"/>
      <c r="T321" s="678"/>
      <c r="U321" s="678"/>
      <c r="V321" s="681"/>
      <c r="W321" s="681"/>
      <c r="X321" s="681"/>
      <c r="Y321" s="681"/>
      <c r="Z321" s="681"/>
      <c r="AA321" s="681"/>
      <c r="AB321" s="681"/>
      <c r="AC321" s="681"/>
      <c r="AD321" s="678"/>
      <c r="AE321" s="678"/>
      <c r="AF321" s="678"/>
      <c r="AG321" s="678"/>
      <c r="AH321" s="678"/>
      <c r="AI321" s="678"/>
      <c r="AJ321" s="678"/>
      <c r="AK321" s="658"/>
    </row>
    <row r="322" spans="2:37" s="5" customFormat="1">
      <c r="B322" s="313"/>
      <c r="C322" s="835"/>
      <c r="D322" s="117"/>
      <c r="E322" s="74"/>
      <c r="F322" s="74"/>
      <c r="G322" s="401"/>
      <c r="H322" s="78"/>
      <c r="I322" s="79"/>
      <c r="J322" s="52"/>
      <c r="K322" s="156"/>
      <c r="L322" s="383"/>
      <c r="M322" s="542"/>
      <c r="N322" s="578">
        <f t="shared" si="11"/>
        <v>0</v>
      </c>
      <c r="O322" s="678"/>
      <c r="P322" s="678"/>
      <c r="Q322" s="678"/>
      <c r="R322" s="678"/>
      <c r="S322" s="678"/>
      <c r="T322" s="678"/>
      <c r="U322" s="678"/>
      <c r="V322" s="678"/>
      <c r="W322" s="678"/>
      <c r="X322" s="678"/>
      <c r="Y322" s="678"/>
      <c r="Z322" s="678"/>
      <c r="AA322" s="678"/>
      <c r="AB322" s="678"/>
      <c r="AC322" s="678"/>
      <c r="AD322" s="678"/>
      <c r="AE322" s="678"/>
      <c r="AF322" s="678"/>
      <c r="AG322" s="678"/>
      <c r="AH322" s="678"/>
      <c r="AI322" s="678"/>
      <c r="AJ322" s="678"/>
      <c r="AK322" s="658"/>
    </row>
    <row r="323" spans="2:37" s="5" customFormat="1" ht="15" customHeight="1">
      <c r="B323" s="317">
        <v>26</v>
      </c>
      <c r="C323" s="835" t="s">
        <v>888</v>
      </c>
      <c r="D323" s="80" t="s">
        <v>428</v>
      </c>
      <c r="E323" s="243">
        <f>+E312</f>
        <v>42310.35</v>
      </c>
      <c r="F323" s="402">
        <f>E323</f>
        <v>42310.35</v>
      </c>
      <c r="G323" s="411"/>
      <c r="H323" s="82"/>
      <c r="I323" s="83"/>
      <c r="J323" s="52"/>
      <c r="K323" s="156"/>
      <c r="L323" s="383"/>
      <c r="M323" s="542"/>
      <c r="N323" s="578">
        <f t="shared" si="11"/>
        <v>0</v>
      </c>
      <c r="O323" s="678"/>
      <c r="P323" s="678"/>
      <c r="Q323" s="678"/>
      <c r="R323" s="678"/>
      <c r="S323" s="678"/>
      <c r="T323" s="678"/>
      <c r="U323" s="678"/>
      <c r="V323" s="678"/>
      <c r="W323" s="678"/>
      <c r="X323" s="678"/>
      <c r="Y323" s="678"/>
      <c r="Z323" s="678"/>
      <c r="AA323" s="678"/>
      <c r="AB323" s="678"/>
      <c r="AC323" s="678"/>
      <c r="AD323" s="678"/>
      <c r="AE323" s="678"/>
      <c r="AF323" s="678"/>
      <c r="AG323" s="678"/>
      <c r="AH323" s="678"/>
      <c r="AI323" s="678"/>
      <c r="AJ323" s="678"/>
      <c r="AK323" s="658"/>
    </row>
    <row r="324" spans="2:37" s="5" customFormat="1">
      <c r="B324" s="313"/>
      <c r="C324" s="835"/>
      <c r="D324" s="17" t="s">
        <v>316</v>
      </c>
      <c r="E324" s="243" t="s">
        <v>27</v>
      </c>
      <c r="F324" s="402">
        <f>F323</f>
        <v>42310.35</v>
      </c>
      <c r="G324" s="280">
        <v>0</v>
      </c>
      <c r="H324" s="64">
        <f>+G324*F324</f>
        <v>0</v>
      </c>
      <c r="I324" s="79"/>
      <c r="J324" s="52"/>
      <c r="K324" s="156"/>
      <c r="L324" s="383"/>
      <c r="M324" s="542"/>
      <c r="N324" s="578">
        <f t="shared" si="11"/>
        <v>0</v>
      </c>
      <c r="O324" s="678"/>
      <c r="P324" s="678"/>
      <c r="Q324" s="678"/>
      <c r="R324" s="678"/>
      <c r="S324" s="678"/>
      <c r="T324" s="678"/>
      <c r="U324" s="678"/>
      <c r="V324" s="680"/>
      <c r="W324" s="680"/>
      <c r="X324" s="680"/>
      <c r="Y324" s="680"/>
      <c r="Z324" s="680"/>
      <c r="AA324" s="680"/>
      <c r="AB324" s="680"/>
      <c r="AC324" s="680"/>
      <c r="AD324" s="678"/>
      <c r="AE324" s="678"/>
      <c r="AF324" s="678"/>
      <c r="AG324" s="678"/>
      <c r="AH324" s="678"/>
      <c r="AI324" s="678"/>
      <c r="AJ324" s="678"/>
      <c r="AK324" s="658"/>
    </row>
    <row r="325" spans="2:37" s="5" customFormat="1">
      <c r="B325" s="313"/>
      <c r="C325" s="835"/>
      <c r="D325" s="17" t="s">
        <v>3</v>
      </c>
      <c r="E325" s="243" t="s">
        <v>27</v>
      </c>
      <c r="F325" s="402">
        <f>F323</f>
        <v>42310.35</v>
      </c>
      <c r="G325" s="279">
        <v>6</v>
      </c>
      <c r="H325" s="64">
        <f>+G325*F325</f>
        <v>253862.09999999998</v>
      </c>
      <c r="I325" s="79"/>
      <c r="J325" s="52"/>
      <c r="K325" s="156"/>
      <c r="L325" s="383"/>
      <c r="M325" s="542"/>
      <c r="N325" s="578">
        <f t="shared" si="11"/>
        <v>-253862.09999999998</v>
      </c>
      <c r="O325" s="678"/>
      <c r="P325" s="678"/>
      <c r="Q325" s="678"/>
      <c r="R325" s="678"/>
      <c r="S325" s="678"/>
      <c r="T325" s="678"/>
      <c r="U325" s="678"/>
      <c r="V325" s="680"/>
      <c r="W325" s="680"/>
      <c r="X325" s="680"/>
      <c r="Y325" s="680"/>
      <c r="Z325" s="680"/>
      <c r="AA325" s="680"/>
      <c r="AB325" s="680"/>
      <c r="AC325" s="680"/>
      <c r="AD325" s="678"/>
      <c r="AE325" s="678"/>
      <c r="AF325" s="678"/>
      <c r="AG325" s="678"/>
      <c r="AH325" s="678"/>
      <c r="AI325" s="678"/>
      <c r="AJ325" s="678"/>
      <c r="AK325" s="658"/>
    </row>
    <row r="326" spans="2:37" s="5" customFormat="1">
      <c r="B326" s="313"/>
      <c r="C326" s="835"/>
      <c r="D326" s="17" t="s">
        <v>28</v>
      </c>
      <c r="E326" s="88">
        <f>$H$5+2+2</f>
        <v>17.25</v>
      </c>
      <c r="F326" s="84">
        <f>F323/44*1.5</f>
        <v>1442.3982954545454</v>
      </c>
      <c r="G326" s="87">
        <v>6</v>
      </c>
      <c r="H326" s="64">
        <f>+G326*F326*E326</f>
        <v>149288.22357954545</v>
      </c>
      <c r="I326" s="79"/>
      <c r="J326" s="52"/>
      <c r="K326" s="156"/>
      <c r="L326" s="383"/>
      <c r="M326" s="542"/>
      <c r="N326" s="578">
        <f t="shared" si="11"/>
        <v>-149288.22357954545</v>
      </c>
      <c r="O326" s="678"/>
      <c r="P326" s="678"/>
      <c r="Q326" s="678"/>
      <c r="R326" s="678"/>
      <c r="S326" s="678"/>
      <c r="T326" s="678"/>
      <c r="U326" s="678"/>
      <c r="V326" s="680"/>
      <c r="W326" s="680"/>
      <c r="X326" s="680"/>
      <c r="Y326" s="680"/>
      <c r="Z326" s="680"/>
      <c r="AA326" s="680"/>
      <c r="AB326" s="680"/>
      <c r="AC326" s="680"/>
      <c r="AD326" s="678"/>
      <c r="AE326" s="678"/>
      <c r="AF326" s="678"/>
      <c r="AG326" s="678"/>
      <c r="AH326" s="678"/>
      <c r="AI326" s="678"/>
      <c r="AJ326" s="678"/>
      <c r="AK326" s="658"/>
    </row>
    <row r="327" spans="2:37" s="5" customFormat="1">
      <c r="B327" s="313"/>
      <c r="C327" s="835"/>
      <c r="D327" s="17" t="s">
        <v>1</v>
      </c>
      <c r="E327" s="67" t="s">
        <v>29</v>
      </c>
      <c r="F327" s="84">
        <f>F323/5*1.5</f>
        <v>12693.105</v>
      </c>
      <c r="G327" s="64">
        <f>$H$3</f>
        <v>0</v>
      </c>
      <c r="H327" s="64">
        <f>+G327*F327</f>
        <v>0</v>
      </c>
      <c r="I327" s="79"/>
      <c r="J327" s="52"/>
      <c r="K327" s="156"/>
      <c r="L327" s="383"/>
      <c r="M327" s="542"/>
      <c r="N327" s="578">
        <f t="shared" si="11"/>
        <v>0</v>
      </c>
      <c r="O327" s="678"/>
      <c r="P327" s="678"/>
      <c r="Q327" s="678"/>
      <c r="R327" s="678"/>
      <c r="S327" s="678"/>
      <c r="T327" s="678"/>
      <c r="U327" s="678"/>
      <c r="V327" s="680"/>
      <c r="W327" s="680"/>
      <c r="X327" s="680"/>
      <c r="Y327" s="680"/>
      <c r="Z327" s="680"/>
      <c r="AA327" s="680"/>
      <c r="AB327" s="680"/>
      <c r="AC327" s="680"/>
      <c r="AD327" s="678"/>
      <c r="AE327" s="678"/>
      <c r="AF327" s="678"/>
      <c r="AG327" s="678"/>
      <c r="AH327" s="678"/>
      <c r="AI327" s="678"/>
      <c r="AJ327" s="678"/>
      <c r="AK327" s="658"/>
    </row>
    <row r="328" spans="2:37" s="5" customFormat="1">
      <c r="B328" s="313"/>
      <c r="C328" s="835"/>
      <c r="D328" s="17" t="s">
        <v>4</v>
      </c>
      <c r="E328" s="67" t="s">
        <v>29</v>
      </c>
      <c r="F328" s="84">
        <f>F323/5*2</f>
        <v>16924.14</v>
      </c>
      <c r="G328" s="64">
        <f>$H$4</f>
        <v>0</v>
      </c>
      <c r="H328" s="64">
        <f>+G328*F328</f>
        <v>0</v>
      </c>
      <c r="I328" s="79"/>
      <c r="J328" s="52"/>
      <c r="K328" s="156"/>
      <c r="L328" s="383"/>
      <c r="M328" s="542"/>
      <c r="N328" s="578">
        <f t="shared" si="11"/>
        <v>0</v>
      </c>
      <c r="O328" s="678"/>
      <c r="P328" s="678"/>
      <c r="Q328" s="678"/>
      <c r="R328" s="678"/>
      <c r="S328" s="678"/>
      <c r="T328" s="678"/>
      <c r="U328" s="678"/>
      <c r="V328" s="680"/>
      <c r="W328" s="680"/>
      <c r="X328" s="680"/>
      <c r="Y328" s="680"/>
      <c r="Z328" s="680"/>
      <c r="AA328" s="680"/>
      <c r="AB328" s="680"/>
      <c r="AC328" s="680"/>
      <c r="AD328" s="678"/>
      <c r="AE328" s="678"/>
      <c r="AF328" s="678"/>
      <c r="AG328" s="678"/>
      <c r="AH328" s="678"/>
      <c r="AI328" s="678"/>
      <c r="AJ328" s="678"/>
      <c r="AK328" s="658"/>
    </row>
    <row r="329" spans="2:37" s="5" customFormat="1">
      <c r="B329" s="313"/>
      <c r="C329" s="835"/>
      <c r="D329" s="17" t="s">
        <v>46</v>
      </c>
      <c r="E329" s="81" t="s">
        <v>27</v>
      </c>
      <c r="F329" s="84">
        <f>F323</f>
        <v>42310.35</v>
      </c>
      <c r="G329" s="99">
        <v>0</v>
      </c>
      <c r="H329" s="64">
        <f>+G329*F329</f>
        <v>0</v>
      </c>
      <c r="I329" s="79"/>
      <c r="J329" s="52"/>
      <c r="K329" s="156"/>
      <c r="L329" s="383"/>
      <c r="M329" s="542"/>
      <c r="N329" s="578">
        <f t="shared" si="11"/>
        <v>0</v>
      </c>
      <c r="O329" s="678"/>
      <c r="P329" s="678"/>
      <c r="Q329" s="678"/>
      <c r="R329" s="678"/>
      <c r="S329" s="678"/>
      <c r="T329" s="678"/>
      <c r="U329" s="678"/>
      <c r="V329" s="680"/>
      <c r="W329" s="680"/>
      <c r="X329" s="680"/>
      <c r="Y329" s="680"/>
      <c r="Z329" s="680"/>
      <c r="AA329" s="680"/>
      <c r="AB329" s="680"/>
      <c r="AC329" s="680"/>
      <c r="AD329" s="678"/>
      <c r="AE329" s="678"/>
      <c r="AF329" s="678"/>
      <c r="AG329" s="678"/>
      <c r="AH329" s="678"/>
      <c r="AI329" s="678"/>
      <c r="AJ329" s="678"/>
      <c r="AK329" s="658"/>
    </row>
    <row r="330" spans="2:37" s="5" customFormat="1">
      <c r="B330" s="313"/>
      <c r="C330" s="835"/>
      <c r="D330" s="17" t="s">
        <v>30</v>
      </c>
      <c r="E330" s="67" t="s">
        <v>16</v>
      </c>
      <c r="F330" s="101">
        <f>G324+G325+G329</f>
        <v>6</v>
      </c>
      <c r="G330" s="68" t="s">
        <v>31</v>
      </c>
      <c r="H330" s="64">
        <f>SUM(H324:H329)</f>
        <v>403150.32357954542</v>
      </c>
      <c r="I330" s="79"/>
      <c r="J330" s="52"/>
      <c r="K330" s="156"/>
      <c r="L330" s="383"/>
      <c r="M330" s="542"/>
      <c r="N330" s="578">
        <f t="shared" si="11"/>
        <v>-403150.32357954542</v>
      </c>
      <c r="O330" s="678"/>
      <c r="P330" s="678"/>
      <c r="Q330" s="678"/>
      <c r="R330" s="678"/>
      <c r="S330" s="678"/>
      <c r="T330" s="678"/>
      <c r="U330" s="678"/>
      <c r="V330" s="680"/>
      <c r="W330" s="680"/>
      <c r="X330" s="680"/>
      <c r="Y330" s="680"/>
      <c r="Z330" s="680"/>
      <c r="AA330" s="680"/>
      <c r="AB330" s="680"/>
      <c r="AC330" s="681"/>
      <c r="AD330" s="678"/>
      <c r="AE330" s="678"/>
      <c r="AF330" s="678"/>
      <c r="AG330" s="678"/>
      <c r="AH330" s="678"/>
      <c r="AI330" s="678"/>
      <c r="AJ330" s="678"/>
      <c r="AK330" s="658"/>
    </row>
    <row r="331" spans="2:37" s="5" customFormat="1">
      <c r="B331" s="313"/>
      <c r="C331" s="835"/>
      <c r="D331" s="19" t="s">
        <v>32</v>
      </c>
      <c r="E331" s="67" t="s">
        <v>16</v>
      </c>
      <c r="F331" s="84">
        <f>SUM(H324:H329)</f>
        <v>403150.32357954542</v>
      </c>
      <c r="G331" s="92">
        <f>$G$43</f>
        <v>8.3299999999999999E-2</v>
      </c>
      <c r="H331" s="64">
        <f>+G331*F331</f>
        <v>33582.421954176134</v>
      </c>
      <c r="I331" s="93"/>
      <c r="J331" s="52"/>
      <c r="K331" s="156"/>
      <c r="L331" s="383"/>
      <c r="M331" s="542"/>
      <c r="N331" s="578">
        <f t="shared" si="11"/>
        <v>-33582.421954176134</v>
      </c>
      <c r="O331" s="678"/>
      <c r="P331" s="678"/>
      <c r="Q331" s="678"/>
      <c r="R331" s="678"/>
      <c r="S331" s="678"/>
      <c r="T331" s="678"/>
      <c r="U331" s="678"/>
      <c r="V331" s="680"/>
      <c r="W331" s="680"/>
      <c r="X331" s="680"/>
      <c r="Y331" s="680"/>
      <c r="Z331" s="680"/>
      <c r="AA331" s="680"/>
      <c r="AB331" s="680"/>
      <c r="AC331" s="680"/>
      <c r="AD331" s="678"/>
      <c r="AE331" s="678"/>
      <c r="AF331" s="678"/>
      <c r="AG331" s="678"/>
      <c r="AH331" s="678"/>
      <c r="AI331" s="678"/>
      <c r="AJ331" s="678"/>
      <c r="AK331" s="658"/>
    </row>
    <row r="332" spans="2:37" s="5" customFormat="1">
      <c r="B332" s="313"/>
      <c r="C332" s="835"/>
      <c r="D332" s="19" t="s">
        <v>33</v>
      </c>
      <c r="E332" s="84">
        <f>F331/(5*F330)</f>
        <v>13438.344119318181</v>
      </c>
      <c r="F332" s="84">
        <f>E332*(F330*7)</f>
        <v>564410.45301136363</v>
      </c>
      <c r="G332" s="95">
        <f>$G$44</f>
        <v>20</v>
      </c>
      <c r="H332" s="64">
        <f>F332/G332</f>
        <v>28220.522650568182</v>
      </c>
      <c r="I332" s="72">
        <f>SUM(H330:H332)</f>
        <v>464953.26818428974</v>
      </c>
      <c r="J332" s="52">
        <f>SUM(G324:G332)</f>
        <v>32.083300000000001</v>
      </c>
      <c r="K332" s="156"/>
      <c r="L332" s="383"/>
      <c r="M332" s="542"/>
      <c r="N332" s="578">
        <f t="shared" ref="N332:N395" si="12">SUM(O332:AL332)-H332</f>
        <v>-28220.522650568182</v>
      </c>
      <c r="O332" s="678"/>
      <c r="P332" s="678"/>
      <c r="Q332" s="678"/>
      <c r="R332" s="678"/>
      <c r="S332" s="678"/>
      <c r="T332" s="678"/>
      <c r="U332" s="678"/>
      <c r="V332" s="681"/>
      <c r="W332" s="681"/>
      <c r="X332" s="681"/>
      <c r="Y332" s="681"/>
      <c r="Z332" s="681"/>
      <c r="AA332" s="681"/>
      <c r="AB332" s="681"/>
      <c r="AC332" s="681"/>
      <c r="AD332" s="678"/>
      <c r="AE332" s="678"/>
      <c r="AF332" s="678"/>
      <c r="AG332" s="678"/>
      <c r="AH332" s="678"/>
      <c r="AI332" s="678"/>
      <c r="AJ332" s="678"/>
      <c r="AK332" s="658"/>
    </row>
    <row r="333" spans="2:37" s="5" customFormat="1">
      <c r="B333" s="313"/>
      <c r="C333" s="835"/>
      <c r="D333" s="96"/>
      <c r="E333" s="9"/>
      <c r="F333" s="74"/>
      <c r="G333" s="97"/>
      <c r="H333" s="78"/>
      <c r="I333" s="79"/>
      <c r="J333" s="52"/>
      <c r="K333" s="156"/>
      <c r="L333" s="383"/>
      <c r="M333" s="542"/>
      <c r="N333" s="578">
        <f t="shared" si="12"/>
        <v>0</v>
      </c>
      <c r="O333" s="678"/>
      <c r="P333" s="678"/>
      <c r="Q333" s="678"/>
      <c r="R333" s="678"/>
      <c r="S333" s="678"/>
      <c r="T333" s="678"/>
      <c r="U333" s="678"/>
      <c r="V333" s="678"/>
      <c r="W333" s="678"/>
      <c r="X333" s="678"/>
      <c r="Y333" s="678"/>
      <c r="Z333" s="678"/>
      <c r="AA333" s="678"/>
      <c r="AB333" s="678"/>
      <c r="AC333" s="678"/>
      <c r="AD333" s="678"/>
      <c r="AE333" s="678"/>
      <c r="AF333" s="678"/>
      <c r="AG333" s="678"/>
      <c r="AH333" s="678"/>
      <c r="AI333" s="678"/>
      <c r="AJ333" s="678"/>
      <c r="AK333" s="658"/>
    </row>
    <row r="334" spans="2:37" s="5" customFormat="1">
      <c r="B334" s="313"/>
      <c r="C334" s="835"/>
      <c r="D334" s="96"/>
      <c r="E334" s="9"/>
      <c r="F334" s="74"/>
      <c r="G334" s="97"/>
      <c r="H334" s="78"/>
      <c r="I334" s="79"/>
      <c r="J334" s="52"/>
      <c r="K334" s="156"/>
      <c r="L334" s="383"/>
      <c r="M334" s="542"/>
      <c r="N334" s="578">
        <f t="shared" si="12"/>
        <v>0</v>
      </c>
      <c r="O334" s="678"/>
      <c r="P334" s="678"/>
      <c r="Q334" s="678"/>
      <c r="R334" s="678"/>
      <c r="S334" s="678"/>
      <c r="T334" s="678"/>
      <c r="U334" s="678"/>
      <c r="V334" s="678"/>
      <c r="W334" s="678"/>
      <c r="X334" s="678"/>
      <c r="Y334" s="678"/>
      <c r="Z334" s="678"/>
      <c r="AA334" s="678"/>
      <c r="AB334" s="678"/>
      <c r="AC334" s="678"/>
      <c r="AD334" s="678"/>
      <c r="AE334" s="678"/>
      <c r="AF334" s="678"/>
      <c r="AG334" s="678"/>
      <c r="AH334" s="678"/>
      <c r="AI334" s="678"/>
      <c r="AJ334" s="678"/>
      <c r="AK334" s="658"/>
    </row>
    <row r="335" spans="2:37" s="5" customFormat="1" ht="15" customHeight="1">
      <c r="B335" s="317">
        <v>27</v>
      </c>
      <c r="C335" s="835" t="s">
        <v>889</v>
      </c>
      <c r="D335" s="80" t="s">
        <v>58</v>
      </c>
      <c r="E335" s="81">
        <v>39782.300000000003</v>
      </c>
      <c r="F335" s="74"/>
      <c r="G335" s="75"/>
      <c r="H335" s="82"/>
      <c r="I335" s="83"/>
      <c r="J335" s="52"/>
      <c r="K335" s="156"/>
      <c r="L335" s="383"/>
      <c r="M335" s="542"/>
      <c r="N335" s="578">
        <f t="shared" si="12"/>
        <v>0</v>
      </c>
      <c r="O335" s="678"/>
      <c r="P335" s="678"/>
      <c r="Q335" s="678"/>
      <c r="R335" s="678"/>
      <c r="S335" s="678"/>
      <c r="T335" s="678"/>
      <c r="U335" s="678"/>
      <c r="V335" s="680"/>
      <c r="W335" s="680"/>
      <c r="X335" s="680"/>
      <c r="Y335" s="680"/>
      <c r="Z335" s="680"/>
      <c r="AA335" s="680"/>
      <c r="AB335" s="680"/>
      <c r="AC335" s="680"/>
      <c r="AD335" s="678"/>
      <c r="AE335" s="678"/>
      <c r="AF335" s="678"/>
      <c r="AG335" s="678"/>
      <c r="AH335" s="678"/>
      <c r="AI335" s="678"/>
      <c r="AJ335" s="678"/>
      <c r="AK335" s="658"/>
    </row>
    <row r="336" spans="2:37" s="5" customFormat="1">
      <c r="B336" s="313"/>
      <c r="C336" s="835"/>
      <c r="D336" s="17" t="s">
        <v>317</v>
      </c>
      <c r="E336" s="81" t="s">
        <v>27</v>
      </c>
      <c r="F336" s="84">
        <f>E335</f>
        <v>39782.300000000003</v>
      </c>
      <c r="G336" s="99">
        <v>0.6</v>
      </c>
      <c r="H336" s="64">
        <f>+G336*F336</f>
        <v>23869.38</v>
      </c>
      <c r="I336" s="79"/>
      <c r="J336" s="52"/>
      <c r="K336" s="156"/>
      <c r="L336" s="383"/>
      <c r="M336" s="542"/>
      <c r="N336" s="578">
        <f t="shared" si="12"/>
        <v>-23869.38</v>
      </c>
      <c r="O336" s="678"/>
      <c r="P336" s="678"/>
      <c r="Q336" s="678"/>
      <c r="R336" s="678"/>
      <c r="S336" s="678"/>
      <c r="T336" s="678"/>
      <c r="U336" s="678"/>
      <c r="V336" s="680"/>
      <c r="W336" s="680"/>
      <c r="X336" s="680"/>
      <c r="Y336" s="680"/>
      <c r="Z336" s="680"/>
      <c r="AA336" s="680"/>
      <c r="AB336" s="680"/>
      <c r="AC336" s="680"/>
      <c r="AD336" s="678"/>
      <c r="AE336" s="678"/>
      <c r="AF336" s="678"/>
      <c r="AG336" s="678"/>
      <c r="AH336" s="678"/>
      <c r="AI336" s="678"/>
      <c r="AJ336" s="678"/>
      <c r="AK336" s="658"/>
    </row>
    <row r="337" spans="2:37" s="5" customFormat="1">
      <c r="B337" s="313"/>
      <c r="C337" s="835"/>
      <c r="D337" s="17" t="s">
        <v>3</v>
      </c>
      <c r="E337" s="81" t="s">
        <v>27</v>
      </c>
      <c r="F337" s="84">
        <f>E335</f>
        <v>39782.300000000003</v>
      </c>
      <c r="G337" s="64">
        <v>6</v>
      </c>
      <c r="H337" s="64">
        <f>+G337*F337</f>
        <v>238693.80000000002</v>
      </c>
      <c r="I337" s="79"/>
      <c r="J337" s="52"/>
      <c r="K337" s="156"/>
      <c r="L337" s="383"/>
      <c r="M337" s="542"/>
      <c r="N337" s="578">
        <f t="shared" si="12"/>
        <v>-238693.80000000002</v>
      </c>
      <c r="O337" s="678"/>
      <c r="P337" s="678"/>
      <c r="Q337" s="678"/>
      <c r="R337" s="678"/>
      <c r="S337" s="678"/>
      <c r="T337" s="678"/>
      <c r="U337" s="678"/>
      <c r="V337" s="680"/>
      <c r="W337" s="680"/>
      <c r="X337" s="680"/>
      <c r="Y337" s="680"/>
      <c r="Z337" s="680"/>
      <c r="AA337" s="680"/>
      <c r="AB337" s="680"/>
      <c r="AC337" s="680"/>
      <c r="AD337" s="678"/>
      <c r="AE337" s="678"/>
      <c r="AF337" s="678"/>
      <c r="AG337" s="678"/>
      <c r="AH337" s="678"/>
      <c r="AI337" s="678"/>
      <c r="AJ337" s="678"/>
      <c r="AK337" s="658"/>
    </row>
    <row r="338" spans="2:37" s="5" customFormat="1">
      <c r="B338" s="313"/>
      <c r="C338" s="835"/>
      <c r="D338" s="17" t="s">
        <v>28</v>
      </c>
      <c r="E338" s="88">
        <f>$H$5+2+2</f>
        <v>17.25</v>
      </c>
      <c r="F338" s="84">
        <f>E335/44*1.5</f>
        <v>1356.2147727272729</v>
      </c>
      <c r="G338" s="87">
        <v>6</v>
      </c>
      <c r="H338" s="64">
        <f>+G338*F338*E338</f>
        <v>140368.22897727275</v>
      </c>
      <c r="I338" s="79"/>
      <c r="J338" s="52"/>
      <c r="K338" s="156"/>
      <c r="L338" s="383"/>
      <c r="M338" s="542"/>
      <c r="N338" s="578">
        <f t="shared" si="12"/>
        <v>-140368.22897727275</v>
      </c>
      <c r="O338" s="678"/>
      <c r="P338" s="678"/>
      <c r="Q338" s="678"/>
      <c r="R338" s="678"/>
      <c r="S338" s="678"/>
      <c r="T338" s="678"/>
      <c r="U338" s="678"/>
      <c r="V338" s="680"/>
      <c r="W338" s="680"/>
      <c r="X338" s="680"/>
      <c r="Y338" s="680"/>
      <c r="Z338" s="680"/>
      <c r="AA338" s="680"/>
      <c r="AB338" s="680"/>
      <c r="AC338" s="680"/>
      <c r="AD338" s="678"/>
      <c r="AE338" s="678"/>
      <c r="AF338" s="678"/>
      <c r="AG338" s="678"/>
      <c r="AH338" s="678"/>
      <c r="AI338" s="678"/>
      <c r="AJ338" s="678"/>
      <c r="AK338" s="658"/>
    </row>
    <row r="339" spans="2:37" s="5" customFormat="1">
      <c r="B339" s="313"/>
      <c r="C339" s="835"/>
      <c r="D339" s="17" t="s">
        <v>1</v>
      </c>
      <c r="E339" s="67" t="s">
        <v>29</v>
      </c>
      <c r="F339" s="84">
        <f>E335/5*1.5</f>
        <v>11934.690000000002</v>
      </c>
      <c r="G339" s="64">
        <f>$H$3</f>
        <v>0</v>
      </c>
      <c r="H339" s="64">
        <f>+G339*F339</f>
        <v>0</v>
      </c>
      <c r="I339" s="79"/>
      <c r="J339" s="52"/>
      <c r="K339" s="156"/>
      <c r="L339" s="383"/>
      <c r="M339" s="542"/>
      <c r="N339" s="578">
        <f t="shared" si="12"/>
        <v>0</v>
      </c>
      <c r="O339" s="678"/>
      <c r="P339" s="678"/>
      <c r="Q339" s="678"/>
      <c r="R339" s="678"/>
      <c r="S339" s="678"/>
      <c r="T339" s="678"/>
      <c r="U339" s="678"/>
      <c r="V339" s="680"/>
      <c r="W339" s="680"/>
      <c r="X339" s="680"/>
      <c r="Y339" s="680"/>
      <c r="Z339" s="680"/>
      <c r="AA339" s="680"/>
      <c r="AB339" s="680"/>
      <c r="AC339" s="680"/>
      <c r="AD339" s="678"/>
      <c r="AE339" s="678"/>
      <c r="AF339" s="678"/>
      <c r="AG339" s="678"/>
      <c r="AH339" s="678"/>
      <c r="AI339" s="678"/>
      <c r="AJ339" s="678"/>
      <c r="AK339" s="658"/>
    </row>
    <row r="340" spans="2:37" s="5" customFormat="1">
      <c r="B340" s="313"/>
      <c r="C340" s="835"/>
      <c r="D340" s="17" t="s">
        <v>4</v>
      </c>
      <c r="E340" s="67" t="s">
        <v>29</v>
      </c>
      <c r="F340" s="84">
        <f>E335/5*2</f>
        <v>15912.920000000002</v>
      </c>
      <c r="G340" s="64">
        <f>$H$4</f>
        <v>0</v>
      </c>
      <c r="H340" s="64">
        <f>+G340*F340</f>
        <v>0</v>
      </c>
      <c r="I340" s="79"/>
      <c r="J340" s="52"/>
      <c r="K340" s="156"/>
      <c r="L340" s="383"/>
      <c r="M340" s="542"/>
      <c r="N340" s="578">
        <f t="shared" si="12"/>
        <v>0</v>
      </c>
      <c r="O340" s="678"/>
      <c r="P340" s="678"/>
      <c r="Q340" s="678"/>
      <c r="R340" s="678"/>
      <c r="S340" s="678"/>
      <c r="T340" s="678"/>
      <c r="U340" s="678"/>
      <c r="V340" s="680"/>
      <c r="W340" s="680"/>
      <c r="X340" s="680"/>
      <c r="Y340" s="680"/>
      <c r="Z340" s="680"/>
      <c r="AA340" s="680"/>
      <c r="AB340" s="680"/>
      <c r="AC340" s="680"/>
      <c r="AD340" s="678"/>
      <c r="AE340" s="678"/>
      <c r="AF340" s="678"/>
      <c r="AG340" s="678"/>
      <c r="AH340" s="678"/>
      <c r="AI340" s="678"/>
      <c r="AJ340" s="678"/>
      <c r="AK340" s="658"/>
    </row>
    <row r="341" spans="2:37" s="5" customFormat="1">
      <c r="B341" s="313"/>
      <c r="C341" s="835"/>
      <c r="D341" s="17" t="s">
        <v>5</v>
      </c>
      <c r="E341" s="81" t="s">
        <v>27</v>
      </c>
      <c r="F341" s="84">
        <f>E335</f>
        <v>39782.300000000003</v>
      </c>
      <c r="G341" s="99">
        <f>0.6</f>
        <v>0.6</v>
      </c>
      <c r="H341" s="64">
        <f>+G341*F341</f>
        <v>23869.38</v>
      </c>
      <c r="I341" s="79"/>
      <c r="J341" s="52"/>
      <c r="K341" s="156"/>
      <c r="L341" s="383"/>
      <c r="M341" s="542"/>
      <c r="N341" s="578">
        <f t="shared" si="12"/>
        <v>-23869.38</v>
      </c>
      <c r="O341" s="678"/>
      <c r="P341" s="678"/>
      <c r="Q341" s="678"/>
      <c r="R341" s="678"/>
      <c r="S341" s="678"/>
      <c r="T341" s="678"/>
      <c r="U341" s="678"/>
      <c r="V341" s="680"/>
      <c r="W341" s="680"/>
      <c r="X341" s="680"/>
      <c r="Y341" s="680"/>
      <c r="Z341" s="680"/>
      <c r="AA341" s="680"/>
      <c r="AB341" s="680"/>
      <c r="AC341" s="681"/>
      <c r="AD341" s="678"/>
      <c r="AE341" s="678"/>
      <c r="AF341" s="678"/>
      <c r="AG341" s="678"/>
      <c r="AH341" s="678"/>
      <c r="AI341" s="678"/>
      <c r="AJ341" s="678"/>
      <c r="AK341" s="658"/>
    </row>
    <row r="342" spans="2:37" s="5" customFormat="1">
      <c r="B342" s="313"/>
      <c r="C342" s="835"/>
      <c r="D342" s="17" t="s">
        <v>30</v>
      </c>
      <c r="E342" s="67" t="s">
        <v>16</v>
      </c>
      <c r="F342" s="101">
        <f>G336+G337+G341</f>
        <v>7.1999999999999993</v>
      </c>
      <c r="G342" s="68" t="s">
        <v>31</v>
      </c>
      <c r="H342" s="64">
        <f>SUM(H336:H341)</f>
        <v>426800.78897727275</v>
      </c>
      <c r="I342" s="79"/>
      <c r="J342" s="52"/>
      <c r="K342" s="156"/>
      <c r="L342" s="383"/>
      <c r="M342" s="542"/>
      <c r="N342" s="578">
        <f t="shared" si="12"/>
        <v>-426800.78897727275</v>
      </c>
      <c r="O342" s="678"/>
      <c r="P342" s="678"/>
      <c r="Q342" s="678"/>
      <c r="R342" s="678"/>
      <c r="S342" s="678"/>
      <c r="T342" s="678"/>
      <c r="U342" s="678"/>
      <c r="V342" s="680"/>
      <c r="W342" s="680"/>
      <c r="X342" s="680"/>
      <c r="Y342" s="680"/>
      <c r="Z342" s="680"/>
      <c r="AA342" s="680"/>
      <c r="AB342" s="680"/>
      <c r="AC342" s="680"/>
      <c r="AD342" s="678"/>
      <c r="AE342" s="678"/>
      <c r="AF342" s="678"/>
      <c r="AG342" s="678"/>
      <c r="AH342" s="678"/>
      <c r="AI342" s="678"/>
      <c r="AJ342" s="678"/>
      <c r="AK342" s="658"/>
    </row>
    <row r="343" spans="2:37" s="5" customFormat="1">
      <c r="B343" s="313"/>
      <c r="C343" s="835"/>
      <c r="D343" s="19" t="s">
        <v>32</v>
      </c>
      <c r="E343" s="67" t="s">
        <v>16</v>
      </c>
      <c r="F343" s="84">
        <f>SUM(H336:H341)</f>
        <v>426800.78897727275</v>
      </c>
      <c r="G343" s="92">
        <f>$G$43</f>
        <v>8.3299999999999999E-2</v>
      </c>
      <c r="H343" s="64">
        <f>+G343*F343</f>
        <v>35552.505721806818</v>
      </c>
      <c r="I343" s="93"/>
      <c r="J343" s="52"/>
      <c r="K343" s="156"/>
      <c r="L343" s="383"/>
      <c r="M343" s="542"/>
      <c r="N343" s="578">
        <f t="shared" si="12"/>
        <v>-35552.505721806818</v>
      </c>
      <c r="O343" s="678"/>
      <c r="P343" s="678"/>
      <c r="Q343" s="678"/>
      <c r="R343" s="678"/>
      <c r="S343" s="678"/>
      <c r="T343" s="678"/>
      <c r="U343" s="678"/>
      <c r="V343" s="681"/>
      <c r="W343" s="681"/>
      <c r="X343" s="681"/>
      <c r="Y343" s="681"/>
      <c r="Z343" s="681"/>
      <c r="AA343" s="681"/>
      <c r="AB343" s="681"/>
      <c r="AC343" s="681"/>
      <c r="AD343" s="678"/>
      <c r="AE343" s="678"/>
      <c r="AF343" s="678"/>
      <c r="AG343" s="678"/>
      <c r="AH343" s="678"/>
      <c r="AI343" s="678"/>
      <c r="AJ343" s="678"/>
      <c r="AK343" s="658"/>
    </row>
    <row r="344" spans="2:37" s="5" customFormat="1">
      <c r="B344" s="313"/>
      <c r="C344" s="835"/>
      <c r="D344" s="19" t="s">
        <v>33</v>
      </c>
      <c r="E344" s="84">
        <f>F343/(5*F342)</f>
        <v>11855.57747159091</v>
      </c>
      <c r="F344" s="84">
        <f>E344*(F342*7)</f>
        <v>597521.10456818179</v>
      </c>
      <c r="G344" s="95">
        <f>$G$44</f>
        <v>20</v>
      </c>
      <c r="H344" s="64">
        <f>F344/G344</f>
        <v>29876.055228409088</v>
      </c>
      <c r="I344" s="72">
        <f>SUM(H342:H344)</f>
        <v>492229.34992748866</v>
      </c>
      <c r="J344" s="52">
        <f>SUM(G336:G344)</f>
        <v>33.283299999999997</v>
      </c>
      <c r="K344" s="156"/>
      <c r="L344" s="383"/>
      <c r="M344" s="542"/>
      <c r="N344" s="578">
        <f t="shared" si="12"/>
        <v>-29876.055228409088</v>
      </c>
      <c r="O344" s="678"/>
      <c r="P344" s="678"/>
      <c r="Q344" s="678"/>
      <c r="R344" s="678"/>
      <c r="S344" s="678"/>
      <c r="T344" s="678"/>
      <c r="U344" s="678"/>
      <c r="V344" s="678"/>
      <c r="W344" s="678"/>
      <c r="X344" s="678"/>
      <c r="Y344" s="678"/>
      <c r="Z344" s="678"/>
      <c r="AA344" s="678"/>
      <c r="AB344" s="678"/>
      <c r="AC344" s="681"/>
      <c r="AD344" s="678"/>
      <c r="AE344" s="678"/>
      <c r="AF344" s="678"/>
      <c r="AG344" s="678"/>
      <c r="AH344" s="678"/>
      <c r="AI344" s="678"/>
      <c r="AJ344" s="678"/>
      <c r="AK344" s="658"/>
    </row>
    <row r="345" spans="2:37" s="5" customFormat="1">
      <c r="B345" s="313"/>
      <c r="C345" s="835"/>
      <c r="D345" s="96"/>
      <c r="E345" s="9"/>
      <c r="F345" s="74"/>
      <c r="G345" s="97"/>
      <c r="H345" s="78"/>
      <c r="I345" s="79"/>
      <c r="J345" s="52"/>
      <c r="K345" s="156"/>
      <c r="L345" s="383"/>
      <c r="M345" s="542"/>
      <c r="N345" s="578">
        <f t="shared" si="12"/>
        <v>0</v>
      </c>
      <c r="O345" s="678"/>
      <c r="P345" s="678"/>
      <c r="Q345" s="678"/>
      <c r="R345" s="678"/>
      <c r="S345" s="678"/>
      <c r="T345" s="678"/>
      <c r="U345" s="678"/>
      <c r="V345" s="678"/>
      <c r="W345" s="678"/>
      <c r="X345" s="678"/>
      <c r="Y345" s="678"/>
      <c r="Z345" s="678"/>
      <c r="AA345" s="678"/>
      <c r="AB345" s="678"/>
      <c r="AC345" s="678"/>
      <c r="AD345" s="678"/>
      <c r="AE345" s="678"/>
      <c r="AF345" s="678"/>
      <c r="AG345" s="678"/>
      <c r="AH345" s="678"/>
      <c r="AI345" s="678"/>
      <c r="AJ345" s="678"/>
      <c r="AK345" s="658"/>
    </row>
    <row r="346" spans="2:37" s="5" customFormat="1" ht="15" customHeight="1">
      <c r="B346" s="317">
        <v>28</v>
      </c>
      <c r="C346" s="835" t="s">
        <v>890</v>
      </c>
      <c r="D346" s="80" t="s">
        <v>59</v>
      </c>
      <c r="E346" s="81">
        <v>84572.65</v>
      </c>
      <c r="F346" s="74"/>
      <c r="G346" s="75"/>
      <c r="H346" s="82"/>
      <c r="I346" s="83"/>
      <c r="J346" s="52"/>
      <c r="K346" s="156"/>
      <c r="L346" s="383"/>
      <c r="M346" s="542"/>
      <c r="N346" s="578">
        <f t="shared" si="12"/>
        <v>0</v>
      </c>
      <c r="O346" s="678"/>
      <c r="P346" s="678"/>
      <c r="Q346" s="678"/>
      <c r="R346" s="678"/>
      <c r="S346" s="678"/>
      <c r="T346" s="678"/>
      <c r="U346" s="678"/>
      <c r="V346" s="678"/>
      <c r="W346" s="678"/>
      <c r="X346" s="678"/>
      <c r="Y346" s="678"/>
      <c r="Z346" s="678"/>
      <c r="AA346" s="678"/>
      <c r="AB346" s="678"/>
      <c r="AC346" s="678"/>
      <c r="AD346" s="678"/>
      <c r="AE346" s="678"/>
      <c r="AF346" s="678"/>
      <c r="AG346" s="678"/>
      <c r="AH346" s="678"/>
      <c r="AI346" s="678"/>
      <c r="AJ346" s="678"/>
      <c r="AK346" s="658"/>
    </row>
    <row r="347" spans="2:37" s="5" customFormat="1" ht="15" customHeight="1">
      <c r="B347" s="317"/>
      <c r="C347" s="837"/>
      <c r="D347" s="412" t="s">
        <v>468</v>
      </c>
      <c r="E347" s="413">
        <f>E346/2</f>
        <v>42286.324999999997</v>
      </c>
      <c r="F347" s="414">
        <f>E347</f>
        <v>42286.324999999997</v>
      </c>
      <c r="G347" s="415">
        <v>12</v>
      </c>
      <c r="H347" s="416">
        <f>G347*F347</f>
        <v>507435.89999999997</v>
      </c>
      <c r="I347" s="83"/>
      <c r="J347" s="6"/>
      <c r="K347" s="156"/>
      <c r="L347" s="383"/>
      <c r="M347" s="542"/>
      <c r="N347" s="578">
        <f t="shared" si="12"/>
        <v>-507435.89999999997</v>
      </c>
      <c r="O347" s="678"/>
      <c r="P347" s="678"/>
      <c r="Q347" s="678"/>
      <c r="R347" s="678"/>
      <c r="S347" s="678"/>
      <c r="T347" s="678"/>
      <c r="U347" s="678"/>
      <c r="V347" s="678"/>
      <c r="W347" s="678"/>
      <c r="X347" s="678"/>
      <c r="Y347" s="678"/>
      <c r="Z347" s="678"/>
      <c r="AA347" s="678"/>
      <c r="AB347" s="678"/>
      <c r="AC347" s="678"/>
      <c r="AD347" s="678"/>
      <c r="AE347" s="678"/>
      <c r="AF347" s="678"/>
      <c r="AG347" s="678"/>
      <c r="AH347" s="678"/>
      <c r="AI347" s="678"/>
      <c r="AJ347" s="678"/>
      <c r="AK347" s="658"/>
    </row>
    <row r="348" spans="2:37" s="5" customFormat="1">
      <c r="B348" s="313"/>
      <c r="C348" s="835"/>
      <c r="D348" s="17" t="s">
        <v>321</v>
      </c>
      <c r="E348" s="81" t="s">
        <v>27</v>
      </c>
      <c r="F348" s="84">
        <f>E346</f>
        <v>84572.65</v>
      </c>
      <c r="G348" s="64">
        <v>8</v>
      </c>
      <c r="H348" s="64">
        <f>+G348*F348</f>
        <v>676581.2</v>
      </c>
      <c r="I348" s="79"/>
      <c r="J348" s="52"/>
      <c r="K348" s="156"/>
      <c r="L348" s="383"/>
      <c r="M348" s="542"/>
      <c r="N348" s="578">
        <f t="shared" si="12"/>
        <v>-676581.2</v>
      </c>
      <c r="O348" s="678"/>
      <c r="P348" s="678"/>
      <c r="Q348" s="678"/>
      <c r="R348" s="678"/>
      <c r="S348" s="678"/>
      <c r="T348" s="678"/>
      <c r="U348" s="678"/>
      <c r="V348" s="678"/>
      <c r="W348" s="678"/>
      <c r="X348" s="678"/>
      <c r="Y348" s="678"/>
      <c r="Z348" s="678"/>
      <c r="AA348" s="678"/>
      <c r="AB348" s="678"/>
      <c r="AC348" s="678"/>
      <c r="AD348" s="678"/>
      <c r="AE348" s="678"/>
      <c r="AF348" s="678"/>
      <c r="AG348" s="678"/>
      <c r="AH348" s="678"/>
      <c r="AI348" s="678"/>
      <c r="AJ348" s="678"/>
      <c r="AK348" s="658"/>
    </row>
    <row r="349" spans="2:37" s="5" customFormat="1">
      <c r="B349" s="313"/>
      <c r="C349" s="835"/>
      <c r="D349" s="17" t="s">
        <v>3</v>
      </c>
      <c r="E349" s="81" t="s">
        <v>27</v>
      </c>
      <c r="F349" s="84">
        <f>E346</f>
        <v>84572.65</v>
      </c>
      <c r="G349" s="64">
        <v>6</v>
      </c>
      <c r="H349" s="64">
        <f>+G349*F349</f>
        <v>507435.89999999997</v>
      </c>
      <c r="I349" s="79"/>
      <c r="J349" s="52"/>
      <c r="K349" s="156"/>
      <c r="L349" s="383"/>
      <c r="M349" s="542"/>
      <c r="N349" s="578">
        <f t="shared" si="12"/>
        <v>-507435.89999999997</v>
      </c>
      <c r="O349" s="678"/>
      <c r="P349" s="678"/>
      <c r="Q349" s="678"/>
      <c r="R349" s="678"/>
      <c r="S349" s="678"/>
      <c r="T349" s="678"/>
      <c r="U349" s="679"/>
      <c r="V349" s="679"/>
      <c r="W349" s="678"/>
      <c r="X349" s="678"/>
      <c r="Y349" s="678"/>
      <c r="Z349" s="678"/>
      <c r="AA349" s="678"/>
      <c r="AB349" s="678"/>
      <c r="AC349" s="678"/>
      <c r="AD349" s="678"/>
      <c r="AE349" s="678"/>
      <c r="AF349" s="678"/>
      <c r="AG349" s="678"/>
      <c r="AH349" s="678"/>
      <c r="AI349" s="678"/>
      <c r="AJ349" s="678"/>
      <c r="AK349" s="658"/>
    </row>
    <row r="350" spans="2:37" s="5" customFormat="1">
      <c r="B350" s="313"/>
      <c r="C350" s="835"/>
      <c r="D350" s="17" t="s">
        <v>28</v>
      </c>
      <c r="E350" s="88">
        <f>$H$5+2</f>
        <v>15.25</v>
      </c>
      <c r="F350" s="84">
        <f>E346/44*1.5</f>
        <v>2883.1585227272726</v>
      </c>
      <c r="G350" s="87">
        <v>6</v>
      </c>
      <c r="H350" s="64">
        <f>+G350*F350*E350</f>
        <v>263809.00482954539</v>
      </c>
      <c r="I350" s="79"/>
      <c r="J350" s="52"/>
      <c r="K350" s="156"/>
      <c r="L350" s="383"/>
      <c r="M350" s="542"/>
      <c r="N350" s="578">
        <f t="shared" si="12"/>
        <v>-263809.00482954539</v>
      </c>
      <c r="O350" s="678"/>
      <c r="P350" s="678"/>
      <c r="Q350" s="678"/>
      <c r="R350" s="678"/>
      <c r="S350" s="678"/>
      <c r="T350" s="678"/>
      <c r="U350" s="679"/>
      <c r="V350" s="679"/>
      <c r="W350" s="678"/>
      <c r="X350" s="678"/>
      <c r="Y350" s="678"/>
      <c r="Z350" s="678"/>
      <c r="AA350" s="678"/>
      <c r="AB350" s="678"/>
      <c r="AC350" s="678"/>
      <c r="AD350" s="678"/>
      <c r="AE350" s="678"/>
      <c r="AF350" s="678"/>
      <c r="AG350" s="678"/>
      <c r="AH350" s="678"/>
      <c r="AI350" s="678"/>
      <c r="AJ350" s="678"/>
      <c r="AK350" s="658"/>
    </row>
    <row r="351" spans="2:37" s="5" customFormat="1">
      <c r="B351" s="313"/>
      <c r="C351" s="835"/>
      <c r="D351" s="17" t="s">
        <v>1</v>
      </c>
      <c r="E351" s="67" t="s">
        <v>60</v>
      </c>
      <c r="F351" s="84">
        <f>E346/5*1.5</f>
        <v>25371.794999999998</v>
      </c>
      <c r="G351" s="64">
        <f>$H$3</f>
        <v>0</v>
      </c>
      <c r="H351" s="64">
        <f>+G351*F351</f>
        <v>0</v>
      </c>
      <c r="I351" s="79"/>
      <c r="J351" s="52"/>
      <c r="K351" s="156"/>
      <c r="L351" s="383"/>
      <c r="M351" s="542"/>
      <c r="N351" s="578">
        <f t="shared" si="12"/>
        <v>0</v>
      </c>
      <c r="O351" s="678"/>
      <c r="P351" s="678"/>
      <c r="Q351" s="678"/>
      <c r="R351" s="678"/>
      <c r="S351" s="678"/>
      <c r="T351" s="678"/>
      <c r="U351" s="678"/>
      <c r="V351" s="678"/>
      <c r="W351" s="678"/>
      <c r="X351" s="678"/>
      <c r="Y351" s="678"/>
      <c r="Z351" s="678"/>
      <c r="AA351" s="678"/>
      <c r="AB351" s="678"/>
      <c r="AC351" s="678"/>
      <c r="AD351" s="678"/>
      <c r="AE351" s="678"/>
      <c r="AF351" s="678"/>
      <c r="AG351" s="678"/>
      <c r="AH351" s="678"/>
      <c r="AI351" s="678"/>
      <c r="AJ351" s="678"/>
      <c r="AK351" s="658"/>
    </row>
    <row r="352" spans="2:37" s="5" customFormat="1">
      <c r="B352" s="313"/>
      <c r="C352" s="835"/>
      <c r="D352" s="17" t="s">
        <v>4</v>
      </c>
      <c r="E352" s="67" t="s">
        <v>60</v>
      </c>
      <c r="F352" s="84">
        <f>E346/5*2</f>
        <v>33829.06</v>
      </c>
      <c r="G352" s="64">
        <f>$H$4</f>
        <v>0</v>
      </c>
      <c r="H352" s="64">
        <f>+G352*F352</f>
        <v>0</v>
      </c>
      <c r="I352" s="79"/>
      <c r="J352" s="52"/>
      <c r="K352" s="156"/>
      <c r="L352" s="383"/>
      <c r="M352" s="542"/>
      <c r="N352" s="578">
        <f t="shared" si="12"/>
        <v>0</v>
      </c>
      <c r="O352" s="678"/>
      <c r="P352" s="678"/>
      <c r="Q352" s="678"/>
      <c r="R352" s="678"/>
      <c r="S352" s="678"/>
      <c r="T352" s="678"/>
      <c r="U352" s="678"/>
      <c r="V352" s="678"/>
      <c r="W352" s="678"/>
      <c r="X352" s="678"/>
      <c r="Y352" s="678"/>
      <c r="Z352" s="678"/>
      <c r="AA352" s="678"/>
      <c r="AB352" s="678"/>
      <c r="AC352" s="678"/>
      <c r="AD352" s="678"/>
      <c r="AE352" s="678"/>
      <c r="AF352" s="678"/>
      <c r="AG352" s="678"/>
      <c r="AH352" s="678"/>
      <c r="AI352" s="678"/>
      <c r="AJ352" s="678"/>
      <c r="AK352" s="658"/>
    </row>
    <row r="353" spans="2:37" s="5" customFormat="1">
      <c r="B353" s="313"/>
      <c r="C353" s="835"/>
      <c r="D353" s="17" t="s">
        <v>5</v>
      </c>
      <c r="E353" s="81" t="s">
        <v>27</v>
      </c>
      <c r="F353" s="84">
        <f>E346</f>
        <v>84572.65</v>
      </c>
      <c r="G353" s="64">
        <v>1</v>
      </c>
      <c r="H353" s="64">
        <f>+G353*F353</f>
        <v>84572.65</v>
      </c>
      <c r="I353" s="79"/>
      <c r="J353" s="52"/>
      <c r="K353" s="156"/>
      <c r="L353" s="383"/>
      <c r="M353" s="542"/>
      <c r="N353" s="578">
        <f t="shared" si="12"/>
        <v>-84572.65</v>
      </c>
      <c r="O353" s="678"/>
      <c r="P353" s="678"/>
      <c r="Q353" s="678"/>
      <c r="R353" s="678"/>
      <c r="S353" s="678"/>
      <c r="T353" s="678"/>
      <c r="U353" s="678"/>
      <c r="V353" s="678"/>
      <c r="W353" s="678"/>
      <c r="X353" s="678"/>
      <c r="Y353" s="678"/>
      <c r="Z353" s="678"/>
      <c r="AA353" s="679"/>
      <c r="AB353" s="678"/>
      <c r="AC353" s="678"/>
      <c r="AD353" s="678"/>
      <c r="AE353" s="678"/>
      <c r="AF353" s="678"/>
      <c r="AG353" s="678"/>
      <c r="AH353" s="678"/>
      <c r="AI353" s="678"/>
      <c r="AJ353" s="678"/>
      <c r="AK353" s="658"/>
    </row>
    <row r="354" spans="2:37" s="5" customFormat="1">
      <c r="B354" s="313"/>
      <c r="C354" s="835"/>
      <c r="D354" s="17" t="s">
        <v>30</v>
      </c>
      <c r="E354" s="67" t="s">
        <v>16</v>
      </c>
      <c r="F354" s="64">
        <f>G348+G349+G353</f>
        <v>15</v>
      </c>
      <c r="G354" s="68" t="s">
        <v>31</v>
      </c>
      <c r="H354" s="64">
        <f>SUM(H348:H353)</f>
        <v>1532398.754829545</v>
      </c>
      <c r="I354" s="79"/>
      <c r="J354" s="52"/>
      <c r="K354" s="156"/>
      <c r="L354" s="383"/>
      <c r="M354" s="542"/>
      <c r="N354" s="578">
        <f t="shared" si="12"/>
        <v>-1532398.754829545</v>
      </c>
      <c r="O354" s="678"/>
      <c r="P354" s="678"/>
      <c r="Q354" s="678"/>
      <c r="R354" s="678"/>
      <c r="S354" s="678"/>
      <c r="T354" s="678"/>
      <c r="U354" s="678"/>
      <c r="V354" s="678"/>
      <c r="W354" s="678"/>
      <c r="X354" s="678"/>
      <c r="Y354" s="678"/>
      <c r="Z354" s="678"/>
      <c r="AA354" s="678"/>
      <c r="AB354" s="678"/>
      <c r="AC354" s="678"/>
      <c r="AD354" s="678"/>
      <c r="AE354" s="678"/>
      <c r="AF354" s="678"/>
      <c r="AG354" s="678"/>
      <c r="AH354" s="678"/>
      <c r="AI354" s="678"/>
      <c r="AJ354" s="678"/>
      <c r="AK354" s="658"/>
    </row>
    <row r="355" spans="2:37" s="5" customFormat="1">
      <c r="B355" s="313"/>
      <c r="C355" s="835"/>
      <c r="D355" s="19" t="s">
        <v>32</v>
      </c>
      <c r="E355" s="67" t="s">
        <v>16</v>
      </c>
      <c r="F355" s="84">
        <f>SUM(H348:H353)</f>
        <v>1532398.754829545</v>
      </c>
      <c r="G355" s="92">
        <f>$G$43</f>
        <v>8.3299999999999999E-2</v>
      </c>
      <c r="H355" s="64">
        <f>+G355*F355</f>
        <v>127648.8162773011</v>
      </c>
      <c r="I355" s="93"/>
      <c r="J355" s="52"/>
      <c r="K355" s="156"/>
      <c r="L355" s="383"/>
      <c r="M355" s="542"/>
      <c r="N355" s="578">
        <f t="shared" si="12"/>
        <v>-127648.8162773011</v>
      </c>
      <c r="O355" s="679"/>
      <c r="P355" s="679"/>
      <c r="Q355" s="679"/>
      <c r="R355" s="679"/>
      <c r="S355" s="679"/>
      <c r="T355" s="679"/>
      <c r="U355" s="679"/>
      <c r="V355" s="679"/>
      <c r="W355" s="679"/>
      <c r="X355" s="679"/>
      <c r="Y355" s="679"/>
      <c r="Z355" s="679"/>
      <c r="AA355" s="679"/>
      <c r="AB355" s="679"/>
      <c r="AC355" s="679"/>
      <c r="AD355" s="678"/>
      <c r="AE355" s="678"/>
      <c r="AF355" s="678"/>
      <c r="AG355" s="678"/>
      <c r="AH355" s="678"/>
      <c r="AI355" s="678"/>
      <c r="AJ355" s="678"/>
      <c r="AK355" s="658"/>
    </row>
    <row r="356" spans="2:37" s="5" customFormat="1">
      <c r="B356" s="313"/>
      <c r="C356" s="835"/>
      <c r="D356" s="19" t="s">
        <v>33</v>
      </c>
      <c r="E356" s="84">
        <f>F355/(5*F354)</f>
        <v>20431.983397727268</v>
      </c>
      <c r="F356" s="84">
        <f>E356*(F354*7)</f>
        <v>2145358.2567613632</v>
      </c>
      <c r="G356" s="95">
        <f>$G$44</f>
        <v>20</v>
      </c>
      <c r="H356" s="64">
        <f>F356/G356</f>
        <v>107267.91283806817</v>
      </c>
      <c r="I356" s="72">
        <f>SUM(H354:H356)+H347</f>
        <v>2274751.3839449142</v>
      </c>
      <c r="J356" s="52">
        <f>SUM(G348:G356)</f>
        <v>41.083300000000001</v>
      </c>
      <c r="K356" s="156"/>
      <c r="L356" s="383"/>
      <c r="M356" s="542"/>
      <c r="N356" s="578">
        <f t="shared" si="12"/>
        <v>-107267.91283806817</v>
      </c>
      <c r="O356" s="678"/>
      <c r="P356" s="678"/>
      <c r="Q356" s="678"/>
      <c r="R356" s="678"/>
      <c r="S356" s="678"/>
      <c r="T356" s="678"/>
      <c r="U356" s="678"/>
      <c r="V356" s="678"/>
      <c r="W356" s="678"/>
      <c r="X356" s="678"/>
      <c r="Y356" s="678"/>
      <c r="Z356" s="678"/>
      <c r="AA356" s="678"/>
      <c r="AB356" s="678"/>
      <c r="AC356" s="678"/>
      <c r="AD356" s="678"/>
      <c r="AE356" s="678"/>
      <c r="AF356" s="678"/>
      <c r="AG356" s="678"/>
      <c r="AH356" s="678"/>
      <c r="AI356" s="678"/>
      <c r="AJ356" s="678"/>
      <c r="AK356" s="658"/>
    </row>
    <row r="357" spans="2:37" s="5" customFormat="1">
      <c r="B357" s="313"/>
      <c r="C357" s="835"/>
      <c r="D357" s="96"/>
      <c r="E357" s="9"/>
      <c r="F357" s="74"/>
      <c r="G357" s="97"/>
      <c r="H357" s="78"/>
      <c r="I357" s="79"/>
      <c r="J357" s="52"/>
      <c r="K357" s="193"/>
      <c r="L357" s="388"/>
      <c r="M357" s="597"/>
      <c r="N357" s="578">
        <f t="shared" si="12"/>
        <v>0</v>
      </c>
      <c r="O357" s="678"/>
      <c r="P357" s="678"/>
      <c r="Q357" s="678"/>
      <c r="R357" s="678"/>
      <c r="S357" s="678"/>
      <c r="T357" s="678"/>
      <c r="U357" s="678"/>
      <c r="V357" s="678"/>
      <c r="W357" s="678"/>
      <c r="X357" s="678"/>
      <c r="Y357" s="678"/>
      <c r="Z357" s="678"/>
      <c r="AA357" s="678"/>
      <c r="AB357" s="678"/>
      <c r="AC357" s="678"/>
      <c r="AD357" s="678"/>
      <c r="AE357" s="678"/>
      <c r="AF357" s="678"/>
      <c r="AG357" s="678"/>
      <c r="AH357" s="678"/>
      <c r="AI357" s="678"/>
      <c r="AJ357" s="678"/>
      <c r="AK357" s="658"/>
    </row>
    <row r="358" spans="2:37" s="5" customFormat="1" ht="15" customHeight="1">
      <c r="B358" s="317">
        <v>29</v>
      </c>
      <c r="C358" s="835" t="s">
        <v>891</v>
      </c>
      <c r="D358" s="80" t="s">
        <v>61</v>
      </c>
      <c r="E358" s="81">
        <v>72180.399999999994</v>
      </c>
      <c r="F358" s="74"/>
      <c r="G358" s="75"/>
      <c r="H358" s="82"/>
      <c r="I358" s="83"/>
      <c r="J358" s="52"/>
      <c r="K358" s="193"/>
      <c r="L358" s="388"/>
      <c r="M358" s="597"/>
      <c r="N358" s="578">
        <f t="shared" si="12"/>
        <v>0</v>
      </c>
      <c r="O358" s="678"/>
      <c r="P358" s="678"/>
      <c r="Q358" s="678"/>
      <c r="R358" s="678"/>
      <c r="S358" s="678"/>
      <c r="T358" s="678"/>
      <c r="U358" s="678"/>
      <c r="V358" s="678"/>
      <c r="W358" s="678"/>
      <c r="X358" s="678"/>
      <c r="Y358" s="678"/>
      <c r="Z358" s="678"/>
      <c r="AA358" s="678"/>
      <c r="AB358" s="678"/>
      <c r="AC358" s="678"/>
      <c r="AD358" s="678"/>
      <c r="AE358" s="678"/>
      <c r="AF358" s="678"/>
      <c r="AG358" s="678"/>
      <c r="AH358" s="678"/>
      <c r="AI358" s="678"/>
      <c r="AJ358" s="678"/>
      <c r="AK358" s="658"/>
    </row>
    <row r="359" spans="2:37" s="5" customFormat="1">
      <c r="B359" s="313"/>
      <c r="C359" s="835"/>
      <c r="D359" s="17" t="s">
        <v>0</v>
      </c>
      <c r="E359" s="81" t="s">
        <v>27</v>
      </c>
      <c r="F359" s="84">
        <f>E358</f>
        <v>72180.399999999994</v>
      </c>
      <c r="G359" s="64">
        <v>8</v>
      </c>
      <c r="H359" s="64">
        <f>+G359*F359</f>
        <v>577443.19999999995</v>
      </c>
      <c r="I359" s="79"/>
      <c r="J359" s="52"/>
      <c r="K359" s="193"/>
      <c r="L359" s="388"/>
      <c r="M359" s="597"/>
      <c r="N359" s="578">
        <f t="shared" si="12"/>
        <v>-577443.19999999995</v>
      </c>
      <c r="O359" s="678"/>
      <c r="P359" s="678"/>
      <c r="Q359" s="678"/>
      <c r="R359" s="678"/>
      <c r="S359" s="678"/>
      <c r="T359" s="678"/>
      <c r="U359" s="678"/>
      <c r="V359" s="678"/>
      <c r="W359" s="678"/>
      <c r="X359" s="678"/>
      <c r="Y359" s="678"/>
      <c r="Z359" s="678"/>
      <c r="AA359" s="678"/>
      <c r="AB359" s="678"/>
      <c r="AC359" s="678"/>
      <c r="AD359" s="678"/>
      <c r="AE359" s="678"/>
      <c r="AF359" s="678"/>
      <c r="AG359" s="678"/>
      <c r="AH359" s="678"/>
      <c r="AI359" s="678"/>
      <c r="AJ359" s="678"/>
      <c r="AK359" s="658"/>
    </row>
    <row r="360" spans="2:37" s="5" customFormat="1">
      <c r="B360" s="313"/>
      <c r="C360" s="835"/>
      <c r="D360" s="17" t="s">
        <v>3</v>
      </c>
      <c r="E360" s="81" t="s">
        <v>27</v>
      </c>
      <c r="F360" s="84">
        <f>E358</f>
        <v>72180.399999999994</v>
      </c>
      <c r="G360" s="64">
        <v>6</v>
      </c>
      <c r="H360" s="64">
        <f>+G360*F360</f>
        <v>433082.39999999997</v>
      </c>
      <c r="I360" s="79"/>
      <c r="J360" s="52"/>
      <c r="K360" s="193"/>
      <c r="L360" s="388"/>
      <c r="M360" s="597"/>
      <c r="N360" s="578">
        <f t="shared" si="12"/>
        <v>-433082.39999999997</v>
      </c>
      <c r="O360" s="678"/>
      <c r="P360" s="678"/>
      <c r="Q360" s="678"/>
      <c r="R360" s="678"/>
      <c r="S360" s="678"/>
      <c r="T360" s="678"/>
      <c r="U360" s="678"/>
      <c r="V360" s="678"/>
      <c r="W360" s="678"/>
      <c r="X360" s="678"/>
      <c r="Y360" s="678"/>
      <c r="Z360" s="678"/>
      <c r="AA360" s="678"/>
      <c r="AB360" s="678"/>
      <c r="AC360" s="678"/>
      <c r="AD360" s="678"/>
      <c r="AE360" s="678"/>
      <c r="AF360" s="678"/>
      <c r="AG360" s="678"/>
      <c r="AH360" s="678"/>
      <c r="AI360" s="678"/>
      <c r="AJ360" s="678"/>
      <c r="AK360" s="658"/>
    </row>
    <row r="361" spans="2:37" s="5" customFormat="1">
      <c r="B361" s="313"/>
      <c r="C361" s="835"/>
      <c r="D361" s="17" t="s">
        <v>28</v>
      </c>
      <c r="E361" s="88">
        <f>$H$5+2</f>
        <v>15.25</v>
      </c>
      <c r="F361" s="84">
        <f>E358/44*1.5</f>
        <v>2460.6954545454541</v>
      </c>
      <c r="G361" s="87">
        <v>6</v>
      </c>
      <c r="H361" s="64">
        <f>+G361*F361*E361</f>
        <v>225153.63409090906</v>
      </c>
      <c r="I361" s="79"/>
      <c r="J361" s="52"/>
      <c r="K361" s="193"/>
      <c r="L361" s="388"/>
      <c r="M361" s="597"/>
      <c r="N361" s="578">
        <f t="shared" si="12"/>
        <v>-225153.63409090906</v>
      </c>
      <c r="O361" s="678"/>
      <c r="P361" s="678"/>
      <c r="Q361" s="678"/>
      <c r="R361" s="678"/>
      <c r="S361" s="678"/>
      <c r="T361" s="678"/>
      <c r="U361" s="678"/>
      <c r="V361" s="678"/>
      <c r="W361" s="678"/>
      <c r="X361" s="678"/>
      <c r="Y361" s="678"/>
      <c r="Z361" s="678"/>
      <c r="AA361" s="678"/>
      <c r="AB361" s="678"/>
      <c r="AC361" s="678"/>
      <c r="AD361" s="678"/>
      <c r="AE361" s="678"/>
      <c r="AF361" s="678"/>
      <c r="AG361" s="678"/>
      <c r="AH361" s="678"/>
      <c r="AI361" s="678"/>
      <c r="AJ361" s="678"/>
      <c r="AK361" s="658"/>
    </row>
    <row r="362" spans="2:37" s="5" customFormat="1">
      <c r="B362" s="313"/>
      <c r="C362" s="835"/>
      <c r="D362" s="17" t="s">
        <v>1</v>
      </c>
      <c r="E362" s="67" t="s">
        <v>29</v>
      </c>
      <c r="F362" s="84">
        <f>E358/5*1.5</f>
        <v>21654.119999999995</v>
      </c>
      <c r="G362" s="64">
        <f>$H$3</f>
        <v>0</v>
      </c>
      <c r="H362" s="64">
        <f>+G362*F362</f>
        <v>0</v>
      </c>
      <c r="I362" s="79"/>
      <c r="J362" s="52"/>
      <c r="K362" s="193"/>
      <c r="L362" s="388"/>
      <c r="M362" s="597"/>
      <c r="N362" s="578">
        <f t="shared" si="12"/>
        <v>0</v>
      </c>
      <c r="O362" s="678"/>
      <c r="P362" s="678"/>
      <c r="Q362" s="678"/>
      <c r="R362" s="678"/>
      <c r="S362" s="678"/>
      <c r="T362" s="678"/>
      <c r="U362" s="678"/>
      <c r="V362" s="678"/>
      <c r="W362" s="678"/>
      <c r="X362" s="678"/>
      <c r="Y362" s="678"/>
      <c r="Z362" s="678"/>
      <c r="AA362" s="678"/>
      <c r="AB362" s="678"/>
      <c r="AC362" s="678"/>
      <c r="AD362" s="678"/>
      <c r="AE362" s="678"/>
      <c r="AF362" s="678"/>
      <c r="AG362" s="678"/>
      <c r="AH362" s="678"/>
      <c r="AI362" s="678"/>
      <c r="AJ362" s="678"/>
      <c r="AK362" s="658"/>
    </row>
    <row r="363" spans="2:37" s="5" customFormat="1">
      <c r="B363" s="313"/>
      <c r="C363" s="835"/>
      <c r="D363" s="17" t="s">
        <v>4</v>
      </c>
      <c r="E363" s="67" t="s">
        <v>29</v>
      </c>
      <c r="F363" s="84">
        <f>E358/5*2</f>
        <v>28872.159999999996</v>
      </c>
      <c r="G363" s="64">
        <f>$H$4</f>
        <v>0</v>
      </c>
      <c r="H363" s="64">
        <f>+G363*F363</f>
        <v>0</v>
      </c>
      <c r="I363" s="79"/>
      <c r="J363" s="52"/>
      <c r="K363" s="193"/>
      <c r="L363" s="388"/>
      <c r="M363" s="597"/>
      <c r="N363" s="578">
        <f t="shared" si="12"/>
        <v>0</v>
      </c>
      <c r="O363" s="678"/>
      <c r="P363" s="678"/>
      <c r="Q363" s="678"/>
      <c r="R363" s="678"/>
      <c r="S363" s="678"/>
      <c r="T363" s="678"/>
      <c r="U363" s="678"/>
      <c r="V363" s="678"/>
      <c r="W363" s="678"/>
      <c r="X363" s="678"/>
      <c r="Y363" s="678"/>
      <c r="Z363" s="678"/>
      <c r="AA363" s="678"/>
      <c r="AB363" s="678"/>
      <c r="AC363" s="678"/>
      <c r="AD363" s="678"/>
      <c r="AE363" s="678"/>
      <c r="AF363" s="678"/>
      <c r="AG363" s="678"/>
      <c r="AH363" s="678"/>
      <c r="AI363" s="678"/>
      <c r="AJ363" s="678"/>
      <c r="AK363" s="658"/>
    </row>
    <row r="364" spans="2:37" s="5" customFormat="1">
      <c r="B364" s="313"/>
      <c r="C364" s="835"/>
      <c r="D364" s="17" t="s">
        <v>5</v>
      </c>
      <c r="E364" s="81" t="s">
        <v>27</v>
      </c>
      <c r="F364" s="84">
        <f>F359</f>
        <v>72180.399999999994</v>
      </c>
      <c r="G364" s="64">
        <f>0.6</f>
        <v>0.6</v>
      </c>
      <c r="H364" s="64">
        <f>F364</f>
        <v>72180.399999999994</v>
      </c>
      <c r="I364" s="79"/>
      <c r="J364" s="52"/>
      <c r="K364" s="193"/>
      <c r="L364" s="388"/>
      <c r="M364" s="597"/>
      <c r="N364" s="578">
        <f t="shared" si="12"/>
        <v>-72180.399999999994</v>
      </c>
      <c r="O364" s="678"/>
      <c r="P364" s="678"/>
      <c r="Q364" s="678"/>
      <c r="R364" s="678"/>
      <c r="S364" s="678"/>
      <c r="T364" s="678"/>
      <c r="U364" s="678"/>
      <c r="V364" s="678"/>
      <c r="W364" s="678"/>
      <c r="X364" s="678"/>
      <c r="Y364" s="678"/>
      <c r="Z364" s="678"/>
      <c r="AA364" s="678"/>
      <c r="AB364" s="678"/>
      <c r="AC364" s="679"/>
      <c r="AD364" s="678"/>
      <c r="AE364" s="678"/>
      <c r="AF364" s="678"/>
      <c r="AG364" s="678"/>
      <c r="AH364" s="678"/>
      <c r="AI364" s="678"/>
      <c r="AJ364" s="678"/>
      <c r="AK364" s="658"/>
    </row>
    <row r="365" spans="2:37" s="5" customFormat="1">
      <c r="B365" s="313"/>
      <c r="C365" s="835"/>
      <c r="D365" s="17" t="s">
        <v>30</v>
      </c>
      <c r="E365" s="67" t="s">
        <v>16</v>
      </c>
      <c r="F365" s="64">
        <f>G359+G360+G364</f>
        <v>14.6</v>
      </c>
      <c r="G365" s="68" t="s">
        <v>31</v>
      </c>
      <c r="H365" s="64">
        <f>SUM(H359:H364)</f>
        <v>1307859.6340909088</v>
      </c>
      <c r="I365" s="79"/>
      <c r="J365" s="52"/>
      <c r="K365" s="193"/>
      <c r="L365" s="388"/>
      <c r="M365" s="597"/>
      <c r="N365" s="578">
        <f t="shared" si="12"/>
        <v>-1307859.6340909088</v>
      </c>
      <c r="O365" s="678"/>
      <c r="P365" s="678"/>
      <c r="Q365" s="678"/>
      <c r="R365" s="678"/>
      <c r="S365" s="678"/>
      <c r="T365" s="678"/>
      <c r="U365" s="678"/>
      <c r="V365" s="678"/>
      <c r="W365" s="678"/>
      <c r="X365" s="678"/>
      <c r="Y365" s="678"/>
      <c r="Z365" s="678"/>
      <c r="AA365" s="678"/>
      <c r="AB365" s="678"/>
      <c r="AC365" s="678"/>
      <c r="AD365" s="678"/>
      <c r="AE365" s="678"/>
      <c r="AF365" s="678"/>
      <c r="AG365" s="678"/>
      <c r="AH365" s="678"/>
      <c r="AI365" s="678"/>
      <c r="AJ365" s="678"/>
      <c r="AK365" s="658"/>
    </row>
    <row r="366" spans="2:37" s="5" customFormat="1">
      <c r="B366" s="313"/>
      <c r="C366" s="835"/>
      <c r="D366" s="19" t="s">
        <v>32</v>
      </c>
      <c r="E366" s="67" t="s">
        <v>16</v>
      </c>
      <c r="F366" s="84">
        <f>SUM(H359:H364)</f>
        <v>1307859.6340909088</v>
      </c>
      <c r="G366" s="92">
        <f>$G$43</f>
        <v>8.3299999999999999E-2</v>
      </c>
      <c r="H366" s="64">
        <f>+G366*F366</f>
        <v>108944.7075197727</v>
      </c>
      <c r="I366" s="93"/>
      <c r="J366" s="52"/>
      <c r="K366" s="193"/>
      <c r="L366" s="388"/>
      <c r="M366" s="597"/>
      <c r="N366" s="578">
        <f t="shared" si="12"/>
        <v>-108944.7075197727</v>
      </c>
      <c r="O366" s="679"/>
      <c r="P366" s="679"/>
      <c r="Q366" s="679"/>
      <c r="R366" s="679"/>
      <c r="S366" s="679"/>
      <c r="T366" s="679"/>
      <c r="U366" s="679"/>
      <c r="V366" s="679"/>
      <c r="W366" s="679"/>
      <c r="X366" s="679"/>
      <c r="Y366" s="679"/>
      <c r="Z366" s="679"/>
      <c r="AA366" s="679"/>
      <c r="AB366" s="679"/>
      <c r="AC366" s="679"/>
      <c r="AD366" s="678"/>
      <c r="AE366" s="678"/>
      <c r="AF366" s="678"/>
      <c r="AG366" s="678"/>
      <c r="AH366" s="678"/>
      <c r="AI366" s="678"/>
      <c r="AJ366" s="678"/>
      <c r="AK366" s="658"/>
    </row>
    <row r="367" spans="2:37" s="5" customFormat="1">
      <c r="B367" s="313"/>
      <c r="C367" s="835"/>
      <c r="D367" s="19" t="s">
        <v>33</v>
      </c>
      <c r="E367" s="84">
        <f>F366/(5*F365)</f>
        <v>17915.885398505601</v>
      </c>
      <c r="F367" s="84">
        <f>E367*(F365*7)</f>
        <v>1831003.4877272726</v>
      </c>
      <c r="G367" s="95">
        <f>$G$44</f>
        <v>20</v>
      </c>
      <c r="H367" s="64">
        <f>F367/G367</f>
        <v>91550.174386363622</v>
      </c>
      <c r="I367" s="72">
        <f>SUM(H365:H367)</f>
        <v>1508354.5159970452</v>
      </c>
      <c r="J367" s="52">
        <f>SUM(G359:G367)</f>
        <v>40.683300000000003</v>
      </c>
      <c r="K367" s="193"/>
      <c r="L367" s="388"/>
      <c r="M367" s="597"/>
      <c r="N367" s="578">
        <f t="shared" si="12"/>
        <v>-91550.174386363622</v>
      </c>
      <c r="O367" s="678"/>
      <c r="P367" s="678"/>
      <c r="Q367" s="678"/>
      <c r="R367" s="678"/>
      <c r="S367" s="678"/>
      <c r="T367" s="678"/>
      <c r="U367" s="678"/>
      <c r="V367" s="678"/>
      <c r="W367" s="678"/>
      <c r="X367" s="678"/>
      <c r="Y367" s="678"/>
      <c r="Z367" s="678"/>
      <c r="AA367" s="678"/>
      <c r="AB367" s="678"/>
      <c r="AC367" s="678"/>
      <c r="AD367" s="678"/>
      <c r="AE367" s="678"/>
      <c r="AF367" s="678"/>
      <c r="AG367" s="678"/>
      <c r="AH367" s="678"/>
      <c r="AI367" s="678"/>
      <c r="AJ367" s="678"/>
      <c r="AK367" s="658"/>
    </row>
    <row r="368" spans="2:37" s="5" customFormat="1">
      <c r="B368" s="313"/>
      <c r="C368" s="835"/>
      <c r="D368" s="96"/>
      <c r="E368" s="9"/>
      <c r="F368" s="74"/>
      <c r="G368" s="97"/>
      <c r="H368" s="78"/>
      <c r="I368" s="79"/>
      <c r="J368" s="52"/>
      <c r="K368" s="193"/>
      <c r="L368" s="388"/>
      <c r="M368" s="597"/>
      <c r="N368" s="578">
        <f t="shared" si="12"/>
        <v>0</v>
      </c>
      <c r="O368" s="678"/>
      <c r="P368" s="678"/>
      <c r="Q368" s="678"/>
      <c r="R368" s="678"/>
      <c r="S368" s="678"/>
      <c r="T368" s="678"/>
      <c r="U368" s="678"/>
      <c r="V368" s="678"/>
      <c r="W368" s="678"/>
      <c r="X368" s="678"/>
      <c r="Y368" s="678"/>
      <c r="Z368" s="678"/>
      <c r="AA368" s="678"/>
      <c r="AB368" s="678"/>
      <c r="AC368" s="678"/>
      <c r="AD368" s="678"/>
      <c r="AE368" s="678"/>
      <c r="AF368" s="678"/>
      <c r="AG368" s="678"/>
      <c r="AH368" s="678"/>
      <c r="AI368" s="678"/>
      <c r="AJ368" s="678"/>
      <c r="AK368" s="658"/>
    </row>
    <row r="369" spans="2:37" s="5" customFormat="1" ht="15" customHeight="1">
      <c r="B369" s="317">
        <v>30</v>
      </c>
      <c r="C369" s="835" t="s">
        <v>892</v>
      </c>
      <c r="D369" s="80" t="s">
        <v>62</v>
      </c>
      <c r="E369" s="81">
        <v>57232.2</v>
      </c>
      <c r="F369" s="74"/>
      <c r="G369" s="75"/>
      <c r="H369" s="82"/>
      <c r="I369" s="83"/>
      <c r="J369" s="52"/>
      <c r="K369" s="156"/>
      <c r="L369" s="383"/>
      <c r="M369" s="542"/>
      <c r="N369" s="578">
        <f t="shared" si="12"/>
        <v>0</v>
      </c>
      <c r="O369" s="678"/>
      <c r="P369" s="678"/>
      <c r="Q369" s="678"/>
      <c r="R369" s="678"/>
      <c r="S369" s="678"/>
      <c r="T369" s="678"/>
      <c r="U369" s="678"/>
      <c r="V369" s="678"/>
      <c r="W369" s="678"/>
      <c r="X369" s="678"/>
      <c r="Y369" s="678"/>
      <c r="Z369" s="678"/>
      <c r="AA369" s="678"/>
      <c r="AB369" s="678"/>
      <c r="AC369" s="678"/>
      <c r="AD369" s="678"/>
      <c r="AE369" s="678"/>
      <c r="AF369" s="678"/>
      <c r="AG369" s="678"/>
      <c r="AH369" s="678"/>
      <c r="AI369" s="678"/>
      <c r="AJ369" s="678"/>
      <c r="AK369" s="658"/>
    </row>
    <row r="370" spans="2:37" s="5" customFormat="1">
      <c r="B370" s="313"/>
      <c r="C370" s="835"/>
      <c r="D370" s="17" t="s">
        <v>0</v>
      </c>
      <c r="E370" s="81" t="s">
        <v>27</v>
      </c>
      <c r="F370" s="84">
        <f>E369</f>
        <v>57232.2</v>
      </c>
      <c r="G370" s="64">
        <v>8</v>
      </c>
      <c r="H370" s="64">
        <f>+G370*F370</f>
        <v>457857.6</v>
      </c>
      <c r="I370" s="79"/>
      <c r="J370" s="52"/>
      <c r="K370" s="156"/>
      <c r="L370" s="383"/>
      <c r="M370" s="542"/>
      <c r="N370" s="578">
        <f t="shared" si="12"/>
        <v>-457857.6</v>
      </c>
      <c r="O370" s="678"/>
      <c r="P370" s="678"/>
      <c r="Q370" s="678"/>
      <c r="R370" s="678"/>
      <c r="S370" s="678"/>
      <c r="T370" s="678"/>
      <c r="U370" s="678"/>
      <c r="V370" s="678"/>
      <c r="W370" s="678"/>
      <c r="X370" s="678"/>
      <c r="Y370" s="678"/>
      <c r="Z370" s="678"/>
      <c r="AA370" s="678"/>
      <c r="AB370" s="678"/>
      <c r="AC370" s="678"/>
      <c r="AD370" s="678"/>
      <c r="AE370" s="678"/>
      <c r="AF370" s="678"/>
      <c r="AG370" s="678"/>
      <c r="AH370" s="678"/>
      <c r="AI370" s="678"/>
      <c r="AJ370" s="678"/>
      <c r="AK370" s="658"/>
    </row>
    <row r="371" spans="2:37" s="5" customFormat="1">
      <c r="B371" s="313"/>
      <c r="C371" s="835"/>
      <c r="D371" s="17" t="s">
        <v>3</v>
      </c>
      <c r="E371" s="81" t="s">
        <v>27</v>
      </c>
      <c r="F371" s="84">
        <f>E369</f>
        <v>57232.2</v>
      </c>
      <c r="G371" s="64">
        <v>6</v>
      </c>
      <c r="H371" s="64">
        <f>+G371*F371</f>
        <v>343393.19999999995</v>
      </c>
      <c r="I371" s="79"/>
      <c r="J371" s="52"/>
      <c r="K371" s="156"/>
      <c r="L371" s="383"/>
      <c r="M371" s="542"/>
      <c r="N371" s="578">
        <f t="shared" si="12"/>
        <v>-343393.19999999995</v>
      </c>
      <c r="O371" s="678"/>
      <c r="P371" s="678"/>
      <c r="Q371" s="678"/>
      <c r="R371" s="678"/>
      <c r="S371" s="678"/>
      <c r="T371" s="678"/>
      <c r="U371" s="678"/>
      <c r="V371" s="678"/>
      <c r="W371" s="678"/>
      <c r="X371" s="678"/>
      <c r="Y371" s="678"/>
      <c r="Z371" s="678"/>
      <c r="AA371" s="678"/>
      <c r="AB371" s="678"/>
      <c r="AC371" s="678"/>
      <c r="AD371" s="678"/>
      <c r="AE371" s="678"/>
      <c r="AF371" s="678"/>
      <c r="AG371" s="678"/>
      <c r="AH371" s="678"/>
      <c r="AI371" s="678"/>
      <c r="AJ371" s="678"/>
      <c r="AK371" s="658"/>
    </row>
    <row r="372" spans="2:37" s="5" customFormat="1">
      <c r="B372" s="313"/>
      <c r="C372" s="835"/>
      <c r="D372" s="17" t="s">
        <v>28</v>
      </c>
      <c r="E372" s="88">
        <f>$H$5+2</f>
        <v>15.25</v>
      </c>
      <c r="F372" s="84">
        <f>E369/44*1.5</f>
        <v>1951.0977272727273</v>
      </c>
      <c r="G372" s="87">
        <v>6</v>
      </c>
      <c r="H372" s="64">
        <f>+G372*F372*E372</f>
        <v>178525.44204545458</v>
      </c>
      <c r="I372" s="79"/>
      <c r="J372" s="52"/>
      <c r="K372" s="156"/>
      <c r="L372" s="383"/>
      <c r="M372" s="542"/>
      <c r="N372" s="578">
        <f t="shared" si="12"/>
        <v>-178525.44204545458</v>
      </c>
      <c r="O372" s="678"/>
      <c r="P372" s="678"/>
      <c r="Q372" s="678"/>
      <c r="R372" s="678"/>
      <c r="S372" s="678"/>
      <c r="T372" s="678"/>
      <c r="U372" s="678"/>
      <c r="V372" s="678"/>
      <c r="W372" s="678"/>
      <c r="X372" s="678"/>
      <c r="Y372" s="678"/>
      <c r="Z372" s="678"/>
      <c r="AA372" s="678"/>
      <c r="AB372" s="678"/>
      <c r="AC372" s="678"/>
      <c r="AD372" s="678"/>
      <c r="AE372" s="678"/>
      <c r="AF372" s="678"/>
      <c r="AG372" s="678"/>
      <c r="AH372" s="678"/>
      <c r="AI372" s="678"/>
      <c r="AJ372" s="678"/>
      <c r="AK372" s="658"/>
    </row>
    <row r="373" spans="2:37" s="5" customFormat="1">
      <c r="B373" s="313"/>
      <c r="C373" s="835"/>
      <c r="D373" s="17" t="s">
        <v>1</v>
      </c>
      <c r="E373" s="67" t="s">
        <v>29</v>
      </c>
      <c r="F373" s="84">
        <f>E369/5*1.5</f>
        <v>17169.659999999996</v>
      </c>
      <c r="G373" s="64">
        <f>$H$3</f>
        <v>0</v>
      </c>
      <c r="H373" s="64">
        <f>+G373*F373</f>
        <v>0</v>
      </c>
      <c r="I373" s="79"/>
      <c r="J373" s="52"/>
      <c r="K373" s="156"/>
      <c r="L373" s="383"/>
      <c r="M373" s="542"/>
      <c r="N373" s="578">
        <f t="shared" si="12"/>
        <v>0</v>
      </c>
      <c r="O373" s="678"/>
      <c r="P373" s="678"/>
      <c r="Q373" s="678"/>
      <c r="R373" s="678"/>
      <c r="S373" s="678"/>
      <c r="T373" s="678"/>
      <c r="U373" s="678"/>
      <c r="V373" s="678"/>
      <c r="W373" s="678"/>
      <c r="X373" s="678"/>
      <c r="Y373" s="678"/>
      <c r="Z373" s="678"/>
      <c r="AA373" s="678"/>
      <c r="AB373" s="678"/>
      <c r="AC373" s="678"/>
      <c r="AD373" s="678"/>
      <c r="AE373" s="678"/>
      <c r="AF373" s="678"/>
      <c r="AG373" s="678"/>
      <c r="AH373" s="678"/>
      <c r="AI373" s="678"/>
      <c r="AJ373" s="678"/>
      <c r="AK373" s="658"/>
    </row>
    <row r="374" spans="2:37" s="5" customFormat="1">
      <c r="B374" s="313"/>
      <c r="C374" s="835"/>
      <c r="D374" s="17" t="s">
        <v>4</v>
      </c>
      <c r="E374" s="67" t="s">
        <v>29</v>
      </c>
      <c r="F374" s="84">
        <f>E369/5*2</f>
        <v>22892.879999999997</v>
      </c>
      <c r="G374" s="64">
        <f>$H$4</f>
        <v>0</v>
      </c>
      <c r="H374" s="64">
        <f>+G374*F374</f>
        <v>0</v>
      </c>
      <c r="I374" s="79"/>
      <c r="J374" s="52"/>
      <c r="K374" s="156"/>
      <c r="L374" s="383"/>
      <c r="M374" s="542"/>
      <c r="N374" s="578">
        <f t="shared" si="12"/>
        <v>0</v>
      </c>
      <c r="O374" s="678"/>
      <c r="P374" s="678"/>
      <c r="Q374" s="678"/>
      <c r="R374" s="678"/>
      <c r="S374" s="678"/>
      <c r="T374" s="678"/>
      <c r="U374" s="678"/>
      <c r="V374" s="678"/>
      <c r="W374" s="678"/>
      <c r="X374" s="678"/>
      <c r="Y374" s="678"/>
      <c r="Z374" s="678"/>
      <c r="AA374" s="678"/>
      <c r="AB374" s="678"/>
      <c r="AC374" s="678"/>
      <c r="AD374" s="678"/>
      <c r="AE374" s="678"/>
      <c r="AF374" s="678"/>
      <c r="AG374" s="678"/>
      <c r="AH374" s="678"/>
      <c r="AI374" s="678"/>
      <c r="AJ374" s="678"/>
      <c r="AK374" s="658"/>
    </row>
    <row r="375" spans="2:37" s="5" customFormat="1">
      <c r="B375" s="313"/>
      <c r="C375" s="835"/>
      <c r="D375" s="17" t="s">
        <v>5</v>
      </c>
      <c r="E375" s="81" t="s">
        <v>27</v>
      </c>
      <c r="F375" s="84">
        <f>E369</f>
        <v>57232.2</v>
      </c>
      <c r="G375" s="99">
        <v>0.6</v>
      </c>
      <c r="H375" s="64">
        <f>+G375*F375</f>
        <v>34339.32</v>
      </c>
      <c r="I375" s="79"/>
      <c r="J375" s="52"/>
      <c r="K375" s="156"/>
      <c r="L375" s="383"/>
      <c r="M375" s="542"/>
      <c r="N375" s="578">
        <f t="shared" si="12"/>
        <v>-34339.32</v>
      </c>
      <c r="O375" s="678"/>
      <c r="P375" s="678"/>
      <c r="Q375" s="678"/>
      <c r="R375" s="678"/>
      <c r="S375" s="678"/>
      <c r="T375" s="678"/>
      <c r="U375" s="678"/>
      <c r="V375" s="678"/>
      <c r="W375" s="678"/>
      <c r="X375" s="678"/>
      <c r="Y375" s="678"/>
      <c r="Z375" s="678"/>
      <c r="AA375" s="678"/>
      <c r="AB375" s="678"/>
      <c r="AC375" s="679"/>
      <c r="AD375" s="678"/>
      <c r="AE375" s="678"/>
      <c r="AF375" s="678"/>
      <c r="AG375" s="678"/>
      <c r="AH375" s="678"/>
      <c r="AI375" s="678"/>
      <c r="AJ375" s="678"/>
      <c r="AK375" s="658"/>
    </row>
    <row r="376" spans="2:37" s="5" customFormat="1">
      <c r="B376" s="313"/>
      <c r="C376" s="835"/>
      <c r="D376" s="17" t="s">
        <v>30</v>
      </c>
      <c r="E376" s="67" t="s">
        <v>16</v>
      </c>
      <c r="F376" s="64">
        <f>G370+G371+G375</f>
        <v>14.6</v>
      </c>
      <c r="G376" s="68" t="s">
        <v>31</v>
      </c>
      <c r="H376" s="64">
        <f>SUM(H370:H375)</f>
        <v>1014115.5620454544</v>
      </c>
      <c r="I376" s="79"/>
      <c r="J376" s="52"/>
      <c r="K376" s="156"/>
      <c r="L376" s="383"/>
      <c r="M376" s="542"/>
      <c r="N376" s="578">
        <f t="shared" si="12"/>
        <v>-1014115.5620454544</v>
      </c>
      <c r="O376" s="678"/>
      <c r="P376" s="678"/>
      <c r="Q376" s="678"/>
      <c r="R376" s="678"/>
      <c r="S376" s="678"/>
      <c r="T376" s="678"/>
      <c r="U376" s="678"/>
      <c r="V376" s="678"/>
      <c r="W376" s="678"/>
      <c r="X376" s="678"/>
      <c r="Y376" s="678"/>
      <c r="Z376" s="678"/>
      <c r="AA376" s="678"/>
      <c r="AB376" s="678"/>
      <c r="AC376" s="678"/>
      <c r="AD376" s="678"/>
      <c r="AE376" s="678"/>
      <c r="AF376" s="678"/>
      <c r="AG376" s="678"/>
      <c r="AH376" s="678"/>
      <c r="AI376" s="678"/>
      <c r="AJ376" s="678"/>
      <c r="AK376" s="658"/>
    </row>
    <row r="377" spans="2:37" s="5" customFormat="1">
      <c r="B377" s="313"/>
      <c r="C377" s="835"/>
      <c r="D377" s="19" t="s">
        <v>32</v>
      </c>
      <c r="E377" s="67" t="s">
        <v>16</v>
      </c>
      <c r="F377" s="84">
        <f>SUM(H370:H375)</f>
        <v>1014115.5620454544</v>
      </c>
      <c r="G377" s="92">
        <f>$G$43</f>
        <v>8.3299999999999999E-2</v>
      </c>
      <c r="H377" s="64">
        <f>+G377*F377</f>
        <v>84475.826318386346</v>
      </c>
      <c r="I377" s="93"/>
      <c r="J377" s="52"/>
      <c r="K377" s="156"/>
      <c r="L377" s="383"/>
      <c r="M377" s="542"/>
      <c r="N377" s="578">
        <f t="shared" si="12"/>
        <v>-84475.826318386346</v>
      </c>
      <c r="O377" s="679"/>
      <c r="P377" s="679"/>
      <c r="Q377" s="679"/>
      <c r="R377" s="679"/>
      <c r="S377" s="679"/>
      <c r="T377" s="679"/>
      <c r="U377" s="679"/>
      <c r="V377" s="679"/>
      <c r="W377" s="679"/>
      <c r="X377" s="679"/>
      <c r="Y377" s="679"/>
      <c r="Z377" s="679"/>
      <c r="AA377" s="679"/>
      <c r="AB377" s="679"/>
      <c r="AC377" s="679"/>
      <c r="AD377" s="678"/>
      <c r="AE377" s="678"/>
      <c r="AF377" s="678"/>
      <c r="AG377" s="678"/>
      <c r="AH377" s="678"/>
      <c r="AI377" s="678"/>
      <c r="AJ377" s="678"/>
      <c r="AK377" s="658"/>
    </row>
    <row r="378" spans="2:37" s="5" customFormat="1">
      <c r="B378" s="313"/>
      <c r="C378" s="835"/>
      <c r="D378" s="19" t="s">
        <v>33</v>
      </c>
      <c r="E378" s="84">
        <f>F377/(5*F376)</f>
        <v>13891.994000622662</v>
      </c>
      <c r="F378" s="84">
        <f>E378*(F376*7)</f>
        <v>1419761.7868636362</v>
      </c>
      <c r="G378" s="95">
        <f>$G$44</f>
        <v>20</v>
      </c>
      <c r="H378" s="64">
        <f>F378/G378</f>
        <v>70988.089343181811</v>
      </c>
      <c r="I378" s="72">
        <f>SUM(H376:H378)</f>
        <v>1169579.4777070226</v>
      </c>
      <c r="J378" s="52"/>
      <c r="K378" s="156"/>
      <c r="L378" s="383"/>
      <c r="M378" s="542"/>
      <c r="N378" s="578">
        <f t="shared" si="12"/>
        <v>-70988.089343181811</v>
      </c>
      <c r="O378" s="678"/>
      <c r="P378" s="678"/>
      <c r="Q378" s="678"/>
      <c r="R378" s="678"/>
      <c r="S378" s="678"/>
      <c r="T378" s="678"/>
      <c r="U378" s="678"/>
      <c r="V378" s="678"/>
      <c r="W378" s="678"/>
      <c r="X378" s="678"/>
      <c r="Y378" s="678"/>
      <c r="Z378" s="678"/>
      <c r="AA378" s="678"/>
      <c r="AB378" s="678"/>
      <c r="AC378" s="678"/>
      <c r="AD378" s="678"/>
      <c r="AE378" s="678"/>
      <c r="AF378" s="678"/>
      <c r="AG378" s="678"/>
      <c r="AH378" s="678"/>
      <c r="AI378" s="678"/>
      <c r="AJ378" s="678"/>
      <c r="AK378" s="658"/>
    </row>
    <row r="379" spans="2:37" s="5" customFormat="1">
      <c r="B379" s="313"/>
      <c r="C379" s="835"/>
      <c r="D379" s="96"/>
      <c r="E379" s="9"/>
      <c r="F379" s="74"/>
      <c r="G379" s="97"/>
      <c r="H379" s="78"/>
      <c r="I379" s="79"/>
      <c r="J379" s="52">
        <f>SUM(G371:G379)</f>
        <v>32.683300000000003</v>
      </c>
      <c r="K379" s="156"/>
      <c r="L379" s="383"/>
      <c r="M379" s="542"/>
      <c r="N379" s="578">
        <f t="shared" si="12"/>
        <v>0</v>
      </c>
      <c r="O379" s="678"/>
      <c r="P379" s="678"/>
      <c r="Q379" s="678"/>
      <c r="R379" s="678"/>
      <c r="S379" s="678"/>
      <c r="T379" s="678"/>
      <c r="U379" s="678"/>
      <c r="V379" s="678"/>
      <c r="W379" s="678"/>
      <c r="X379" s="678"/>
      <c r="Y379" s="678"/>
      <c r="Z379" s="678"/>
      <c r="AA379" s="678"/>
      <c r="AB379" s="678"/>
      <c r="AC379" s="678"/>
      <c r="AD379" s="678"/>
      <c r="AE379" s="678"/>
      <c r="AF379" s="678"/>
      <c r="AG379" s="678"/>
      <c r="AH379" s="678"/>
      <c r="AI379" s="678"/>
      <c r="AJ379" s="678"/>
      <c r="AK379" s="658"/>
    </row>
    <row r="380" spans="2:37" s="5" customFormat="1" ht="15" customHeight="1">
      <c r="B380" s="317">
        <v>31</v>
      </c>
      <c r="C380" s="835" t="s">
        <v>893</v>
      </c>
      <c r="D380" s="105" t="s">
        <v>63</v>
      </c>
      <c r="E380" s="194">
        <v>52273.75</v>
      </c>
      <c r="F380" s="75"/>
      <c r="G380" s="75"/>
      <c r="H380" s="82"/>
      <c r="I380" s="83"/>
      <c r="J380" s="52"/>
      <c r="K380" s="193"/>
      <c r="L380" s="388"/>
      <c r="M380" s="597"/>
      <c r="N380" s="578">
        <f t="shared" si="12"/>
        <v>0</v>
      </c>
      <c r="O380" s="678"/>
      <c r="P380" s="678"/>
      <c r="Q380" s="678"/>
      <c r="R380" s="678"/>
      <c r="S380" s="678"/>
      <c r="T380" s="678"/>
      <c r="U380" s="678"/>
      <c r="V380" s="678"/>
      <c r="W380" s="678"/>
      <c r="X380" s="678"/>
      <c r="Y380" s="678"/>
      <c r="Z380" s="678"/>
      <c r="AA380" s="678"/>
      <c r="AB380" s="678"/>
      <c r="AC380" s="678"/>
      <c r="AD380" s="678"/>
      <c r="AE380" s="678"/>
      <c r="AF380" s="678"/>
      <c r="AG380" s="678"/>
      <c r="AH380" s="678"/>
      <c r="AI380" s="678"/>
      <c r="AJ380" s="678"/>
      <c r="AK380" s="658"/>
    </row>
    <row r="381" spans="2:37" s="5" customFormat="1">
      <c r="B381" s="313"/>
      <c r="C381" s="835"/>
      <c r="D381" s="17" t="s">
        <v>0</v>
      </c>
      <c r="E381" s="147" t="s">
        <v>27</v>
      </c>
      <c r="F381" s="84">
        <f>E380</f>
        <v>52273.75</v>
      </c>
      <c r="G381" s="64">
        <v>6</v>
      </c>
      <c r="H381" s="64">
        <f>+G381*F381</f>
        <v>313642.5</v>
      </c>
      <c r="I381" s="79"/>
      <c r="J381" s="52"/>
      <c r="K381" s="193"/>
      <c r="L381" s="388"/>
      <c r="M381" s="597"/>
      <c r="N381" s="578">
        <f t="shared" si="12"/>
        <v>-313642.5</v>
      </c>
      <c r="O381" s="678"/>
      <c r="P381" s="678"/>
      <c r="Q381" s="678"/>
      <c r="R381" s="678"/>
      <c r="S381" s="678"/>
      <c r="T381" s="678"/>
      <c r="U381" s="678"/>
      <c r="V381" s="678"/>
      <c r="W381" s="678"/>
      <c r="X381" s="678"/>
      <c r="Y381" s="678"/>
      <c r="Z381" s="678"/>
      <c r="AA381" s="678"/>
      <c r="AB381" s="678"/>
      <c r="AC381" s="678"/>
      <c r="AD381" s="678"/>
      <c r="AE381" s="678"/>
      <c r="AF381" s="678"/>
      <c r="AG381" s="678"/>
      <c r="AH381" s="678"/>
      <c r="AI381" s="678"/>
      <c r="AJ381" s="678"/>
      <c r="AK381" s="658"/>
    </row>
    <row r="382" spans="2:37" s="5" customFormat="1">
      <c r="B382" s="313"/>
      <c r="C382" s="835"/>
      <c r="D382" s="17" t="s">
        <v>3</v>
      </c>
      <c r="E382" s="81" t="s">
        <v>27</v>
      </c>
      <c r="F382" s="84">
        <f>E380</f>
        <v>52273.75</v>
      </c>
      <c r="G382" s="64">
        <v>6</v>
      </c>
      <c r="H382" s="64">
        <f>+G382*F382</f>
        <v>313642.5</v>
      </c>
      <c r="I382" s="79"/>
      <c r="J382" s="52"/>
      <c r="K382" s="193"/>
      <c r="L382" s="388"/>
      <c r="M382" s="597"/>
      <c r="N382" s="578">
        <f t="shared" si="12"/>
        <v>-313642.5</v>
      </c>
      <c r="O382" s="678"/>
      <c r="P382" s="678"/>
      <c r="Q382" s="678"/>
      <c r="R382" s="678"/>
      <c r="S382" s="678"/>
      <c r="T382" s="678"/>
      <c r="U382" s="678"/>
      <c r="V382" s="678"/>
      <c r="W382" s="678"/>
      <c r="X382" s="678"/>
      <c r="Y382" s="678"/>
      <c r="Z382" s="678"/>
      <c r="AA382" s="678"/>
      <c r="AB382" s="678"/>
      <c r="AC382" s="678"/>
      <c r="AD382" s="678"/>
      <c r="AE382" s="678"/>
      <c r="AF382" s="678"/>
      <c r="AG382" s="678"/>
      <c r="AH382" s="678"/>
      <c r="AI382" s="678"/>
      <c r="AJ382" s="678"/>
      <c r="AK382" s="658"/>
    </row>
    <row r="383" spans="2:37" s="5" customFormat="1">
      <c r="B383" s="313"/>
      <c r="C383" s="835"/>
      <c r="D383" s="17" t="s">
        <v>28</v>
      </c>
      <c r="E383" s="88">
        <f>$H$5+2</f>
        <v>15.25</v>
      </c>
      <c r="F383" s="84">
        <f>E380/44*1.5</f>
        <v>1782.059659090909</v>
      </c>
      <c r="G383" s="87">
        <v>6</v>
      </c>
      <c r="H383" s="64">
        <f>+G383*F383*E383</f>
        <v>163058.45880681818</v>
      </c>
      <c r="I383" s="79"/>
      <c r="J383" s="52"/>
      <c r="K383" s="193"/>
      <c r="L383" s="388"/>
      <c r="M383" s="597"/>
      <c r="N383" s="578">
        <f t="shared" si="12"/>
        <v>-163058.45880681818</v>
      </c>
      <c r="O383" s="678"/>
      <c r="P383" s="678"/>
      <c r="Q383" s="678"/>
      <c r="R383" s="678"/>
      <c r="S383" s="678"/>
      <c r="T383" s="678"/>
      <c r="U383" s="678"/>
      <c r="V383" s="678"/>
      <c r="W383" s="678"/>
      <c r="X383" s="678"/>
      <c r="Y383" s="678"/>
      <c r="Z383" s="678"/>
      <c r="AA383" s="678"/>
      <c r="AB383" s="678"/>
      <c r="AC383" s="678"/>
      <c r="AD383" s="678"/>
      <c r="AE383" s="678"/>
      <c r="AF383" s="678"/>
      <c r="AG383" s="678"/>
      <c r="AH383" s="678"/>
      <c r="AI383" s="678"/>
      <c r="AJ383" s="678"/>
      <c r="AK383" s="658"/>
    </row>
    <row r="384" spans="2:37" s="5" customFormat="1">
      <c r="B384" s="313"/>
      <c r="C384" s="835"/>
      <c r="D384" s="17" t="s">
        <v>1</v>
      </c>
      <c r="E384" s="67" t="s">
        <v>29</v>
      </c>
      <c r="F384" s="84">
        <f>E380/5*1.5</f>
        <v>15682.125</v>
      </c>
      <c r="G384" s="64">
        <f>$H$3</f>
        <v>0</v>
      </c>
      <c r="H384" s="64">
        <f>+G384*F384</f>
        <v>0</v>
      </c>
      <c r="I384" s="79"/>
      <c r="J384" s="52"/>
      <c r="K384" s="193"/>
      <c r="L384" s="388"/>
      <c r="M384" s="597"/>
      <c r="N384" s="578">
        <f t="shared" si="12"/>
        <v>0</v>
      </c>
      <c r="O384" s="678"/>
      <c r="P384" s="678"/>
      <c r="Q384" s="678"/>
      <c r="R384" s="678"/>
      <c r="S384" s="678"/>
      <c r="T384" s="678"/>
      <c r="U384" s="678"/>
      <c r="V384" s="678"/>
      <c r="W384" s="678"/>
      <c r="X384" s="678"/>
      <c r="Y384" s="678"/>
      <c r="Z384" s="678"/>
      <c r="AA384" s="678"/>
      <c r="AB384" s="678"/>
      <c r="AC384" s="678"/>
      <c r="AD384" s="678"/>
      <c r="AE384" s="678"/>
      <c r="AF384" s="678"/>
      <c r="AG384" s="678"/>
      <c r="AH384" s="678"/>
      <c r="AI384" s="678"/>
      <c r="AJ384" s="678"/>
      <c r="AK384" s="658"/>
    </row>
    <row r="385" spans="2:37" s="5" customFormat="1">
      <c r="B385" s="313"/>
      <c r="C385" s="835"/>
      <c r="D385" s="17" t="s">
        <v>4</v>
      </c>
      <c r="E385" s="67" t="s">
        <v>29</v>
      </c>
      <c r="F385" s="84">
        <f>E380/5*1.5</f>
        <v>15682.125</v>
      </c>
      <c r="G385" s="64">
        <f>$H$4</f>
        <v>0</v>
      </c>
      <c r="H385" s="64">
        <f>+G385*F385</f>
        <v>0</v>
      </c>
      <c r="I385" s="79"/>
      <c r="J385" s="52"/>
      <c r="K385" s="193"/>
      <c r="L385" s="388"/>
      <c r="M385" s="597"/>
      <c r="N385" s="578">
        <f t="shared" si="12"/>
        <v>0</v>
      </c>
      <c r="O385" s="678"/>
      <c r="P385" s="678"/>
      <c r="Q385" s="678"/>
      <c r="R385" s="678"/>
      <c r="S385" s="678"/>
      <c r="T385" s="678"/>
      <c r="U385" s="678"/>
      <c r="V385" s="678"/>
      <c r="W385" s="678"/>
      <c r="X385" s="678"/>
      <c r="Y385" s="678"/>
      <c r="Z385" s="678"/>
      <c r="AA385" s="678"/>
      <c r="AB385" s="678"/>
      <c r="AC385" s="678"/>
      <c r="AD385" s="678"/>
      <c r="AE385" s="678"/>
      <c r="AF385" s="678"/>
      <c r="AG385" s="678"/>
      <c r="AH385" s="678"/>
      <c r="AI385" s="678"/>
      <c r="AJ385" s="678"/>
      <c r="AK385" s="658"/>
    </row>
    <row r="386" spans="2:37" s="5" customFormat="1">
      <c r="B386" s="313"/>
      <c r="C386" s="835"/>
      <c r="D386" s="17" t="s">
        <v>5</v>
      </c>
      <c r="E386" s="81" t="s">
        <v>27</v>
      </c>
      <c r="F386" s="84">
        <f>F380</f>
        <v>0</v>
      </c>
      <c r="G386" s="64">
        <v>0</v>
      </c>
      <c r="H386" s="64">
        <f>+G386*F386</f>
        <v>0</v>
      </c>
      <c r="I386" s="79"/>
      <c r="J386" s="52"/>
      <c r="K386" s="193"/>
      <c r="L386" s="388"/>
      <c r="M386" s="597"/>
      <c r="N386" s="578">
        <f t="shared" si="12"/>
        <v>0</v>
      </c>
      <c r="O386" s="678"/>
      <c r="P386" s="678"/>
      <c r="Q386" s="678"/>
      <c r="R386" s="678"/>
      <c r="S386" s="678"/>
      <c r="T386" s="678"/>
      <c r="U386" s="678"/>
      <c r="V386" s="678"/>
      <c r="W386" s="678"/>
      <c r="X386" s="678"/>
      <c r="Y386" s="678"/>
      <c r="Z386" s="678"/>
      <c r="AA386" s="678"/>
      <c r="AB386" s="678"/>
      <c r="AC386" s="679"/>
      <c r="AD386" s="678"/>
      <c r="AE386" s="678"/>
      <c r="AF386" s="678"/>
      <c r="AG386" s="678"/>
      <c r="AH386" s="678"/>
      <c r="AI386" s="678"/>
      <c r="AJ386" s="678"/>
      <c r="AK386" s="658"/>
    </row>
    <row r="387" spans="2:37" s="5" customFormat="1">
      <c r="B387" s="313"/>
      <c r="C387" s="835"/>
      <c r="D387" s="17" t="s">
        <v>30</v>
      </c>
      <c r="E387" s="67" t="s">
        <v>16</v>
      </c>
      <c r="F387" s="64">
        <f>G381+G382+G386</f>
        <v>12</v>
      </c>
      <c r="G387" s="68" t="s">
        <v>31</v>
      </c>
      <c r="H387" s="64">
        <f>SUM(H381:H386)</f>
        <v>790343.45880681812</v>
      </c>
      <c r="I387" s="79"/>
      <c r="J387" s="52"/>
      <c r="K387" s="193"/>
      <c r="L387" s="388"/>
      <c r="M387" s="597"/>
      <c r="N387" s="578">
        <f t="shared" si="12"/>
        <v>-790343.45880681812</v>
      </c>
      <c r="O387" s="678"/>
      <c r="P387" s="678"/>
      <c r="Q387" s="678"/>
      <c r="R387" s="678"/>
      <c r="S387" s="678"/>
      <c r="T387" s="678"/>
      <c r="U387" s="678"/>
      <c r="V387" s="678"/>
      <c r="W387" s="678"/>
      <c r="X387" s="678"/>
      <c r="Y387" s="678"/>
      <c r="Z387" s="678"/>
      <c r="AA387" s="678"/>
      <c r="AB387" s="678"/>
      <c r="AC387" s="678"/>
      <c r="AD387" s="678"/>
      <c r="AE387" s="678"/>
      <c r="AF387" s="678"/>
      <c r="AG387" s="678"/>
      <c r="AH387" s="678"/>
      <c r="AI387" s="678"/>
      <c r="AJ387" s="678"/>
      <c r="AK387" s="658"/>
    </row>
    <row r="388" spans="2:37" s="5" customFormat="1">
      <c r="B388" s="313"/>
      <c r="C388" s="835"/>
      <c r="D388" s="19" t="s">
        <v>32</v>
      </c>
      <c r="E388" s="67" t="s">
        <v>16</v>
      </c>
      <c r="F388" s="84">
        <f>SUM(H381:H386)</f>
        <v>790343.45880681812</v>
      </c>
      <c r="G388" s="92">
        <f>$G$43</f>
        <v>8.3299999999999999E-2</v>
      </c>
      <c r="H388" s="64">
        <f>+G388*F388</f>
        <v>65835.610118607947</v>
      </c>
      <c r="I388" s="93"/>
      <c r="J388" s="52"/>
      <c r="K388" s="193"/>
      <c r="L388" s="388"/>
      <c r="M388" s="597"/>
      <c r="N388" s="578">
        <f t="shared" si="12"/>
        <v>-65835.610118607947</v>
      </c>
      <c r="O388" s="679"/>
      <c r="P388" s="679"/>
      <c r="Q388" s="679"/>
      <c r="R388" s="679"/>
      <c r="S388" s="679"/>
      <c r="T388" s="679"/>
      <c r="U388" s="679"/>
      <c r="V388" s="679"/>
      <c r="W388" s="679"/>
      <c r="X388" s="679"/>
      <c r="Y388" s="679"/>
      <c r="Z388" s="679"/>
      <c r="AA388" s="679"/>
      <c r="AB388" s="679"/>
      <c r="AC388" s="679"/>
      <c r="AD388" s="678"/>
      <c r="AE388" s="678"/>
      <c r="AF388" s="678"/>
      <c r="AG388" s="678"/>
      <c r="AH388" s="678"/>
      <c r="AI388" s="678"/>
      <c r="AJ388" s="678"/>
      <c r="AK388" s="658"/>
    </row>
    <row r="389" spans="2:37" s="5" customFormat="1">
      <c r="B389" s="313"/>
      <c r="C389" s="835"/>
      <c r="D389" s="19" t="s">
        <v>278</v>
      </c>
      <c r="E389" s="84">
        <f>F388/(5*F387)</f>
        <v>13172.390980113636</v>
      </c>
      <c r="F389" s="84">
        <f>E389*(F387*7)</f>
        <v>1106480.8423295454</v>
      </c>
      <c r="G389" s="95">
        <f>$G$44</f>
        <v>20</v>
      </c>
      <c r="H389" s="64">
        <f>F389/G389</f>
        <v>55324.042116477271</v>
      </c>
      <c r="I389" s="72">
        <f>SUM(H387:H389)</f>
        <v>911503.11104190338</v>
      </c>
      <c r="J389" s="52">
        <f>SUM(G381:G389)</f>
        <v>38.083300000000001</v>
      </c>
      <c r="K389" s="193"/>
      <c r="L389" s="388"/>
      <c r="M389" s="597"/>
      <c r="N389" s="578">
        <f t="shared" si="12"/>
        <v>-55324.042116477271</v>
      </c>
      <c r="O389" s="678"/>
      <c r="P389" s="678"/>
      <c r="Q389" s="678"/>
      <c r="R389" s="678"/>
      <c r="S389" s="678"/>
      <c r="T389" s="678"/>
      <c r="U389" s="678"/>
      <c r="V389" s="678"/>
      <c r="W389" s="678"/>
      <c r="X389" s="678"/>
      <c r="Y389" s="678"/>
      <c r="Z389" s="678"/>
      <c r="AA389" s="678"/>
      <c r="AB389" s="678"/>
      <c r="AC389" s="678"/>
      <c r="AD389" s="678"/>
      <c r="AE389" s="678"/>
      <c r="AF389" s="678"/>
      <c r="AG389" s="678"/>
      <c r="AH389" s="678"/>
      <c r="AI389" s="678"/>
      <c r="AJ389" s="678"/>
      <c r="AK389" s="658"/>
    </row>
    <row r="390" spans="2:37" s="5" customFormat="1">
      <c r="B390" s="313"/>
      <c r="C390" s="835"/>
      <c r="D390" s="117"/>
      <c r="E390" s="74"/>
      <c r="F390" s="74"/>
      <c r="G390" s="401"/>
      <c r="H390" s="78"/>
      <c r="I390" s="79"/>
      <c r="J390" s="52"/>
      <c r="K390" s="193"/>
      <c r="L390" s="388"/>
      <c r="M390" s="597"/>
      <c r="N390" s="578">
        <f t="shared" si="12"/>
        <v>0</v>
      </c>
      <c r="O390" s="678"/>
      <c r="P390" s="678"/>
      <c r="Q390" s="678"/>
      <c r="R390" s="678"/>
      <c r="S390" s="678"/>
      <c r="T390" s="678"/>
      <c r="U390" s="678"/>
      <c r="V390" s="678"/>
      <c r="W390" s="678"/>
      <c r="X390" s="678"/>
      <c r="Y390" s="678"/>
      <c r="Z390" s="678"/>
      <c r="AA390" s="678"/>
      <c r="AB390" s="678"/>
      <c r="AC390" s="678"/>
      <c r="AD390" s="678"/>
      <c r="AE390" s="678"/>
      <c r="AF390" s="678"/>
      <c r="AG390" s="678"/>
      <c r="AH390" s="678"/>
      <c r="AI390" s="678"/>
      <c r="AJ390" s="678"/>
      <c r="AK390" s="658"/>
    </row>
    <row r="391" spans="2:37" s="5" customFormat="1" ht="15" customHeight="1">
      <c r="B391" s="317">
        <v>32</v>
      </c>
      <c r="C391" s="835" t="s">
        <v>894</v>
      </c>
      <c r="D391" s="105" t="s">
        <v>63</v>
      </c>
      <c r="E391" s="194">
        <v>52273.75</v>
      </c>
      <c r="F391" s="75"/>
      <c r="G391" s="75"/>
      <c r="H391" s="82"/>
      <c r="I391" s="83"/>
      <c r="J391" s="52"/>
      <c r="K391" s="193"/>
      <c r="L391" s="388"/>
      <c r="M391" s="597"/>
      <c r="N391" s="578">
        <f t="shared" si="12"/>
        <v>0</v>
      </c>
      <c r="O391" s="678"/>
      <c r="P391" s="678"/>
      <c r="Q391" s="678"/>
      <c r="R391" s="678"/>
      <c r="S391" s="678"/>
      <c r="T391" s="678"/>
      <c r="U391" s="678"/>
      <c r="V391" s="678"/>
      <c r="W391" s="678"/>
      <c r="X391" s="678"/>
      <c r="Y391" s="678"/>
      <c r="Z391" s="678"/>
      <c r="AA391" s="678"/>
      <c r="AB391" s="678"/>
      <c r="AC391" s="678"/>
      <c r="AD391" s="678"/>
      <c r="AE391" s="678"/>
      <c r="AF391" s="678"/>
      <c r="AG391" s="678"/>
      <c r="AH391" s="678"/>
      <c r="AI391" s="678"/>
      <c r="AJ391" s="678"/>
      <c r="AK391" s="658"/>
    </row>
    <row r="392" spans="2:37" s="5" customFormat="1">
      <c r="B392" s="313"/>
      <c r="C392" s="835"/>
      <c r="D392" s="17" t="s">
        <v>0</v>
      </c>
      <c r="E392" s="147" t="s">
        <v>27</v>
      </c>
      <c r="F392" s="84">
        <f>E391</f>
        <v>52273.75</v>
      </c>
      <c r="G392" s="64">
        <v>6</v>
      </c>
      <c r="H392" s="64">
        <f>+G392*F392</f>
        <v>313642.5</v>
      </c>
      <c r="I392" s="79"/>
      <c r="J392" s="52"/>
      <c r="K392" s="193"/>
      <c r="L392" s="388"/>
      <c r="M392" s="597"/>
      <c r="N392" s="578">
        <f t="shared" si="12"/>
        <v>-313642.5</v>
      </c>
      <c r="O392" s="678"/>
      <c r="P392" s="678"/>
      <c r="Q392" s="678"/>
      <c r="R392" s="678"/>
      <c r="S392" s="678"/>
      <c r="T392" s="678"/>
      <c r="U392" s="678"/>
      <c r="V392" s="678"/>
      <c r="W392" s="678"/>
      <c r="X392" s="678"/>
      <c r="Y392" s="678"/>
      <c r="Z392" s="678"/>
      <c r="AA392" s="678"/>
      <c r="AB392" s="678"/>
      <c r="AC392" s="678"/>
      <c r="AD392" s="678"/>
      <c r="AE392" s="678"/>
      <c r="AF392" s="678"/>
      <c r="AG392" s="678"/>
      <c r="AH392" s="678"/>
      <c r="AI392" s="678"/>
      <c r="AJ392" s="678"/>
      <c r="AK392" s="658"/>
    </row>
    <row r="393" spans="2:37" s="5" customFormat="1">
      <c r="B393" s="313"/>
      <c r="C393" s="835"/>
      <c r="D393" s="17" t="s">
        <v>3</v>
      </c>
      <c r="E393" s="81" t="s">
        <v>27</v>
      </c>
      <c r="F393" s="84">
        <f>E391</f>
        <v>52273.75</v>
      </c>
      <c r="G393" s="64">
        <v>6</v>
      </c>
      <c r="H393" s="64">
        <f>+G393*F393</f>
        <v>313642.5</v>
      </c>
      <c r="I393" s="79"/>
      <c r="J393" s="52"/>
      <c r="K393" s="193"/>
      <c r="L393" s="388"/>
      <c r="M393" s="597"/>
      <c r="N393" s="578">
        <f t="shared" si="12"/>
        <v>-313642.5</v>
      </c>
      <c r="O393" s="678"/>
      <c r="P393" s="678"/>
      <c r="Q393" s="678"/>
      <c r="R393" s="678"/>
      <c r="S393" s="678"/>
      <c r="T393" s="678"/>
      <c r="U393" s="678"/>
      <c r="V393" s="678"/>
      <c r="W393" s="678"/>
      <c r="X393" s="678"/>
      <c r="Y393" s="678"/>
      <c r="Z393" s="678"/>
      <c r="AA393" s="678"/>
      <c r="AB393" s="678"/>
      <c r="AC393" s="678"/>
      <c r="AD393" s="678"/>
      <c r="AE393" s="678"/>
      <c r="AF393" s="678"/>
      <c r="AG393" s="678"/>
      <c r="AH393" s="678"/>
      <c r="AI393" s="678"/>
      <c r="AJ393" s="678"/>
      <c r="AK393" s="658"/>
    </row>
    <row r="394" spans="2:37" s="5" customFormat="1">
      <c r="B394" s="313"/>
      <c r="C394" s="835"/>
      <c r="D394" s="17" t="s">
        <v>28</v>
      </c>
      <c r="E394" s="88">
        <f>$H$5+2+2</f>
        <v>17.25</v>
      </c>
      <c r="F394" s="84">
        <f>E391/44*1.5</f>
        <v>1782.059659090909</v>
      </c>
      <c r="G394" s="87">
        <v>6</v>
      </c>
      <c r="H394" s="64">
        <f>+G394*F394*E394</f>
        <v>184443.17471590909</v>
      </c>
      <c r="I394" s="79"/>
      <c r="J394" s="52"/>
      <c r="K394" s="193"/>
      <c r="L394" s="388"/>
      <c r="M394" s="597"/>
      <c r="N394" s="578">
        <f t="shared" si="12"/>
        <v>-184443.17471590909</v>
      </c>
      <c r="O394" s="678"/>
      <c r="P394" s="678"/>
      <c r="Q394" s="678"/>
      <c r="R394" s="678"/>
      <c r="S394" s="678"/>
      <c r="T394" s="678"/>
      <c r="U394" s="678"/>
      <c r="V394" s="678"/>
      <c r="W394" s="678"/>
      <c r="X394" s="678"/>
      <c r="Y394" s="678"/>
      <c r="Z394" s="678"/>
      <c r="AA394" s="678"/>
      <c r="AB394" s="678"/>
      <c r="AC394" s="678"/>
      <c r="AD394" s="678"/>
      <c r="AE394" s="678"/>
      <c r="AF394" s="678"/>
      <c r="AG394" s="678"/>
      <c r="AH394" s="678"/>
      <c r="AI394" s="678"/>
      <c r="AJ394" s="678"/>
      <c r="AK394" s="658"/>
    </row>
    <row r="395" spans="2:37" s="5" customFormat="1">
      <c r="B395" s="313"/>
      <c r="C395" s="835"/>
      <c r="D395" s="17" t="s">
        <v>1</v>
      </c>
      <c r="E395" s="67" t="s">
        <v>29</v>
      </c>
      <c r="F395" s="84">
        <f>E391/5*1.5</f>
        <v>15682.125</v>
      </c>
      <c r="G395" s="64">
        <f>$H$3</f>
        <v>0</v>
      </c>
      <c r="H395" s="64">
        <f>+G395*F395</f>
        <v>0</v>
      </c>
      <c r="I395" s="79"/>
      <c r="J395" s="52"/>
      <c r="K395" s="193"/>
      <c r="L395" s="388"/>
      <c r="M395" s="597"/>
      <c r="N395" s="578">
        <f t="shared" si="12"/>
        <v>0</v>
      </c>
      <c r="O395" s="678"/>
      <c r="P395" s="678"/>
      <c r="Q395" s="678"/>
      <c r="R395" s="678"/>
      <c r="S395" s="678"/>
      <c r="T395" s="678"/>
      <c r="U395" s="678"/>
      <c r="V395" s="678"/>
      <c r="W395" s="678"/>
      <c r="X395" s="678"/>
      <c r="Y395" s="678"/>
      <c r="Z395" s="678"/>
      <c r="AA395" s="678"/>
      <c r="AB395" s="678"/>
      <c r="AC395" s="678"/>
      <c r="AD395" s="678"/>
      <c r="AE395" s="678"/>
      <c r="AF395" s="678"/>
      <c r="AG395" s="678"/>
      <c r="AH395" s="678"/>
      <c r="AI395" s="678"/>
      <c r="AJ395" s="678"/>
      <c r="AK395" s="658"/>
    </row>
    <row r="396" spans="2:37" s="5" customFormat="1">
      <c r="B396" s="313"/>
      <c r="C396" s="835"/>
      <c r="D396" s="17" t="s">
        <v>4</v>
      </c>
      <c r="E396" s="67" t="s">
        <v>29</v>
      </c>
      <c r="F396" s="84">
        <f>E391/5*1.5</f>
        <v>15682.125</v>
      </c>
      <c r="G396" s="64">
        <f>$H$4</f>
        <v>0</v>
      </c>
      <c r="H396" s="64">
        <f>+G396*F396</f>
        <v>0</v>
      </c>
      <c r="I396" s="79"/>
      <c r="J396" s="52"/>
      <c r="K396" s="193"/>
      <c r="L396" s="388"/>
      <c r="M396" s="597"/>
      <c r="N396" s="578">
        <f t="shared" ref="N396:N459" si="13">SUM(O396:AL396)-H396</f>
        <v>0</v>
      </c>
      <c r="O396" s="678"/>
      <c r="P396" s="678"/>
      <c r="Q396" s="678"/>
      <c r="R396" s="678"/>
      <c r="S396" s="678"/>
      <c r="T396" s="678"/>
      <c r="U396" s="678"/>
      <c r="V396" s="678"/>
      <c r="W396" s="678"/>
      <c r="X396" s="678"/>
      <c r="Y396" s="678"/>
      <c r="Z396" s="678"/>
      <c r="AA396" s="678"/>
      <c r="AB396" s="678"/>
      <c r="AC396" s="678"/>
      <c r="AD396" s="678"/>
      <c r="AE396" s="678"/>
      <c r="AF396" s="678"/>
      <c r="AG396" s="678"/>
      <c r="AH396" s="678"/>
      <c r="AI396" s="678"/>
      <c r="AJ396" s="678"/>
      <c r="AK396" s="658"/>
    </row>
    <row r="397" spans="2:37" s="5" customFormat="1">
      <c r="B397" s="313"/>
      <c r="C397" s="835"/>
      <c r="D397" s="17" t="s">
        <v>5</v>
      </c>
      <c r="E397" s="81" t="s">
        <v>27</v>
      </c>
      <c r="F397" s="84">
        <f>F391</f>
        <v>0</v>
      </c>
      <c r="G397" s="64">
        <v>0</v>
      </c>
      <c r="H397" s="64">
        <f>+G397*F397</f>
        <v>0</v>
      </c>
      <c r="I397" s="79"/>
      <c r="J397" s="52"/>
      <c r="K397" s="193"/>
      <c r="L397" s="388"/>
      <c r="M397" s="597"/>
      <c r="N397" s="578">
        <f t="shared" si="13"/>
        <v>0</v>
      </c>
      <c r="O397" s="678"/>
      <c r="P397" s="678"/>
      <c r="Q397" s="678"/>
      <c r="R397" s="678"/>
      <c r="S397" s="678"/>
      <c r="T397" s="678"/>
      <c r="U397" s="678"/>
      <c r="V397" s="678"/>
      <c r="W397" s="678"/>
      <c r="X397" s="678"/>
      <c r="Y397" s="678"/>
      <c r="Z397" s="678"/>
      <c r="AA397" s="678"/>
      <c r="AB397" s="678"/>
      <c r="AC397" s="679"/>
      <c r="AD397" s="678"/>
      <c r="AE397" s="678"/>
      <c r="AF397" s="678"/>
      <c r="AG397" s="678"/>
      <c r="AH397" s="678"/>
      <c r="AI397" s="678"/>
      <c r="AJ397" s="678"/>
      <c r="AK397" s="658"/>
    </row>
    <row r="398" spans="2:37" s="5" customFormat="1">
      <c r="B398" s="313"/>
      <c r="C398" s="835"/>
      <c r="D398" s="17" t="s">
        <v>30</v>
      </c>
      <c r="E398" s="67" t="s">
        <v>16</v>
      </c>
      <c r="F398" s="64">
        <f>G392+G393+G397</f>
        <v>12</v>
      </c>
      <c r="G398" s="68" t="s">
        <v>31</v>
      </c>
      <c r="H398" s="64">
        <f>SUM(H392:H397)</f>
        <v>811728.17471590906</v>
      </c>
      <c r="I398" s="79"/>
      <c r="J398" s="52"/>
      <c r="K398" s="193"/>
      <c r="L398" s="388"/>
      <c r="M398" s="597"/>
      <c r="N398" s="578">
        <f t="shared" si="13"/>
        <v>-811728.17471590906</v>
      </c>
      <c r="O398" s="678"/>
      <c r="P398" s="678"/>
      <c r="Q398" s="678"/>
      <c r="R398" s="678"/>
      <c r="S398" s="678"/>
      <c r="T398" s="678"/>
      <c r="U398" s="678"/>
      <c r="V398" s="678"/>
      <c r="W398" s="678"/>
      <c r="X398" s="678"/>
      <c r="Y398" s="678"/>
      <c r="Z398" s="678"/>
      <c r="AA398" s="678"/>
      <c r="AB398" s="678"/>
      <c r="AC398" s="678"/>
      <c r="AD398" s="678"/>
      <c r="AE398" s="678"/>
      <c r="AF398" s="678"/>
      <c r="AG398" s="678"/>
      <c r="AH398" s="678"/>
      <c r="AI398" s="678"/>
      <c r="AJ398" s="678"/>
      <c r="AK398" s="658"/>
    </row>
    <row r="399" spans="2:37" s="5" customFormat="1">
      <c r="B399" s="313"/>
      <c r="C399" s="835"/>
      <c r="D399" s="19" t="s">
        <v>32</v>
      </c>
      <c r="E399" s="67" t="s">
        <v>16</v>
      </c>
      <c r="F399" s="84">
        <f>SUM(H392:H397)</f>
        <v>811728.17471590906</v>
      </c>
      <c r="G399" s="92">
        <f>$G$43</f>
        <v>8.3299999999999999E-2</v>
      </c>
      <c r="H399" s="64">
        <f>+G399*F399</f>
        <v>67616.956953835223</v>
      </c>
      <c r="I399" s="93"/>
      <c r="J399" s="52"/>
      <c r="K399" s="193"/>
      <c r="L399" s="388"/>
      <c r="M399" s="597"/>
      <c r="N399" s="578">
        <f t="shared" si="13"/>
        <v>-67616.956953835223</v>
      </c>
      <c r="O399" s="679"/>
      <c r="P399" s="679"/>
      <c r="Q399" s="679"/>
      <c r="R399" s="679"/>
      <c r="S399" s="679"/>
      <c r="T399" s="679"/>
      <c r="U399" s="679"/>
      <c r="V399" s="679"/>
      <c r="W399" s="679"/>
      <c r="X399" s="679"/>
      <c r="Y399" s="679"/>
      <c r="Z399" s="679"/>
      <c r="AA399" s="679"/>
      <c r="AB399" s="679"/>
      <c r="AC399" s="679"/>
      <c r="AD399" s="678"/>
      <c r="AE399" s="678"/>
      <c r="AF399" s="678"/>
      <c r="AG399" s="678"/>
      <c r="AH399" s="678"/>
      <c r="AI399" s="678"/>
      <c r="AJ399" s="678"/>
      <c r="AK399" s="658"/>
    </row>
    <row r="400" spans="2:37" s="5" customFormat="1">
      <c r="B400" s="313"/>
      <c r="C400" s="835"/>
      <c r="D400" s="19" t="s">
        <v>278</v>
      </c>
      <c r="E400" s="84">
        <f>F399/(5*F398)</f>
        <v>13528.802911931818</v>
      </c>
      <c r="F400" s="84">
        <f>E400*(F398*7)</f>
        <v>1136419.4446022727</v>
      </c>
      <c r="G400" s="95">
        <f>$G$44</f>
        <v>20</v>
      </c>
      <c r="H400" s="64">
        <f>F400/G400</f>
        <v>56820.972230113635</v>
      </c>
      <c r="I400" s="72">
        <f>SUM(H398:H400)</f>
        <v>936166.10389985796</v>
      </c>
      <c r="J400" s="52">
        <f>SUM(G392:G400)</f>
        <v>38.083300000000001</v>
      </c>
      <c r="K400" s="193"/>
      <c r="L400" s="388"/>
      <c r="M400" s="597"/>
      <c r="N400" s="578">
        <f t="shared" si="13"/>
        <v>-56820.972230113635</v>
      </c>
      <c r="O400" s="678"/>
      <c r="P400" s="678"/>
      <c r="Q400" s="678"/>
      <c r="R400" s="678"/>
      <c r="S400" s="678"/>
      <c r="T400" s="678"/>
      <c r="U400" s="678"/>
      <c r="V400" s="678"/>
      <c r="W400" s="678"/>
      <c r="X400" s="678"/>
      <c r="Y400" s="678"/>
      <c r="Z400" s="678"/>
      <c r="AA400" s="678"/>
      <c r="AB400" s="678"/>
      <c r="AC400" s="678"/>
      <c r="AD400" s="678"/>
      <c r="AE400" s="678"/>
      <c r="AF400" s="678"/>
      <c r="AG400" s="678"/>
      <c r="AH400" s="678"/>
      <c r="AI400" s="678"/>
      <c r="AJ400" s="678"/>
      <c r="AK400" s="658"/>
    </row>
    <row r="401" spans="2:37" s="5" customFormat="1">
      <c r="B401" s="313"/>
      <c r="C401" s="835"/>
      <c r="D401" s="96"/>
      <c r="E401" s="9"/>
      <c r="F401" s="74"/>
      <c r="G401" s="97"/>
      <c r="H401" s="78"/>
      <c r="I401" s="79"/>
      <c r="J401" s="52"/>
      <c r="K401" s="156"/>
      <c r="L401" s="383"/>
      <c r="M401" s="542"/>
      <c r="N401" s="578">
        <f t="shared" si="13"/>
        <v>0</v>
      </c>
      <c r="O401" s="678"/>
      <c r="P401" s="678"/>
      <c r="Q401" s="678"/>
      <c r="R401" s="678"/>
      <c r="S401" s="678"/>
      <c r="T401" s="678"/>
      <c r="U401" s="678"/>
      <c r="V401" s="678"/>
      <c r="W401" s="678"/>
      <c r="X401" s="678"/>
      <c r="Y401" s="678"/>
      <c r="Z401" s="678"/>
      <c r="AA401" s="678"/>
      <c r="AB401" s="678"/>
      <c r="AC401" s="678"/>
      <c r="AD401" s="678"/>
      <c r="AE401" s="678"/>
      <c r="AF401" s="678"/>
      <c r="AG401" s="678"/>
      <c r="AH401" s="678"/>
      <c r="AI401" s="678"/>
      <c r="AJ401" s="678"/>
      <c r="AK401" s="658"/>
    </row>
    <row r="402" spans="2:37" s="5" customFormat="1" ht="15" customHeight="1">
      <c r="B402" s="317">
        <v>33</v>
      </c>
      <c r="C402" s="835" t="s">
        <v>895</v>
      </c>
      <c r="D402" s="105" t="s">
        <v>63</v>
      </c>
      <c r="E402" s="194">
        <v>52273.75</v>
      </c>
      <c r="F402" s="75"/>
      <c r="G402" s="75"/>
      <c r="H402" s="82"/>
      <c r="I402" s="83"/>
      <c r="J402" s="52"/>
      <c r="K402" s="193"/>
      <c r="L402" s="388"/>
      <c r="M402" s="597"/>
      <c r="N402" s="578">
        <f t="shared" si="13"/>
        <v>0</v>
      </c>
      <c r="O402" s="678"/>
      <c r="P402" s="678"/>
      <c r="Q402" s="678"/>
      <c r="R402" s="678"/>
      <c r="S402" s="678"/>
      <c r="T402" s="678"/>
      <c r="U402" s="678"/>
      <c r="V402" s="678"/>
      <c r="W402" s="678"/>
      <c r="X402" s="678"/>
      <c r="Y402" s="678"/>
      <c r="Z402" s="678"/>
      <c r="AA402" s="678"/>
      <c r="AB402" s="678"/>
      <c r="AC402" s="678"/>
      <c r="AD402" s="678"/>
      <c r="AE402" s="678"/>
      <c r="AF402" s="678"/>
      <c r="AG402" s="678"/>
      <c r="AH402" s="678"/>
      <c r="AI402" s="678"/>
      <c r="AJ402" s="678"/>
      <c r="AK402" s="658"/>
    </row>
    <row r="403" spans="2:37" s="5" customFormat="1">
      <c r="B403" s="313"/>
      <c r="C403" s="835"/>
      <c r="D403" s="17" t="s">
        <v>0</v>
      </c>
      <c r="E403" s="147" t="s">
        <v>27</v>
      </c>
      <c r="F403" s="84">
        <f>E402</f>
        <v>52273.75</v>
      </c>
      <c r="G403" s="64">
        <v>2</v>
      </c>
      <c r="H403" s="64">
        <f>+G403*F403</f>
        <v>104547.5</v>
      </c>
      <c r="I403" s="79"/>
      <c r="J403" s="52"/>
      <c r="K403" s="193"/>
      <c r="L403" s="388"/>
      <c r="M403" s="597"/>
      <c r="N403" s="578">
        <f t="shared" si="13"/>
        <v>-104547.5</v>
      </c>
      <c r="O403" s="678"/>
      <c r="P403" s="678"/>
      <c r="Q403" s="678"/>
      <c r="R403" s="678"/>
      <c r="S403" s="678"/>
      <c r="T403" s="678"/>
      <c r="U403" s="678"/>
      <c r="V403" s="678"/>
      <c r="W403" s="678"/>
      <c r="X403" s="678"/>
      <c r="Y403" s="678"/>
      <c r="Z403" s="678"/>
      <c r="AA403" s="678"/>
      <c r="AB403" s="678"/>
      <c r="AC403" s="678"/>
      <c r="AD403" s="678"/>
      <c r="AE403" s="678"/>
      <c r="AF403" s="678"/>
      <c r="AG403" s="678"/>
      <c r="AH403" s="678"/>
      <c r="AI403" s="678"/>
      <c r="AJ403" s="678"/>
      <c r="AK403" s="658"/>
    </row>
    <row r="404" spans="2:37" s="5" customFormat="1">
      <c r="B404" s="313"/>
      <c r="C404" s="835"/>
      <c r="D404" s="17" t="s">
        <v>3</v>
      </c>
      <c r="E404" s="81" t="s">
        <v>27</v>
      </c>
      <c r="F404" s="84">
        <f>E402</f>
        <v>52273.75</v>
      </c>
      <c r="G404" s="64">
        <v>6</v>
      </c>
      <c r="H404" s="64">
        <f>+G404*F404</f>
        <v>313642.5</v>
      </c>
      <c r="I404" s="79"/>
      <c r="J404" s="52"/>
      <c r="K404" s="193"/>
      <c r="L404" s="388"/>
      <c r="M404" s="597"/>
      <c r="N404" s="578">
        <f t="shared" si="13"/>
        <v>-313642.5</v>
      </c>
      <c r="O404" s="678"/>
      <c r="P404" s="678"/>
      <c r="Q404" s="678"/>
      <c r="R404" s="678"/>
      <c r="S404" s="678"/>
      <c r="T404" s="678"/>
      <c r="U404" s="678"/>
      <c r="V404" s="678"/>
      <c r="W404" s="678"/>
      <c r="X404" s="678"/>
      <c r="Y404" s="678"/>
      <c r="Z404" s="678"/>
      <c r="AA404" s="678"/>
      <c r="AB404" s="678"/>
      <c r="AC404" s="678"/>
      <c r="AD404" s="678"/>
      <c r="AE404" s="678"/>
      <c r="AF404" s="678"/>
      <c r="AG404" s="678"/>
      <c r="AH404" s="678"/>
      <c r="AI404" s="678"/>
      <c r="AJ404" s="678"/>
      <c r="AK404" s="658"/>
    </row>
    <row r="405" spans="2:37" s="5" customFormat="1">
      <c r="B405" s="313"/>
      <c r="C405" s="835"/>
      <c r="D405" s="17" t="s">
        <v>28</v>
      </c>
      <c r="E405" s="88">
        <f>$H$5+2+2</f>
        <v>17.25</v>
      </c>
      <c r="F405" s="84">
        <f>E402/44*1.5</f>
        <v>1782.059659090909</v>
      </c>
      <c r="G405" s="87">
        <v>6</v>
      </c>
      <c r="H405" s="64">
        <f>+G405*F405*E405</f>
        <v>184443.17471590909</v>
      </c>
      <c r="I405" s="79"/>
      <c r="J405" s="52"/>
      <c r="K405" s="193"/>
      <c r="L405" s="388"/>
      <c r="M405" s="597"/>
      <c r="N405" s="578">
        <f t="shared" si="13"/>
        <v>-184443.17471590909</v>
      </c>
      <c r="O405" s="678"/>
      <c r="P405" s="678"/>
      <c r="Q405" s="678"/>
      <c r="R405" s="678"/>
      <c r="S405" s="678"/>
      <c r="T405" s="678"/>
      <c r="U405" s="678"/>
      <c r="V405" s="678"/>
      <c r="W405" s="678"/>
      <c r="X405" s="678"/>
      <c r="Y405" s="678"/>
      <c r="Z405" s="678"/>
      <c r="AA405" s="678"/>
      <c r="AB405" s="678"/>
      <c r="AC405" s="678"/>
      <c r="AD405" s="678"/>
      <c r="AE405" s="678"/>
      <c r="AF405" s="678"/>
      <c r="AG405" s="678"/>
      <c r="AH405" s="678"/>
      <c r="AI405" s="678"/>
      <c r="AJ405" s="678"/>
      <c r="AK405" s="658"/>
    </row>
    <row r="406" spans="2:37" s="5" customFormat="1">
      <c r="B406" s="313"/>
      <c r="C406" s="835"/>
      <c r="D406" s="17" t="s">
        <v>1</v>
      </c>
      <c r="E406" s="67" t="s">
        <v>29</v>
      </c>
      <c r="F406" s="84">
        <f>E402/5*1.5</f>
        <v>15682.125</v>
      </c>
      <c r="G406" s="64">
        <f>$H$3</f>
        <v>0</v>
      </c>
      <c r="H406" s="64">
        <f>+G406*F406</f>
        <v>0</v>
      </c>
      <c r="I406" s="79"/>
      <c r="J406" s="52"/>
      <c r="K406" s="193"/>
      <c r="L406" s="388"/>
      <c r="M406" s="597"/>
      <c r="N406" s="578">
        <f t="shared" si="13"/>
        <v>0</v>
      </c>
      <c r="O406" s="678"/>
      <c r="P406" s="678"/>
      <c r="Q406" s="678"/>
      <c r="R406" s="678"/>
      <c r="S406" s="678"/>
      <c r="T406" s="678"/>
      <c r="U406" s="678"/>
      <c r="V406" s="678"/>
      <c r="W406" s="678"/>
      <c r="X406" s="678"/>
      <c r="Y406" s="678"/>
      <c r="Z406" s="678"/>
      <c r="AA406" s="678"/>
      <c r="AB406" s="678"/>
      <c r="AC406" s="678"/>
      <c r="AD406" s="678"/>
      <c r="AE406" s="678"/>
      <c r="AF406" s="678"/>
      <c r="AG406" s="678"/>
      <c r="AH406" s="678"/>
      <c r="AI406" s="678"/>
      <c r="AJ406" s="678"/>
      <c r="AK406" s="658"/>
    </row>
    <row r="407" spans="2:37" s="5" customFormat="1">
      <c r="B407" s="313"/>
      <c r="C407" s="835"/>
      <c r="D407" s="17" t="s">
        <v>4</v>
      </c>
      <c r="E407" s="67" t="s">
        <v>29</v>
      </c>
      <c r="F407" s="84">
        <f>E402/5*1.5</f>
        <v>15682.125</v>
      </c>
      <c r="G407" s="64">
        <f>$H$4</f>
        <v>0</v>
      </c>
      <c r="H407" s="64">
        <f>+G407*F407</f>
        <v>0</v>
      </c>
      <c r="I407" s="79"/>
      <c r="J407" s="52"/>
      <c r="K407" s="193"/>
      <c r="L407" s="388"/>
      <c r="M407" s="597"/>
      <c r="N407" s="578">
        <f t="shared" si="13"/>
        <v>0</v>
      </c>
      <c r="O407" s="678"/>
      <c r="P407" s="678"/>
      <c r="Q407" s="678"/>
      <c r="R407" s="678"/>
      <c r="S407" s="678"/>
      <c r="T407" s="678"/>
      <c r="U407" s="678"/>
      <c r="V407" s="678"/>
      <c r="W407" s="678"/>
      <c r="X407" s="678"/>
      <c r="Y407" s="678"/>
      <c r="Z407" s="678"/>
      <c r="AA407" s="678"/>
      <c r="AB407" s="678"/>
      <c r="AC407" s="678"/>
      <c r="AD407" s="678"/>
      <c r="AE407" s="678"/>
      <c r="AF407" s="678"/>
      <c r="AG407" s="678"/>
      <c r="AH407" s="678"/>
      <c r="AI407" s="678"/>
      <c r="AJ407" s="678"/>
      <c r="AK407" s="658"/>
    </row>
    <row r="408" spans="2:37" s="5" customFormat="1">
      <c r="B408" s="313"/>
      <c r="C408" s="835"/>
      <c r="D408" s="17" t="s">
        <v>5</v>
      </c>
      <c r="E408" s="81" t="s">
        <v>27</v>
      </c>
      <c r="F408" s="84">
        <f>F402</f>
        <v>0</v>
      </c>
      <c r="G408" s="64">
        <v>0</v>
      </c>
      <c r="H408" s="64">
        <f>+G408*F408</f>
        <v>0</v>
      </c>
      <c r="I408" s="79"/>
      <c r="J408" s="52"/>
      <c r="K408" s="193"/>
      <c r="L408" s="388"/>
      <c r="M408" s="597"/>
      <c r="N408" s="578">
        <f t="shared" si="13"/>
        <v>0</v>
      </c>
      <c r="O408" s="678"/>
      <c r="P408" s="678"/>
      <c r="Q408" s="678"/>
      <c r="R408" s="678"/>
      <c r="S408" s="678"/>
      <c r="T408" s="678"/>
      <c r="U408" s="678"/>
      <c r="V408" s="678"/>
      <c r="W408" s="678"/>
      <c r="X408" s="678"/>
      <c r="Y408" s="678"/>
      <c r="Z408" s="678"/>
      <c r="AA408" s="678"/>
      <c r="AB408" s="678"/>
      <c r="AC408" s="679"/>
      <c r="AD408" s="678"/>
      <c r="AE408" s="678"/>
      <c r="AF408" s="678"/>
      <c r="AG408" s="678"/>
      <c r="AH408" s="678"/>
      <c r="AI408" s="678"/>
      <c r="AJ408" s="678"/>
      <c r="AK408" s="658"/>
    </row>
    <row r="409" spans="2:37" s="5" customFormat="1">
      <c r="B409" s="313"/>
      <c r="C409" s="835"/>
      <c r="D409" s="17" t="s">
        <v>30</v>
      </c>
      <c r="E409" s="67" t="s">
        <v>16</v>
      </c>
      <c r="F409" s="64">
        <f>G403+G404+G408</f>
        <v>8</v>
      </c>
      <c r="G409" s="68" t="s">
        <v>31</v>
      </c>
      <c r="H409" s="64">
        <f>SUM(H403:H408)</f>
        <v>602633.17471590906</v>
      </c>
      <c r="I409" s="79"/>
      <c r="J409" s="52"/>
      <c r="K409" s="193"/>
      <c r="L409" s="388"/>
      <c r="M409" s="597"/>
      <c r="N409" s="578">
        <f t="shared" si="13"/>
        <v>-602633.17471590906</v>
      </c>
      <c r="O409" s="678"/>
      <c r="P409" s="678"/>
      <c r="Q409" s="678"/>
      <c r="R409" s="678"/>
      <c r="S409" s="678"/>
      <c r="T409" s="678"/>
      <c r="U409" s="678"/>
      <c r="V409" s="678"/>
      <c r="W409" s="678"/>
      <c r="X409" s="678"/>
      <c r="Y409" s="678"/>
      <c r="Z409" s="678"/>
      <c r="AA409" s="678"/>
      <c r="AB409" s="678"/>
      <c r="AC409" s="678"/>
      <c r="AD409" s="678"/>
      <c r="AE409" s="678"/>
      <c r="AF409" s="678"/>
      <c r="AG409" s="678"/>
      <c r="AH409" s="678"/>
      <c r="AI409" s="678"/>
      <c r="AJ409" s="678"/>
      <c r="AK409" s="658"/>
    </row>
    <row r="410" spans="2:37" s="5" customFormat="1">
      <c r="B410" s="313"/>
      <c r="C410" s="835"/>
      <c r="D410" s="19" t="s">
        <v>32</v>
      </c>
      <c r="E410" s="67" t="s">
        <v>16</v>
      </c>
      <c r="F410" s="84">
        <f>SUM(H403:H408)</f>
        <v>602633.17471590906</v>
      </c>
      <c r="G410" s="92">
        <f>$G$43</f>
        <v>8.3299999999999999E-2</v>
      </c>
      <c r="H410" s="64">
        <f>+G410*F410</f>
        <v>50199.343453835223</v>
      </c>
      <c r="I410" s="93"/>
      <c r="J410" s="52"/>
      <c r="K410" s="193"/>
      <c r="L410" s="388"/>
      <c r="M410" s="597"/>
      <c r="N410" s="578">
        <f t="shared" si="13"/>
        <v>-50199.343453835223</v>
      </c>
      <c r="O410" s="679"/>
      <c r="P410" s="679"/>
      <c r="Q410" s="679"/>
      <c r="R410" s="679"/>
      <c r="S410" s="679"/>
      <c r="T410" s="679"/>
      <c r="U410" s="679"/>
      <c r="V410" s="679"/>
      <c r="W410" s="679"/>
      <c r="X410" s="679"/>
      <c r="Y410" s="679"/>
      <c r="Z410" s="679"/>
      <c r="AA410" s="679"/>
      <c r="AB410" s="679"/>
      <c r="AC410" s="679"/>
      <c r="AD410" s="678"/>
      <c r="AE410" s="678"/>
      <c r="AF410" s="678"/>
      <c r="AG410" s="678"/>
      <c r="AH410" s="678"/>
      <c r="AI410" s="678"/>
      <c r="AJ410" s="678"/>
      <c r="AK410" s="658"/>
    </row>
    <row r="411" spans="2:37" s="5" customFormat="1">
      <c r="B411" s="313"/>
      <c r="C411" s="835"/>
      <c r="D411" s="19" t="s">
        <v>278</v>
      </c>
      <c r="E411" s="84">
        <f>F410/(5*F409)</f>
        <v>15065.829367897726</v>
      </c>
      <c r="F411" s="84">
        <f>E411*(F409*7)</f>
        <v>843686.44460227271</v>
      </c>
      <c r="G411" s="95">
        <f>$G$44</f>
        <v>20</v>
      </c>
      <c r="H411" s="64">
        <f>F411/G411</f>
        <v>42184.322230113634</v>
      </c>
      <c r="I411" s="72">
        <f>SUM(H409:H411)</f>
        <v>695016.84039985796</v>
      </c>
      <c r="J411" s="52">
        <f>SUM(G403:G411)</f>
        <v>34.083300000000001</v>
      </c>
      <c r="K411" s="193"/>
      <c r="L411" s="388"/>
      <c r="M411" s="597"/>
      <c r="N411" s="578">
        <f t="shared" si="13"/>
        <v>-42184.322230113634</v>
      </c>
      <c r="O411" s="678"/>
      <c r="P411" s="678"/>
      <c r="Q411" s="678"/>
      <c r="R411" s="678"/>
      <c r="S411" s="678"/>
      <c r="T411" s="678"/>
      <c r="U411" s="678"/>
      <c r="V411" s="678"/>
      <c r="W411" s="678"/>
      <c r="X411" s="678"/>
      <c r="Y411" s="678"/>
      <c r="Z411" s="678"/>
      <c r="AA411" s="678"/>
      <c r="AB411" s="678"/>
      <c r="AC411" s="678"/>
      <c r="AD411" s="678"/>
      <c r="AE411" s="678"/>
      <c r="AF411" s="678"/>
      <c r="AG411" s="678"/>
      <c r="AH411" s="678"/>
      <c r="AI411" s="678"/>
      <c r="AJ411" s="678"/>
      <c r="AK411" s="658"/>
    </row>
    <row r="412" spans="2:37" s="5" customFormat="1">
      <c r="B412" s="313"/>
      <c r="C412" s="835"/>
      <c r="D412" s="96"/>
      <c r="E412" s="9"/>
      <c r="F412" s="74"/>
      <c r="G412" s="97"/>
      <c r="H412" s="78"/>
      <c r="I412" s="79"/>
      <c r="J412" s="52"/>
      <c r="K412" s="156"/>
      <c r="L412" s="383"/>
      <c r="M412" s="542"/>
      <c r="N412" s="578">
        <f t="shared" si="13"/>
        <v>0</v>
      </c>
      <c r="O412" s="678"/>
      <c r="P412" s="678"/>
      <c r="Q412" s="678"/>
      <c r="R412" s="678"/>
      <c r="S412" s="678"/>
      <c r="T412" s="678"/>
      <c r="U412" s="678"/>
      <c r="V412" s="678"/>
      <c r="W412" s="678"/>
      <c r="X412" s="678"/>
      <c r="Y412" s="678"/>
      <c r="Z412" s="678"/>
      <c r="AA412" s="678"/>
      <c r="AB412" s="678"/>
      <c r="AC412" s="678"/>
      <c r="AD412" s="678"/>
      <c r="AE412" s="678"/>
      <c r="AF412" s="678"/>
      <c r="AG412" s="678"/>
      <c r="AH412" s="678"/>
      <c r="AI412" s="678"/>
      <c r="AJ412" s="678"/>
      <c r="AK412" s="658"/>
    </row>
    <row r="413" spans="2:37" s="5" customFormat="1" ht="15" customHeight="1">
      <c r="B413" s="317">
        <v>34</v>
      </c>
      <c r="C413" s="835" t="s">
        <v>896</v>
      </c>
      <c r="D413" s="80" t="s">
        <v>64</v>
      </c>
      <c r="E413" s="81">
        <v>72180.399999999994</v>
      </c>
      <c r="F413" s="74"/>
      <c r="G413" s="75"/>
      <c r="H413" s="82"/>
      <c r="I413" s="83"/>
      <c r="J413" s="52"/>
      <c r="K413" s="156"/>
      <c r="L413" s="383"/>
      <c r="M413" s="542"/>
      <c r="N413" s="578">
        <f t="shared" si="13"/>
        <v>0</v>
      </c>
      <c r="O413" s="678"/>
      <c r="P413" s="678"/>
      <c r="Q413" s="678"/>
      <c r="R413" s="678"/>
      <c r="S413" s="678"/>
      <c r="T413" s="678"/>
      <c r="U413" s="678"/>
      <c r="V413" s="678"/>
      <c r="W413" s="678"/>
      <c r="X413" s="678"/>
      <c r="Y413" s="678"/>
      <c r="Z413" s="678"/>
      <c r="AA413" s="678"/>
      <c r="AB413" s="678"/>
      <c r="AC413" s="678"/>
      <c r="AD413" s="678"/>
      <c r="AE413" s="678"/>
      <c r="AF413" s="678"/>
      <c r="AG413" s="678"/>
      <c r="AH413" s="678"/>
      <c r="AI413" s="678"/>
      <c r="AJ413" s="678"/>
      <c r="AK413" s="658"/>
    </row>
    <row r="414" spans="2:37" s="5" customFormat="1" ht="15" customHeight="1">
      <c r="B414" s="317"/>
      <c r="C414" s="837"/>
      <c r="D414" s="412" t="s">
        <v>468</v>
      </c>
      <c r="E414" s="413">
        <f>E413/2</f>
        <v>36090.199999999997</v>
      </c>
      <c r="F414" s="414">
        <f>E414</f>
        <v>36090.199999999997</v>
      </c>
      <c r="G414" s="415">
        <v>12</v>
      </c>
      <c r="H414" s="416">
        <f>G414*F414</f>
        <v>433082.39999999997</v>
      </c>
      <c r="I414" s="83"/>
      <c r="J414" s="6"/>
      <c r="K414" s="156"/>
      <c r="L414" s="383"/>
      <c r="M414" s="542"/>
      <c r="N414" s="578">
        <f t="shared" si="13"/>
        <v>-433082.39999999997</v>
      </c>
      <c r="O414" s="678"/>
      <c r="P414" s="678"/>
      <c r="Q414" s="678"/>
      <c r="R414" s="678"/>
      <c r="S414" s="678"/>
      <c r="T414" s="678"/>
      <c r="U414" s="678"/>
      <c r="V414" s="678"/>
      <c r="W414" s="678"/>
      <c r="X414" s="678"/>
      <c r="Y414" s="678"/>
      <c r="Z414" s="678"/>
      <c r="AA414" s="678"/>
      <c r="AB414" s="678"/>
      <c r="AC414" s="678"/>
      <c r="AD414" s="678"/>
      <c r="AE414" s="678"/>
      <c r="AF414" s="678"/>
      <c r="AG414" s="678"/>
      <c r="AH414" s="678"/>
      <c r="AI414" s="678"/>
      <c r="AJ414" s="678"/>
      <c r="AK414" s="658"/>
    </row>
    <row r="415" spans="2:37" s="5" customFormat="1">
      <c r="B415" s="313"/>
      <c r="C415" s="835"/>
      <c r="D415" s="17" t="s">
        <v>0</v>
      </c>
      <c r="E415" s="81" t="s">
        <v>27</v>
      </c>
      <c r="F415" s="84">
        <f>E413</f>
        <v>72180.399999999994</v>
      </c>
      <c r="G415" s="64">
        <v>8</v>
      </c>
      <c r="H415" s="64">
        <f>+G415*F415</f>
        <v>577443.19999999995</v>
      </c>
      <c r="I415" s="79"/>
      <c r="J415" s="52"/>
      <c r="K415" s="156"/>
      <c r="L415" s="383"/>
      <c r="M415" s="542"/>
      <c r="N415" s="578">
        <f t="shared" si="13"/>
        <v>-577443.19999999995</v>
      </c>
      <c r="O415" s="678"/>
      <c r="P415" s="678"/>
      <c r="Q415" s="678"/>
      <c r="R415" s="678"/>
      <c r="S415" s="678"/>
      <c r="T415" s="678"/>
      <c r="U415" s="678"/>
      <c r="V415" s="678"/>
      <c r="W415" s="678"/>
      <c r="X415" s="678"/>
      <c r="Y415" s="678"/>
      <c r="Z415" s="678"/>
      <c r="AA415" s="678"/>
      <c r="AB415" s="678"/>
      <c r="AC415" s="678"/>
      <c r="AD415" s="678"/>
      <c r="AE415" s="678"/>
      <c r="AF415" s="678"/>
      <c r="AG415" s="678"/>
      <c r="AH415" s="678"/>
      <c r="AI415" s="678"/>
      <c r="AJ415" s="678"/>
      <c r="AK415" s="658"/>
    </row>
    <row r="416" spans="2:37" s="5" customFormat="1">
      <c r="B416" s="313"/>
      <c r="C416" s="835"/>
      <c r="D416" s="17" t="s">
        <v>3</v>
      </c>
      <c r="E416" s="81" t="s">
        <v>27</v>
      </c>
      <c r="F416" s="84">
        <f>E413</f>
        <v>72180.399999999994</v>
      </c>
      <c r="G416" s="64">
        <v>6</v>
      </c>
      <c r="H416" s="64">
        <f>+G416*F416</f>
        <v>433082.39999999997</v>
      </c>
      <c r="I416" s="79"/>
      <c r="J416" s="52"/>
      <c r="K416" s="156"/>
      <c r="L416" s="383"/>
      <c r="M416" s="542"/>
      <c r="N416" s="578">
        <f t="shared" si="13"/>
        <v>-433082.39999999997</v>
      </c>
      <c r="O416" s="678"/>
      <c r="P416" s="678"/>
      <c r="Q416" s="678"/>
      <c r="R416" s="678"/>
      <c r="S416" s="678"/>
      <c r="T416" s="678"/>
      <c r="U416" s="678"/>
      <c r="V416" s="678"/>
      <c r="W416" s="678"/>
      <c r="X416" s="678"/>
      <c r="Y416" s="678"/>
      <c r="Z416" s="678"/>
      <c r="AA416" s="678"/>
      <c r="AB416" s="678"/>
      <c r="AC416" s="678"/>
      <c r="AD416" s="678"/>
      <c r="AE416" s="678"/>
      <c r="AF416" s="678"/>
      <c r="AG416" s="678"/>
      <c r="AH416" s="678"/>
      <c r="AI416" s="678"/>
      <c r="AJ416" s="678"/>
      <c r="AK416" s="658"/>
    </row>
    <row r="417" spans="2:37" s="5" customFormat="1">
      <c r="B417" s="313"/>
      <c r="C417" s="835"/>
      <c r="D417" s="17" t="s">
        <v>28</v>
      </c>
      <c r="E417" s="88">
        <f>$H$5+2+2</f>
        <v>17.25</v>
      </c>
      <c r="F417" s="84">
        <f>E413/44*1.5</f>
        <v>2460.6954545454541</v>
      </c>
      <c r="G417" s="87">
        <v>6</v>
      </c>
      <c r="H417" s="64">
        <f>+G417*F417*E417</f>
        <v>254681.97954545452</v>
      </c>
      <c r="I417" s="79"/>
      <c r="J417" s="52"/>
      <c r="K417" s="156"/>
      <c r="L417" s="383"/>
      <c r="M417" s="542"/>
      <c r="N417" s="578">
        <f t="shared" si="13"/>
        <v>-254681.97954545452</v>
      </c>
      <c r="O417" s="678"/>
      <c r="P417" s="678"/>
      <c r="Q417" s="678"/>
      <c r="R417" s="678"/>
      <c r="S417" s="678"/>
      <c r="T417" s="678"/>
      <c r="U417" s="678"/>
      <c r="V417" s="678"/>
      <c r="W417" s="678"/>
      <c r="X417" s="678"/>
      <c r="Y417" s="678"/>
      <c r="Z417" s="678"/>
      <c r="AA417" s="678"/>
      <c r="AB417" s="678"/>
      <c r="AC417" s="678"/>
      <c r="AD417" s="678"/>
      <c r="AE417" s="678"/>
      <c r="AF417" s="678"/>
      <c r="AG417" s="678"/>
      <c r="AH417" s="678"/>
      <c r="AI417" s="678"/>
      <c r="AJ417" s="678"/>
      <c r="AK417" s="658"/>
    </row>
    <row r="418" spans="2:37" s="5" customFormat="1">
      <c r="B418" s="313"/>
      <c r="C418" s="835"/>
      <c r="D418" s="17" t="s">
        <v>1</v>
      </c>
      <c r="E418" s="67" t="s">
        <v>29</v>
      </c>
      <c r="F418" s="84">
        <f>E413/5*1.5</f>
        <v>21654.119999999995</v>
      </c>
      <c r="G418" s="64">
        <f>$H$3</f>
        <v>0</v>
      </c>
      <c r="H418" s="64">
        <f>+G418*F418</f>
        <v>0</v>
      </c>
      <c r="I418" s="79"/>
      <c r="J418" s="52"/>
      <c r="K418" s="156"/>
      <c r="L418" s="383"/>
      <c r="M418" s="542"/>
      <c r="N418" s="578">
        <f t="shared" si="13"/>
        <v>0</v>
      </c>
      <c r="O418" s="678"/>
      <c r="P418" s="678"/>
      <c r="Q418" s="678"/>
      <c r="R418" s="678"/>
      <c r="S418" s="678"/>
      <c r="T418" s="678"/>
      <c r="U418" s="678"/>
      <c r="V418" s="678"/>
      <c r="W418" s="678"/>
      <c r="X418" s="678"/>
      <c r="Y418" s="678"/>
      <c r="Z418" s="678"/>
      <c r="AA418" s="678"/>
      <c r="AB418" s="678"/>
      <c r="AC418" s="678"/>
      <c r="AD418" s="678"/>
      <c r="AE418" s="678"/>
      <c r="AF418" s="678"/>
      <c r="AG418" s="678"/>
      <c r="AH418" s="678"/>
      <c r="AI418" s="678"/>
      <c r="AJ418" s="678"/>
      <c r="AK418" s="658"/>
    </row>
    <row r="419" spans="2:37" s="5" customFormat="1">
      <c r="B419" s="313"/>
      <c r="C419" s="835"/>
      <c r="D419" s="17" t="s">
        <v>4</v>
      </c>
      <c r="E419" s="67" t="s">
        <v>29</v>
      </c>
      <c r="F419" s="84">
        <f>E413/5*2</f>
        <v>28872.159999999996</v>
      </c>
      <c r="G419" s="64">
        <f>$H$4</f>
        <v>0</v>
      </c>
      <c r="H419" s="64">
        <f>+G419*F419</f>
        <v>0</v>
      </c>
      <c r="I419" s="79"/>
      <c r="J419" s="52"/>
      <c r="K419" s="156"/>
      <c r="L419" s="383"/>
      <c r="M419" s="542"/>
      <c r="N419" s="578">
        <f t="shared" si="13"/>
        <v>0</v>
      </c>
      <c r="O419" s="678"/>
      <c r="P419" s="678"/>
      <c r="Q419" s="678"/>
      <c r="R419" s="678"/>
      <c r="S419" s="678"/>
      <c r="T419" s="678"/>
      <c r="U419" s="678"/>
      <c r="V419" s="678"/>
      <c r="W419" s="678"/>
      <c r="X419" s="678"/>
      <c r="Y419" s="678"/>
      <c r="Z419" s="678"/>
      <c r="AA419" s="678"/>
      <c r="AB419" s="678"/>
      <c r="AC419" s="678"/>
      <c r="AD419" s="678"/>
      <c r="AE419" s="678"/>
      <c r="AF419" s="678"/>
      <c r="AG419" s="678"/>
      <c r="AH419" s="678"/>
      <c r="AI419" s="678"/>
      <c r="AJ419" s="678"/>
      <c r="AK419" s="658"/>
    </row>
    <row r="420" spans="2:37" s="5" customFormat="1">
      <c r="B420" s="313"/>
      <c r="C420" s="835"/>
      <c r="D420" s="17" t="s">
        <v>5</v>
      </c>
      <c r="E420" s="81" t="s">
        <v>27</v>
      </c>
      <c r="F420" s="84">
        <f>E413</f>
        <v>72180.399999999994</v>
      </c>
      <c r="G420" s="99">
        <v>0.6</v>
      </c>
      <c r="H420" s="64">
        <f>+G420*F420</f>
        <v>43308.24</v>
      </c>
      <c r="I420" s="79"/>
      <c r="J420" s="52"/>
      <c r="K420" s="156"/>
      <c r="L420" s="383"/>
      <c r="M420" s="542"/>
      <c r="N420" s="578">
        <f t="shared" si="13"/>
        <v>-43308.24</v>
      </c>
      <c r="O420" s="678"/>
      <c r="P420" s="678"/>
      <c r="Q420" s="678"/>
      <c r="R420" s="678"/>
      <c r="S420" s="678"/>
      <c r="T420" s="678"/>
      <c r="U420" s="678"/>
      <c r="V420" s="678"/>
      <c r="W420" s="678"/>
      <c r="X420" s="678"/>
      <c r="Y420" s="678"/>
      <c r="Z420" s="678"/>
      <c r="AA420" s="678"/>
      <c r="AB420" s="678"/>
      <c r="AC420" s="679"/>
      <c r="AD420" s="678"/>
      <c r="AE420" s="678"/>
      <c r="AF420" s="678"/>
      <c r="AG420" s="678"/>
      <c r="AH420" s="678"/>
      <c r="AI420" s="678"/>
      <c r="AJ420" s="678"/>
      <c r="AK420" s="658"/>
    </row>
    <row r="421" spans="2:37" s="5" customFormat="1">
      <c r="B421" s="313"/>
      <c r="C421" s="835"/>
      <c r="D421" s="17" t="s">
        <v>30</v>
      </c>
      <c r="E421" s="67" t="s">
        <v>16</v>
      </c>
      <c r="F421" s="101">
        <f>G415+G416+G420</f>
        <v>14.6</v>
      </c>
      <c r="G421" s="68" t="s">
        <v>31</v>
      </c>
      <c r="H421" s="64">
        <f>SUM(H415:H420)</f>
        <v>1308515.8195454543</v>
      </c>
      <c r="I421" s="79"/>
      <c r="J421" s="52"/>
      <c r="K421" s="156"/>
      <c r="L421" s="383"/>
      <c r="M421" s="542"/>
      <c r="N421" s="578">
        <f t="shared" si="13"/>
        <v>-1308515.8195454543</v>
      </c>
      <c r="O421" s="678"/>
      <c r="P421" s="678"/>
      <c r="Q421" s="678"/>
      <c r="R421" s="678"/>
      <c r="S421" s="678"/>
      <c r="T421" s="678"/>
      <c r="U421" s="678"/>
      <c r="V421" s="678"/>
      <c r="W421" s="678"/>
      <c r="X421" s="678"/>
      <c r="Y421" s="678"/>
      <c r="Z421" s="678"/>
      <c r="AA421" s="678"/>
      <c r="AB421" s="678"/>
      <c r="AC421" s="678"/>
      <c r="AD421" s="678"/>
      <c r="AE421" s="678"/>
      <c r="AF421" s="678"/>
      <c r="AG421" s="678"/>
      <c r="AH421" s="678"/>
      <c r="AI421" s="678"/>
      <c r="AJ421" s="678"/>
      <c r="AK421" s="658"/>
    </row>
    <row r="422" spans="2:37" s="5" customFormat="1">
      <c r="B422" s="313"/>
      <c r="C422" s="835"/>
      <c r="D422" s="19" t="s">
        <v>32</v>
      </c>
      <c r="E422" s="67" t="s">
        <v>16</v>
      </c>
      <c r="F422" s="84">
        <f>SUM(H415:H420)</f>
        <v>1308515.8195454543</v>
      </c>
      <c r="G422" s="92">
        <f>$G$43</f>
        <v>8.3299999999999999E-2</v>
      </c>
      <c r="H422" s="64">
        <f>+G422*F422</f>
        <v>108999.36776813635</v>
      </c>
      <c r="I422" s="93"/>
      <c r="J422" s="52"/>
      <c r="K422" s="156"/>
      <c r="L422" s="383"/>
      <c r="M422" s="542"/>
      <c r="N422" s="578">
        <f t="shared" si="13"/>
        <v>-108999.36776813635</v>
      </c>
      <c r="O422" s="679"/>
      <c r="P422" s="679"/>
      <c r="Q422" s="679"/>
      <c r="R422" s="679"/>
      <c r="S422" s="679"/>
      <c r="T422" s="679"/>
      <c r="U422" s="679"/>
      <c r="V422" s="679"/>
      <c r="W422" s="679"/>
      <c r="X422" s="679"/>
      <c r="Y422" s="679"/>
      <c r="Z422" s="679"/>
      <c r="AA422" s="679"/>
      <c r="AB422" s="679"/>
      <c r="AC422" s="679"/>
      <c r="AD422" s="678"/>
      <c r="AE422" s="678"/>
      <c r="AF422" s="678"/>
      <c r="AG422" s="678"/>
      <c r="AH422" s="678"/>
      <c r="AI422" s="678"/>
      <c r="AJ422" s="678"/>
      <c r="AK422" s="658"/>
    </row>
    <row r="423" spans="2:37" s="5" customFormat="1">
      <c r="B423" s="313"/>
      <c r="C423" s="835"/>
      <c r="D423" s="19" t="s">
        <v>33</v>
      </c>
      <c r="E423" s="84">
        <f>F422/(5*F421)</f>
        <v>17924.87424034869</v>
      </c>
      <c r="F423" s="84">
        <f>E423*(F421*7)</f>
        <v>1831922.1473636362</v>
      </c>
      <c r="G423" s="95">
        <f>$G$44</f>
        <v>20</v>
      </c>
      <c r="H423" s="64">
        <f>F423/G423</f>
        <v>91596.107368181809</v>
      </c>
      <c r="I423" s="72">
        <f>SUM(H421:H423)+H414</f>
        <v>1942193.6946817725</v>
      </c>
      <c r="J423" s="52">
        <f>SUM(G415:G423)</f>
        <v>40.683300000000003</v>
      </c>
      <c r="K423" s="156"/>
      <c r="L423" s="383"/>
      <c r="M423" s="542"/>
      <c r="N423" s="578">
        <f t="shared" si="13"/>
        <v>-91596.107368181809</v>
      </c>
      <c r="O423" s="678"/>
      <c r="P423" s="678"/>
      <c r="Q423" s="678"/>
      <c r="R423" s="678"/>
      <c r="S423" s="678"/>
      <c r="T423" s="678"/>
      <c r="U423" s="678"/>
      <c r="V423" s="678"/>
      <c r="W423" s="678"/>
      <c r="X423" s="678"/>
      <c r="Y423" s="678"/>
      <c r="Z423" s="678"/>
      <c r="AA423" s="678"/>
      <c r="AB423" s="678"/>
      <c r="AC423" s="678"/>
      <c r="AD423" s="678"/>
      <c r="AE423" s="678"/>
      <c r="AF423" s="678"/>
      <c r="AG423" s="678"/>
      <c r="AH423" s="678"/>
      <c r="AI423" s="678"/>
      <c r="AJ423" s="678"/>
      <c r="AK423" s="658"/>
    </row>
    <row r="424" spans="2:37" s="5" customFormat="1">
      <c r="B424" s="313"/>
      <c r="C424" s="835"/>
      <c r="D424" s="96"/>
      <c r="E424" s="9"/>
      <c r="F424" s="74"/>
      <c r="G424" s="97"/>
      <c r="H424" s="78"/>
      <c r="I424" s="79"/>
      <c r="J424" s="52"/>
      <c r="K424" s="156"/>
      <c r="L424" s="383"/>
      <c r="M424" s="542"/>
      <c r="N424" s="578">
        <f t="shared" si="13"/>
        <v>0</v>
      </c>
      <c r="O424" s="678"/>
      <c r="P424" s="678"/>
      <c r="Q424" s="678"/>
      <c r="R424" s="678"/>
      <c r="S424" s="678"/>
      <c r="T424" s="678"/>
      <c r="U424" s="678"/>
      <c r="V424" s="678"/>
      <c r="W424" s="678"/>
      <c r="X424" s="678"/>
      <c r="Y424" s="678"/>
      <c r="Z424" s="678"/>
      <c r="AA424" s="678"/>
      <c r="AB424" s="678"/>
      <c r="AC424" s="678"/>
      <c r="AD424" s="678"/>
      <c r="AE424" s="678"/>
      <c r="AF424" s="678"/>
      <c r="AG424" s="678"/>
      <c r="AH424" s="678"/>
      <c r="AI424" s="678"/>
      <c r="AJ424" s="678"/>
      <c r="AK424" s="658"/>
    </row>
    <row r="425" spans="2:37" s="5" customFormat="1" ht="15" customHeight="1">
      <c r="B425" s="317">
        <v>35</v>
      </c>
      <c r="C425" s="835" t="s">
        <v>897</v>
      </c>
      <c r="D425" s="80" t="s">
        <v>65</v>
      </c>
      <c r="E425" s="81">
        <v>52273.75</v>
      </c>
      <c r="F425" s="74"/>
      <c r="G425" s="75"/>
      <c r="H425" s="82"/>
      <c r="I425" s="83"/>
      <c r="J425" s="52"/>
      <c r="K425" s="156"/>
      <c r="L425" s="383"/>
      <c r="M425" s="542"/>
      <c r="N425" s="578">
        <f t="shared" si="13"/>
        <v>0</v>
      </c>
      <c r="O425" s="678"/>
      <c r="P425" s="678"/>
      <c r="Q425" s="678"/>
      <c r="R425" s="678"/>
      <c r="S425" s="678"/>
      <c r="T425" s="678"/>
      <c r="U425" s="678"/>
      <c r="V425" s="678"/>
      <c r="W425" s="678"/>
      <c r="X425" s="678"/>
      <c r="Y425" s="678"/>
      <c r="Z425" s="678"/>
      <c r="AA425" s="678"/>
      <c r="AB425" s="678"/>
      <c r="AC425" s="678"/>
      <c r="AD425" s="678"/>
      <c r="AE425" s="678"/>
      <c r="AF425" s="678"/>
      <c r="AG425" s="678"/>
      <c r="AH425" s="678"/>
      <c r="AI425" s="678"/>
      <c r="AJ425" s="678"/>
      <c r="AK425" s="658"/>
    </row>
    <row r="426" spans="2:37" s="5" customFormat="1">
      <c r="B426" s="313"/>
      <c r="C426" s="835"/>
      <c r="D426" s="17" t="s">
        <v>0</v>
      </c>
      <c r="E426" s="81" t="s">
        <v>27</v>
      </c>
      <c r="F426" s="84">
        <f>E425</f>
        <v>52273.75</v>
      </c>
      <c r="G426" s="64">
        <v>6</v>
      </c>
      <c r="H426" s="64">
        <f>+G426*F426</f>
        <v>313642.5</v>
      </c>
      <c r="I426" s="79"/>
      <c r="J426" s="52"/>
      <c r="K426" s="156"/>
      <c r="L426" s="383"/>
      <c r="M426" s="542"/>
      <c r="N426" s="578">
        <f t="shared" si="13"/>
        <v>-313642.5</v>
      </c>
      <c r="O426" s="678"/>
      <c r="P426" s="678"/>
      <c r="Q426" s="678"/>
      <c r="R426" s="678"/>
      <c r="S426" s="678"/>
      <c r="T426" s="678"/>
      <c r="U426" s="678"/>
      <c r="V426" s="678"/>
      <c r="W426" s="678"/>
      <c r="X426" s="678"/>
      <c r="Y426" s="678"/>
      <c r="Z426" s="678"/>
      <c r="AA426" s="678"/>
      <c r="AB426" s="678"/>
      <c r="AC426" s="678"/>
      <c r="AD426" s="678"/>
      <c r="AE426" s="678"/>
      <c r="AF426" s="678"/>
      <c r="AG426" s="678"/>
      <c r="AH426" s="678"/>
      <c r="AI426" s="678"/>
      <c r="AJ426" s="678"/>
      <c r="AK426" s="658"/>
    </row>
    <row r="427" spans="2:37" s="5" customFormat="1">
      <c r="B427" s="313"/>
      <c r="C427" s="835"/>
      <c r="D427" s="17" t="s">
        <v>3</v>
      </c>
      <c r="E427" s="81" t="s">
        <v>27</v>
      </c>
      <c r="F427" s="84">
        <f>E425</f>
        <v>52273.75</v>
      </c>
      <c r="G427" s="64">
        <v>6</v>
      </c>
      <c r="H427" s="64">
        <f>+G427*F427</f>
        <v>313642.5</v>
      </c>
      <c r="I427" s="79"/>
      <c r="J427" s="52"/>
      <c r="K427" s="156"/>
      <c r="L427" s="383"/>
      <c r="M427" s="542"/>
      <c r="N427" s="578">
        <f t="shared" si="13"/>
        <v>-313642.5</v>
      </c>
      <c r="O427" s="678"/>
      <c r="P427" s="678"/>
      <c r="Q427" s="678"/>
      <c r="R427" s="678"/>
      <c r="S427" s="678"/>
      <c r="T427" s="678"/>
      <c r="U427" s="678"/>
      <c r="V427" s="678"/>
      <c r="W427" s="678"/>
      <c r="X427" s="678"/>
      <c r="Y427" s="678"/>
      <c r="Z427" s="678"/>
      <c r="AA427" s="678"/>
      <c r="AB427" s="678"/>
      <c r="AC427" s="678"/>
      <c r="AD427" s="678"/>
      <c r="AE427" s="678"/>
      <c r="AF427" s="678"/>
      <c r="AG427" s="678"/>
      <c r="AH427" s="678"/>
      <c r="AI427" s="678"/>
      <c r="AJ427" s="678"/>
      <c r="AK427" s="658"/>
    </row>
    <row r="428" spans="2:37" s="5" customFormat="1">
      <c r="B428" s="313"/>
      <c r="C428" s="835"/>
      <c r="D428" s="17" t="s">
        <v>28</v>
      </c>
      <c r="E428" s="88">
        <f>$H$5+2.5+2</f>
        <v>17.75</v>
      </c>
      <c r="F428" s="84">
        <f>E425/44*1.5</f>
        <v>1782.059659090909</v>
      </c>
      <c r="G428" s="87">
        <v>6</v>
      </c>
      <c r="H428" s="64">
        <f>+G428*F428*E428</f>
        <v>189789.35369318182</v>
      </c>
      <c r="I428" s="79"/>
      <c r="J428" s="52"/>
      <c r="K428" s="156"/>
      <c r="L428" s="383"/>
      <c r="M428" s="542"/>
      <c r="N428" s="578">
        <f t="shared" si="13"/>
        <v>-189789.35369318182</v>
      </c>
      <c r="O428" s="678"/>
      <c r="P428" s="678"/>
      <c r="Q428" s="678"/>
      <c r="R428" s="678"/>
      <c r="S428" s="678"/>
      <c r="T428" s="678"/>
      <c r="U428" s="678"/>
      <c r="V428" s="678"/>
      <c r="W428" s="678"/>
      <c r="X428" s="678"/>
      <c r="Y428" s="678"/>
      <c r="Z428" s="678"/>
      <c r="AA428" s="678"/>
      <c r="AB428" s="678"/>
      <c r="AC428" s="678"/>
      <c r="AD428" s="678"/>
      <c r="AE428" s="678"/>
      <c r="AF428" s="678"/>
      <c r="AG428" s="678"/>
      <c r="AH428" s="678"/>
      <c r="AI428" s="678"/>
      <c r="AJ428" s="678"/>
      <c r="AK428" s="658"/>
    </row>
    <row r="429" spans="2:37" s="5" customFormat="1">
      <c r="B429" s="313"/>
      <c r="C429" s="835"/>
      <c r="D429" s="17" t="s">
        <v>1</v>
      </c>
      <c r="E429" s="67" t="s">
        <v>29</v>
      </c>
      <c r="F429" s="84">
        <f>E425/5*1.5</f>
        <v>15682.125</v>
      </c>
      <c r="G429" s="64">
        <f>$H$3</f>
        <v>0</v>
      </c>
      <c r="H429" s="64">
        <f>+G429*F429</f>
        <v>0</v>
      </c>
      <c r="I429" s="79"/>
      <c r="J429" s="52"/>
      <c r="K429" s="156"/>
      <c r="L429" s="383"/>
      <c r="M429" s="542"/>
      <c r="N429" s="578">
        <f t="shared" si="13"/>
        <v>0</v>
      </c>
      <c r="O429" s="678"/>
      <c r="P429" s="678"/>
      <c r="Q429" s="678"/>
      <c r="R429" s="678"/>
      <c r="S429" s="678"/>
      <c r="T429" s="678"/>
      <c r="U429" s="678"/>
      <c r="V429" s="678"/>
      <c r="W429" s="678"/>
      <c r="X429" s="678"/>
      <c r="Y429" s="678"/>
      <c r="Z429" s="678"/>
      <c r="AA429" s="678"/>
      <c r="AB429" s="678"/>
      <c r="AC429" s="678"/>
      <c r="AD429" s="678"/>
      <c r="AE429" s="678"/>
      <c r="AF429" s="678"/>
      <c r="AG429" s="678"/>
      <c r="AH429" s="678"/>
      <c r="AI429" s="678"/>
      <c r="AJ429" s="678"/>
      <c r="AK429" s="658"/>
    </row>
    <row r="430" spans="2:37" s="5" customFormat="1">
      <c r="B430" s="313"/>
      <c r="C430" s="835"/>
      <c r="D430" s="17" t="s">
        <v>4</v>
      </c>
      <c r="E430" s="67" t="s">
        <v>29</v>
      </c>
      <c r="F430" s="84">
        <f>E425/5*2</f>
        <v>20909.5</v>
      </c>
      <c r="G430" s="64">
        <f>$H$4</f>
        <v>0</v>
      </c>
      <c r="H430" s="64">
        <f>+G430*F430</f>
        <v>0</v>
      </c>
      <c r="I430" s="79"/>
      <c r="J430" s="52"/>
      <c r="K430" s="156"/>
      <c r="L430" s="383"/>
      <c r="M430" s="542"/>
      <c r="N430" s="578">
        <f t="shared" si="13"/>
        <v>0</v>
      </c>
      <c r="O430" s="678"/>
      <c r="P430" s="678"/>
      <c r="Q430" s="678"/>
      <c r="R430" s="678"/>
      <c r="S430" s="678"/>
      <c r="T430" s="678"/>
      <c r="U430" s="678"/>
      <c r="V430" s="678"/>
      <c r="W430" s="678"/>
      <c r="X430" s="678"/>
      <c r="Y430" s="678"/>
      <c r="Z430" s="678"/>
      <c r="AA430" s="678"/>
      <c r="AB430" s="678"/>
      <c r="AC430" s="678"/>
      <c r="AD430" s="678"/>
      <c r="AE430" s="678"/>
      <c r="AF430" s="678"/>
      <c r="AG430" s="678"/>
      <c r="AH430" s="678"/>
      <c r="AI430" s="678"/>
      <c r="AJ430" s="678"/>
      <c r="AK430" s="658"/>
    </row>
    <row r="431" spans="2:37" s="5" customFormat="1">
      <c r="B431" s="313"/>
      <c r="C431" s="835"/>
      <c r="D431" s="17" t="s">
        <v>5</v>
      </c>
      <c r="E431" s="81" t="s">
        <v>27</v>
      </c>
      <c r="F431" s="84">
        <f>E425</f>
        <v>52273.75</v>
      </c>
      <c r="G431" s="99">
        <v>0.6</v>
      </c>
      <c r="H431" s="64">
        <f>+G431*F431</f>
        <v>31364.25</v>
      </c>
      <c r="I431" s="79"/>
      <c r="J431" s="52"/>
      <c r="K431" s="156"/>
      <c r="L431" s="383"/>
      <c r="M431" s="542"/>
      <c r="N431" s="578">
        <f t="shared" si="13"/>
        <v>-31364.25</v>
      </c>
      <c r="O431" s="678"/>
      <c r="P431" s="678"/>
      <c r="Q431" s="678"/>
      <c r="R431" s="678"/>
      <c r="S431" s="678"/>
      <c r="T431" s="678"/>
      <c r="U431" s="678"/>
      <c r="V431" s="678"/>
      <c r="W431" s="678"/>
      <c r="X431" s="678"/>
      <c r="Y431" s="678"/>
      <c r="Z431" s="678"/>
      <c r="AA431" s="678"/>
      <c r="AB431" s="678"/>
      <c r="AC431" s="679"/>
      <c r="AD431" s="678"/>
      <c r="AE431" s="678"/>
      <c r="AF431" s="678"/>
      <c r="AG431" s="678"/>
      <c r="AH431" s="678"/>
      <c r="AI431" s="678"/>
      <c r="AJ431" s="678"/>
      <c r="AK431" s="658"/>
    </row>
    <row r="432" spans="2:37" s="5" customFormat="1">
      <c r="B432" s="313"/>
      <c r="C432" s="835"/>
      <c r="D432" s="17" t="s">
        <v>30</v>
      </c>
      <c r="E432" s="67" t="s">
        <v>16</v>
      </c>
      <c r="F432" s="101">
        <f>G426+G427+G431</f>
        <v>12.6</v>
      </c>
      <c r="G432" s="68" t="s">
        <v>31</v>
      </c>
      <c r="H432" s="64">
        <f>SUM(H426:H431)</f>
        <v>848438.60369318188</v>
      </c>
      <c r="I432" s="79"/>
      <c r="J432" s="52"/>
      <c r="K432" s="156"/>
      <c r="L432" s="383"/>
      <c r="M432" s="542"/>
      <c r="N432" s="578">
        <f t="shared" si="13"/>
        <v>-848438.60369318188</v>
      </c>
      <c r="O432" s="678"/>
      <c r="P432" s="678"/>
      <c r="Q432" s="678"/>
      <c r="R432" s="678"/>
      <c r="S432" s="678"/>
      <c r="T432" s="678"/>
      <c r="U432" s="678"/>
      <c r="V432" s="678"/>
      <c r="W432" s="678"/>
      <c r="X432" s="678"/>
      <c r="Y432" s="678"/>
      <c r="Z432" s="678"/>
      <c r="AA432" s="678"/>
      <c r="AB432" s="678"/>
      <c r="AC432" s="678"/>
      <c r="AD432" s="678"/>
      <c r="AE432" s="678"/>
      <c r="AF432" s="678"/>
      <c r="AG432" s="678"/>
      <c r="AH432" s="678"/>
      <c r="AI432" s="678"/>
      <c r="AJ432" s="678"/>
      <c r="AK432" s="658"/>
    </row>
    <row r="433" spans="2:37" s="5" customFormat="1">
      <c r="B433" s="313"/>
      <c r="C433" s="835"/>
      <c r="D433" s="19" t="s">
        <v>32</v>
      </c>
      <c r="E433" s="67" t="s">
        <v>16</v>
      </c>
      <c r="F433" s="84">
        <f>SUM(H426:H431)</f>
        <v>848438.60369318188</v>
      </c>
      <c r="G433" s="92">
        <f>$G$43</f>
        <v>8.3299999999999999E-2</v>
      </c>
      <c r="H433" s="64">
        <f>+G433*F433</f>
        <v>70674.93568764205</v>
      </c>
      <c r="I433" s="93"/>
      <c r="J433" s="52"/>
      <c r="K433" s="156"/>
      <c r="L433" s="383"/>
      <c r="M433" s="542"/>
      <c r="N433" s="578">
        <f t="shared" si="13"/>
        <v>-70674.93568764205</v>
      </c>
      <c r="O433" s="679"/>
      <c r="P433" s="679"/>
      <c r="Q433" s="679"/>
      <c r="R433" s="679"/>
      <c r="S433" s="679"/>
      <c r="T433" s="679"/>
      <c r="U433" s="679"/>
      <c r="V433" s="679"/>
      <c r="W433" s="679"/>
      <c r="X433" s="679"/>
      <c r="Y433" s="679"/>
      <c r="Z433" s="679"/>
      <c r="AA433" s="679"/>
      <c r="AB433" s="679"/>
      <c r="AC433" s="679"/>
      <c r="AD433" s="678"/>
      <c r="AE433" s="678"/>
      <c r="AF433" s="678"/>
      <c r="AG433" s="678"/>
      <c r="AH433" s="678"/>
      <c r="AI433" s="678"/>
      <c r="AJ433" s="678"/>
      <c r="AK433" s="658"/>
    </row>
    <row r="434" spans="2:37" s="5" customFormat="1">
      <c r="B434" s="313"/>
      <c r="C434" s="835"/>
      <c r="D434" s="19" t="s">
        <v>33</v>
      </c>
      <c r="E434" s="84">
        <f>F433/(5*F432)</f>
        <v>13467.2794237013</v>
      </c>
      <c r="F434" s="84">
        <f>E434*(F432*7)</f>
        <v>1187814.0451704548</v>
      </c>
      <c r="G434" s="95">
        <f>$G$44</f>
        <v>20</v>
      </c>
      <c r="H434" s="64">
        <f>F434/G434</f>
        <v>59390.702258522739</v>
      </c>
      <c r="I434" s="72">
        <f>SUM(H432:H434)</f>
        <v>978504.2416393467</v>
      </c>
      <c r="J434" s="52">
        <f>SUM(G426:G434)</f>
        <v>38.683300000000003</v>
      </c>
      <c r="K434" s="156"/>
      <c r="L434" s="383"/>
      <c r="M434" s="542"/>
      <c r="N434" s="578">
        <f t="shared" si="13"/>
        <v>-59390.702258522739</v>
      </c>
      <c r="O434" s="678"/>
      <c r="P434" s="678"/>
      <c r="Q434" s="678"/>
      <c r="R434" s="678"/>
      <c r="S434" s="678"/>
      <c r="T434" s="678"/>
      <c r="U434" s="678"/>
      <c r="V434" s="678"/>
      <c r="W434" s="678"/>
      <c r="X434" s="678"/>
      <c r="Y434" s="678"/>
      <c r="Z434" s="678"/>
      <c r="AA434" s="678"/>
      <c r="AB434" s="678"/>
      <c r="AC434" s="678"/>
      <c r="AD434" s="678"/>
      <c r="AE434" s="678"/>
      <c r="AF434" s="678"/>
      <c r="AG434" s="678"/>
      <c r="AH434" s="678"/>
      <c r="AI434" s="678"/>
      <c r="AJ434" s="678"/>
      <c r="AK434" s="658"/>
    </row>
    <row r="435" spans="2:37" s="5" customFormat="1">
      <c r="B435" s="313"/>
      <c r="C435" s="835"/>
      <c r="D435" s="96"/>
      <c r="E435" s="100"/>
      <c r="F435" s="74"/>
      <c r="G435" s="97"/>
      <c r="H435" s="78"/>
      <c r="I435" s="79"/>
      <c r="J435" s="52"/>
      <c r="K435" s="156"/>
      <c r="L435" s="383"/>
      <c r="M435" s="542"/>
      <c r="N435" s="578">
        <f t="shared" si="13"/>
        <v>0</v>
      </c>
      <c r="O435" s="678"/>
      <c r="P435" s="678"/>
      <c r="Q435" s="678"/>
      <c r="R435" s="678"/>
      <c r="S435" s="678"/>
      <c r="T435" s="678"/>
      <c r="U435" s="678"/>
      <c r="V435" s="678"/>
      <c r="W435" s="678"/>
      <c r="X435" s="678"/>
      <c r="Y435" s="678"/>
      <c r="Z435" s="678"/>
      <c r="AA435" s="678"/>
      <c r="AB435" s="678"/>
      <c r="AC435" s="678"/>
      <c r="AD435" s="678"/>
      <c r="AE435" s="678"/>
      <c r="AF435" s="678"/>
      <c r="AG435" s="678"/>
      <c r="AH435" s="678"/>
      <c r="AI435" s="678"/>
      <c r="AJ435" s="678"/>
      <c r="AK435" s="658"/>
    </row>
    <row r="436" spans="2:37" s="5" customFormat="1" ht="15" customHeight="1">
      <c r="B436" s="317">
        <v>36</v>
      </c>
      <c r="C436" s="835" t="s">
        <v>898</v>
      </c>
      <c r="D436" s="80" t="s">
        <v>65</v>
      </c>
      <c r="E436" s="81">
        <f>+E425</f>
        <v>52273.75</v>
      </c>
      <c r="F436" s="74"/>
      <c r="G436" s="75"/>
      <c r="H436" s="82"/>
      <c r="I436" s="83"/>
      <c r="J436" s="52"/>
      <c r="K436" s="156"/>
      <c r="L436" s="383"/>
      <c r="M436" s="542"/>
      <c r="N436" s="578">
        <f t="shared" si="13"/>
        <v>0</v>
      </c>
      <c r="O436" s="678"/>
      <c r="P436" s="678"/>
      <c r="Q436" s="678"/>
      <c r="R436" s="678"/>
      <c r="S436" s="678"/>
      <c r="T436" s="678"/>
      <c r="U436" s="678"/>
      <c r="V436" s="678"/>
      <c r="W436" s="678"/>
      <c r="X436" s="678"/>
      <c r="Y436" s="678"/>
      <c r="Z436" s="678"/>
      <c r="AA436" s="678"/>
      <c r="AB436" s="678"/>
      <c r="AC436" s="678"/>
      <c r="AD436" s="678"/>
      <c r="AE436" s="678"/>
      <c r="AF436" s="678"/>
      <c r="AG436" s="678"/>
      <c r="AH436" s="678"/>
      <c r="AI436" s="678"/>
      <c r="AJ436" s="678"/>
      <c r="AK436" s="658"/>
    </row>
    <row r="437" spans="2:37" s="5" customFormat="1">
      <c r="B437" s="313"/>
      <c r="C437" s="835"/>
      <c r="D437" s="17" t="s">
        <v>0</v>
      </c>
      <c r="E437" s="81" t="s">
        <v>27</v>
      </c>
      <c r="F437" s="84">
        <f>E436</f>
        <v>52273.75</v>
      </c>
      <c r="G437" s="64">
        <v>6</v>
      </c>
      <c r="H437" s="64">
        <f>+G437*F437</f>
        <v>313642.5</v>
      </c>
      <c r="I437" s="79"/>
      <c r="J437" s="52"/>
      <c r="K437" s="156"/>
      <c r="L437" s="383"/>
      <c r="M437" s="542"/>
      <c r="N437" s="578">
        <f t="shared" si="13"/>
        <v>-313642.5</v>
      </c>
      <c r="O437" s="678"/>
      <c r="P437" s="678"/>
      <c r="Q437" s="678"/>
      <c r="R437" s="678"/>
      <c r="S437" s="678"/>
      <c r="T437" s="678"/>
      <c r="U437" s="678"/>
      <c r="V437" s="678"/>
      <c r="W437" s="678"/>
      <c r="X437" s="678"/>
      <c r="Y437" s="678"/>
      <c r="Z437" s="678"/>
      <c r="AA437" s="678"/>
      <c r="AB437" s="678"/>
      <c r="AC437" s="678"/>
      <c r="AD437" s="678"/>
      <c r="AE437" s="678"/>
      <c r="AF437" s="678"/>
      <c r="AG437" s="678"/>
      <c r="AH437" s="678"/>
      <c r="AI437" s="678"/>
      <c r="AJ437" s="678"/>
      <c r="AK437" s="658"/>
    </row>
    <row r="438" spans="2:37" s="5" customFormat="1">
      <c r="B438" s="313"/>
      <c r="C438" s="835"/>
      <c r="D438" s="17" t="s">
        <v>3</v>
      </c>
      <c r="E438" s="81" t="s">
        <v>27</v>
      </c>
      <c r="F438" s="84">
        <f>E436</f>
        <v>52273.75</v>
      </c>
      <c r="G438" s="64">
        <v>6</v>
      </c>
      <c r="H438" s="64">
        <f>+G438*F438</f>
        <v>313642.5</v>
      </c>
      <c r="I438" s="79"/>
      <c r="J438" s="52"/>
      <c r="K438" s="156"/>
      <c r="L438" s="383"/>
      <c r="M438" s="542"/>
      <c r="N438" s="578">
        <f t="shared" si="13"/>
        <v>-313642.5</v>
      </c>
      <c r="O438" s="678"/>
      <c r="P438" s="678"/>
      <c r="Q438" s="678"/>
      <c r="R438" s="678"/>
      <c r="S438" s="678"/>
      <c r="T438" s="678"/>
      <c r="U438" s="678"/>
      <c r="V438" s="678"/>
      <c r="W438" s="678"/>
      <c r="X438" s="678"/>
      <c r="Y438" s="678"/>
      <c r="Z438" s="678"/>
      <c r="AA438" s="678"/>
      <c r="AB438" s="678"/>
      <c r="AC438" s="678"/>
      <c r="AD438" s="678"/>
      <c r="AE438" s="678"/>
      <c r="AF438" s="678"/>
      <c r="AG438" s="678"/>
      <c r="AH438" s="678"/>
      <c r="AI438" s="678"/>
      <c r="AJ438" s="678"/>
      <c r="AK438" s="658"/>
    </row>
    <row r="439" spans="2:37" s="5" customFormat="1">
      <c r="B439" s="313"/>
      <c r="C439" s="835"/>
      <c r="D439" s="17" t="s">
        <v>28</v>
      </c>
      <c r="E439" s="88">
        <f>$H$5+2.5+2</f>
        <v>17.75</v>
      </c>
      <c r="F439" s="84">
        <f>E436/44*1.5</f>
        <v>1782.059659090909</v>
      </c>
      <c r="G439" s="87">
        <v>6</v>
      </c>
      <c r="H439" s="64">
        <f>+G439*F439*E439</f>
        <v>189789.35369318182</v>
      </c>
      <c r="I439" s="79"/>
      <c r="J439" s="52"/>
      <c r="K439" s="156"/>
      <c r="L439" s="383"/>
      <c r="M439" s="542"/>
      <c r="N439" s="578">
        <f t="shared" si="13"/>
        <v>-189789.35369318182</v>
      </c>
      <c r="O439" s="678"/>
      <c r="P439" s="678"/>
      <c r="Q439" s="678"/>
      <c r="R439" s="678"/>
      <c r="S439" s="678"/>
      <c r="T439" s="678"/>
      <c r="U439" s="678"/>
      <c r="V439" s="678"/>
      <c r="W439" s="678"/>
      <c r="X439" s="678"/>
      <c r="Y439" s="678"/>
      <c r="Z439" s="678"/>
      <c r="AA439" s="678"/>
      <c r="AB439" s="678"/>
      <c r="AC439" s="678"/>
      <c r="AD439" s="678"/>
      <c r="AE439" s="678"/>
      <c r="AF439" s="678"/>
      <c r="AG439" s="678"/>
      <c r="AH439" s="678"/>
      <c r="AI439" s="678"/>
      <c r="AJ439" s="678"/>
      <c r="AK439" s="658"/>
    </row>
    <row r="440" spans="2:37" s="5" customFormat="1">
      <c r="B440" s="313"/>
      <c r="C440" s="835"/>
      <c r="D440" s="17" t="s">
        <v>1</v>
      </c>
      <c r="E440" s="67" t="s">
        <v>29</v>
      </c>
      <c r="F440" s="84">
        <f>E436/5*1.5</f>
        <v>15682.125</v>
      </c>
      <c r="G440" s="64">
        <f>$H$3</f>
        <v>0</v>
      </c>
      <c r="H440" s="64">
        <f>+G440*F440</f>
        <v>0</v>
      </c>
      <c r="I440" s="79"/>
      <c r="J440" s="52"/>
      <c r="K440" s="156"/>
      <c r="L440" s="383"/>
      <c r="M440" s="542"/>
      <c r="N440" s="578">
        <f t="shared" si="13"/>
        <v>0</v>
      </c>
      <c r="O440" s="678"/>
      <c r="P440" s="678"/>
      <c r="Q440" s="678"/>
      <c r="R440" s="678"/>
      <c r="S440" s="678"/>
      <c r="T440" s="678"/>
      <c r="U440" s="678"/>
      <c r="V440" s="678"/>
      <c r="W440" s="678"/>
      <c r="X440" s="678"/>
      <c r="Y440" s="678"/>
      <c r="Z440" s="678"/>
      <c r="AA440" s="678"/>
      <c r="AB440" s="678"/>
      <c r="AC440" s="678"/>
      <c r="AD440" s="678"/>
      <c r="AE440" s="678"/>
      <c r="AF440" s="678"/>
      <c r="AG440" s="678"/>
      <c r="AH440" s="678"/>
      <c r="AI440" s="678"/>
      <c r="AJ440" s="678"/>
      <c r="AK440" s="658"/>
    </row>
    <row r="441" spans="2:37" s="5" customFormat="1">
      <c r="B441" s="313"/>
      <c r="C441" s="835"/>
      <c r="D441" s="17" t="s">
        <v>4</v>
      </c>
      <c r="E441" s="67" t="s">
        <v>29</v>
      </c>
      <c r="F441" s="84">
        <f>E436/5*2</f>
        <v>20909.5</v>
      </c>
      <c r="G441" s="64">
        <f>$H$4</f>
        <v>0</v>
      </c>
      <c r="H441" s="64">
        <f>+G441*F441</f>
        <v>0</v>
      </c>
      <c r="I441" s="79"/>
      <c r="J441" s="52"/>
      <c r="K441" s="156"/>
      <c r="L441" s="383"/>
      <c r="M441" s="542"/>
      <c r="N441" s="578">
        <f t="shared" si="13"/>
        <v>0</v>
      </c>
      <c r="O441" s="678"/>
      <c r="P441" s="678"/>
      <c r="Q441" s="678"/>
      <c r="R441" s="678"/>
      <c r="S441" s="678"/>
      <c r="T441" s="678"/>
      <c r="U441" s="678"/>
      <c r="V441" s="678"/>
      <c r="W441" s="678"/>
      <c r="X441" s="678"/>
      <c r="Y441" s="678"/>
      <c r="Z441" s="678"/>
      <c r="AA441" s="678"/>
      <c r="AB441" s="678"/>
      <c r="AC441" s="678"/>
      <c r="AD441" s="678"/>
      <c r="AE441" s="678"/>
      <c r="AF441" s="678"/>
      <c r="AG441" s="678"/>
      <c r="AH441" s="678"/>
      <c r="AI441" s="678"/>
      <c r="AJ441" s="678"/>
      <c r="AK441" s="658"/>
    </row>
    <row r="442" spans="2:37" s="5" customFormat="1">
      <c r="B442" s="313"/>
      <c r="C442" s="835"/>
      <c r="D442" s="17" t="s">
        <v>5</v>
      </c>
      <c r="E442" s="81" t="s">
        <v>27</v>
      </c>
      <c r="F442" s="84">
        <f>E436</f>
        <v>52273.75</v>
      </c>
      <c r="G442" s="99">
        <v>0.6</v>
      </c>
      <c r="H442" s="64">
        <f>+G442*F442</f>
        <v>31364.25</v>
      </c>
      <c r="I442" s="79"/>
      <c r="J442" s="52"/>
      <c r="K442" s="156"/>
      <c r="L442" s="383"/>
      <c r="M442" s="542"/>
      <c r="N442" s="578">
        <f t="shared" si="13"/>
        <v>-31364.25</v>
      </c>
      <c r="O442" s="678"/>
      <c r="P442" s="678"/>
      <c r="Q442" s="678"/>
      <c r="R442" s="678"/>
      <c r="S442" s="678"/>
      <c r="T442" s="678"/>
      <c r="U442" s="678"/>
      <c r="V442" s="678"/>
      <c r="W442" s="678"/>
      <c r="X442" s="678"/>
      <c r="Y442" s="678"/>
      <c r="Z442" s="678"/>
      <c r="AA442" s="678"/>
      <c r="AB442" s="678"/>
      <c r="AC442" s="679"/>
      <c r="AD442" s="678"/>
      <c r="AE442" s="678"/>
      <c r="AF442" s="678"/>
      <c r="AG442" s="678"/>
      <c r="AH442" s="678"/>
      <c r="AI442" s="678"/>
      <c r="AJ442" s="678"/>
      <c r="AK442" s="658"/>
    </row>
    <row r="443" spans="2:37" s="5" customFormat="1">
      <c r="B443" s="313"/>
      <c r="C443" s="835"/>
      <c r="D443" s="17" t="s">
        <v>30</v>
      </c>
      <c r="E443" s="67" t="s">
        <v>16</v>
      </c>
      <c r="F443" s="101">
        <f>G437+G438+G442</f>
        <v>12.6</v>
      </c>
      <c r="G443" s="68" t="s">
        <v>31</v>
      </c>
      <c r="H443" s="64">
        <f>SUM(H437:H442)</f>
        <v>848438.60369318188</v>
      </c>
      <c r="I443" s="79"/>
      <c r="J443" s="52"/>
      <c r="K443" s="156"/>
      <c r="L443" s="383"/>
      <c r="M443" s="542"/>
      <c r="N443" s="578">
        <f t="shared" si="13"/>
        <v>-848438.60369318188</v>
      </c>
      <c r="O443" s="678"/>
      <c r="P443" s="678"/>
      <c r="Q443" s="678"/>
      <c r="R443" s="678"/>
      <c r="S443" s="678"/>
      <c r="T443" s="678"/>
      <c r="U443" s="678"/>
      <c r="V443" s="678"/>
      <c r="W443" s="678"/>
      <c r="X443" s="678"/>
      <c r="Y443" s="678"/>
      <c r="Z443" s="678"/>
      <c r="AA443" s="678"/>
      <c r="AB443" s="678"/>
      <c r="AC443" s="678"/>
      <c r="AD443" s="678"/>
      <c r="AE443" s="678"/>
      <c r="AF443" s="678"/>
      <c r="AG443" s="678"/>
      <c r="AH443" s="678"/>
      <c r="AI443" s="678"/>
      <c r="AJ443" s="678"/>
      <c r="AK443" s="658"/>
    </row>
    <row r="444" spans="2:37" s="5" customFormat="1">
      <c r="B444" s="313"/>
      <c r="C444" s="835"/>
      <c r="D444" s="19" t="s">
        <v>32</v>
      </c>
      <c r="E444" s="67" t="s">
        <v>16</v>
      </c>
      <c r="F444" s="84">
        <f>SUM(H437:H442)</f>
        <v>848438.60369318188</v>
      </c>
      <c r="G444" s="92">
        <f>$G$43</f>
        <v>8.3299999999999999E-2</v>
      </c>
      <c r="H444" s="64">
        <f>+G444*F444</f>
        <v>70674.93568764205</v>
      </c>
      <c r="I444" s="93"/>
      <c r="J444" s="52"/>
      <c r="K444" s="156"/>
      <c r="L444" s="383"/>
      <c r="M444" s="542"/>
      <c r="N444" s="578">
        <f t="shared" si="13"/>
        <v>-70674.93568764205</v>
      </c>
      <c r="O444" s="679"/>
      <c r="P444" s="679"/>
      <c r="Q444" s="679"/>
      <c r="R444" s="679"/>
      <c r="S444" s="679"/>
      <c r="T444" s="679"/>
      <c r="U444" s="679"/>
      <c r="V444" s="679"/>
      <c r="W444" s="679"/>
      <c r="X444" s="679"/>
      <c r="Y444" s="679"/>
      <c r="Z444" s="679"/>
      <c r="AA444" s="679"/>
      <c r="AB444" s="679"/>
      <c r="AC444" s="679"/>
      <c r="AD444" s="678"/>
      <c r="AE444" s="678"/>
      <c r="AF444" s="678"/>
      <c r="AG444" s="678"/>
      <c r="AH444" s="678"/>
      <c r="AI444" s="678"/>
      <c r="AJ444" s="678"/>
      <c r="AK444" s="658"/>
    </row>
    <row r="445" spans="2:37" s="5" customFormat="1">
      <c r="B445" s="313"/>
      <c r="C445" s="835"/>
      <c r="D445" s="19" t="s">
        <v>33</v>
      </c>
      <c r="E445" s="84">
        <f>F444/(5*F443)</f>
        <v>13467.2794237013</v>
      </c>
      <c r="F445" s="84">
        <f>E445*(F443*7)</f>
        <v>1187814.0451704548</v>
      </c>
      <c r="G445" s="95">
        <f>$G$44</f>
        <v>20</v>
      </c>
      <c r="H445" s="64">
        <f>F445/G445</f>
        <v>59390.702258522739</v>
      </c>
      <c r="I445" s="72">
        <f>SUM(H443:H445)</f>
        <v>978504.2416393467</v>
      </c>
      <c r="J445" s="52">
        <f>SUM(G437:G445)</f>
        <v>38.683300000000003</v>
      </c>
      <c r="K445" s="156"/>
      <c r="L445" s="383"/>
      <c r="M445" s="542"/>
      <c r="N445" s="578">
        <f t="shared" si="13"/>
        <v>-59390.702258522739</v>
      </c>
      <c r="O445" s="678"/>
      <c r="P445" s="678"/>
      <c r="Q445" s="678"/>
      <c r="R445" s="678"/>
      <c r="S445" s="678"/>
      <c r="T445" s="678"/>
      <c r="U445" s="678"/>
      <c r="V445" s="678"/>
      <c r="W445" s="678"/>
      <c r="X445" s="678"/>
      <c r="Y445" s="678"/>
      <c r="Z445" s="678"/>
      <c r="AA445" s="678"/>
      <c r="AB445" s="678"/>
      <c r="AC445" s="678"/>
      <c r="AD445" s="678"/>
      <c r="AE445" s="678"/>
      <c r="AF445" s="678"/>
      <c r="AG445" s="678"/>
      <c r="AH445" s="678"/>
      <c r="AI445" s="678"/>
      <c r="AJ445" s="678"/>
      <c r="AK445" s="658"/>
    </row>
    <row r="446" spans="2:37" s="5" customFormat="1">
      <c r="B446" s="313"/>
      <c r="C446" s="835"/>
      <c r="D446" s="96"/>
      <c r="E446" s="100"/>
      <c r="F446" s="74"/>
      <c r="G446" s="97"/>
      <c r="H446" s="78"/>
      <c r="I446" s="79"/>
      <c r="J446" s="52"/>
      <c r="K446" s="156"/>
      <c r="L446" s="383"/>
      <c r="M446" s="542"/>
      <c r="N446" s="578">
        <f t="shared" si="13"/>
        <v>0</v>
      </c>
      <c r="O446" s="678"/>
      <c r="P446" s="678"/>
      <c r="Q446" s="678"/>
      <c r="R446" s="678"/>
      <c r="S446" s="678"/>
      <c r="T446" s="678"/>
      <c r="U446" s="678"/>
      <c r="V446" s="678"/>
      <c r="W446" s="678"/>
      <c r="X446" s="678"/>
      <c r="Y446" s="678"/>
      <c r="Z446" s="678"/>
      <c r="AA446" s="678"/>
      <c r="AB446" s="678"/>
      <c r="AC446" s="678"/>
      <c r="AD446" s="678"/>
      <c r="AE446" s="678"/>
      <c r="AF446" s="678"/>
      <c r="AG446" s="678"/>
      <c r="AH446" s="678"/>
      <c r="AI446" s="678"/>
      <c r="AJ446" s="678"/>
      <c r="AK446" s="658"/>
    </row>
    <row r="447" spans="2:37" s="5" customFormat="1" ht="15" customHeight="1">
      <c r="B447" s="317">
        <v>37</v>
      </c>
      <c r="C447" s="835" t="s">
        <v>899</v>
      </c>
      <c r="D447" s="80" t="s">
        <v>429</v>
      </c>
      <c r="E447" s="81">
        <f>+E436</f>
        <v>52273.75</v>
      </c>
      <c r="F447" s="74"/>
      <c r="G447" s="75"/>
      <c r="H447" s="82"/>
      <c r="I447" s="83"/>
      <c r="J447" s="52"/>
      <c r="K447" s="156"/>
      <c r="L447" s="383"/>
      <c r="M447" s="542"/>
      <c r="N447" s="578">
        <f t="shared" si="13"/>
        <v>0</v>
      </c>
      <c r="O447" s="678"/>
      <c r="P447" s="678"/>
      <c r="Q447" s="678"/>
      <c r="R447" s="678"/>
      <c r="S447" s="678"/>
      <c r="T447" s="678"/>
      <c r="U447" s="678"/>
      <c r="V447" s="678"/>
      <c r="W447" s="678"/>
      <c r="X447" s="678"/>
      <c r="Y447" s="678"/>
      <c r="Z447" s="678"/>
      <c r="AA447" s="678"/>
      <c r="AB447" s="678"/>
      <c r="AC447" s="678"/>
      <c r="AD447" s="678"/>
      <c r="AE447" s="678"/>
      <c r="AF447" s="678"/>
      <c r="AG447" s="678"/>
      <c r="AH447" s="678"/>
      <c r="AI447" s="678"/>
      <c r="AJ447" s="678"/>
      <c r="AK447" s="658"/>
    </row>
    <row r="448" spans="2:37" s="5" customFormat="1">
      <c r="B448" s="313"/>
      <c r="C448" s="835"/>
      <c r="D448" s="17"/>
      <c r="E448" s="81" t="s">
        <v>27</v>
      </c>
      <c r="F448" s="84">
        <f>E447</f>
        <v>52273.75</v>
      </c>
      <c r="G448" s="64">
        <v>0</v>
      </c>
      <c r="H448" s="64">
        <f>+G448*F448</f>
        <v>0</v>
      </c>
      <c r="I448" s="79"/>
      <c r="J448" s="52"/>
      <c r="K448" s="156"/>
      <c r="L448" s="383"/>
      <c r="M448" s="542"/>
      <c r="N448" s="578">
        <f t="shared" si="13"/>
        <v>0</v>
      </c>
      <c r="O448" s="678"/>
      <c r="P448" s="678"/>
      <c r="Q448" s="678"/>
      <c r="R448" s="678"/>
      <c r="S448" s="678"/>
      <c r="T448" s="678"/>
      <c r="U448" s="678"/>
      <c r="V448" s="678"/>
      <c r="W448" s="678"/>
      <c r="X448" s="678"/>
      <c r="Y448" s="678"/>
      <c r="Z448" s="678"/>
      <c r="AA448" s="678"/>
      <c r="AB448" s="678"/>
      <c r="AC448" s="678"/>
      <c r="AD448" s="678"/>
      <c r="AE448" s="678"/>
      <c r="AF448" s="678"/>
      <c r="AG448" s="678"/>
      <c r="AH448" s="678"/>
      <c r="AI448" s="678"/>
      <c r="AJ448" s="678"/>
      <c r="AK448" s="658"/>
    </row>
    <row r="449" spans="2:37" s="5" customFormat="1">
      <c r="B449" s="313"/>
      <c r="C449" s="835"/>
      <c r="D449" s="17" t="s">
        <v>3</v>
      </c>
      <c r="E449" s="81" t="s">
        <v>27</v>
      </c>
      <c r="F449" s="84">
        <f>E447</f>
        <v>52273.75</v>
      </c>
      <c r="G449" s="64">
        <v>3</v>
      </c>
      <c r="H449" s="64">
        <f>+G449*F449</f>
        <v>156821.25</v>
      </c>
      <c r="I449" s="79"/>
      <c r="J449" s="52"/>
      <c r="K449" s="156"/>
      <c r="L449" s="383"/>
      <c r="M449" s="542"/>
      <c r="N449" s="578">
        <f t="shared" si="13"/>
        <v>-156821.25</v>
      </c>
      <c r="O449" s="678"/>
      <c r="P449" s="678"/>
      <c r="Q449" s="678"/>
      <c r="R449" s="678"/>
      <c r="S449" s="678"/>
      <c r="T449" s="678"/>
      <c r="U449" s="678"/>
      <c r="V449" s="678"/>
      <c r="W449" s="678"/>
      <c r="X449" s="678"/>
      <c r="Y449" s="678"/>
      <c r="Z449" s="678"/>
      <c r="AA449" s="678"/>
      <c r="AB449" s="678"/>
      <c r="AC449" s="678"/>
      <c r="AD449" s="678"/>
      <c r="AE449" s="678"/>
      <c r="AF449" s="678"/>
      <c r="AG449" s="678"/>
      <c r="AH449" s="678"/>
      <c r="AI449" s="678"/>
      <c r="AJ449" s="678"/>
      <c r="AK449" s="658"/>
    </row>
    <row r="450" spans="2:37" s="5" customFormat="1">
      <c r="B450" s="313"/>
      <c r="C450" s="835"/>
      <c r="D450" s="17" t="s">
        <v>28</v>
      </c>
      <c r="E450" s="88">
        <f>$H$5+2.5+2</f>
        <v>17.75</v>
      </c>
      <c r="F450" s="84">
        <f>E447/44*1.5</f>
        <v>1782.059659090909</v>
      </c>
      <c r="G450" s="87">
        <v>3</v>
      </c>
      <c r="H450" s="64">
        <f>+G450*F450*E450</f>
        <v>94894.676846590912</v>
      </c>
      <c r="I450" s="79"/>
      <c r="J450" s="52"/>
      <c r="K450" s="156"/>
      <c r="L450" s="383"/>
      <c r="M450" s="542"/>
      <c r="N450" s="578">
        <f t="shared" si="13"/>
        <v>-94894.676846590912</v>
      </c>
      <c r="O450" s="678"/>
      <c r="P450" s="678"/>
      <c r="Q450" s="678"/>
      <c r="R450" s="678"/>
      <c r="S450" s="678"/>
      <c r="T450" s="678"/>
      <c r="U450" s="678"/>
      <c r="V450" s="678"/>
      <c r="W450" s="678"/>
      <c r="X450" s="678"/>
      <c r="Y450" s="678"/>
      <c r="Z450" s="678"/>
      <c r="AA450" s="678"/>
      <c r="AB450" s="678"/>
      <c r="AC450" s="678"/>
      <c r="AD450" s="678"/>
      <c r="AE450" s="678"/>
      <c r="AF450" s="678"/>
      <c r="AG450" s="678"/>
      <c r="AH450" s="678"/>
      <c r="AI450" s="678"/>
      <c r="AJ450" s="678"/>
      <c r="AK450" s="658"/>
    </row>
    <row r="451" spans="2:37" s="5" customFormat="1">
      <c r="B451" s="313"/>
      <c r="C451" s="835"/>
      <c r="D451" s="17" t="s">
        <v>1</v>
      </c>
      <c r="E451" s="67" t="s">
        <v>29</v>
      </c>
      <c r="F451" s="84">
        <f>E447/5*1.5</f>
        <v>15682.125</v>
      </c>
      <c r="G451" s="64">
        <f>$H$3</f>
        <v>0</v>
      </c>
      <c r="H451" s="64">
        <f>+G451*F451</f>
        <v>0</v>
      </c>
      <c r="I451" s="79"/>
      <c r="J451" s="52"/>
      <c r="K451" s="156"/>
      <c r="L451" s="383"/>
      <c r="M451" s="542"/>
      <c r="N451" s="578">
        <f t="shared" si="13"/>
        <v>0</v>
      </c>
      <c r="O451" s="678"/>
      <c r="P451" s="678"/>
      <c r="Q451" s="678"/>
      <c r="R451" s="678"/>
      <c r="S451" s="678"/>
      <c r="T451" s="678"/>
      <c r="U451" s="678"/>
      <c r="V451" s="678"/>
      <c r="W451" s="678"/>
      <c r="X451" s="678"/>
      <c r="Y451" s="678"/>
      <c r="Z451" s="678"/>
      <c r="AA451" s="678"/>
      <c r="AB451" s="678"/>
      <c r="AC451" s="678"/>
      <c r="AD451" s="678"/>
      <c r="AE451" s="678"/>
      <c r="AF451" s="678"/>
      <c r="AG451" s="678"/>
      <c r="AH451" s="678"/>
      <c r="AI451" s="678"/>
      <c r="AJ451" s="678"/>
      <c r="AK451" s="658"/>
    </row>
    <row r="452" spans="2:37" s="5" customFormat="1">
      <c r="B452" s="313"/>
      <c r="C452" s="835"/>
      <c r="D452" s="17" t="s">
        <v>4</v>
      </c>
      <c r="E452" s="67" t="s">
        <v>29</v>
      </c>
      <c r="F452" s="84">
        <f>E447/5*2</f>
        <v>20909.5</v>
      </c>
      <c r="G452" s="64">
        <f>$H$4</f>
        <v>0</v>
      </c>
      <c r="H452" s="64">
        <f>+G452*F452</f>
        <v>0</v>
      </c>
      <c r="I452" s="79"/>
      <c r="J452" s="52"/>
      <c r="K452" s="156"/>
      <c r="L452" s="383"/>
      <c r="M452" s="542"/>
      <c r="N452" s="578">
        <f t="shared" si="13"/>
        <v>0</v>
      </c>
      <c r="O452" s="678"/>
      <c r="P452" s="678"/>
      <c r="Q452" s="678"/>
      <c r="R452" s="678"/>
      <c r="S452" s="678"/>
      <c r="T452" s="678"/>
      <c r="U452" s="678"/>
      <c r="V452" s="678"/>
      <c r="W452" s="678"/>
      <c r="X452" s="678"/>
      <c r="Y452" s="678"/>
      <c r="Z452" s="678"/>
      <c r="AA452" s="678"/>
      <c r="AB452" s="678"/>
      <c r="AC452" s="678"/>
      <c r="AD452" s="678"/>
      <c r="AE452" s="678"/>
      <c r="AF452" s="678"/>
      <c r="AG452" s="678"/>
      <c r="AH452" s="678"/>
      <c r="AI452" s="678"/>
      <c r="AJ452" s="678"/>
      <c r="AK452" s="658"/>
    </row>
    <row r="453" spans="2:37" s="5" customFormat="1">
      <c r="B453" s="313"/>
      <c r="C453" s="835"/>
      <c r="D453" s="17" t="s">
        <v>5</v>
      </c>
      <c r="E453" s="81" t="s">
        <v>27</v>
      </c>
      <c r="F453" s="84">
        <f>E447</f>
        <v>52273.75</v>
      </c>
      <c r="G453" s="99">
        <v>0.6</v>
      </c>
      <c r="H453" s="64">
        <f>+G453*F453</f>
        <v>31364.25</v>
      </c>
      <c r="I453" s="79"/>
      <c r="J453" s="52"/>
      <c r="K453" s="156"/>
      <c r="L453" s="383"/>
      <c r="M453" s="542"/>
      <c r="N453" s="578">
        <f t="shared" si="13"/>
        <v>-31364.25</v>
      </c>
      <c r="O453" s="678"/>
      <c r="P453" s="678"/>
      <c r="Q453" s="678"/>
      <c r="R453" s="678"/>
      <c r="S453" s="678"/>
      <c r="T453" s="678"/>
      <c r="U453" s="678"/>
      <c r="V453" s="678"/>
      <c r="W453" s="678"/>
      <c r="X453" s="678"/>
      <c r="Y453" s="678"/>
      <c r="Z453" s="678"/>
      <c r="AA453" s="678"/>
      <c r="AB453" s="678"/>
      <c r="AC453" s="679"/>
      <c r="AD453" s="678"/>
      <c r="AE453" s="678"/>
      <c r="AF453" s="678"/>
      <c r="AG453" s="678"/>
      <c r="AH453" s="678"/>
      <c r="AI453" s="678"/>
      <c r="AJ453" s="678"/>
      <c r="AK453" s="658"/>
    </row>
    <row r="454" spans="2:37" s="5" customFormat="1">
      <c r="B454" s="313"/>
      <c r="C454" s="835"/>
      <c r="D454" s="17" t="s">
        <v>30</v>
      </c>
      <c r="E454" s="67" t="s">
        <v>16</v>
      </c>
      <c r="F454" s="101">
        <f>G448+G449+G453</f>
        <v>3.6</v>
      </c>
      <c r="G454" s="68" t="s">
        <v>31</v>
      </c>
      <c r="H454" s="64">
        <f>SUM(H448:H453)</f>
        <v>283080.17684659094</v>
      </c>
      <c r="I454" s="79"/>
      <c r="J454" s="52"/>
      <c r="K454" s="156"/>
      <c r="L454" s="383"/>
      <c r="M454" s="542"/>
      <c r="N454" s="578">
        <f t="shared" si="13"/>
        <v>-283080.17684659094</v>
      </c>
      <c r="O454" s="678"/>
      <c r="P454" s="678"/>
      <c r="Q454" s="678"/>
      <c r="R454" s="678"/>
      <c r="S454" s="678"/>
      <c r="T454" s="678"/>
      <c r="U454" s="678"/>
      <c r="V454" s="678"/>
      <c r="W454" s="678"/>
      <c r="X454" s="678"/>
      <c r="Y454" s="678"/>
      <c r="Z454" s="678"/>
      <c r="AA454" s="678"/>
      <c r="AB454" s="678"/>
      <c r="AC454" s="678"/>
      <c r="AD454" s="678"/>
      <c r="AE454" s="678"/>
      <c r="AF454" s="678"/>
      <c r="AG454" s="678"/>
      <c r="AH454" s="678"/>
      <c r="AI454" s="678"/>
      <c r="AJ454" s="678"/>
      <c r="AK454" s="658"/>
    </row>
    <row r="455" spans="2:37" s="5" customFormat="1">
      <c r="B455" s="313"/>
      <c r="C455" s="835"/>
      <c r="D455" s="19" t="s">
        <v>32</v>
      </c>
      <c r="E455" s="67" t="s">
        <v>16</v>
      </c>
      <c r="F455" s="84">
        <f>SUM(H448:H453)</f>
        <v>283080.17684659094</v>
      </c>
      <c r="G455" s="92">
        <f>$G$43</f>
        <v>8.3299999999999999E-2</v>
      </c>
      <c r="H455" s="64">
        <f>+G455*F455</f>
        <v>23580.578731321024</v>
      </c>
      <c r="I455" s="93"/>
      <c r="J455" s="52"/>
      <c r="K455" s="156"/>
      <c r="L455" s="383"/>
      <c r="M455" s="542"/>
      <c r="N455" s="578">
        <f t="shared" si="13"/>
        <v>-23580.578731321024</v>
      </c>
      <c r="O455" s="679"/>
      <c r="P455" s="679"/>
      <c r="Q455" s="679"/>
      <c r="R455" s="679"/>
      <c r="S455" s="679"/>
      <c r="T455" s="679"/>
      <c r="U455" s="679"/>
      <c r="V455" s="679"/>
      <c r="W455" s="679"/>
      <c r="X455" s="679"/>
      <c r="Y455" s="679"/>
      <c r="Z455" s="679"/>
      <c r="AA455" s="679"/>
      <c r="AB455" s="679"/>
      <c r="AC455" s="679"/>
      <c r="AD455" s="678"/>
      <c r="AE455" s="678"/>
      <c r="AF455" s="678"/>
      <c r="AG455" s="678"/>
      <c r="AH455" s="678"/>
      <c r="AI455" s="678"/>
      <c r="AJ455" s="678"/>
      <c r="AK455" s="658"/>
    </row>
    <row r="456" spans="2:37" s="5" customFormat="1">
      <c r="B456" s="313"/>
      <c r="C456" s="835"/>
      <c r="D456" s="19" t="s">
        <v>33</v>
      </c>
      <c r="E456" s="84">
        <f>F455/(5*F454)</f>
        <v>15726.676491477274</v>
      </c>
      <c r="F456" s="84">
        <f>E456*(F454*7)</f>
        <v>396312.24758522731</v>
      </c>
      <c r="G456" s="95">
        <f>$G$44</f>
        <v>20</v>
      </c>
      <c r="H456" s="64">
        <f>F456/G456</f>
        <v>19815.612379261365</v>
      </c>
      <c r="I456" s="72">
        <f>SUM(H454:H456)</f>
        <v>326476.36795717332</v>
      </c>
      <c r="J456" s="52">
        <f>SUM(G448:G456)</f>
        <v>26.683299999999999</v>
      </c>
      <c r="K456" s="156"/>
      <c r="L456" s="383"/>
      <c r="M456" s="542"/>
      <c r="N456" s="578">
        <f t="shared" si="13"/>
        <v>-19815.612379261365</v>
      </c>
      <c r="O456" s="678"/>
      <c r="P456" s="678"/>
      <c r="Q456" s="678"/>
      <c r="R456" s="678"/>
      <c r="S456" s="678"/>
      <c r="T456" s="678"/>
      <c r="U456" s="678"/>
      <c r="V456" s="678"/>
      <c r="W456" s="678"/>
      <c r="X456" s="678"/>
      <c r="Y456" s="678"/>
      <c r="Z456" s="678"/>
      <c r="AA456" s="678"/>
      <c r="AB456" s="678"/>
      <c r="AC456" s="678"/>
      <c r="AD456" s="678"/>
      <c r="AE456" s="678"/>
      <c r="AF456" s="678"/>
      <c r="AG456" s="678"/>
      <c r="AH456" s="678"/>
      <c r="AI456" s="678"/>
      <c r="AJ456" s="678"/>
      <c r="AK456" s="658"/>
    </row>
    <row r="457" spans="2:37" s="5" customFormat="1">
      <c r="B457" s="313"/>
      <c r="C457" s="835"/>
      <c r="D457" s="96"/>
      <c r="E457" s="100"/>
      <c r="F457" s="74"/>
      <c r="G457" s="97"/>
      <c r="H457" s="78"/>
      <c r="I457" s="79"/>
      <c r="J457" s="52"/>
      <c r="K457" s="156"/>
      <c r="L457" s="383"/>
      <c r="M457" s="542"/>
      <c r="N457" s="578">
        <f t="shared" si="13"/>
        <v>0</v>
      </c>
      <c r="O457" s="678"/>
      <c r="P457" s="678"/>
      <c r="Q457" s="678"/>
      <c r="R457" s="678"/>
      <c r="S457" s="678"/>
      <c r="T457" s="678"/>
      <c r="U457" s="678"/>
      <c r="V457" s="678"/>
      <c r="W457" s="678"/>
      <c r="X457" s="678"/>
      <c r="Y457" s="678"/>
      <c r="Z457" s="678"/>
      <c r="AA457" s="678"/>
      <c r="AB457" s="678"/>
      <c r="AC457" s="678"/>
      <c r="AD457" s="678"/>
      <c r="AE457" s="678"/>
      <c r="AF457" s="678"/>
      <c r="AG457" s="678"/>
      <c r="AH457" s="678"/>
      <c r="AI457" s="678"/>
      <c r="AJ457" s="678"/>
      <c r="AK457" s="658"/>
    </row>
    <row r="458" spans="2:37" s="5" customFormat="1" ht="15" customHeight="1">
      <c r="B458" s="317">
        <v>38</v>
      </c>
      <c r="C458" s="835" t="s">
        <v>900</v>
      </c>
      <c r="D458" s="80" t="s">
        <v>66</v>
      </c>
      <c r="E458" s="81"/>
      <c r="F458" s="74"/>
      <c r="G458" s="75"/>
      <c r="H458" s="82"/>
      <c r="I458" s="83"/>
      <c r="J458" s="52"/>
      <c r="K458" s="156"/>
      <c r="L458" s="383"/>
      <c r="M458" s="542"/>
      <c r="N458" s="578">
        <f t="shared" si="13"/>
        <v>0</v>
      </c>
      <c r="O458" s="678"/>
      <c r="P458" s="678"/>
      <c r="Q458" s="678"/>
      <c r="R458" s="678"/>
      <c r="S458" s="678"/>
      <c r="T458" s="678"/>
      <c r="U458" s="678"/>
      <c r="V458" s="678"/>
      <c r="W458" s="678"/>
      <c r="X458" s="678"/>
      <c r="Y458" s="678"/>
      <c r="Z458" s="678"/>
      <c r="AA458" s="678"/>
      <c r="AB458" s="678"/>
      <c r="AC458" s="678"/>
      <c r="AD458" s="678"/>
      <c r="AE458" s="678"/>
      <c r="AF458" s="678"/>
      <c r="AG458" s="678"/>
      <c r="AH458" s="678"/>
      <c r="AI458" s="678"/>
      <c r="AJ458" s="678"/>
      <c r="AK458" s="658"/>
    </row>
    <row r="459" spans="2:37" s="5" customFormat="1">
      <c r="B459" s="313"/>
      <c r="C459" s="835"/>
      <c r="D459" s="17" t="s">
        <v>0</v>
      </c>
      <c r="E459" s="81" t="s">
        <v>27</v>
      </c>
      <c r="F459" s="84">
        <f>E458</f>
        <v>0</v>
      </c>
      <c r="G459" s="64">
        <v>1</v>
      </c>
      <c r="H459" s="64">
        <f>+G459*F459</f>
        <v>0</v>
      </c>
      <c r="I459" s="79"/>
      <c r="J459" s="52"/>
      <c r="K459" s="156"/>
      <c r="L459" s="383"/>
      <c r="M459" s="542"/>
      <c r="N459" s="578">
        <f t="shared" si="13"/>
        <v>0</v>
      </c>
      <c r="O459" s="678"/>
      <c r="P459" s="678"/>
      <c r="Q459" s="678"/>
      <c r="R459" s="678"/>
      <c r="S459" s="678"/>
      <c r="T459" s="678"/>
      <c r="U459" s="678"/>
      <c r="V459" s="678"/>
      <c r="W459" s="678"/>
      <c r="X459" s="678"/>
      <c r="Y459" s="678"/>
      <c r="Z459" s="678"/>
      <c r="AA459" s="678"/>
      <c r="AB459" s="678"/>
      <c r="AC459" s="678"/>
      <c r="AD459" s="678"/>
      <c r="AE459" s="678"/>
      <c r="AF459" s="678"/>
      <c r="AG459" s="678"/>
      <c r="AH459" s="678"/>
      <c r="AI459" s="678"/>
      <c r="AJ459" s="678"/>
      <c r="AK459" s="658"/>
    </row>
    <row r="460" spans="2:37" s="5" customFormat="1">
      <c r="B460" s="313"/>
      <c r="C460" s="835"/>
      <c r="D460" s="17" t="s">
        <v>3</v>
      </c>
      <c r="E460" s="81" t="s">
        <v>27</v>
      </c>
      <c r="F460" s="84">
        <f>E458</f>
        <v>0</v>
      </c>
      <c r="G460" s="64">
        <v>6</v>
      </c>
      <c r="H460" s="64">
        <f>+G460*F460</f>
        <v>0</v>
      </c>
      <c r="I460" s="79"/>
      <c r="J460" s="52"/>
      <c r="K460" s="156"/>
      <c r="L460" s="383"/>
      <c r="M460" s="542"/>
      <c r="N460" s="578">
        <f t="shared" ref="N460:N523" si="14">SUM(O460:AL460)-H460</f>
        <v>0</v>
      </c>
      <c r="O460" s="678"/>
      <c r="P460" s="678"/>
      <c r="Q460" s="678"/>
      <c r="R460" s="678"/>
      <c r="S460" s="678"/>
      <c r="T460" s="678"/>
      <c r="U460" s="678"/>
      <c r="V460" s="678"/>
      <c r="W460" s="678"/>
      <c r="X460" s="678"/>
      <c r="Y460" s="678"/>
      <c r="Z460" s="678"/>
      <c r="AA460" s="678"/>
      <c r="AB460" s="678"/>
      <c r="AC460" s="678"/>
      <c r="AD460" s="678"/>
      <c r="AE460" s="678"/>
      <c r="AF460" s="678"/>
      <c r="AG460" s="678"/>
      <c r="AH460" s="678"/>
      <c r="AI460" s="678"/>
      <c r="AJ460" s="678"/>
      <c r="AK460" s="658"/>
    </row>
    <row r="461" spans="2:37" s="5" customFormat="1">
      <c r="B461" s="313"/>
      <c r="C461" s="835"/>
      <c r="D461" s="17" t="s">
        <v>28</v>
      </c>
      <c r="E461" s="67">
        <f>$H$5+3</f>
        <v>16.25</v>
      </c>
      <c r="F461" s="84">
        <f>E458/44*1.5</f>
        <v>0</v>
      </c>
      <c r="G461" s="87">
        <v>6</v>
      </c>
      <c r="H461" s="64">
        <f>+G461*F461*E461</f>
        <v>0</v>
      </c>
      <c r="I461" s="79"/>
      <c r="J461" s="52"/>
      <c r="K461" s="156"/>
      <c r="L461" s="383"/>
      <c r="M461" s="542"/>
      <c r="N461" s="578">
        <f t="shared" si="14"/>
        <v>0</v>
      </c>
      <c r="O461" s="678"/>
      <c r="P461" s="678"/>
      <c r="Q461" s="678"/>
      <c r="R461" s="678"/>
      <c r="S461" s="678"/>
      <c r="T461" s="678"/>
      <c r="U461" s="678"/>
      <c r="V461" s="678"/>
      <c r="W461" s="678"/>
      <c r="X461" s="678"/>
      <c r="Y461" s="678"/>
      <c r="Z461" s="678"/>
      <c r="AA461" s="678"/>
      <c r="AB461" s="678"/>
      <c r="AC461" s="678"/>
      <c r="AD461" s="678"/>
      <c r="AE461" s="678"/>
      <c r="AF461" s="678"/>
      <c r="AG461" s="678"/>
      <c r="AH461" s="678"/>
      <c r="AI461" s="678"/>
      <c r="AJ461" s="678"/>
      <c r="AK461" s="658"/>
    </row>
    <row r="462" spans="2:37" s="5" customFormat="1">
      <c r="B462" s="313"/>
      <c r="C462" s="835"/>
      <c r="D462" s="17" t="s">
        <v>1</v>
      </c>
      <c r="E462" s="67" t="s">
        <v>29</v>
      </c>
      <c r="F462" s="84">
        <f>E458/5*1.5</f>
        <v>0</v>
      </c>
      <c r="G462" s="64">
        <f>$H$3</f>
        <v>0</v>
      </c>
      <c r="H462" s="64">
        <f>+G462*F462</f>
        <v>0</v>
      </c>
      <c r="I462" s="79"/>
      <c r="J462" s="52"/>
      <c r="K462" s="156"/>
      <c r="L462" s="383"/>
      <c r="M462" s="542"/>
      <c r="N462" s="578">
        <f t="shared" si="14"/>
        <v>0</v>
      </c>
      <c r="O462" s="678"/>
      <c r="P462" s="678"/>
      <c r="Q462" s="678"/>
      <c r="R462" s="678"/>
      <c r="S462" s="678"/>
      <c r="T462" s="678"/>
      <c r="U462" s="678"/>
      <c r="V462" s="678"/>
      <c r="W462" s="678"/>
      <c r="X462" s="678"/>
      <c r="Y462" s="678"/>
      <c r="Z462" s="678"/>
      <c r="AA462" s="678"/>
      <c r="AB462" s="678"/>
      <c r="AC462" s="678"/>
      <c r="AD462" s="678"/>
      <c r="AE462" s="678"/>
      <c r="AF462" s="678"/>
      <c r="AG462" s="678"/>
      <c r="AH462" s="678"/>
      <c r="AI462" s="678"/>
      <c r="AJ462" s="678"/>
      <c r="AK462" s="658"/>
    </row>
    <row r="463" spans="2:37" s="5" customFormat="1">
      <c r="B463" s="313"/>
      <c r="C463" s="835"/>
      <c r="D463" s="17" t="s">
        <v>4</v>
      </c>
      <c r="E463" s="67" t="s">
        <v>29</v>
      </c>
      <c r="F463" s="84">
        <f>E458/5*2</f>
        <v>0</v>
      </c>
      <c r="G463" s="64">
        <f>$H$4</f>
        <v>0</v>
      </c>
      <c r="H463" s="64">
        <f>+G463*F463</f>
        <v>0</v>
      </c>
      <c r="I463" s="79"/>
      <c r="J463" s="52"/>
      <c r="K463" s="156"/>
      <c r="L463" s="383"/>
      <c r="M463" s="542"/>
      <c r="N463" s="578">
        <f t="shared" si="14"/>
        <v>0</v>
      </c>
      <c r="O463" s="678"/>
      <c r="P463" s="678"/>
      <c r="Q463" s="678"/>
      <c r="R463" s="678"/>
      <c r="S463" s="678"/>
      <c r="T463" s="678"/>
      <c r="U463" s="678"/>
      <c r="V463" s="678"/>
      <c r="W463" s="678"/>
      <c r="X463" s="678"/>
      <c r="Y463" s="678"/>
      <c r="Z463" s="678"/>
      <c r="AA463" s="678"/>
      <c r="AB463" s="678"/>
      <c r="AC463" s="678"/>
      <c r="AD463" s="678"/>
      <c r="AE463" s="678"/>
      <c r="AF463" s="678"/>
      <c r="AG463" s="678"/>
      <c r="AH463" s="678"/>
      <c r="AI463" s="678"/>
      <c r="AJ463" s="678"/>
      <c r="AK463" s="658"/>
    </row>
    <row r="464" spans="2:37" s="5" customFormat="1">
      <c r="B464" s="313"/>
      <c r="C464" s="835"/>
      <c r="D464" s="17" t="s">
        <v>5</v>
      </c>
      <c r="E464" s="81" t="s">
        <v>27</v>
      </c>
      <c r="F464" s="84">
        <f>E458</f>
        <v>0</v>
      </c>
      <c r="G464" s="64">
        <v>0</v>
      </c>
      <c r="H464" s="64">
        <f>+G464*F464</f>
        <v>0</v>
      </c>
      <c r="I464" s="79"/>
      <c r="J464" s="52"/>
      <c r="K464" s="156"/>
      <c r="L464" s="383"/>
      <c r="M464" s="542"/>
      <c r="N464" s="578">
        <f t="shared" si="14"/>
        <v>0</v>
      </c>
      <c r="O464" s="678"/>
      <c r="P464" s="678"/>
      <c r="Q464" s="678"/>
      <c r="R464" s="678"/>
      <c r="S464" s="678"/>
      <c r="T464" s="678"/>
      <c r="U464" s="678"/>
      <c r="V464" s="678"/>
      <c r="W464" s="678"/>
      <c r="X464" s="678"/>
      <c r="Y464" s="678"/>
      <c r="Z464" s="678"/>
      <c r="AA464" s="678"/>
      <c r="AB464" s="678"/>
      <c r="AC464" s="679"/>
      <c r="AD464" s="678"/>
      <c r="AE464" s="678"/>
      <c r="AF464" s="678"/>
      <c r="AG464" s="678"/>
      <c r="AH464" s="678"/>
      <c r="AI464" s="678"/>
      <c r="AJ464" s="678"/>
      <c r="AK464" s="658"/>
    </row>
    <row r="465" spans="2:37" s="5" customFormat="1">
      <c r="B465" s="313"/>
      <c r="C465" s="835"/>
      <c r="D465" s="17" t="s">
        <v>30</v>
      </c>
      <c r="E465" s="67" t="s">
        <v>16</v>
      </c>
      <c r="F465" s="101">
        <f>G459+G460+G464</f>
        <v>7</v>
      </c>
      <c r="G465" s="68" t="s">
        <v>31</v>
      </c>
      <c r="H465" s="64">
        <f>SUM(H459:H464)</f>
        <v>0</v>
      </c>
      <c r="I465" s="79"/>
      <c r="J465" s="52"/>
      <c r="K465" s="156"/>
      <c r="L465" s="383"/>
      <c r="M465" s="542"/>
      <c r="N465" s="578">
        <f t="shared" si="14"/>
        <v>0</v>
      </c>
      <c r="O465" s="678"/>
      <c r="P465" s="678"/>
      <c r="Q465" s="678"/>
      <c r="R465" s="678"/>
      <c r="S465" s="678"/>
      <c r="T465" s="678"/>
      <c r="U465" s="678"/>
      <c r="V465" s="678"/>
      <c r="W465" s="678"/>
      <c r="X465" s="678"/>
      <c r="Y465" s="678"/>
      <c r="Z465" s="678"/>
      <c r="AA465" s="678"/>
      <c r="AB465" s="678"/>
      <c r="AC465" s="678"/>
      <c r="AD465" s="678"/>
      <c r="AE465" s="678"/>
      <c r="AF465" s="678"/>
      <c r="AG465" s="678"/>
      <c r="AH465" s="678"/>
      <c r="AI465" s="678"/>
      <c r="AJ465" s="678"/>
      <c r="AK465" s="658"/>
    </row>
    <row r="466" spans="2:37" s="5" customFormat="1">
      <c r="B466" s="313"/>
      <c r="C466" s="835"/>
      <c r="D466" s="19" t="s">
        <v>32</v>
      </c>
      <c r="E466" s="67" t="s">
        <v>16</v>
      </c>
      <c r="F466" s="84">
        <f>SUM(H459:H464)</f>
        <v>0</v>
      </c>
      <c r="G466" s="92">
        <f>$G$43</f>
        <v>8.3299999999999999E-2</v>
      </c>
      <c r="H466" s="64">
        <f>+G466*F466</f>
        <v>0</v>
      </c>
      <c r="I466" s="93"/>
      <c r="J466" s="52"/>
      <c r="K466" s="156"/>
      <c r="L466" s="383"/>
      <c r="M466" s="542"/>
      <c r="N466" s="578">
        <f t="shared" si="14"/>
        <v>0</v>
      </c>
      <c r="O466" s="679"/>
      <c r="P466" s="679"/>
      <c r="Q466" s="679"/>
      <c r="R466" s="679"/>
      <c r="S466" s="679"/>
      <c r="T466" s="679"/>
      <c r="U466" s="679"/>
      <c r="V466" s="679"/>
      <c r="W466" s="679"/>
      <c r="X466" s="679"/>
      <c r="Y466" s="679"/>
      <c r="Z466" s="679"/>
      <c r="AA466" s="679"/>
      <c r="AB466" s="679"/>
      <c r="AC466" s="679"/>
      <c r="AD466" s="678"/>
      <c r="AE466" s="678"/>
      <c r="AF466" s="678"/>
      <c r="AG466" s="678"/>
      <c r="AH466" s="678"/>
      <c r="AI466" s="678"/>
      <c r="AJ466" s="678"/>
      <c r="AK466" s="658"/>
    </row>
    <row r="467" spans="2:37" s="5" customFormat="1">
      <c r="B467" s="313"/>
      <c r="C467" s="835"/>
      <c r="D467" s="19" t="s">
        <v>33</v>
      </c>
      <c r="E467" s="84">
        <f>F466/(5*F465)</f>
        <v>0</v>
      </c>
      <c r="F467" s="84">
        <f>E467*(F465*7)</f>
        <v>0</v>
      </c>
      <c r="G467" s="95">
        <f>$G$44</f>
        <v>20</v>
      </c>
      <c r="H467" s="64">
        <f>F467/G467</f>
        <v>0</v>
      </c>
      <c r="I467" s="72">
        <f>SUM(H465:H467)</f>
        <v>0</v>
      </c>
      <c r="J467" s="52">
        <f>SUM(G459:G467)</f>
        <v>33.083300000000001</v>
      </c>
      <c r="K467" s="156"/>
      <c r="L467" s="383"/>
      <c r="M467" s="542"/>
      <c r="N467" s="578">
        <f t="shared" si="14"/>
        <v>0</v>
      </c>
      <c r="O467" s="678"/>
      <c r="P467" s="678"/>
      <c r="Q467" s="678"/>
      <c r="R467" s="678"/>
      <c r="S467" s="678"/>
      <c r="T467" s="678"/>
      <c r="U467" s="678"/>
      <c r="V467" s="678"/>
      <c r="W467" s="678"/>
      <c r="X467" s="678"/>
      <c r="Y467" s="678"/>
      <c r="Z467" s="678"/>
      <c r="AA467" s="678"/>
      <c r="AB467" s="678"/>
      <c r="AC467" s="678"/>
      <c r="AD467" s="678"/>
      <c r="AE467" s="678"/>
      <c r="AF467" s="678"/>
      <c r="AG467" s="678"/>
      <c r="AH467" s="678"/>
      <c r="AI467" s="678"/>
      <c r="AJ467" s="678"/>
      <c r="AK467" s="658"/>
    </row>
    <row r="468" spans="2:37" s="5" customFormat="1">
      <c r="B468" s="313"/>
      <c r="C468" s="835"/>
      <c r="D468" s="96"/>
      <c r="E468" s="100"/>
      <c r="F468" s="74"/>
      <c r="G468" s="97"/>
      <c r="H468" s="78"/>
      <c r="I468" s="79"/>
      <c r="J468" s="52"/>
      <c r="K468" s="156"/>
      <c r="L468" s="383"/>
      <c r="M468" s="542"/>
      <c r="N468" s="578">
        <f t="shared" si="14"/>
        <v>0</v>
      </c>
      <c r="O468" s="678"/>
      <c r="P468" s="678"/>
      <c r="Q468" s="678"/>
      <c r="R468" s="678"/>
      <c r="S468" s="678"/>
      <c r="T468" s="678"/>
      <c r="U468" s="678"/>
      <c r="V468" s="678"/>
      <c r="W468" s="678"/>
      <c r="X468" s="678"/>
      <c r="Y468" s="678"/>
      <c r="Z468" s="678"/>
      <c r="AA468" s="678"/>
      <c r="AB468" s="678"/>
      <c r="AC468" s="678"/>
      <c r="AD468" s="678"/>
      <c r="AE468" s="678"/>
      <c r="AF468" s="678"/>
      <c r="AG468" s="678"/>
      <c r="AH468" s="678"/>
      <c r="AI468" s="678"/>
      <c r="AJ468" s="678"/>
      <c r="AK468" s="658"/>
    </row>
    <row r="469" spans="2:37" s="5" customFormat="1" ht="15" customHeight="1">
      <c r="B469" s="317">
        <v>39</v>
      </c>
      <c r="C469" s="835" t="s">
        <v>901</v>
      </c>
      <c r="D469" s="80" t="s">
        <v>67</v>
      </c>
      <c r="E469" s="81">
        <v>52273.75</v>
      </c>
      <c r="F469" s="74"/>
      <c r="G469" s="75"/>
      <c r="H469" s="82"/>
      <c r="I469" s="83"/>
      <c r="J469" s="52"/>
      <c r="K469" s="156"/>
      <c r="L469" s="383"/>
      <c r="M469" s="542"/>
      <c r="N469" s="578">
        <f t="shared" si="14"/>
        <v>0</v>
      </c>
      <c r="O469" s="678"/>
      <c r="P469" s="678"/>
      <c r="Q469" s="678"/>
      <c r="R469" s="678"/>
      <c r="S469" s="678"/>
      <c r="T469" s="678"/>
      <c r="U469" s="678"/>
      <c r="V469" s="678"/>
      <c r="W469" s="678"/>
      <c r="X469" s="678"/>
      <c r="Y469" s="678"/>
      <c r="Z469" s="678"/>
      <c r="AA469" s="678"/>
      <c r="AB469" s="678"/>
      <c r="AC469" s="678"/>
      <c r="AD469" s="678"/>
      <c r="AE469" s="678"/>
      <c r="AF469" s="678"/>
      <c r="AG469" s="678"/>
      <c r="AH469" s="678"/>
      <c r="AI469" s="678"/>
      <c r="AJ469" s="678"/>
      <c r="AK469" s="658"/>
    </row>
    <row r="470" spans="2:37" s="5" customFormat="1">
      <c r="B470" s="313"/>
      <c r="C470" s="835"/>
      <c r="D470" s="17" t="s">
        <v>0</v>
      </c>
      <c r="E470" s="81" t="s">
        <v>27</v>
      </c>
      <c r="F470" s="84">
        <f>E469</f>
        <v>52273.75</v>
      </c>
      <c r="G470" s="64">
        <v>1</v>
      </c>
      <c r="H470" s="64">
        <f>+G470*F470</f>
        <v>52273.75</v>
      </c>
      <c r="I470" s="79"/>
      <c r="J470" s="52"/>
      <c r="K470" s="156"/>
      <c r="L470" s="383"/>
      <c r="M470" s="542"/>
      <c r="N470" s="578">
        <f t="shared" si="14"/>
        <v>-52273.75</v>
      </c>
      <c r="O470" s="678"/>
      <c r="P470" s="678"/>
      <c r="Q470" s="678"/>
      <c r="R470" s="678"/>
      <c r="S470" s="678"/>
      <c r="T470" s="678"/>
      <c r="U470" s="678"/>
      <c r="V470" s="678"/>
      <c r="W470" s="678"/>
      <c r="X470" s="678"/>
      <c r="Y470" s="678"/>
      <c r="Z470" s="678"/>
      <c r="AA470" s="678"/>
      <c r="AB470" s="678"/>
      <c r="AC470" s="678"/>
      <c r="AD470" s="678"/>
      <c r="AE470" s="678"/>
      <c r="AF470" s="678"/>
      <c r="AG470" s="678"/>
      <c r="AH470" s="678"/>
      <c r="AI470" s="678"/>
      <c r="AJ470" s="678"/>
      <c r="AK470" s="658"/>
    </row>
    <row r="471" spans="2:37" s="5" customFormat="1">
      <c r="B471" s="313"/>
      <c r="C471" s="835"/>
      <c r="D471" s="17" t="s">
        <v>3</v>
      </c>
      <c r="E471" s="81" t="s">
        <v>27</v>
      </c>
      <c r="F471" s="84">
        <f>E469</f>
        <v>52273.75</v>
      </c>
      <c r="G471" s="64">
        <v>6</v>
      </c>
      <c r="H471" s="64">
        <f>+G471*F471</f>
        <v>313642.5</v>
      </c>
      <c r="I471" s="79"/>
      <c r="J471" s="52"/>
      <c r="K471" s="156"/>
      <c r="L471" s="383"/>
      <c r="M471" s="542"/>
      <c r="N471" s="578">
        <f t="shared" si="14"/>
        <v>-313642.5</v>
      </c>
      <c r="O471" s="678"/>
      <c r="P471" s="678"/>
      <c r="Q471" s="678"/>
      <c r="R471" s="678"/>
      <c r="S471" s="678"/>
      <c r="T471" s="678"/>
      <c r="U471" s="678"/>
      <c r="V471" s="678"/>
      <c r="W471" s="678"/>
      <c r="X471" s="678"/>
      <c r="Y471" s="678"/>
      <c r="Z471" s="678"/>
      <c r="AA471" s="678"/>
      <c r="AB471" s="678"/>
      <c r="AC471" s="678"/>
      <c r="AD471" s="678"/>
      <c r="AE471" s="678"/>
      <c r="AF471" s="678"/>
      <c r="AG471" s="678"/>
      <c r="AH471" s="678"/>
      <c r="AI471" s="678"/>
      <c r="AJ471" s="678"/>
      <c r="AK471" s="658"/>
    </row>
    <row r="472" spans="2:37" s="5" customFormat="1">
      <c r="B472" s="313"/>
      <c r="C472" s="835"/>
      <c r="D472" s="17" t="s">
        <v>28</v>
      </c>
      <c r="E472" s="88">
        <f>$H$5+2+2</f>
        <v>17.25</v>
      </c>
      <c r="F472" s="84">
        <f>E469/44*1.5</f>
        <v>1782.059659090909</v>
      </c>
      <c r="G472" s="87">
        <v>6</v>
      </c>
      <c r="H472" s="64">
        <f>+G472*F472*E472</f>
        <v>184443.17471590909</v>
      </c>
      <c r="I472" s="79"/>
      <c r="J472" s="52"/>
      <c r="K472" s="156"/>
      <c r="L472" s="383"/>
      <c r="M472" s="542"/>
      <c r="N472" s="578">
        <f t="shared" si="14"/>
        <v>-184443.17471590909</v>
      </c>
      <c r="O472" s="678"/>
      <c r="P472" s="678"/>
      <c r="Q472" s="678"/>
      <c r="R472" s="678"/>
      <c r="S472" s="678"/>
      <c r="T472" s="678"/>
      <c r="U472" s="678"/>
      <c r="V472" s="678"/>
      <c r="W472" s="678"/>
      <c r="X472" s="678"/>
      <c r="Y472" s="678"/>
      <c r="Z472" s="678"/>
      <c r="AA472" s="678"/>
      <c r="AB472" s="678"/>
      <c r="AC472" s="678"/>
      <c r="AD472" s="678"/>
      <c r="AE472" s="678"/>
      <c r="AF472" s="678"/>
      <c r="AG472" s="678"/>
      <c r="AH472" s="678"/>
      <c r="AI472" s="678"/>
      <c r="AJ472" s="678"/>
      <c r="AK472" s="658"/>
    </row>
    <row r="473" spans="2:37" s="5" customFormat="1">
      <c r="B473" s="313"/>
      <c r="C473" s="835"/>
      <c r="D473" s="17" t="s">
        <v>1</v>
      </c>
      <c r="E473" s="67" t="s">
        <v>29</v>
      </c>
      <c r="F473" s="84">
        <f>E469/5*1.5</f>
        <v>15682.125</v>
      </c>
      <c r="G473" s="64">
        <f>$H$3</f>
        <v>0</v>
      </c>
      <c r="H473" s="64">
        <f>+G473*F473</f>
        <v>0</v>
      </c>
      <c r="I473" s="79"/>
      <c r="J473" s="52"/>
      <c r="K473" s="156"/>
      <c r="L473" s="383"/>
      <c r="M473" s="542"/>
      <c r="N473" s="578">
        <f t="shared" si="14"/>
        <v>0</v>
      </c>
      <c r="O473" s="678"/>
      <c r="P473" s="678"/>
      <c r="Q473" s="678"/>
      <c r="R473" s="678"/>
      <c r="S473" s="678"/>
      <c r="T473" s="678"/>
      <c r="U473" s="678"/>
      <c r="V473" s="678"/>
      <c r="W473" s="678"/>
      <c r="X473" s="678"/>
      <c r="Y473" s="678"/>
      <c r="Z473" s="678"/>
      <c r="AA473" s="678"/>
      <c r="AB473" s="678"/>
      <c r="AC473" s="678"/>
      <c r="AD473" s="678"/>
      <c r="AE473" s="678"/>
      <c r="AF473" s="678"/>
      <c r="AG473" s="678"/>
      <c r="AH473" s="678"/>
      <c r="AI473" s="678"/>
      <c r="AJ473" s="678"/>
      <c r="AK473" s="658"/>
    </row>
    <row r="474" spans="2:37" s="5" customFormat="1">
      <c r="B474" s="313"/>
      <c r="C474" s="835"/>
      <c r="D474" s="17" t="s">
        <v>4</v>
      </c>
      <c r="E474" s="67" t="s">
        <v>29</v>
      </c>
      <c r="F474" s="84">
        <f>E469/5*2</f>
        <v>20909.5</v>
      </c>
      <c r="G474" s="64">
        <f>$H$4</f>
        <v>0</v>
      </c>
      <c r="H474" s="64">
        <f>+G474*F474</f>
        <v>0</v>
      </c>
      <c r="I474" s="79"/>
      <c r="J474" s="52"/>
      <c r="K474" s="156"/>
      <c r="L474" s="383"/>
      <c r="M474" s="542"/>
      <c r="N474" s="578">
        <f t="shared" si="14"/>
        <v>0</v>
      </c>
      <c r="O474" s="678"/>
      <c r="P474" s="678"/>
      <c r="Q474" s="678"/>
      <c r="R474" s="678"/>
      <c r="S474" s="678"/>
      <c r="T474" s="678"/>
      <c r="U474" s="678"/>
      <c r="V474" s="678"/>
      <c r="W474" s="678"/>
      <c r="X474" s="678"/>
      <c r="Y474" s="678"/>
      <c r="Z474" s="678"/>
      <c r="AA474" s="678"/>
      <c r="AB474" s="678"/>
      <c r="AC474" s="678"/>
      <c r="AD474" s="678"/>
      <c r="AE474" s="678"/>
      <c r="AF474" s="678"/>
      <c r="AG474" s="678"/>
      <c r="AH474" s="678"/>
      <c r="AI474" s="678"/>
      <c r="AJ474" s="678"/>
      <c r="AK474" s="658"/>
    </row>
    <row r="475" spans="2:37" s="5" customFormat="1">
      <c r="B475" s="313"/>
      <c r="C475" s="835"/>
      <c r="D475" s="17" t="s">
        <v>5</v>
      </c>
      <c r="E475" s="81" t="s">
        <v>27</v>
      </c>
      <c r="F475" s="84">
        <f>E469</f>
        <v>52273.75</v>
      </c>
      <c r="G475" s="64">
        <f>$F$5-$F$5</f>
        <v>0</v>
      </c>
      <c r="H475" s="64">
        <f>+G475*F475</f>
        <v>0</v>
      </c>
      <c r="I475" s="79"/>
      <c r="J475" s="52"/>
      <c r="K475" s="156"/>
      <c r="L475" s="383"/>
      <c r="M475" s="542"/>
      <c r="N475" s="578">
        <f t="shared" si="14"/>
        <v>0</v>
      </c>
      <c r="O475" s="678"/>
      <c r="P475" s="678"/>
      <c r="Q475" s="678"/>
      <c r="R475" s="678"/>
      <c r="S475" s="678"/>
      <c r="T475" s="678"/>
      <c r="U475" s="678"/>
      <c r="V475" s="678"/>
      <c r="W475" s="678"/>
      <c r="X475" s="678"/>
      <c r="Y475" s="678"/>
      <c r="Z475" s="678"/>
      <c r="AA475" s="678"/>
      <c r="AB475" s="678"/>
      <c r="AC475" s="679"/>
      <c r="AD475" s="678"/>
      <c r="AE475" s="678"/>
      <c r="AF475" s="678"/>
      <c r="AG475" s="678"/>
      <c r="AH475" s="678"/>
      <c r="AI475" s="678"/>
      <c r="AJ475" s="678"/>
      <c r="AK475" s="658"/>
    </row>
    <row r="476" spans="2:37" s="5" customFormat="1">
      <c r="B476" s="313"/>
      <c r="C476" s="835"/>
      <c r="D476" s="17" t="s">
        <v>30</v>
      </c>
      <c r="E476" s="67" t="s">
        <v>16</v>
      </c>
      <c r="F476" s="101">
        <f>G470+G471+G475</f>
        <v>7</v>
      </c>
      <c r="G476" s="68" t="s">
        <v>31</v>
      </c>
      <c r="H476" s="64">
        <f>SUM(H470:H475)</f>
        <v>550359.42471590906</v>
      </c>
      <c r="I476" s="79"/>
      <c r="J476" s="52"/>
      <c r="K476" s="156"/>
      <c r="L476" s="383"/>
      <c r="M476" s="542"/>
      <c r="N476" s="578">
        <f t="shared" si="14"/>
        <v>-550359.42471590906</v>
      </c>
      <c r="O476" s="678"/>
      <c r="P476" s="678"/>
      <c r="Q476" s="678"/>
      <c r="R476" s="678"/>
      <c r="S476" s="678"/>
      <c r="T476" s="678"/>
      <c r="U476" s="678"/>
      <c r="V476" s="678"/>
      <c r="W476" s="678"/>
      <c r="X476" s="678"/>
      <c r="Y476" s="678"/>
      <c r="Z476" s="678"/>
      <c r="AA476" s="678"/>
      <c r="AB476" s="678"/>
      <c r="AC476" s="678"/>
      <c r="AD476" s="678"/>
      <c r="AE476" s="678"/>
      <c r="AF476" s="678"/>
      <c r="AG476" s="678"/>
      <c r="AH476" s="678"/>
      <c r="AI476" s="678"/>
      <c r="AJ476" s="678"/>
      <c r="AK476" s="658"/>
    </row>
    <row r="477" spans="2:37" s="5" customFormat="1">
      <c r="B477" s="313"/>
      <c r="C477" s="835"/>
      <c r="D477" s="19" t="s">
        <v>32</v>
      </c>
      <c r="E477" s="67" t="s">
        <v>16</v>
      </c>
      <c r="F477" s="84">
        <f>SUM(H470:H475)</f>
        <v>550359.42471590906</v>
      </c>
      <c r="G477" s="92">
        <f>$G$43</f>
        <v>8.3299999999999999E-2</v>
      </c>
      <c r="H477" s="64">
        <f>+G477*F477</f>
        <v>45844.940078835221</v>
      </c>
      <c r="I477" s="93"/>
      <c r="J477" s="52"/>
      <c r="K477" s="156"/>
      <c r="L477" s="383"/>
      <c r="M477" s="542"/>
      <c r="N477" s="578">
        <f t="shared" si="14"/>
        <v>-45844.940078835221</v>
      </c>
      <c r="O477" s="679"/>
      <c r="P477" s="679"/>
      <c r="Q477" s="679"/>
      <c r="R477" s="679"/>
      <c r="S477" s="679"/>
      <c r="T477" s="679"/>
      <c r="U477" s="679"/>
      <c r="V477" s="679"/>
      <c r="W477" s="679"/>
      <c r="X477" s="679"/>
      <c r="Y477" s="679"/>
      <c r="Z477" s="679"/>
      <c r="AA477" s="679"/>
      <c r="AB477" s="679"/>
      <c r="AC477" s="679"/>
      <c r="AD477" s="678"/>
      <c r="AE477" s="678"/>
      <c r="AF477" s="678"/>
      <c r="AG477" s="678"/>
      <c r="AH477" s="678"/>
      <c r="AI477" s="678"/>
      <c r="AJ477" s="678"/>
      <c r="AK477" s="658"/>
    </row>
    <row r="478" spans="2:37" s="5" customFormat="1">
      <c r="B478" s="313"/>
      <c r="C478" s="835"/>
      <c r="D478" s="19" t="s">
        <v>33</v>
      </c>
      <c r="E478" s="84">
        <f>F477/(5*F476)</f>
        <v>15724.554991883117</v>
      </c>
      <c r="F478" s="84">
        <f>E478*(F476*7)</f>
        <v>770503.19460227271</v>
      </c>
      <c r="G478" s="95">
        <f>$G$44</f>
        <v>20</v>
      </c>
      <c r="H478" s="64">
        <f>F478/G478</f>
        <v>38525.159730113635</v>
      </c>
      <c r="I478" s="72">
        <f>SUM(H476:H478)</f>
        <v>634729.52452485799</v>
      </c>
      <c r="J478" s="52">
        <f>SUM(G470:G478)</f>
        <v>33.083300000000001</v>
      </c>
      <c r="K478" s="156"/>
      <c r="L478" s="383"/>
      <c r="M478" s="542"/>
      <c r="N478" s="578">
        <f t="shared" si="14"/>
        <v>-38525.159730113635</v>
      </c>
      <c r="O478" s="678"/>
      <c r="P478" s="678"/>
      <c r="Q478" s="678"/>
      <c r="R478" s="678"/>
      <c r="S478" s="678"/>
      <c r="T478" s="678"/>
      <c r="U478" s="678"/>
      <c r="V478" s="678"/>
      <c r="W478" s="678"/>
      <c r="X478" s="678"/>
      <c r="Y478" s="678"/>
      <c r="Z478" s="678"/>
      <c r="AA478" s="678"/>
      <c r="AB478" s="678"/>
      <c r="AC478" s="678"/>
      <c r="AD478" s="678"/>
      <c r="AE478" s="678"/>
      <c r="AF478" s="678"/>
      <c r="AG478" s="678"/>
      <c r="AH478" s="678"/>
      <c r="AI478" s="678"/>
      <c r="AJ478" s="678"/>
      <c r="AK478" s="658"/>
    </row>
    <row r="479" spans="2:37" s="5" customFormat="1">
      <c r="B479" s="313"/>
      <c r="C479" s="835"/>
      <c r="D479" s="96"/>
      <c r="E479" s="100"/>
      <c r="F479" s="74"/>
      <c r="G479" s="97"/>
      <c r="H479" s="78"/>
      <c r="I479" s="79"/>
      <c r="J479" s="52"/>
      <c r="K479" s="156"/>
      <c r="L479" s="383"/>
      <c r="M479" s="542"/>
      <c r="N479" s="578">
        <f t="shared" si="14"/>
        <v>0</v>
      </c>
      <c r="O479" s="678"/>
      <c r="P479" s="678"/>
      <c r="Q479" s="678"/>
      <c r="R479" s="678"/>
      <c r="S479" s="678"/>
      <c r="T479" s="678"/>
      <c r="U479" s="678"/>
      <c r="V479" s="678"/>
      <c r="W479" s="678"/>
      <c r="X479" s="678"/>
      <c r="Y479" s="678"/>
      <c r="Z479" s="678"/>
      <c r="AA479" s="678"/>
      <c r="AB479" s="678"/>
      <c r="AC479" s="678"/>
      <c r="AD479" s="678"/>
      <c r="AE479" s="678"/>
      <c r="AF479" s="678"/>
      <c r="AG479" s="678"/>
      <c r="AH479" s="678"/>
      <c r="AI479" s="678"/>
      <c r="AJ479" s="678"/>
      <c r="AK479" s="658"/>
    </row>
    <row r="480" spans="2:37" s="5" customFormat="1" ht="15" customHeight="1">
      <c r="B480" s="317">
        <v>40</v>
      </c>
      <c r="C480" s="835" t="s">
        <v>902</v>
      </c>
      <c r="D480" s="80" t="s">
        <v>323</v>
      </c>
      <c r="E480" s="81">
        <f>IMP.PRESUPUESTO!E469</f>
        <v>52273.75</v>
      </c>
      <c r="F480" s="74"/>
      <c r="G480" s="75"/>
      <c r="H480" s="82"/>
      <c r="I480" s="83"/>
      <c r="J480" s="52"/>
      <c r="K480" s="156"/>
      <c r="L480" s="383"/>
      <c r="M480" s="542"/>
      <c r="N480" s="578">
        <f t="shared" si="14"/>
        <v>0</v>
      </c>
      <c r="O480" s="678"/>
      <c r="P480" s="678"/>
      <c r="Q480" s="678"/>
      <c r="R480" s="678"/>
      <c r="S480" s="678"/>
      <c r="T480" s="678"/>
      <c r="U480" s="678"/>
      <c r="V480" s="678"/>
      <c r="W480" s="678"/>
      <c r="X480" s="678"/>
      <c r="Y480" s="678"/>
      <c r="Z480" s="678"/>
      <c r="AA480" s="678"/>
      <c r="AB480" s="678"/>
      <c r="AC480" s="678"/>
      <c r="AD480" s="678"/>
      <c r="AE480" s="678"/>
      <c r="AF480" s="678"/>
      <c r="AG480" s="678"/>
      <c r="AH480" s="678"/>
      <c r="AI480" s="678"/>
      <c r="AJ480" s="678"/>
      <c r="AK480" s="658"/>
    </row>
    <row r="481" spans="2:37" s="5" customFormat="1">
      <c r="B481" s="313"/>
      <c r="C481" s="835"/>
      <c r="D481" s="17" t="s">
        <v>0</v>
      </c>
      <c r="E481" s="81" t="s">
        <v>27</v>
      </c>
      <c r="F481" s="84">
        <f>E480</f>
        <v>52273.75</v>
      </c>
      <c r="G481" s="64">
        <f>$F$3-5</f>
        <v>1</v>
      </c>
      <c r="H481" s="64">
        <f>+G481*F481</f>
        <v>52273.75</v>
      </c>
      <c r="I481" s="79"/>
      <c r="J481" s="52"/>
      <c r="K481" s="156"/>
      <c r="L481" s="383"/>
      <c r="M481" s="542"/>
      <c r="N481" s="578">
        <f t="shared" si="14"/>
        <v>-52273.75</v>
      </c>
      <c r="O481" s="678"/>
      <c r="P481" s="678"/>
      <c r="Q481" s="678"/>
      <c r="R481" s="678"/>
      <c r="S481" s="678"/>
      <c r="T481" s="678"/>
      <c r="U481" s="678"/>
      <c r="V481" s="678"/>
      <c r="W481" s="678"/>
      <c r="X481" s="678"/>
      <c r="Y481" s="678"/>
      <c r="Z481" s="678"/>
      <c r="AA481" s="678"/>
      <c r="AB481" s="678"/>
      <c r="AC481" s="678"/>
      <c r="AD481" s="678"/>
      <c r="AE481" s="678"/>
      <c r="AF481" s="678"/>
      <c r="AG481" s="678"/>
      <c r="AH481" s="678"/>
      <c r="AI481" s="678"/>
      <c r="AJ481" s="678"/>
      <c r="AK481" s="658"/>
    </row>
    <row r="482" spans="2:37" s="5" customFormat="1">
      <c r="B482" s="313"/>
      <c r="C482" s="835"/>
      <c r="D482" s="17" t="s">
        <v>3</v>
      </c>
      <c r="E482" s="81" t="s">
        <v>27</v>
      </c>
      <c r="F482" s="84">
        <f>E480</f>
        <v>52273.75</v>
      </c>
      <c r="G482" s="65">
        <v>6</v>
      </c>
      <c r="H482" s="64">
        <f>+G482*F482</f>
        <v>313642.5</v>
      </c>
      <c r="I482" s="79"/>
      <c r="J482" s="52"/>
      <c r="K482" s="156"/>
      <c r="L482" s="383"/>
      <c r="M482" s="542"/>
      <c r="N482" s="578">
        <f t="shared" si="14"/>
        <v>-313642.5</v>
      </c>
      <c r="O482" s="678"/>
      <c r="P482" s="678"/>
      <c r="Q482" s="678"/>
      <c r="R482" s="678"/>
      <c r="S482" s="678"/>
      <c r="T482" s="678"/>
      <c r="U482" s="678"/>
      <c r="V482" s="678"/>
      <c r="W482" s="678"/>
      <c r="X482" s="678"/>
      <c r="Y482" s="678"/>
      <c r="Z482" s="678"/>
      <c r="AA482" s="678"/>
      <c r="AB482" s="678"/>
      <c r="AC482" s="678"/>
      <c r="AD482" s="678"/>
      <c r="AE482" s="678"/>
      <c r="AF482" s="678"/>
      <c r="AG482" s="678"/>
      <c r="AH482" s="678"/>
      <c r="AI482" s="678"/>
      <c r="AJ482" s="678"/>
      <c r="AK482" s="658"/>
    </row>
    <row r="483" spans="2:37" s="5" customFormat="1">
      <c r="B483" s="313"/>
      <c r="C483" s="835"/>
      <c r="D483" s="17" t="s">
        <v>28</v>
      </c>
      <c r="E483" s="88">
        <f>$H$5+2+2</f>
        <v>17.25</v>
      </c>
      <c r="F483" s="84">
        <f>E480/44*1.5</f>
        <v>1782.059659090909</v>
      </c>
      <c r="G483" s="87">
        <v>6</v>
      </c>
      <c r="H483" s="64">
        <f>+G483*F483*E483</f>
        <v>184443.17471590909</v>
      </c>
      <c r="I483" s="79"/>
      <c r="J483" s="52"/>
      <c r="K483" s="156"/>
      <c r="L483" s="383"/>
      <c r="M483" s="542"/>
      <c r="N483" s="578">
        <f t="shared" si="14"/>
        <v>-184443.17471590909</v>
      </c>
      <c r="O483" s="678"/>
      <c r="P483" s="678"/>
      <c r="Q483" s="678"/>
      <c r="R483" s="678"/>
      <c r="S483" s="678"/>
      <c r="T483" s="678"/>
      <c r="U483" s="678"/>
      <c r="V483" s="678"/>
      <c r="W483" s="678"/>
      <c r="X483" s="678"/>
      <c r="Y483" s="678"/>
      <c r="Z483" s="678"/>
      <c r="AA483" s="678"/>
      <c r="AB483" s="678"/>
      <c r="AC483" s="678"/>
      <c r="AD483" s="678"/>
      <c r="AE483" s="678"/>
      <c r="AF483" s="678"/>
      <c r="AG483" s="678"/>
      <c r="AH483" s="678"/>
      <c r="AI483" s="678"/>
      <c r="AJ483" s="678"/>
      <c r="AK483" s="658"/>
    </row>
    <row r="484" spans="2:37" s="5" customFormat="1">
      <c r="B484" s="313"/>
      <c r="C484" s="835"/>
      <c r="D484" s="17" t="s">
        <v>1</v>
      </c>
      <c r="E484" s="67" t="s">
        <v>29</v>
      </c>
      <c r="F484" s="84">
        <f>E480/5*1.5</f>
        <v>15682.125</v>
      </c>
      <c r="G484" s="64">
        <f>$H$3</f>
        <v>0</v>
      </c>
      <c r="H484" s="64">
        <f>+G484*F484</f>
        <v>0</v>
      </c>
      <c r="I484" s="79"/>
      <c r="J484" s="52"/>
      <c r="K484" s="156"/>
      <c r="L484" s="383"/>
      <c r="M484" s="542"/>
      <c r="N484" s="578">
        <f t="shared" si="14"/>
        <v>0</v>
      </c>
      <c r="O484" s="678"/>
      <c r="P484" s="678"/>
      <c r="Q484" s="678"/>
      <c r="R484" s="678"/>
      <c r="S484" s="678"/>
      <c r="T484" s="678"/>
      <c r="U484" s="678"/>
      <c r="V484" s="678"/>
      <c r="W484" s="678"/>
      <c r="X484" s="678"/>
      <c r="Y484" s="678"/>
      <c r="Z484" s="678"/>
      <c r="AA484" s="678"/>
      <c r="AB484" s="678"/>
      <c r="AC484" s="678"/>
      <c r="AD484" s="678"/>
      <c r="AE484" s="678"/>
      <c r="AF484" s="678"/>
      <c r="AG484" s="678"/>
      <c r="AH484" s="678"/>
      <c r="AI484" s="678"/>
      <c r="AJ484" s="678"/>
      <c r="AK484" s="658"/>
    </row>
    <row r="485" spans="2:37" s="5" customFormat="1">
      <c r="B485" s="313"/>
      <c r="C485" s="835"/>
      <c r="D485" s="17" t="s">
        <v>4</v>
      </c>
      <c r="E485" s="67" t="s">
        <v>29</v>
      </c>
      <c r="F485" s="84">
        <f>E480/5*2</f>
        <v>20909.5</v>
      </c>
      <c r="G485" s="64">
        <f>$H$4</f>
        <v>0</v>
      </c>
      <c r="H485" s="64">
        <f>+G485*F485</f>
        <v>0</v>
      </c>
      <c r="I485" s="79"/>
      <c r="J485" s="52"/>
      <c r="K485" s="156"/>
      <c r="L485" s="383"/>
      <c r="M485" s="542"/>
      <c r="N485" s="578">
        <f t="shared" si="14"/>
        <v>0</v>
      </c>
      <c r="O485" s="678"/>
      <c r="P485" s="678"/>
      <c r="Q485" s="678"/>
      <c r="R485" s="678"/>
      <c r="S485" s="678"/>
      <c r="T485" s="678"/>
      <c r="U485" s="678"/>
      <c r="V485" s="678"/>
      <c r="W485" s="678"/>
      <c r="X485" s="678"/>
      <c r="Y485" s="678"/>
      <c r="Z485" s="678"/>
      <c r="AA485" s="678"/>
      <c r="AB485" s="678"/>
      <c r="AC485" s="678"/>
      <c r="AD485" s="678"/>
      <c r="AE485" s="678"/>
      <c r="AF485" s="678"/>
      <c r="AG485" s="678"/>
      <c r="AH485" s="678"/>
      <c r="AI485" s="678"/>
      <c r="AJ485" s="678"/>
      <c r="AK485" s="658"/>
    </row>
    <row r="486" spans="2:37" s="5" customFormat="1">
      <c r="B486" s="313"/>
      <c r="C486" s="835"/>
      <c r="D486" s="17" t="s">
        <v>5</v>
      </c>
      <c r="E486" s="81" t="s">
        <v>27</v>
      </c>
      <c r="F486" s="84">
        <f>E480</f>
        <v>52273.75</v>
      </c>
      <c r="G486" s="64">
        <v>0</v>
      </c>
      <c r="H486" s="64">
        <f>+G486*F486</f>
        <v>0</v>
      </c>
      <c r="I486" s="79"/>
      <c r="J486" s="52"/>
      <c r="K486" s="156"/>
      <c r="L486" s="383"/>
      <c r="M486" s="542"/>
      <c r="N486" s="578">
        <f t="shared" si="14"/>
        <v>0</v>
      </c>
      <c r="O486" s="678"/>
      <c r="P486" s="678"/>
      <c r="Q486" s="678"/>
      <c r="R486" s="678"/>
      <c r="S486" s="678"/>
      <c r="T486" s="678"/>
      <c r="U486" s="678"/>
      <c r="V486" s="678"/>
      <c r="W486" s="678"/>
      <c r="X486" s="678"/>
      <c r="Y486" s="678"/>
      <c r="Z486" s="678"/>
      <c r="AA486" s="678"/>
      <c r="AB486" s="678"/>
      <c r="AC486" s="679"/>
      <c r="AD486" s="678"/>
      <c r="AE486" s="678"/>
      <c r="AF486" s="678"/>
      <c r="AG486" s="678"/>
      <c r="AH486" s="678"/>
      <c r="AI486" s="678"/>
      <c r="AJ486" s="678"/>
      <c r="AK486" s="658"/>
    </row>
    <row r="487" spans="2:37" s="5" customFormat="1">
      <c r="B487" s="313"/>
      <c r="C487" s="835"/>
      <c r="D487" s="17" t="s">
        <v>30</v>
      </c>
      <c r="E487" s="67" t="s">
        <v>16</v>
      </c>
      <c r="F487" s="101">
        <f>G481+G482+G486</f>
        <v>7</v>
      </c>
      <c r="G487" s="68" t="s">
        <v>31</v>
      </c>
      <c r="H487" s="64">
        <f>SUM(H481:H486)</f>
        <v>550359.42471590906</v>
      </c>
      <c r="I487" s="79"/>
      <c r="J487" s="52"/>
      <c r="K487" s="156"/>
      <c r="L487" s="383"/>
      <c r="M487" s="542"/>
      <c r="N487" s="578">
        <f t="shared" si="14"/>
        <v>-550359.42471590906</v>
      </c>
      <c r="O487" s="678"/>
      <c r="P487" s="678"/>
      <c r="Q487" s="678"/>
      <c r="R487" s="678"/>
      <c r="S487" s="678"/>
      <c r="T487" s="678"/>
      <c r="U487" s="678"/>
      <c r="V487" s="678"/>
      <c r="W487" s="678"/>
      <c r="X487" s="678"/>
      <c r="Y487" s="678"/>
      <c r="Z487" s="678"/>
      <c r="AA487" s="678"/>
      <c r="AB487" s="678"/>
      <c r="AC487" s="678"/>
      <c r="AD487" s="678"/>
      <c r="AE487" s="678"/>
      <c r="AF487" s="678"/>
      <c r="AG487" s="678"/>
      <c r="AH487" s="678"/>
      <c r="AI487" s="678"/>
      <c r="AJ487" s="678"/>
      <c r="AK487" s="658"/>
    </row>
    <row r="488" spans="2:37" s="5" customFormat="1">
      <c r="B488" s="313"/>
      <c r="C488" s="835"/>
      <c r="D488" s="19" t="s">
        <v>32</v>
      </c>
      <c r="E488" s="67" t="s">
        <v>16</v>
      </c>
      <c r="F488" s="84">
        <f>SUM(H481:H486)</f>
        <v>550359.42471590906</v>
      </c>
      <c r="G488" s="92">
        <f>$G$43</f>
        <v>8.3299999999999999E-2</v>
      </c>
      <c r="H488" s="64">
        <f>+G488*F488</f>
        <v>45844.940078835221</v>
      </c>
      <c r="I488" s="93"/>
      <c r="J488" s="52"/>
      <c r="K488" s="156"/>
      <c r="L488" s="383"/>
      <c r="M488" s="542"/>
      <c r="N488" s="578">
        <f t="shared" si="14"/>
        <v>-45844.940078835221</v>
      </c>
      <c r="O488" s="679"/>
      <c r="P488" s="679"/>
      <c r="Q488" s="679"/>
      <c r="R488" s="679"/>
      <c r="S488" s="679"/>
      <c r="T488" s="679"/>
      <c r="U488" s="679"/>
      <c r="V488" s="679"/>
      <c r="W488" s="679"/>
      <c r="X488" s="679"/>
      <c r="Y488" s="679"/>
      <c r="Z488" s="679"/>
      <c r="AA488" s="679"/>
      <c r="AB488" s="679"/>
      <c r="AC488" s="679"/>
      <c r="AD488" s="678"/>
      <c r="AE488" s="678"/>
      <c r="AF488" s="678"/>
      <c r="AG488" s="678"/>
      <c r="AH488" s="678"/>
      <c r="AI488" s="678"/>
      <c r="AJ488" s="678"/>
      <c r="AK488" s="658"/>
    </row>
    <row r="489" spans="2:37" s="5" customFormat="1">
      <c r="B489" s="313"/>
      <c r="C489" s="835"/>
      <c r="D489" s="19" t="s">
        <v>33</v>
      </c>
      <c r="E489" s="84">
        <f>F488/(5*F487)</f>
        <v>15724.554991883117</v>
      </c>
      <c r="F489" s="84">
        <f>E489*(F487*7)</f>
        <v>770503.19460227271</v>
      </c>
      <c r="G489" s="95">
        <f>$G$44</f>
        <v>20</v>
      </c>
      <c r="H489" s="64">
        <f>F489/G489</f>
        <v>38525.159730113635</v>
      </c>
      <c r="I489" s="72">
        <f>SUM(H487:H489)</f>
        <v>634729.52452485799</v>
      </c>
      <c r="J489" s="52">
        <f>SUM(G481:G489)</f>
        <v>33.083300000000001</v>
      </c>
      <c r="K489" s="156"/>
      <c r="L489" s="383"/>
      <c r="M489" s="542"/>
      <c r="N489" s="578">
        <f t="shared" si="14"/>
        <v>-38525.159730113635</v>
      </c>
      <c r="O489" s="678"/>
      <c r="P489" s="678"/>
      <c r="Q489" s="678"/>
      <c r="R489" s="678"/>
      <c r="S489" s="678"/>
      <c r="T489" s="678"/>
      <c r="U489" s="678"/>
      <c r="V489" s="678"/>
      <c r="W489" s="678"/>
      <c r="X489" s="678"/>
      <c r="Y489" s="678"/>
      <c r="Z489" s="678"/>
      <c r="AA489" s="678"/>
      <c r="AB489" s="678"/>
      <c r="AC489" s="678"/>
      <c r="AD489" s="678"/>
      <c r="AE489" s="678"/>
      <c r="AF489" s="678"/>
      <c r="AG489" s="678"/>
      <c r="AH489" s="678"/>
      <c r="AI489" s="678"/>
      <c r="AJ489" s="678"/>
      <c r="AK489" s="658"/>
    </row>
    <row r="490" spans="2:37" s="5" customFormat="1">
      <c r="B490" s="313"/>
      <c r="C490" s="835"/>
      <c r="D490" s="96"/>
      <c r="E490" s="100"/>
      <c r="F490" s="74"/>
      <c r="G490" s="97"/>
      <c r="H490" s="78"/>
      <c r="I490" s="79"/>
      <c r="J490" s="52"/>
      <c r="K490" s="156"/>
      <c r="L490" s="383"/>
      <c r="M490" s="542"/>
      <c r="N490" s="578">
        <f t="shared" si="14"/>
        <v>0</v>
      </c>
      <c r="O490" s="678"/>
      <c r="P490" s="678"/>
      <c r="Q490" s="678"/>
      <c r="R490" s="678"/>
      <c r="S490" s="678"/>
      <c r="T490" s="678"/>
      <c r="U490" s="678"/>
      <c r="V490" s="678"/>
      <c r="W490" s="678"/>
      <c r="X490" s="678"/>
      <c r="Y490" s="678"/>
      <c r="Z490" s="678"/>
      <c r="AA490" s="678"/>
      <c r="AB490" s="678"/>
      <c r="AC490" s="678"/>
      <c r="AD490" s="678"/>
      <c r="AE490" s="678"/>
      <c r="AF490" s="678"/>
      <c r="AG490" s="678"/>
      <c r="AH490" s="678"/>
      <c r="AI490" s="678"/>
      <c r="AJ490" s="678"/>
      <c r="AK490" s="658"/>
    </row>
    <row r="491" spans="2:37" s="5" customFormat="1" ht="15" customHeight="1">
      <c r="B491" s="317">
        <v>41</v>
      </c>
      <c r="C491" s="835" t="s">
        <v>903</v>
      </c>
      <c r="D491" s="80" t="s">
        <v>68</v>
      </c>
      <c r="E491" s="81">
        <v>39782.300000000003</v>
      </c>
      <c r="F491" s="74"/>
      <c r="G491" s="75"/>
      <c r="H491" s="82"/>
      <c r="I491" s="83"/>
      <c r="J491" s="52"/>
      <c r="K491" s="156"/>
      <c r="L491" s="383"/>
      <c r="M491" s="542"/>
      <c r="N491" s="578">
        <f t="shared" si="14"/>
        <v>0</v>
      </c>
      <c r="O491" s="678"/>
      <c r="P491" s="678"/>
      <c r="Q491" s="678"/>
      <c r="R491" s="678"/>
      <c r="S491" s="678"/>
      <c r="T491" s="678"/>
      <c r="U491" s="678"/>
      <c r="V491" s="678"/>
      <c r="W491" s="678"/>
      <c r="X491" s="678"/>
      <c r="Y491" s="678"/>
      <c r="Z491" s="678"/>
      <c r="AA491" s="678"/>
      <c r="AB491" s="678"/>
      <c r="AC491" s="678"/>
      <c r="AD491" s="678"/>
      <c r="AE491" s="678"/>
      <c r="AF491" s="678"/>
      <c r="AG491" s="678"/>
      <c r="AH491" s="678"/>
      <c r="AI491" s="678"/>
      <c r="AJ491" s="678"/>
      <c r="AK491" s="658"/>
    </row>
    <row r="492" spans="2:37" s="5" customFormat="1">
      <c r="B492" s="313"/>
      <c r="C492" s="835"/>
      <c r="D492" s="17" t="s">
        <v>0</v>
      </c>
      <c r="E492" s="81" t="s">
        <v>27</v>
      </c>
      <c r="F492" s="84">
        <f>E491</f>
        <v>39782.300000000003</v>
      </c>
      <c r="G492" s="64">
        <f>$F$3-5</f>
        <v>1</v>
      </c>
      <c r="H492" s="64">
        <f>+G492*F492</f>
        <v>39782.300000000003</v>
      </c>
      <c r="I492" s="79"/>
      <c r="J492" s="52"/>
      <c r="K492" s="156"/>
      <c r="L492" s="383"/>
      <c r="M492" s="542"/>
      <c r="N492" s="578">
        <f t="shared" si="14"/>
        <v>-39782.300000000003</v>
      </c>
      <c r="O492" s="678"/>
      <c r="P492" s="678"/>
      <c r="Q492" s="678"/>
      <c r="R492" s="678"/>
      <c r="S492" s="678"/>
      <c r="T492" s="678"/>
      <c r="U492" s="678"/>
      <c r="V492" s="678"/>
      <c r="W492" s="678"/>
      <c r="X492" s="678"/>
      <c r="Y492" s="678"/>
      <c r="Z492" s="678"/>
      <c r="AA492" s="678"/>
      <c r="AB492" s="678"/>
      <c r="AC492" s="678"/>
      <c r="AD492" s="678"/>
      <c r="AE492" s="678"/>
      <c r="AF492" s="678"/>
      <c r="AG492" s="678"/>
      <c r="AH492" s="678"/>
      <c r="AI492" s="678"/>
      <c r="AJ492" s="678"/>
      <c r="AK492" s="658"/>
    </row>
    <row r="493" spans="2:37" s="5" customFormat="1">
      <c r="B493" s="313"/>
      <c r="C493" s="835"/>
      <c r="D493" s="17" t="s">
        <v>3</v>
      </c>
      <c r="E493" s="81" t="s">
        <v>27</v>
      </c>
      <c r="F493" s="84">
        <f>E491</f>
        <v>39782.300000000003</v>
      </c>
      <c r="G493" s="64">
        <v>6</v>
      </c>
      <c r="H493" s="64">
        <f>+G493*F493</f>
        <v>238693.80000000002</v>
      </c>
      <c r="I493" s="79"/>
      <c r="J493" s="52"/>
      <c r="K493" s="156"/>
      <c r="L493" s="383"/>
      <c r="M493" s="542"/>
      <c r="N493" s="578">
        <f t="shared" si="14"/>
        <v>-238693.80000000002</v>
      </c>
      <c r="O493" s="678"/>
      <c r="P493" s="678"/>
      <c r="Q493" s="678"/>
      <c r="R493" s="678"/>
      <c r="S493" s="678"/>
      <c r="T493" s="678"/>
      <c r="U493" s="678"/>
      <c r="V493" s="678"/>
      <c r="W493" s="678"/>
      <c r="X493" s="678"/>
      <c r="Y493" s="678"/>
      <c r="Z493" s="678"/>
      <c r="AA493" s="678"/>
      <c r="AB493" s="678"/>
      <c r="AC493" s="678"/>
      <c r="AD493" s="678"/>
      <c r="AE493" s="678"/>
      <c r="AF493" s="678"/>
      <c r="AG493" s="678"/>
      <c r="AH493" s="678"/>
      <c r="AI493" s="678"/>
      <c r="AJ493" s="678"/>
      <c r="AK493" s="658"/>
    </row>
    <row r="494" spans="2:37" s="5" customFormat="1">
      <c r="B494" s="313"/>
      <c r="C494" s="835"/>
      <c r="D494" s="17" t="s">
        <v>28</v>
      </c>
      <c r="E494" s="88">
        <f>$H$5+2+2</f>
        <v>17.25</v>
      </c>
      <c r="F494" s="84">
        <f>E491/44*1.5</f>
        <v>1356.2147727272729</v>
      </c>
      <c r="G494" s="87">
        <v>6</v>
      </c>
      <c r="H494" s="64">
        <f>+G494*F494*E494</f>
        <v>140368.22897727275</v>
      </c>
      <c r="I494" s="79"/>
      <c r="J494" s="52"/>
      <c r="K494" s="156"/>
      <c r="L494" s="383"/>
      <c r="M494" s="542"/>
      <c r="N494" s="578">
        <f t="shared" si="14"/>
        <v>-140368.22897727275</v>
      </c>
      <c r="O494" s="678"/>
      <c r="P494" s="678"/>
      <c r="Q494" s="678"/>
      <c r="R494" s="678"/>
      <c r="S494" s="678"/>
      <c r="T494" s="678"/>
      <c r="U494" s="678"/>
      <c r="V494" s="678"/>
      <c r="W494" s="678"/>
      <c r="X494" s="678"/>
      <c r="Y494" s="678"/>
      <c r="Z494" s="678"/>
      <c r="AA494" s="678"/>
      <c r="AB494" s="678"/>
      <c r="AC494" s="678"/>
      <c r="AD494" s="678"/>
      <c r="AE494" s="678"/>
      <c r="AF494" s="678"/>
      <c r="AG494" s="678"/>
      <c r="AH494" s="678"/>
      <c r="AI494" s="678"/>
      <c r="AJ494" s="678"/>
      <c r="AK494" s="658"/>
    </row>
    <row r="495" spans="2:37" s="5" customFormat="1">
      <c r="B495" s="313"/>
      <c r="C495" s="835"/>
      <c r="D495" s="17" t="s">
        <v>1</v>
      </c>
      <c r="E495" s="67" t="s">
        <v>29</v>
      </c>
      <c r="F495" s="84">
        <f>E491/5*1.5</f>
        <v>11934.690000000002</v>
      </c>
      <c r="G495" s="64">
        <f>$H$3</f>
        <v>0</v>
      </c>
      <c r="H495" s="64">
        <f>+G495*F495</f>
        <v>0</v>
      </c>
      <c r="I495" s="79"/>
      <c r="J495" s="52"/>
      <c r="K495" s="156"/>
      <c r="L495" s="383"/>
      <c r="M495" s="542"/>
      <c r="N495" s="578">
        <f t="shared" si="14"/>
        <v>0</v>
      </c>
      <c r="O495" s="678"/>
      <c r="P495" s="678"/>
      <c r="Q495" s="678"/>
      <c r="R495" s="678"/>
      <c r="S495" s="678"/>
      <c r="T495" s="678"/>
      <c r="U495" s="678"/>
      <c r="V495" s="678"/>
      <c r="W495" s="678"/>
      <c r="X495" s="678"/>
      <c r="Y495" s="678"/>
      <c r="Z495" s="678"/>
      <c r="AA495" s="678"/>
      <c r="AB495" s="678"/>
      <c r="AC495" s="678"/>
      <c r="AD495" s="678"/>
      <c r="AE495" s="678"/>
      <c r="AF495" s="678"/>
      <c r="AG495" s="678"/>
      <c r="AH495" s="678"/>
      <c r="AI495" s="678"/>
      <c r="AJ495" s="678"/>
      <c r="AK495" s="658"/>
    </row>
    <row r="496" spans="2:37" s="5" customFormat="1">
      <c r="B496" s="313"/>
      <c r="C496" s="835"/>
      <c r="D496" s="17" t="s">
        <v>4</v>
      </c>
      <c r="E496" s="67" t="s">
        <v>29</v>
      </c>
      <c r="F496" s="84">
        <f>E491/5*2</f>
        <v>15912.920000000002</v>
      </c>
      <c r="G496" s="64">
        <f>$H$4</f>
        <v>0</v>
      </c>
      <c r="H496" s="64">
        <f>+G496*F496</f>
        <v>0</v>
      </c>
      <c r="I496" s="79"/>
      <c r="J496" s="52"/>
      <c r="K496" s="156"/>
      <c r="L496" s="383"/>
      <c r="M496" s="542"/>
      <c r="N496" s="578">
        <f t="shared" si="14"/>
        <v>0</v>
      </c>
      <c r="O496" s="678"/>
      <c r="P496" s="678"/>
      <c r="Q496" s="678"/>
      <c r="R496" s="678"/>
      <c r="S496" s="678"/>
      <c r="T496" s="678"/>
      <c r="U496" s="678"/>
      <c r="V496" s="678"/>
      <c r="W496" s="678"/>
      <c r="X496" s="678"/>
      <c r="Y496" s="678"/>
      <c r="Z496" s="678"/>
      <c r="AA496" s="678"/>
      <c r="AB496" s="678"/>
      <c r="AC496" s="678"/>
      <c r="AD496" s="678"/>
      <c r="AE496" s="678"/>
      <c r="AF496" s="678"/>
      <c r="AG496" s="678"/>
      <c r="AH496" s="678"/>
      <c r="AI496" s="678"/>
      <c r="AJ496" s="678"/>
      <c r="AK496" s="658"/>
    </row>
    <row r="497" spans="2:37" s="5" customFormat="1">
      <c r="B497" s="313"/>
      <c r="C497" s="835"/>
      <c r="D497" s="17" t="s">
        <v>5</v>
      </c>
      <c r="E497" s="81" t="s">
        <v>27</v>
      </c>
      <c r="F497" s="84">
        <f>E491</f>
        <v>39782.300000000003</v>
      </c>
      <c r="G497" s="64">
        <v>0</v>
      </c>
      <c r="H497" s="64">
        <f>+G497*F497</f>
        <v>0</v>
      </c>
      <c r="I497" s="79"/>
      <c r="J497" s="52"/>
      <c r="K497" s="156"/>
      <c r="L497" s="383"/>
      <c r="M497" s="542"/>
      <c r="N497" s="578">
        <f t="shared" si="14"/>
        <v>0</v>
      </c>
      <c r="O497" s="678"/>
      <c r="P497" s="678"/>
      <c r="Q497" s="678"/>
      <c r="R497" s="678"/>
      <c r="S497" s="678"/>
      <c r="T497" s="678"/>
      <c r="U497" s="678"/>
      <c r="V497" s="678"/>
      <c r="W497" s="678"/>
      <c r="X497" s="678"/>
      <c r="Y497" s="678"/>
      <c r="Z497" s="678"/>
      <c r="AA497" s="678"/>
      <c r="AB497" s="678"/>
      <c r="AC497" s="679"/>
      <c r="AD497" s="678"/>
      <c r="AE497" s="678"/>
      <c r="AF497" s="678"/>
      <c r="AG497" s="678"/>
      <c r="AH497" s="678"/>
      <c r="AI497" s="678"/>
      <c r="AJ497" s="678"/>
      <c r="AK497" s="658"/>
    </row>
    <row r="498" spans="2:37" s="5" customFormat="1">
      <c r="B498" s="313"/>
      <c r="C498" s="835"/>
      <c r="D498" s="17" t="s">
        <v>30</v>
      </c>
      <c r="E498" s="67" t="s">
        <v>16</v>
      </c>
      <c r="F498" s="101">
        <f>G492+G493+G497</f>
        <v>7</v>
      </c>
      <c r="G498" s="68" t="s">
        <v>31</v>
      </c>
      <c r="H498" s="64">
        <f>SUM(H492:H497)</f>
        <v>418844.32897727279</v>
      </c>
      <c r="I498" s="79"/>
      <c r="J498" s="52"/>
      <c r="K498" s="156"/>
      <c r="L498" s="383"/>
      <c r="M498" s="542"/>
      <c r="N498" s="578">
        <f t="shared" si="14"/>
        <v>-418844.32897727279</v>
      </c>
      <c r="O498" s="678"/>
      <c r="P498" s="678"/>
      <c r="Q498" s="678"/>
      <c r="R498" s="678"/>
      <c r="S498" s="678"/>
      <c r="T498" s="678"/>
      <c r="U498" s="678"/>
      <c r="V498" s="678"/>
      <c r="W498" s="678"/>
      <c r="X498" s="678"/>
      <c r="Y498" s="678"/>
      <c r="Z498" s="678"/>
      <c r="AA498" s="678"/>
      <c r="AB498" s="678"/>
      <c r="AC498" s="678"/>
      <c r="AD498" s="678"/>
      <c r="AE498" s="678"/>
      <c r="AF498" s="678"/>
      <c r="AG498" s="678"/>
      <c r="AH498" s="678"/>
      <c r="AI498" s="678"/>
      <c r="AJ498" s="678"/>
      <c r="AK498" s="658"/>
    </row>
    <row r="499" spans="2:37" s="5" customFormat="1">
      <c r="B499" s="313"/>
      <c r="C499" s="835"/>
      <c r="D499" s="19" t="s">
        <v>32</v>
      </c>
      <c r="E499" s="67" t="s">
        <v>16</v>
      </c>
      <c r="F499" s="84">
        <f>SUM(H492:H497)</f>
        <v>418844.32897727279</v>
      </c>
      <c r="G499" s="92">
        <f>$G$43</f>
        <v>8.3299999999999999E-2</v>
      </c>
      <c r="H499" s="64">
        <f>+G499*F499</f>
        <v>34889.73260380682</v>
      </c>
      <c r="I499" s="93"/>
      <c r="J499" s="52"/>
      <c r="K499" s="156"/>
      <c r="L499" s="383"/>
      <c r="M499" s="542"/>
      <c r="N499" s="578">
        <f t="shared" si="14"/>
        <v>-34889.73260380682</v>
      </c>
      <c r="O499" s="679"/>
      <c r="P499" s="679"/>
      <c r="Q499" s="679"/>
      <c r="R499" s="679"/>
      <c r="S499" s="679"/>
      <c r="T499" s="679"/>
      <c r="U499" s="679"/>
      <c r="V499" s="679"/>
      <c r="W499" s="679"/>
      <c r="X499" s="679"/>
      <c r="Y499" s="679"/>
      <c r="Z499" s="679"/>
      <c r="AA499" s="679"/>
      <c r="AB499" s="679"/>
      <c r="AC499" s="679"/>
      <c r="AD499" s="678"/>
      <c r="AE499" s="678"/>
      <c r="AF499" s="678"/>
      <c r="AG499" s="678"/>
      <c r="AH499" s="678"/>
      <c r="AI499" s="678"/>
      <c r="AJ499" s="678"/>
      <c r="AK499" s="658"/>
    </row>
    <row r="500" spans="2:37" s="5" customFormat="1">
      <c r="B500" s="313"/>
      <c r="C500" s="835"/>
      <c r="D500" s="19" t="s">
        <v>33</v>
      </c>
      <c r="E500" s="84">
        <f>F499/(5*F498)</f>
        <v>11966.98082792208</v>
      </c>
      <c r="F500" s="84">
        <f>E500*(F498*7)</f>
        <v>586382.06056818191</v>
      </c>
      <c r="G500" s="95">
        <f>$G$44</f>
        <v>20</v>
      </c>
      <c r="H500" s="64">
        <f>F500/G500</f>
        <v>29319.103028409096</v>
      </c>
      <c r="I500" s="72">
        <f>SUM(H498:H500)</f>
        <v>483053.16460948868</v>
      </c>
      <c r="J500" s="52">
        <f>SUM(G492:G500)</f>
        <v>33.083300000000001</v>
      </c>
      <c r="K500" s="156"/>
      <c r="L500" s="383"/>
      <c r="M500" s="542"/>
      <c r="N500" s="578">
        <f t="shared" si="14"/>
        <v>-29319.103028409096</v>
      </c>
      <c r="O500" s="678"/>
      <c r="P500" s="678"/>
      <c r="Q500" s="678"/>
      <c r="R500" s="678"/>
      <c r="S500" s="678"/>
      <c r="T500" s="678"/>
      <c r="U500" s="678"/>
      <c r="V500" s="678"/>
      <c r="W500" s="678"/>
      <c r="X500" s="678"/>
      <c r="Y500" s="678"/>
      <c r="Z500" s="678"/>
      <c r="AA500" s="678"/>
      <c r="AB500" s="678"/>
      <c r="AC500" s="678"/>
      <c r="AD500" s="678"/>
      <c r="AE500" s="678"/>
      <c r="AF500" s="678"/>
      <c r="AG500" s="678"/>
      <c r="AH500" s="678"/>
      <c r="AI500" s="678"/>
      <c r="AJ500" s="678"/>
      <c r="AK500" s="658"/>
    </row>
    <row r="501" spans="2:37" s="5" customFormat="1">
      <c r="B501" s="313"/>
      <c r="C501" s="835"/>
      <c r="D501" s="96"/>
      <c r="E501" s="100"/>
      <c r="F501" s="74"/>
      <c r="G501" s="97"/>
      <c r="H501" s="78"/>
      <c r="I501" s="79"/>
      <c r="J501" s="52"/>
      <c r="K501" s="156"/>
      <c r="L501" s="383"/>
      <c r="M501" s="542"/>
      <c r="N501" s="578">
        <f t="shared" si="14"/>
        <v>0</v>
      </c>
      <c r="O501" s="678"/>
      <c r="P501" s="678"/>
      <c r="Q501" s="678"/>
      <c r="R501" s="678"/>
      <c r="S501" s="678"/>
      <c r="T501" s="678"/>
      <c r="U501" s="678"/>
      <c r="V501" s="678"/>
      <c r="W501" s="678"/>
      <c r="X501" s="678"/>
      <c r="Y501" s="678"/>
      <c r="Z501" s="678"/>
      <c r="AA501" s="678"/>
      <c r="AB501" s="678"/>
      <c r="AC501" s="678"/>
      <c r="AD501" s="678"/>
      <c r="AE501" s="678"/>
      <c r="AF501" s="678"/>
      <c r="AG501" s="678"/>
      <c r="AH501" s="678"/>
      <c r="AI501" s="678"/>
      <c r="AJ501" s="678"/>
      <c r="AK501" s="658"/>
    </row>
    <row r="502" spans="2:37" s="340" customFormat="1" ht="15" customHeight="1">
      <c r="B502" s="313"/>
      <c r="C502" s="841"/>
      <c r="D502" s="332" t="s">
        <v>69</v>
      </c>
      <c r="E502" s="333"/>
      <c r="F502" s="333">
        <f>SICA!C39</f>
        <v>33725</v>
      </c>
      <c r="G502" s="334"/>
      <c r="H502" s="335"/>
      <c r="I502" s="336"/>
      <c r="J502" s="337"/>
      <c r="K502" s="338"/>
      <c r="L502" s="390"/>
      <c r="M502" s="599"/>
      <c r="N502" s="578">
        <f t="shared" si="14"/>
        <v>0</v>
      </c>
      <c r="O502" s="678"/>
      <c r="P502" s="678"/>
      <c r="Q502" s="678"/>
      <c r="R502" s="678"/>
      <c r="S502" s="678"/>
      <c r="T502" s="678"/>
      <c r="U502" s="678"/>
      <c r="V502" s="678"/>
      <c r="W502" s="678"/>
      <c r="X502" s="678"/>
      <c r="Y502" s="678"/>
      <c r="Z502" s="678"/>
      <c r="AA502" s="678"/>
      <c r="AB502" s="678"/>
      <c r="AC502" s="678"/>
      <c r="AD502" s="678"/>
      <c r="AE502" s="685"/>
      <c r="AF502" s="685"/>
      <c r="AG502" s="685"/>
      <c r="AH502" s="685"/>
      <c r="AI502" s="685"/>
      <c r="AJ502" s="685"/>
      <c r="AK502" s="658"/>
    </row>
    <row r="503" spans="2:37" s="340" customFormat="1">
      <c r="B503" s="341"/>
      <c r="C503" s="842"/>
      <c r="D503" s="342" t="s">
        <v>0</v>
      </c>
      <c r="E503" s="333" t="s">
        <v>27</v>
      </c>
      <c r="F503" s="343">
        <f>E502</f>
        <v>0</v>
      </c>
      <c r="G503" s="344">
        <v>2</v>
      </c>
      <c r="H503" s="344">
        <f>+G503*F503</f>
        <v>0</v>
      </c>
      <c r="I503" s="339"/>
      <c r="J503" s="337"/>
      <c r="K503" s="338"/>
      <c r="L503" s="390"/>
      <c r="M503" s="599"/>
      <c r="N503" s="578">
        <f t="shared" si="14"/>
        <v>0</v>
      </c>
      <c r="O503" s="678"/>
      <c r="P503" s="678"/>
      <c r="Q503" s="678"/>
      <c r="R503" s="678"/>
      <c r="S503" s="678"/>
      <c r="T503" s="678"/>
      <c r="U503" s="678"/>
      <c r="V503" s="678"/>
      <c r="W503" s="678"/>
      <c r="X503" s="678"/>
      <c r="Y503" s="678"/>
      <c r="Z503" s="678"/>
      <c r="AA503" s="678"/>
      <c r="AB503" s="678"/>
      <c r="AC503" s="678"/>
      <c r="AD503" s="678"/>
      <c r="AE503" s="685"/>
      <c r="AF503" s="685"/>
      <c r="AG503" s="685"/>
      <c r="AH503" s="685"/>
      <c r="AI503" s="685"/>
      <c r="AJ503" s="685"/>
      <c r="AK503" s="658"/>
    </row>
    <row r="504" spans="2:37" s="340" customFormat="1">
      <c r="B504" s="341"/>
      <c r="C504" s="842"/>
      <c r="D504" s="342" t="s">
        <v>3</v>
      </c>
      <c r="E504" s="333" t="s">
        <v>27</v>
      </c>
      <c r="F504" s="343">
        <f>E502</f>
        <v>0</v>
      </c>
      <c r="G504" s="344">
        <f>$F$4</f>
        <v>6</v>
      </c>
      <c r="H504" s="344">
        <f>+G504*F504</f>
        <v>0</v>
      </c>
      <c r="I504" s="339"/>
      <c r="J504" s="337"/>
      <c r="K504" s="338"/>
      <c r="L504" s="390"/>
      <c r="M504" s="599"/>
      <c r="N504" s="578">
        <f t="shared" si="14"/>
        <v>0</v>
      </c>
      <c r="O504" s="678"/>
      <c r="P504" s="678"/>
      <c r="Q504" s="678"/>
      <c r="R504" s="678"/>
      <c r="S504" s="678"/>
      <c r="T504" s="678"/>
      <c r="U504" s="678"/>
      <c r="V504" s="678"/>
      <c r="W504" s="678"/>
      <c r="X504" s="678"/>
      <c r="Y504" s="678"/>
      <c r="Z504" s="678"/>
      <c r="AA504" s="678"/>
      <c r="AB504" s="678"/>
      <c r="AC504" s="678"/>
      <c r="AD504" s="678"/>
      <c r="AE504" s="685"/>
      <c r="AF504" s="685"/>
      <c r="AG504" s="685"/>
      <c r="AH504" s="685"/>
      <c r="AI504" s="685"/>
      <c r="AJ504" s="685"/>
      <c r="AK504" s="658"/>
    </row>
    <row r="505" spans="2:37" s="340" customFormat="1">
      <c r="B505" s="341"/>
      <c r="C505" s="842"/>
      <c r="D505" s="342" t="s">
        <v>28</v>
      </c>
      <c r="E505" s="345">
        <f>$H$5</f>
        <v>13.25</v>
      </c>
      <c r="F505" s="343">
        <f>E502/44*1.5</f>
        <v>0</v>
      </c>
      <c r="G505" s="346">
        <f>$F$4</f>
        <v>6</v>
      </c>
      <c r="H505" s="344">
        <f>+G505*F505*E505</f>
        <v>0</v>
      </c>
      <c r="I505" s="339"/>
      <c r="J505" s="337"/>
      <c r="K505" s="338"/>
      <c r="L505" s="390"/>
      <c r="M505" s="599"/>
      <c r="N505" s="578">
        <f t="shared" si="14"/>
        <v>0</v>
      </c>
      <c r="O505" s="678"/>
      <c r="P505" s="678"/>
      <c r="Q505" s="678"/>
      <c r="R505" s="678"/>
      <c r="S505" s="678"/>
      <c r="T505" s="678"/>
      <c r="U505" s="678"/>
      <c r="V505" s="678"/>
      <c r="W505" s="678"/>
      <c r="X505" s="678"/>
      <c r="Y505" s="678"/>
      <c r="Z505" s="678"/>
      <c r="AA505" s="678"/>
      <c r="AB505" s="678"/>
      <c r="AC505" s="678"/>
      <c r="AD505" s="678"/>
      <c r="AE505" s="685"/>
      <c r="AF505" s="685"/>
      <c r="AG505" s="685"/>
      <c r="AH505" s="685"/>
      <c r="AI505" s="685"/>
      <c r="AJ505" s="685"/>
      <c r="AK505" s="658"/>
    </row>
    <row r="506" spans="2:37" s="340" customFormat="1">
      <c r="B506" s="341"/>
      <c r="C506" s="842"/>
      <c r="D506" s="342" t="s">
        <v>1</v>
      </c>
      <c r="E506" s="347" t="s">
        <v>29</v>
      </c>
      <c r="F506" s="343">
        <f>E502/5*1.5</f>
        <v>0</v>
      </c>
      <c r="G506" s="344">
        <f>$H$3</f>
        <v>0</v>
      </c>
      <c r="H506" s="344">
        <f>+G506*F506</f>
        <v>0</v>
      </c>
      <c r="I506" s="339"/>
      <c r="J506" s="337"/>
      <c r="K506" s="338"/>
      <c r="L506" s="390"/>
      <c r="M506" s="599"/>
      <c r="N506" s="578">
        <f t="shared" si="14"/>
        <v>0</v>
      </c>
      <c r="O506" s="678"/>
      <c r="P506" s="678"/>
      <c r="Q506" s="678"/>
      <c r="R506" s="678"/>
      <c r="S506" s="678"/>
      <c r="T506" s="678"/>
      <c r="U506" s="678"/>
      <c r="V506" s="678"/>
      <c r="W506" s="678"/>
      <c r="X506" s="678"/>
      <c r="Y506" s="678"/>
      <c r="Z506" s="678"/>
      <c r="AA506" s="678"/>
      <c r="AB506" s="678"/>
      <c r="AC506" s="678"/>
      <c r="AD506" s="678"/>
      <c r="AE506" s="685"/>
      <c r="AF506" s="685"/>
      <c r="AG506" s="685"/>
      <c r="AH506" s="685"/>
      <c r="AI506" s="685"/>
      <c r="AJ506" s="685"/>
      <c r="AK506" s="658"/>
    </row>
    <row r="507" spans="2:37" s="340" customFormat="1">
      <c r="B507" s="341"/>
      <c r="C507" s="842"/>
      <c r="D507" s="342" t="s">
        <v>4</v>
      </c>
      <c r="E507" s="347" t="s">
        <v>29</v>
      </c>
      <c r="F507" s="343">
        <f>E502/5*2</f>
        <v>0</v>
      </c>
      <c r="G507" s="344">
        <f>$H$4</f>
        <v>0</v>
      </c>
      <c r="H507" s="344">
        <f>+G507*F507</f>
        <v>0</v>
      </c>
      <c r="I507" s="339"/>
      <c r="J507" s="337"/>
      <c r="K507" s="338"/>
      <c r="L507" s="390"/>
      <c r="M507" s="599"/>
      <c r="N507" s="578">
        <f t="shared" si="14"/>
        <v>0</v>
      </c>
      <c r="O507" s="678"/>
      <c r="P507" s="678"/>
      <c r="Q507" s="678"/>
      <c r="R507" s="678"/>
      <c r="S507" s="678"/>
      <c r="T507" s="678"/>
      <c r="U507" s="678"/>
      <c r="V507" s="678"/>
      <c r="W507" s="678"/>
      <c r="X507" s="678"/>
      <c r="Y507" s="678"/>
      <c r="Z507" s="678"/>
      <c r="AA507" s="678"/>
      <c r="AB507" s="678"/>
      <c r="AC507" s="678"/>
      <c r="AD507" s="678"/>
      <c r="AE507" s="685"/>
      <c r="AF507" s="685"/>
      <c r="AG507" s="685"/>
      <c r="AH507" s="685"/>
      <c r="AI507" s="685"/>
      <c r="AJ507" s="685"/>
      <c r="AK507" s="658"/>
    </row>
    <row r="508" spans="2:37" s="340" customFormat="1">
      <c r="B508" s="341"/>
      <c r="C508" s="842"/>
      <c r="D508" s="342" t="s">
        <v>5</v>
      </c>
      <c r="E508" s="333" t="s">
        <v>27</v>
      </c>
      <c r="F508" s="343">
        <f>E502</f>
        <v>0</v>
      </c>
      <c r="G508" s="344">
        <f>$F$5-5</f>
        <v>-5</v>
      </c>
      <c r="H508" s="344">
        <f>+G508*F508</f>
        <v>0</v>
      </c>
      <c r="I508" s="339"/>
      <c r="J508" s="337"/>
      <c r="K508" s="338"/>
      <c r="L508" s="390"/>
      <c r="M508" s="599"/>
      <c r="N508" s="578">
        <f t="shared" si="14"/>
        <v>0</v>
      </c>
      <c r="O508" s="678"/>
      <c r="P508" s="678"/>
      <c r="Q508" s="678"/>
      <c r="R508" s="678"/>
      <c r="S508" s="678"/>
      <c r="T508" s="678"/>
      <c r="U508" s="678"/>
      <c r="V508" s="678"/>
      <c r="W508" s="678"/>
      <c r="X508" s="678"/>
      <c r="Y508" s="678"/>
      <c r="Z508" s="678"/>
      <c r="AA508" s="678"/>
      <c r="AB508" s="678"/>
      <c r="AC508" s="679"/>
      <c r="AD508" s="678"/>
      <c r="AE508" s="685"/>
      <c r="AF508" s="685"/>
      <c r="AG508" s="685"/>
      <c r="AH508" s="685"/>
      <c r="AI508" s="685"/>
      <c r="AJ508" s="685"/>
      <c r="AK508" s="658"/>
    </row>
    <row r="509" spans="2:37" s="340" customFormat="1">
      <c r="B509" s="341"/>
      <c r="C509" s="842"/>
      <c r="D509" s="342" t="s">
        <v>30</v>
      </c>
      <c r="E509" s="347" t="s">
        <v>16</v>
      </c>
      <c r="F509" s="344">
        <f>G503+G504+G508</f>
        <v>3</v>
      </c>
      <c r="G509" s="348" t="s">
        <v>31</v>
      </c>
      <c r="H509" s="344">
        <f>SUM(H503:H508)</f>
        <v>0</v>
      </c>
      <c r="I509" s="339"/>
      <c r="J509" s="337"/>
      <c r="K509" s="338"/>
      <c r="L509" s="390"/>
      <c r="M509" s="599"/>
      <c r="N509" s="578">
        <f t="shared" si="14"/>
        <v>0</v>
      </c>
      <c r="O509" s="678"/>
      <c r="P509" s="678"/>
      <c r="Q509" s="678"/>
      <c r="R509" s="678"/>
      <c r="S509" s="678"/>
      <c r="T509" s="678"/>
      <c r="U509" s="678"/>
      <c r="V509" s="678"/>
      <c r="W509" s="678"/>
      <c r="X509" s="678"/>
      <c r="Y509" s="678"/>
      <c r="Z509" s="678"/>
      <c r="AA509" s="678"/>
      <c r="AB509" s="678"/>
      <c r="AC509" s="678"/>
      <c r="AD509" s="678"/>
      <c r="AE509" s="685"/>
      <c r="AF509" s="685"/>
      <c r="AG509" s="685"/>
      <c r="AH509" s="685"/>
      <c r="AI509" s="685"/>
      <c r="AJ509" s="685"/>
      <c r="AK509" s="658"/>
    </row>
    <row r="510" spans="2:37" s="340" customFormat="1">
      <c r="B510" s="341"/>
      <c r="C510" s="842"/>
      <c r="D510" s="349" t="s">
        <v>32</v>
      </c>
      <c r="E510" s="347" t="s">
        <v>16</v>
      </c>
      <c r="F510" s="343">
        <f>SUM(H503:H508)</f>
        <v>0</v>
      </c>
      <c r="G510" s="350">
        <f>$G$43</f>
        <v>8.3299999999999999E-2</v>
      </c>
      <c r="H510" s="344">
        <f>+G510*F510</f>
        <v>0</v>
      </c>
      <c r="I510" s="351"/>
      <c r="J510" s="337"/>
      <c r="K510" s="338"/>
      <c r="L510" s="390"/>
      <c r="M510" s="599"/>
      <c r="N510" s="578">
        <f t="shared" si="14"/>
        <v>0</v>
      </c>
      <c r="O510" s="679"/>
      <c r="P510" s="679"/>
      <c r="Q510" s="679"/>
      <c r="R510" s="679"/>
      <c r="S510" s="679"/>
      <c r="T510" s="679"/>
      <c r="U510" s="679"/>
      <c r="V510" s="679"/>
      <c r="W510" s="679"/>
      <c r="X510" s="679"/>
      <c r="Y510" s="679"/>
      <c r="Z510" s="679"/>
      <c r="AA510" s="679"/>
      <c r="AB510" s="679"/>
      <c r="AC510" s="679"/>
      <c r="AD510" s="678"/>
      <c r="AE510" s="685"/>
      <c r="AF510" s="685"/>
      <c r="AG510" s="685"/>
      <c r="AH510" s="685"/>
      <c r="AI510" s="685"/>
      <c r="AJ510" s="685"/>
      <c r="AK510" s="658"/>
    </row>
    <row r="511" spans="2:37" s="340" customFormat="1">
      <c r="B511" s="341"/>
      <c r="C511" s="842"/>
      <c r="D511" s="349" t="s">
        <v>350</v>
      </c>
      <c r="E511" s="343">
        <f>F510/(5*F509)</f>
        <v>0</v>
      </c>
      <c r="F511" s="343">
        <f>E511*(F509*7)</f>
        <v>0</v>
      </c>
      <c r="G511" s="353">
        <f>$G$44</f>
        <v>20</v>
      </c>
      <c r="H511" s="344">
        <f>F511/G511</f>
        <v>0</v>
      </c>
      <c r="I511" s="352">
        <f>SUM(H509:H511)</f>
        <v>0</v>
      </c>
      <c r="J511" s="337">
        <f>SUM(G503:G511)</f>
        <v>29.083300000000001</v>
      </c>
      <c r="K511" s="338"/>
      <c r="L511" s="390"/>
      <c r="M511" s="599"/>
      <c r="N511" s="578">
        <f t="shared" si="14"/>
        <v>0</v>
      </c>
      <c r="O511" s="678"/>
      <c r="P511" s="678"/>
      <c r="Q511" s="678"/>
      <c r="R511" s="678"/>
      <c r="S511" s="678"/>
      <c r="T511" s="678"/>
      <c r="U511" s="678"/>
      <c r="V511" s="678"/>
      <c r="W511" s="678"/>
      <c r="X511" s="678"/>
      <c r="Y511" s="678"/>
      <c r="Z511" s="678"/>
      <c r="AA511" s="678"/>
      <c r="AB511" s="678"/>
      <c r="AC511" s="678"/>
      <c r="AD511" s="678"/>
      <c r="AE511" s="685"/>
      <c r="AF511" s="685"/>
      <c r="AG511" s="685"/>
      <c r="AH511" s="685"/>
      <c r="AI511" s="685"/>
      <c r="AJ511" s="685"/>
      <c r="AK511" s="658"/>
    </row>
    <row r="512" spans="2:37" s="326" customFormat="1">
      <c r="B512" s="327"/>
      <c r="C512" s="843"/>
      <c r="D512" s="328"/>
      <c r="E512" s="329"/>
      <c r="F512" s="330"/>
      <c r="G512" s="331"/>
      <c r="H512" s="324"/>
      <c r="I512" s="325"/>
      <c r="J512" s="322"/>
      <c r="K512" s="323"/>
      <c r="L512" s="391"/>
      <c r="M512" s="600"/>
      <c r="N512" s="578">
        <f t="shared" si="14"/>
        <v>0</v>
      </c>
      <c r="O512" s="678"/>
      <c r="P512" s="678"/>
      <c r="Q512" s="678"/>
      <c r="R512" s="678"/>
      <c r="S512" s="678"/>
      <c r="T512" s="678"/>
      <c r="U512" s="678"/>
      <c r="V512" s="678"/>
      <c r="W512" s="678"/>
      <c r="X512" s="678"/>
      <c r="Y512" s="678"/>
      <c r="Z512" s="678"/>
      <c r="AA512" s="678"/>
      <c r="AB512" s="678"/>
      <c r="AC512" s="678"/>
      <c r="AD512" s="678"/>
      <c r="AE512" s="686"/>
      <c r="AF512" s="686"/>
      <c r="AG512" s="686"/>
      <c r="AH512" s="686"/>
      <c r="AI512" s="686"/>
      <c r="AJ512" s="686"/>
      <c r="AK512" s="658"/>
    </row>
    <row r="513" spans="2:37" s="5" customFormat="1" ht="15" customHeight="1">
      <c r="B513" s="317">
        <v>42</v>
      </c>
      <c r="C513" s="835" t="s">
        <v>904</v>
      </c>
      <c r="D513" s="80" t="s">
        <v>70</v>
      </c>
      <c r="E513" s="81">
        <v>57232.2</v>
      </c>
      <c r="F513" s="74"/>
      <c r="G513" s="75"/>
      <c r="H513" s="82"/>
      <c r="I513" s="83"/>
      <c r="J513" s="52"/>
      <c r="K513" s="156"/>
      <c r="L513" s="383"/>
      <c r="M513" s="542"/>
      <c r="N513" s="578">
        <f t="shared" si="14"/>
        <v>0</v>
      </c>
      <c r="O513" s="678"/>
      <c r="P513" s="678"/>
      <c r="Q513" s="678"/>
      <c r="R513" s="678"/>
      <c r="S513" s="678"/>
      <c r="T513" s="678"/>
      <c r="U513" s="678"/>
      <c r="V513" s="678"/>
      <c r="W513" s="678"/>
      <c r="X513" s="678"/>
      <c r="Y513" s="678"/>
      <c r="Z513" s="678"/>
      <c r="AA513" s="678"/>
      <c r="AB513" s="678"/>
      <c r="AC513" s="678"/>
      <c r="AD513" s="678"/>
      <c r="AE513" s="678"/>
      <c r="AF513" s="678"/>
      <c r="AG513" s="678"/>
      <c r="AH513" s="678"/>
      <c r="AI513" s="678"/>
      <c r="AJ513" s="678"/>
      <c r="AK513" s="658"/>
    </row>
    <row r="514" spans="2:37" s="5" customFormat="1">
      <c r="B514" s="313"/>
      <c r="C514" s="835"/>
      <c r="D514" s="17" t="s">
        <v>0</v>
      </c>
      <c r="E514" s="81" t="s">
        <v>27</v>
      </c>
      <c r="F514" s="84">
        <f>E513</f>
        <v>57232.2</v>
      </c>
      <c r="G514" s="99">
        <v>1</v>
      </c>
      <c r="H514" s="64">
        <f>+G514*F514</f>
        <v>57232.2</v>
      </c>
      <c r="I514" s="79"/>
      <c r="J514" s="52"/>
      <c r="K514" s="156"/>
      <c r="L514" s="383"/>
      <c r="M514" s="542"/>
      <c r="N514" s="578">
        <f t="shared" si="14"/>
        <v>-57232.2</v>
      </c>
      <c r="O514" s="678"/>
      <c r="P514" s="678"/>
      <c r="Q514" s="678"/>
      <c r="R514" s="678"/>
      <c r="S514" s="678"/>
      <c r="T514" s="678"/>
      <c r="U514" s="678"/>
      <c r="V514" s="678"/>
      <c r="W514" s="678"/>
      <c r="X514" s="678"/>
      <c r="Y514" s="678"/>
      <c r="Z514" s="678"/>
      <c r="AA514" s="678"/>
      <c r="AB514" s="678"/>
      <c r="AC514" s="678"/>
      <c r="AD514" s="678"/>
      <c r="AE514" s="678"/>
      <c r="AF514" s="678"/>
      <c r="AG514" s="678"/>
      <c r="AH514" s="678"/>
      <c r="AI514" s="678"/>
      <c r="AJ514" s="678"/>
      <c r="AK514" s="658"/>
    </row>
    <row r="515" spans="2:37" s="5" customFormat="1">
      <c r="B515" s="313"/>
      <c r="C515" s="835"/>
      <c r="D515" s="17" t="s">
        <v>3</v>
      </c>
      <c r="E515" s="81" t="s">
        <v>27</v>
      </c>
      <c r="F515" s="84">
        <f>E513</f>
        <v>57232.2</v>
      </c>
      <c r="G515" s="64">
        <v>6</v>
      </c>
      <c r="H515" s="64">
        <f>+G515*F515</f>
        <v>343393.19999999995</v>
      </c>
      <c r="I515" s="79"/>
      <c r="J515" s="52"/>
      <c r="K515" s="156"/>
      <c r="L515" s="383"/>
      <c r="M515" s="542"/>
      <c r="N515" s="578">
        <f t="shared" si="14"/>
        <v>-343393.19999999995</v>
      </c>
      <c r="O515" s="678"/>
      <c r="P515" s="678"/>
      <c r="Q515" s="678"/>
      <c r="R515" s="678"/>
      <c r="S515" s="678"/>
      <c r="T515" s="678"/>
      <c r="U515" s="678"/>
      <c r="V515" s="678"/>
      <c r="W515" s="678"/>
      <c r="X515" s="678"/>
      <c r="Y515" s="678"/>
      <c r="Z515" s="678"/>
      <c r="AA515" s="678"/>
      <c r="AB515" s="678"/>
      <c r="AC515" s="678"/>
      <c r="AD515" s="678"/>
      <c r="AE515" s="678"/>
      <c r="AF515" s="678"/>
      <c r="AG515" s="678"/>
      <c r="AH515" s="678"/>
      <c r="AI515" s="678"/>
      <c r="AJ515" s="678"/>
      <c r="AK515" s="658"/>
    </row>
    <row r="516" spans="2:37" s="5" customFormat="1">
      <c r="B516" s="313"/>
      <c r="C516" s="835"/>
      <c r="D516" s="17" t="s">
        <v>28</v>
      </c>
      <c r="E516" s="88">
        <f>$H$5+2+2</f>
        <v>17.25</v>
      </c>
      <c r="F516" s="84">
        <f>E513/44*1.5</f>
        <v>1951.0977272727273</v>
      </c>
      <c r="G516" s="87">
        <v>6</v>
      </c>
      <c r="H516" s="64">
        <f>+G516*F516*E516</f>
        <v>201938.61477272731</v>
      </c>
      <c r="I516" s="79"/>
      <c r="J516" s="52"/>
      <c r="K516" s="156"/>
      <c r="L516" s="383"/>
      <c r="M516" s="542"/>
      <c r="N516" s="578">
        <f t="shared" si="14"/>
        <v>-201938.61477272731</v>
      </c>
      <c r="O516" s="678"/>
      <c r="P516" s="678"/>
      <c r="Q516" s="678"/>
      <c r="R516" s="678"/>
      <c r="S516" s="678"/>
      <c r="T516" s="678"/>
      <c r="U516" s="678"/>
      <c r="V516" s="678"/>
      <c r="W516" s="678"/>
      <c r="X516" s="678"/>
      <c r="Y516" s="678"/>
      <c r="Z516" s="678"/>
      <c r="AA516" s="678"/>
      <c r="AB516" s="678"/>
      <c r="AC516" s="678"/>
      <c r="AD516" s="678"/>
      <c r="AE516" s="678"/>
      <c r="AF516" s="678"/>
      <c r="AG516" s="678"/>
      <c r="AH516" s="678"/>
      <c r="AI516" s="678"/>
      <c r="AJ516" s="678"/>
      <c r="AK516" s="658"/>
    </row>
    <row r="517" spans="2:37" s="5" customFormat="1">
      <c r="B517" s="313"/>
      <c r="C517" s="835"/>
      <c r="D517" s="17" t="s">
        <v>1</v>
      </c>
      <c r="E517" s="67" t="s">
        <v>29</v>
      </c>
      <c r="F517" s="84">
        <f>E513/5*1.5</f>
        <v>17169.659999999996</v>
      </c>
      <c r="G517" s="64">
        <f>$H$3</f>
        <v>0</v>
      </c>
      <c r="H517" s="64">
        <f>+G517*F517</f>
        <v>0</v>
      </c>
      <c r="I517" s="79"/>
      <c r="J517" s="52"/>
      <c r="K517" s="156"/>
      <c r="L517" s="383"/>
      <c r="M517" s="542"/>
      <c r="N517" s="578">
        <f t="shared" si="14"/>
        <v>0</v>
      </c>
      <c r="O517" s="678"/>
      <c r="P517" s="678"/>
      <c r="Q517" s="678"/>
      <c r="R517" s="678"/>
      <c r="S517" s="678"/>
      <c r="T517" s="678"/>
      <c r="U517" s="678"/>
      <c r="V517" s="678"/>
      <c r="W517" s="678"/>
      <c r="X517" s="678"/>
      <c r="Y517" s="678"/>
      <c r="Z517" s="678"/>
      <c r="AA517" s="678"/>
      <c r="AB517" s="678"/>
      <c r="AC517" s="678"/>
      <c r="AD517" s="678"/>
      <c r="AE517" s="678"/>
      <c r="AF517" s="678"/>
      <c r="AG517" s="678"/>
      <c r="AH517" s="678"/>
      <c r="AI517" s="678"/>
      <c r="AJ517" s="678"/>
      <c r="AK517" s="658"/>
    </row>
    <row r="518" spans="2:37" s="5" customFormat="1">
      <c r="B518" s="313"/>
      <c r="C518" s="835"/>
      <c r="D518" s="17" t="s">
        <v>4</v>
      </c>
      <c r="E518" s="67" t="s">
        <v>29</v>
      </c>
      <c r="F518" s="84">
        <f>E513/5*2</f>
        <v>22892.879999999997</v>
      </c>
      <c r="G518" s="64">
        <f>$H$4</f>
        <v>0</v>
      </c>
      <c r="H518" s="64">
        <f>+G518*F518</f>
        <v>0</v>
      </c>
      <c r="I518" s="79"/>
      <c r="J518" s="52"/>
      <c r="K518" s="156"/>
      <c r="L518" s="383"/>
      <c r="M518" s="542"/>
      <c r="N518" s="578">
        <f t="shared" si="14"/>
        <v>0</v>
      </c>
      <c r="O518" s="678"/>
      <c r="P518" s="678"/>
      <c r="Q518" s="678"/>
      <c r="R518" s="678"/>
      <c r="S518" s="678"/>
      <c r="T518" s="678"/>
      <c r="U518" s="678"/>
      <c r="V518" s="678"/>
      <c r="W518" s="678"/>
      <c r="X518" s="678"/>
      <c r="Y518" s="678"/>
      <c r="Z518" s="678"/>
      <c r="AA518" s="678"/>
      <c r="AB518" s="678"/>
      <c r="AC518" s="678"/>
      <c r="AD518" s="678"/>
      <c r="AE518" s="678"/>
      <c r="AF518" s="678"/>
      <c r="AG518" s="678"/>
      <c r="AH518" s="678"/>
      <c r="AI518" s="678"/>
      <c r="AJ518" s="678"/>
      <c r="AK518" s="658"/>
    </row>
    <row r="519" spans="2:37" s="5" customFormat="1">
      <c r="B519" s="313"/>
      <c r="C519" s="835"/>
      <c r="D519" s="17" t="s">
        <v>5</v>
      </c>
      <c r="E519" s="81" t="s">
        <v>27</v>
      </c>
      <c r="F519" s="84">
        <f>E513</f>
        <v>57232.2</v>
      </c>
      <c r="G519" s="64">
        <f>$F$5-$F$5</f>
        <v>0</v>
      </c>
      <c r="H519" s="64">
        <f>+G519*F519</f>
        <v>0</v>
      </c>
      <c r="I519" s="79"/>
      <c r="J519" s="52"/>
      <c r="K519" s="156"/>
      <c r="L519" s="383"/>
      <c r="M519" s="542"/>
      <c r="N519" s="578">
        <f t="shared" si="14"/>
        <v>0</v>
      </c>
      <c r="O519" s="678"/>
      <c r="P519" s="678"/>
      <c r="Q519" s="678"/>
      <c r="R519" s="678"/>
      <c r="S519" s="678"/>
      <c r="T519" s="678"/>
      <c r="U519" s="678"/>
      <c r="V519" s="678"/>
      <c r="W519" s="678"/>
      <c r="X519" s="678"/>
      <c r="Y519" s="678"/>
      <c r="Z519" s="678"/>
      <c r="AA519" s="678"/>
      <c r="AB519" s="678"/>
      <c r="AC519" s="679"/>
      <c r="AD519" s="678"/>
      <c r="AE519" s="678"/>
      <c r="AF519" s="678"/>
      <c r="AG519" s="678"/>
      <c r="AH519" s="678"/>
      <c r="AI519" s="678"/>
      <c r="AJ519" s="678"/>
      <c r="AK519" s="658"/>
    </row>
    <row r="520" spans="2:37" s="5" customFormat="1">
      <c r="B520" s="313"/>
      <c r="C520" s="835"/>
      <c r="D520" s="17" t="s">
        <v>30</v>
      </c>
      <c r="E520" s="67" t="s">
        <v>16</v>
      </c>
      <c r="F520" s="101">
        <f>G514+G515+G519</f>
        <v>7</v>
      </c>
      <c r="G520" s="68" t="s">
        <v>31</v>
      </c>
      <c r="H520" s="64">
        <f>SUM(H514:H519)</f>
        <v>602564.01477272727</v>
      </c>
      <c r="I520" s="79"/>
      <c r="J520" s="52"/>
      <c r="K520" s="156"/>
      <c r="L520" s="383"/>
      <c r="M520" s="542"/>
      <c r="N520" s="578">
        <f t="shared" si="14"/>
        <v>-602564.01477272727</v>
      </c>
      <c r="O520" s="678"/>
      <c r="P520" s="678"/>
      <c r="Q520" s="678"/>
      <c r="R520" s="678"/>
      <c r="S520" s="678"/>
      <c r="T520" s="678"/>
      <c r="U520" s="678"/>
      <c r="V520" s="678"/>
      <c r="W520" s="678"/>
      <c r="X520" s="678"/>
      <c r="Y520" s="678"/>
      <c r="Z520" s="678"/>
      <c r="AA520" s="678"/>
      <c r="AB520" s="678"/>
      <c r="AC520" s="678"/>
      <c r="AD520" s="678"/>
      <c r="AE520" s="678"/>
      <c r="AF520" s="678"/>
      <c r="AG520" s="678"/>
      <c r="AH520" s="678"/>
      <c r="AI520" s="678"/>
      <c r="AJ520" s="678"/>
      <c r="AK520" s="658"/>
    </row>
    <row r="521" spans="2:37" s="5" customFormat="1">
      <c r="B521" s="313"/>
      <c r="C521" s="835"/>
      <c r="D521" s="19" t="s">
        <v>32</v>
      </c>
      <c r="E521" s="67" t="s">
        <v>16</v>
      </c>
      <c r="F521" s="84">
        <f>SUM(H514:H519)</f>
        <v>602564.01477272727</v>
      </c>
      <c r="G521" s="92">
        <f>$G$43</f>
        <v>8.3299999999999999E-2</v>
      </c>
      <c r="H521" s="64">
        <f>+G521*F521</f>
        <v>50193.582430568182</v>
      </c>
      <c r="I521" s="93"/>
      <c r="J521" s="52"/>
      <c r="K521" s="156"/>
      <c r="L521" s="383"/>
      <c r="M521" s="542"/>
      <c r="N521" s="578">
        <f t="shared" si="14"/>
        <v>-50193.582430568182</v>
      </c>
      <c r="O521" s="679"/>
      <c r="P521" s="679"/>
      <c r="Q521" s="679"/>
      <c r="R521" s="679"/>
      <c r="S521" s="679"/>
      <c r="T521" s="679"/>
      <c r="U521" s="679"/>
      <c r="V521" s="679"/>
      <c r="W521" s="679"/>
      <c r="X521" s="679"/>
      <c r="Y521" s="679"/>
      <c r="Z521" s="679"/>
      <c r="AA521" s="679"/>
      <c r="AB521" s="679"/>
      <c r="AC521" s="679"/>
      <c r="AD521" s="678"/>
      <c r="AE521" s="678"/>
      <c r="AF521" s="678"/>
      <c r="AG521" s="678"/>
      <c r="AH521" s="678"/>
      <c r="AI521" s="678"/>
      <c r="AJ521" s="678"/>
      <c r="AK521" s="658"/>
    </row>
    <row r="522" spans="2:37" s="5" customFormat="1">
      <c r="B522" s="313"/>
      <c r="C522" s="835"/>
      <c r="D522" s="19" t="s">
        <v>33</v>
      </c>
      <c r="E522" s="84">
        <f>F521/(5*F520)</f>
        <v>17216.114707792207</v>
      </c>
      <c r="F522" s="84">
        <f>E522*(F520*7)</f>
        <v>843589.62068181811</v>
      </c>
      <c r="G522" s="95">
        <f>$G$44</f>
        <v>20</v>
      </c>
      <c r="H522" s="64">
        <f>F522/G522</f>
        <v>42179.481034090903</v>
      </c>
      <c r="I522" s="72">
        <f>SUM(H520:H522)</f>
        <v>694937.0782373863</v>
      </c>
      <c r="J522" s="52">
        <f>SUM(G514:G522)</f>
        <v>33.083300000000001</v>
      </c>
      <c r="K522" s="156"/>
      <c r="L522" s="383"/>
      <c r="M522" s="542"/>
      <c r="N522" s="578">
        <f t="shared" si="14"/>
        <v>-42179.481034090903</v>
      </c>
      <c r="O522" s="678"/>
      <c r="P522" s="678"/>
      <c r="Q522" s="678"/>
      <c r="R522" s="678"/>
      <c r="S522" s="678"/>
      <c r="T522" s="678"/>
      <c r="U522" s="678"/>
      <c r="V522" s="678"/>
      <c r="W522" s="678"/>
      <c r="X522" s="678"/>
      <c r="Y522" s="678"/>
      <c r="Z522" s="678"/>
      <c r="AA522" s="678"/>
      <c r="AB522" s="678"/>
      <c r="AC522" s="678"/>
      <c r="AD522" s="678"/>
      <c r="AE522" s="678"/>
      <c r="AF522" s="678"/>
      <c r="AG522" s="678"/>
      <c r="AH522" s="678"/>
      <c r="AI522" s="678"/>
      <c r="AJ522" s="678"/>
      <c r="AK522" s="658"/>
    </row>
    <row r="523" spans="2:37" s="5" customFormat="1">
      <c r="B523" s="313"/>
      <c r="C523" s="835"/>
      <c r="D523" s="96"/>
      <c r="E523" s="9"/>
      <c r="F523" s="74"/>
      <c r="G523" s="97"/>
      <c r="H523" s="78"/>
      <c r="I523" s="79"/>
      <c r="J523" s="52"/>
      <c r="K523" s="156"/>
      <c r="L523" s="383"/>
      <c r="M523" s="542"/>
      <c r="N523" s="578">
        <f t="shared" si="14"/>
        <v>0</v>
      </c>
      <c r="O523" s="678"/>
      <c r="P523" s="678"/>
      <c r="Q523" s="678"/>
      <c r="R523" s="678"/>
      <c r="S523" s="678"/>
      <c r="T523" s="678"/>
      <c r="U523" s="678"/>
      <c r="V523" s="678"/>
      <c r="W523" s="678"/>
      <c r="X523" s="678"/>
      <c r="Y523" s="678"/>
      <c r="Z523" s="678"/>
      <c r="AA523" s="678"/>
      <c r="AB523" s="678"/>
      <c r="AC523" s="678"/>
      <c r="AD523" s="678"/>
      <c r="AE523" s="678"/>
      <c r="AF523" s="678"/>
      <c r="AG523" s="678"/>
      <c r="AH523" s="678"/>
      <c r="AI523" s="678"/>
      <c r="AJ523" s="678"/>
      <c r="AK523" s="658"/>
    </row>
    <row r="524" spans="2:37" s="5" customFormat="1" ht="15" customHeight="1">
      <c r="B524" s="317">
        <v>43</v>
      </c>
      <c r="C524" s="835" t="s">
        <v>905</v>
      </c>
      <c r="D524" s="80" t="s">
        <v>71</v>
      </c>
      <c r="E524" s="81">
        <v>49772.05</v>
      </c>
      <c r="F524" s="74"/>
      <c r="G524" s="75"/>
      <c r="H524" s="82"/>
      <c r="I524" s="83"/>
      <c r="J524" s="52"/>
      <c r="K524" s="156"/>
      <c r="L524" s="383"/>
      <c r="M524" s="542"/>
      <c r="N524" s="578">
        <f t="shared" ref="N524:N587" si="15">SUM(O524:AL524)-H524</f>
        <v>0</v>
      </c>
      <c r="O524" s="678"/>
      <c r="P524" s="678"/>
      <c r="Q524" s="678"/>
      <c r="R524" s="678"/>
      <c r="S524" s="678"/>
      <c r="T524" s="678"/>
      <c r="U524" s="678"/>
      <c r="V524" s="678"/>
      <c r="W524" s="678"/>
      <c r="X524" s="678"/>
      <c r="Y524" s="678"/>
      <c r="Z524" s="678"/>
      <c r="AA524" s="678"/>
      <c r="AB524" s="678"/>
      <c r="AC524" s="678"/>
      <c r="AD524" s="678"/>
      <c r="AE524" s="678"/>
      <c r="AF524" s="678"/>
      <c r="AG524" s="678"/>
      <c r="AH524" s="678"/>
      <c r="AI524" s="678"/>
      <c r="AJ524" s="678"/>
      <c r="AK524" s="658"/>
    </row>
    <row r="525" spans="2:37" s="5" customFormat="1">
      <c r="B525" s="313"/>
      <c r="C525" s="835"/>
      <c r="D525" s="17" t="s">
        <v>0</v>
      </c>
      <c r="E525" s="81" t="s">
        <v>27</v>
      </c>
      <c r="F525" s="84">
        <f>E524</f>
        <v>49772.05</v>
      </c>
      <c r="G525" s="99">
        <v>1</v>
      </c>
      <c r="H525" s="64">
        <f>+G525*F525</f>
        <v>49772.05</v>
      </c>
      <c r="I525" s="79"/>
      <c r="J525" s="52"/>
      <c r="K525" s="156"/>
      <c r="L525" s="383"/>
      <c r="M525" s="542"/>
      <c r="N525" s="578">
        <f t="shared" si="15"/>
        <v>-49772.05</v>
      </c>
      <c r="O525" s="678"/>
      <c r="P525" s="678"/>
      <c r="Q525" s="678"/>
      <c r="R525" s="678"/>
      <c r="S525" s="678"/>
      <c r="T525" s="678"/>
      <c r="U525" s="678"/>
      <c r="V525" s="678"/>
      <c r="W525" s="678"/>
      <c r="X525" s="678"/>
      <c r="Y525" s="678"/>
      <c r="Z525" s="678"/>
      <c r="AA525" s="678"/>
      <c r="AB525" s="678"/>
      <c r="AC525" s="678"/>
      <c r="AD525" s="678"/>
      <c r="AE525" s="678"/>
      <c r="AF525" s="678"/>
      <c r="AG525" s="678"/>
      <c r="AH525" s="678"/>
      <c r="AI525" s="678"/>
      <c r="AJ525" s="678"/>
      <c r="AK525" s="658"/>
    </row>
    <row r="526" spans="2:37" s="5" customFormat="1">
      <c r="B526" s="313"/>
      <c r="C526" s="835"/>
      <c r="D526" s="17" t="s">
        <v>3</v>
      </c>
      <c r="E526" s="81" t="s">
        <v>27</v>
      </c>
      <c r="F526" s="84">
        <f>E524</f>
        <v>49772.05</v>
      </c>
      <c r="G526" s="64">
        <v>6</v>
      </c>
      <c r="H526" s="64">
        <f>+G526*F526</f>
        <v>298632.30000000005</v>
      </c>
      <c r="I526" s="79"/>
      <c r="J526" s="52"/>
      <c r="K526" s="156"/>
      <c r="L526" s="383"/>
      <c r="M526" s="542"/>
      <c r="N526" s="578">
        <f t="shared" si="15"/>
        <v>-298632.30000000005</v>
      </c>
      <c r="O526" s="678"/>
      <c r="P526" s="678"/>
      <c r="Q526" s="678"/>
      <c r="R526" s="678"/>
      <c r="S526" s="678"/>
      <c r="T526" s="678"/>
      <c r="U526" s="678"/>
      <c r="V526" s="678"/>
      <c r="W526" s="678"/>
      <c r="X526" s="678"/>
      <c r="Y526" s="678"/>
      <c r="Z526" s="678"/>
      <c r="AA526" s="678"/>
      <c r="AB526" s="678"/>
      <c r="AC526" s="678"/>
      <c r="AD526" s="678"/>
      <c r="AE526" s="678"/>
      <c r="AF526" s="678"/>
      <c r="AG526" s="678"/>
      <c r="AH526" s="678"/>
      <c r="AI526" s="678"/>
      <c r="AJ526" s="678"/>
      <c r="AK526" s="658"/>
    </row>
    <row r="527" spans="2:37" s="5" customFormat="1">
      <c r="B527" s="313"/>
      <c r="C527" s="835"/>
      <c r="D527" s="17" t="s">
        <v>28</v>
      </c>
      <c r="E527" s="88">
        <f>$H$5+2+2</f>
        <v>17.25</v>
      </c>
      <c r="F527" s="84">
        <f>E524/44*1.5</f>
        <v>1696.7744318181817</v>
      </c>
      <c r="G527" s="87">
        <v>6</v>
      </c>
      <c r="H527" s="64">
        <f>+G527*F527*E527</f>
        <v>175616.15369318181</v>
      </c>
      <c r="I527" s="79"/>
      <c r="J527" s="52"/>
      <c r="K527" s="156"/>
      <c r="L527" s="383"/>
      <c r="M527" s="542"/>
      <c r="N527" s="578">
        <f t="shared" si="15"/>
        <v>-175616.15369318181</v>
      </c>
      <c r="O527" s="678"/>
      <c r="P527" s="678"/>
      <c r="Q527" s="678"/>
      <c r="R527" s="678"/>
      <c r="S527" s="678"/>
      <c r="T527" s="678"/>
      <c r="U527" s="678"/>
      <c r="V527" s="678"/>
      <c r="W527" s="678"/>
      <c r="X527" s="678"/>
      <c r="Y527" s="678"/>
      <c r="Z527" s="678"/>
      <c r="AA527" s="678"/>
      <c r="AB527" s="678"/>
      <c r="AC527" s="678"/>
      <c r="AD527" s="678"/>
      <c r="AE527" s="678"/>
      <c r="AF527" s="678"/>
      <c r="AG527" s="678"/>
      <c r="AH527" s="678"/>
      <c r="AI527" s="678"/>
      <c r="AJ527" s="678"/>
      <c r="AK527" s="658"/>
    </row>
    <row r="528" spans="2:37" s="5" customFormat="1">
      <c r="B528" s="313"/>
      <c r="C528" s="835"/>
      <c r="D528" s="17" t="s">
        <v>1</v>
      </c>
      <c r="E528" s="67" t="s">
        <v>29</v>
      </c>
      <c r="F528" s="84">
        <f>E524/5*1.5</f>
        <v>14931.615</v>
      </c>
      <c r="G528" s="64">
        <f>$H$3</f>
        <v>0</v>
      </c>
      <c r="H528" s="64">
        <f>+G528*F528</f>
        <v>0</v>
      </c>
      <c r="I528" s="79"/>
      <c r="J528" s="52"/>
      <c r="K528" s="156"/>
      <c r="L528" s="383"/>
      <c r="M528" s="542"/>
      <c r="N528" s="578">
        <f t="shared" si="15"/>
        <v>0</v>
      </c>
      <c r="O528" s="678"/>
      <c r="P528" s="678"/>
      <c r="Q528" s="678"/>
      <c r="R528" s="678"/>
      <c r="S528" s="678"/>
      <c r="T528" s="678"/>
      <c r="U528" s="678"/>
      <c r="V528" s="678"/>
      <c r="W528" s="678"/>
      <c r="X528" s="678"/>
      <c r="Y528" s="678"/>
      <c r="Z528" s="678"/>
      <c r="AA528" s="678"/>
      <c r="AB528" s="678"/>
      <c r="AC528" s="678"/>
      <c r="AD528" s="678"/>
      <c r="AE528" s="678"/>
      <c r="AF528" s="678"/>
      <c r="AG528" s="678"/>
      <c r="AH528" s="678"/>
      <c r="AI528" s="678"/>
      <c r="AJ528" s="678"/>
      <c r="AK528" s="658"/>
    </row>
    <row r="529" spans="2:37" s="5" customFormat="1">
      <c r="B529" s="313"/>
      <c r="C529" s="835"/>
      <c r="D529" s="17" t="s">
        <v>4</v>
      </c>
      <c r="E529" s="67" t="s">
        <v>29</v>
      </c>
      <c r="F529" s="84">
        <f>E524/5*2</f>
        <v>19908.82</v>
      </c>
      <c r="G529" s="64">
        <f>$H$4</f>
        <v>0</v>
      </c>
      <c r="H529" s="64">
        <f>+G529*F529</f>
        <v>0</v>
      </c>
      <c r="I529" s="79"/>
      <c r="J529" s="52"/>
      <c r="K529" s="156"/>
      <c r="L529" s="383"/>
      <c r="M529" s="542"/>
      <c r="N529" s="578">
        <f t="shared" si="15"/>
        <v>0</v>
      </c>
      <c r="O529" s="678"/>
      <c r="P529" s="678"/>
      <c r="Q529" s="678"/>
      <c r="R529" s="678"/>
      <c r="S529" s="678"/>
      <c r="T529" s="678"/>
      <c r="U529" s="678"/>
      <c r="V529" s="678"/>
      <c r="W529" s="678"/>
      <c r="X529" s="678"/>
      <c r="Y529" s="678"/>
      <c r="Z529" s="678"/>
      <c r="AA529" s="678"/>
      <c r="AB529" s="678"/>
      <c r="AC529" s="678"/>
      <c r="AD529" s="678"/>
      <c r="AE529" s="678"/>
      <c r="AF529" s="678"/>
      <c r="AG529" s="678"/>
      <c r="AH529" s="678"/>
      <c r="AI529" s="678"/>
      <c r="AJ529" s="678"/>
      <c r="AK529" s="658"/>
    </row>
    <row r="530" spans="2:37" s="5" customFormat="1">
      <c r="B530" s="313"/>
      <c r="C530" s="835"/>
      <c r="D530" s="17" t="s">
        <v>5</v>
      </c>
      <c r="E530" s="81" t="s">
        <v>27</v>
      </c>
      <c r="F530" s="84">
        <f>E524</f>
        <v>49772.05</v>
      </c>
      <c r="G530" s="64">
        <f>$F$5-$F$5</f>
        <v>0</v>
      </c>
      <c r="H530" s="64">
        <f>+G530*F530</f>
        <v>0</v>
      </c>
      <c r="I530" s="79"/>
      <c r="J530" s="52"/>
      <c r="K530" s="156"/>
      <c r="L530" s="383"/>
      <c r="M530" s="542"/>
      <c r="N530" s="578">
        <f t="shared" si="15"/>
        <v>0</v>
      </c>
      <c r="O530" s="678"/>
      <c r="P530" s="678"/>
      <c r="Q530" s="678"/>
      <c r="R530" s="678"/>
      <c r="S530" s="678"/>
      <c r="T530" s="678"/>
      <c r="U530" s="678"/>
      <c r="V530" s="678"/>
      <c r="W530" s="678"/>
      <c r="X530" s="678"/>
      <c r="Y530" s="678"/>
      <c r="Z530" s="678"/>
      <c r="AA530" s="678"/>
      <c r="AB530" s="678"/>
      <c r="AC530" s="679"/>
      <c r="AD530" s="678"/>
      <c r="AE530" s="678"/>
      <c r="AF530" s="678"/>
      <c r="AG530" s="678"/>
      <c r="AH530" s="678"/>
      <c r="AI530" s="678"/>
      <c r="AJ530" s="678"/>
      <c r="AK530" s="658"/>
    </row>
    <row r="531" spans="2:37" s="5" customFormat="1">
      <c r="B531" s="313"/>
      <c r="C531" s="835"/>
      <c r="D531" s="17" t="s">
        <v>30</v>
      </c>
      <c r="E531" s="67" t="s">
        <v>16</v>
      </c>
      <c r="F531" s="101">
        <f>G525+G526+G530</f>
        <v>7</v>
      </c>
      <c r="G531" s="68" t="s">
        <v>31</v>
      </c>
      <c r="H531" s="64">
        <f>SUM(H525:H530)</f>
        <v>524020.50369318185</v>
      </c>
      <c r="I531" s="79"/>
      <c r="J531" s="52"/>
      <c r="K531" s="156"/>
      <c r="L531" s="383"/>
      <c r="M531" s="542"/>
      <c r="N531" s="578">
        <f t="shared" si="15"/>
        <v>-524020.50369318185</v>
      </c>
      <c r="O531" s="678"/>
      <c r="P531" s="678"/>
      <c r="Q531" s="678"/>
      <c r="R531" s="678"/>
      <c r="S531" s="678"/>
      <c r="T531" s="678"/>
      <c r="U531" s="678"/>
      <c r="V531" s="678"/>
      <c r="W531" s="678"/>
      <c r="X531" s="678"/>
      <c r="Y531" s="678"/>
      <c r="Z531" s="678"/>
      <c r="AA531" s="678"/>
      <c r="AB531" s="678"/>
      <c r="AC531" s="678"/>
      <c r="AD531" s="678"/>
      <c r="AE531" s="678"/>
      <c r="AF531" s="678"/>
      <c r="AG531" s="678"/>
      <c r="AH531" s="678"/>
      <c r="AI531" s="678"/>
      <c r="AJ531" s="678"/>
      <c r="AK531" s="658"/>
    </row>
    <row r="532" spans="2:37" s="5" customFormat="1">
      <c r="B532" s="313"/>
      <c r="C532" s="835"/>
      <c r="D532" s="19" t="s">
        <v>32</v>
      </c>
      <c r="E532" s="67" t="s">
        <v>16</v>
      </c>
      <c r="F532" s="84">
        <f>SUM(H525:H530)</f>
        <v>524020.50369318185</v>
      </c>
      <c r="G532" s="92">
        <f>$G$43</f>
        <v>8.3299999999999999E-2</v>
      </c>
      <c r="H532" s="64">
        <f>+G532*F532</f>
        <v>43650.907957642048</v>
      </c>
      <c r="I532" s="93"/>
      <c r="J532" s="52"/>
      <c r="K532" s="156"/>
      <c r="L532" s="383"/>
      <c r="M532" s="542"/>
      <c r="N532" s="578">
        <f t="shared" si="15"/>
        <v>-43650.907957642048</v>
      </c>
      <c r="O532" s="679"/>
      <c r="P532" s="679"/>
      <c r="Q532" s="679"/>
      <c r="R532" s="679"/>
      <c r="S532" s="679"/>
      <c r="T532" s="679"/>
      <c r="U532" s="679"/>
      <c r="V532" s="679"/>
      <c r="W532" s="679"/>
      <c r="X532" s="679"/>
      <c r="Y532" s="679"/>
      <c r="Z532" s="679"/>
      <c r="AA532" s="679"/>
      <c r="AB532" s="679"/>
      <c r="AC532" s="679"/>
      <c r="AD532" s="678"/>
      <c r="AE532" s="678"/>
      <c r="AF532" s="678"/>
      <c r="AG532" s="678"/>
      <c r="AH532" s="678"/>
      <c r="AI532" s="678"/>
      <c r="AJ532" s="678"/>
      <c r="AK532" s="658"/>
    </row>
    <row r="533" spans="2:37" s="5" customFormat="1">
      <c r="B533" s="313"/>
      <c r="C533" s="835"/>
      <c r="D533" s="19" t="s">
        <v>33</v>
      </c>
      <c r="E533" s="84">
        <f>F532/(5*F531)</f>
        <v>14972.014391233766</v>
      </c>
      <c r="F533" s="84">
        <f>E533*(F531*7)</f>
        <v>733628.70517045457</v>
      </c>
      <c r="G533" s="95">
        <f>$G$44</f>
        <v>20</v>
      </c>
      <c r="H533" s="64">
        <f>F533/G533</f>
        <v>36681.435258522732</v>
      </c>
      <c r="I533" s="72">
        <f>SUM(H531:H533)</f>
        <v>604352.84690934664</v>
      </c>
      <c r="J533" s="52">
        <f>SUM(G525:G533)</f>
        <v>33.083300000000001</v>
      </c>
      <c r="K533" s="156"/>
      <c r="L533" s="383"/>
      <c r="M533" s="542"/>
      <c r="N533" s="578">
        <f t="shared" si="15"/>
        <v>-36681.435258522732</v>
      </c>
      <c r="O533" s="678"/>
      <c r="P533" s="678"/>
      <c r="Q533" s="678"/>
      <c r="R533" s="678"/>
      <c r="S533" s="678"/>
      <c r="T533" s="678"/>
      <c r="U533" s="678"/>
      <c r="V533" s="678"/>
      <c r="W533" s="678"/>
      <c r="X533" s="678"/>
      <c r="Y533" s="678"/>
      <c r="Z533" s="678"/>
      <c r="AA533" s="678"/>
      <c r="AB533" s="678"/>
      <c r="AC533" s="678"/>
      <c r="AD533" s="678"/>
      <c r="AE533" s="678"/>
      <c r="AF533" s="678"/>
      <c r="AG533" s="678"/>
      <c r="AH533" s="678"/>
      <c r="AI533" s="678"/>
      <c r="AJ533" s="678"/>
      <c r="AK533" s="658"/>
    </row>
    <row r="534" spans="2:37" s="5" customFormat="1">
      <c r="B534" s="313"/>
      <c r="C534" s="835"/>
      <c r="D534" s="96"/>
      <c r="E534" s="9"/>
      <c r="F534" s="74"/>
      <c r="G534" s="97"/>
      <c r="H534" s="78"/>
      <c r="I534" s="79"/>
      <c r="J534" s="52"/>
      <c r="K534" s="156"/>
      <c r="L534" s="383"/>
      <c r="M534" s="542"/>
      <c r="N534" s="578">
        <f t="shared" si="15"/>
        <v>0</v>
      </c>
      <c r="O534" s="678"/>
      <c r="P534" s="678"/>
      <c r="Q534" s="678"/>
      <c r="R534" s="678"/>
      <c r="S534" s="678"/>
      <c r="T534" s="678"/>
      <c r="U534" s="678"/>
      <c r="V534" s="678"/>
      <c r="W534" s="678"/>
      <c r="X534" s="678"/>
      <c r="Y534" s="678"/>
      <c r="Z534" s="678"/>
      <c r="AA534" s="678"/>
      <c r="AB534" s="678"/>
      <c r="AC534" s="678"/>
      <c r="AD534" s="678"/>
      <c r="AE534" s="678"/>
      <c r="AF534" s="678"/>
      <c r="AG534" s="678"/>
      <c r="AH534" s="678"/>
      <c r="AI534" s="678"/>
      <c r="AJ534" s="678"/>
      <c r="AK534" s="658"/>
    </row>
    <row r="535" spans="2:37" s="5" customFormat="1" ht="15" customHeight="1">
      <c r="B535" s="317">
        <v>44</v>
      </c>
      <c r="C535" s="835" t="s">
        <v>906</v>
      </c>
      <c r="D535" s="80" t="s">
        <v>72</v>
      </c>
      <c r="E535" s="81">
        <v>37353.449999999997</v>
      </c>
      <c r="F535" s="74"/>
      <c r="G535" s="75"/>
      <c r="H535" s="82"/>
      <c r="I535" s="83"/>
      <c r="J535" s="52"/>
      <c r="K535" s="156"/>
      <c r="L535" s="383"/>
      <c r="M535" s="542"/>
      <c r="N535" s="578">
        <f t="shared" si="15"/>
        <v>0</v>
      </c>
      <c r="O535" s="678"/>
      <c r="P535" s="678"/>
      <c r="Q535" s="678"/>
      <c r="R535" s="678"/>
      <c r="S535" s="678"/>
      <c r="T535" s="678"/>
      <c r="U535" s="678"/>
      <c r="V535" s="678"/>
      <c r="W535" s="678"/>
      <c r="X535" s="678"/>
      <c r="Y535" s="678"/>
      <c r="Z535" s="678"/>
      <c r="AA535" s="678"/>
      <c r="AB535" s="678"/>
      <c r="AC535" s="678"/>
      <c r="AD535" s="678"/>
      <c r="AE535" s="678"/>
      <c r="AF535" s="678"/>
      <c r="AG535" s="678"/>
      <c r="AH535" s="678"/>
      <c r="AI535" s="678"/>
      <c r="AJ535" s="678"/>
      <c r="AK535" s="658"/>
    </row>
    <row r="536" spans="2:37" s="5" customFormat="1">
      <c r="B536" s="313"/>
      <c r="C536" s="835"/>
      <c r="D536" s="17" t="s">
        <v>0</v>
      </c>
      <c r="E536" s="81" t="s">
        <v>27</v>
      </c>
      <c r="F536" s="84">
        <f>E535</f>
        <v>37353.449999999997</v>
      </c>
      <c r="G536" s="64">
        <f>$F$3-F3</f>
        <v>0</v>
      </c>
      <c r="H536" s="64">
        <f>+G536*F536</f>
        <v>0</v>
      </c>
      <c r="I536" s="79"/>
      <c r="J536" s="52"/>
      <c r="K536" s="156"/>
      <c r="L536" s="383"/>
      <c r="M536" s="542"/>
      <c r="N536" s="578">
        <f t="shared" si="15"/>
        <v>0</v>
      </c>
      <c r="O536" s="678"/>
      <c r="P536" s="678"/>
      <c r="Q536" s="678"/>
      <c r="R536" s="678"/>
      <c r="S536" s="678"/>
      <c r="T536" s="678"/>
      <c r="U536" s="678"/>
      <c r="V536" s="678"/>
      <c r="W536" s="678"/>
      <c r="X536" s="678"/>
      <c r="Y536" s="678"/>
      <c r="Z536" s="678"/>
      <c r="AA536" s="678"/>
      <c r="AB536" s="678"/>
      <c r="AC536" s="678"/>
      <c r="AD536" s="678"/>
      <c r="AE536" s="678"/>
      <c r="AF536" s="678"/>
      <c r="AG536" s="678"/>
      <c r="AH536" s="678"/>
      <c r="AI536" s="678"/>
      <c r="AJ536" s="678"/>
      <c r="AK536" s="658"/>
    </row>
    <row r="537" spans="2:37" s="5" customFormat="1">
      <c r="B537" s="313"/>
      <c r="C537" s="835"/>
      <c r="D537" s="17" t="s">
        <v>3</v>
      </c>
      <c r="E537" s="81" t="s">
        <v>27</v>
      </c>
      <c r="F537" s="84">
        <f>E535</f>
        <v>37353.449999999997</v>
      </c>
      <c r="G537" s="65">
        <v>6</v>
      </c>
      <c r="H537" s="64">
        <f>+G537*F537</f>
        <v>224120.69999999998</v>
      </c>
      <c r="I537" s="79"/>
      <c r="J537" s="52"/>
      <c r="K537" s="156"/>
      <c r="L537" s="383"/>
      <c r="M537" s="542"/>
      <c r="N537" s="578">
        <f t="shared" si="15"/>
        <v>-224120.69999999998</v>
      </c>
      <c r="O537" s="678"/>
      <c r="P537" s="678"/>
      <c r="Q537" s="678"/>
      <c r="R537" s="678"/>
      <c r="S537" s="678"/>
      <c r="T537" s="678"/>
      <c r="U537" s="678"/>
      <c r="V537" s="678"/>
      <c r="W537" s="678"/>
      <c r="X537" s="678"/>
      <c r="Y537" s="678"/>
      <c r="Z537" s="678"/>
      <c r="AA537" s="678"/>
      <c r="AB537" s="678"/>
      <c r="AC537" s="678"/>
      <c r="AD537" s="678"/>
      <c r="AE537" s="678"/>
      <c r="AF537" s="678"/>
      <c r="AG537" s="678"/>
      <c r="AH537" s="678"/>
      <c r="AI537" s="678"/>
      <c r="AJ537" s="678"/>
      <c r="AK537" s="658"/>
    </row>
    <row r="538" spans="2:37" s="5" customFormat="1">
      <c r="B538" s="313"/>
      <c r="C538" s="835"/>
      <c r="D538" s="17" t="s">
        <v>28</v>
      </c>
      <c r="E538" s="88">
        <f>$H$5+2+2</f>
        <v>17.25</v>
      </c>
      <c r="F538" s="84">
        <f>E535/44*1.5</f>
        <v>1273.4130681818181</v>
      </c>
      <c r="G538" s="87">
        <v>6</v>
      </c>
      <c r="H538" s="64">
        <f>+G538*F538*E538</f>
        <v>131798.25255681819</v>
      </c>
      <c r="I538" s="79"/>
      <c r="J538" s="52"/>
      <c r="K538" s="156"/>
      <c r="L538" s="383"/>
      <c r="M538" s="542"/>
      <c r="N538" s="578">
        <f t="shared" si="15"/>
        <v>-131798.25255681819</v>
      </c>
      <c r="O538" s="678"/>
      <c r="P538" s="678"/>
      <c r="Q538" s="678"/>
      <c r="R538" s="678"/>
      <c r="S538" s="678"/>
      <c r="T538" s="678"/>
      <c r="U538" s="678"/>
      <c r="V538" s="678"/>
      <c r="W538" s="678"/>
      <c r="X538" s="678"/>
      <c r="Y538" s="678"/>
      <c r="Z538" s="678"/>
      <c r="AA538" s="678"/>
      <c r="AB538" s="678"/>
      <c r="AC538" s="678"/>
      <c r="AD538" s="678"/>
      <c r="AE538" s="678"/>
      <c r="AF538" s="678"/>
      <c r="AG538" s="678"/>
      <c r="AH538" s="678"/>
      <c r="AI538" s="678"/>
      <c r="AJ538" s="678"/>
      <c r="AK538" s="658"/>
    </row>
    <row r="539" spans="2:37" s="5" customFormat="1">
      <c r="B539" s="313"/>
      <c r="C539" s="835"/>
      <c r="D539" s="17" t="s">
        <v>1</v>
      </c>
      <c r="E539" s="67" t="s">
        <v>29</v>
      </c>
      <c r="F539" s="84">
        <f>E535/5*1.5</f>
        <v>11206.035</v>
      </c>
      <c r="G539" s="64">
        <f>$H$3</f>
        <v>0</v>
      </c>
      <c r="H539" s="64">
        <f>+G539*F539</f>
        <v>0</v>
      </c>
      <c r="I539" s="79"/>
      <c r="J539" s="52"/>
      <c r="K539" s="156"/>
      <c r="L539" s="383"/>
      <c r="M539" s="542"/>
      <c r="N539" s="578">
        <f t="shared" si="15"/>
        <v>0</v>
      </c>
      <c r="O539" s="678"/>
      <c r="P539" s="678"/>
      <c r="Q539" s="678"/>
      <c r="R539" s="678"/>
      <c r="S539" s="678"/>
      <c r="T539" s="678"/>
      <c r="U539" s="678"/>
      <c r="V539" s="678"/>
      <c r="W539" s="678"/>
      <c r="X539" s="678"/>
      <c r="Y539" s="678"/>
      <c r="Z539" s="678"/>
      <c r="AA539" s="678"/>
      <c r="AB539" s="678"/>
      <c r="AC539" s="678"/>
      <c r="AD539" s="678"/>
      <c r="AE539" s="678"/>
      <c r="AF539" s="678"/>
      <c r="AG539" s="678"/>
      <c r="AH539" s="678"/>
      <c r="AI539" s="678"/>
      <c r="AJ539" s="678"/>
      <c r="AK539" s="658"/>
    </row>
    <row r="540" spans="2:37" s="5" customFormat="1">
      <c r="B540" s="313"/>
      <c r="C540" s="835"/>
      <c r="D540" s="17" t="s">
        <v>4</v>
      </c>
      <c r="E540" s="67" t="s">
        <v>29</v>
      </c>
      <c r="F540" s="84">
        <f>E535/5*2</f>
        <v>14941.38</v>
      </c>
      <c r="G540" s="64">
        <f>$H$4</f>
        <v>0</v>
      </c>
      <c r="H540" s="64">
        <f>+G540*F540</f>
        <v>0</v>
      </c>
      <c r="I540" s="79"/>
      <c r="J540" s="52"/>
      <c r="K540" s="156"/>
      <c r="L540" s="383"/>
      <c r="M540" s="542"/>
      <c r="N540" s="578">
        <f t="shared" si="15"/>
        <v>0</v>
      </c>
      <c r="O540" s="678"/>
      <c r="P540" s="678"/>
      <c r="Q540" s="678"/>
      <c r="R540" s="678"/>
      <c r="S540" s="678"/>
      <c r="T540" s="678"/>
      <c r="U540" s="678"/>
      <c r="V540" s="678"/>
      <c r="W540" s="678"/>
      <c r="X540" s="678"/>
      <c r="Y540" s="678"/>
      <c r="Z540" s="678"/>
      <c r="AA540" s="678"/>
      <c r="AB540" s="678"/>
      <c r="AC540" s="678"/>
      <c r="AD540" s="678"/>
      <c r="AE540" s="678"/>
      <c r="AF540" s="678"/>
      <c r="AG540" s="678"/>
      <c r="AH540" s="678"/>
      <c r="AI540" s="678"/>
      <c r="AJ540" s="678"/>
      <c r="AK540" s="658"/>
    </row>
    <row r="541" spans="2:37" s="5" customFormat="1">
      <c r="B541" s="313"/>
      <c r="C541" s="835"/>
      <c r="D541" s="17" t="s">
        <v>5</v>
      </c>
      <c r="E541" s="81" t="s">
        <v>27</v>
      </c>
      <c r="F541" s="84">
        <f>E535</f>
        <v>37353.449999999997</v>
      </c>
      <c r="G541" s="64">
        <f>$F$5-$F$5</f>
        <v>0</v>
      </c>
      <c r="H541" s="64">
        <f>+G541*F541</f>
        <v>0</v>
      </c>
      <c r="I541" s="79"/>
      <c r="J541" s="52"/>
      <c r="K541" s="156"/>
      <c r="L541" s="383"/>
      <c r="M541" s="542"/>
      <c r="N541" s="578">
        <f t="shared" si="15"/>
        <v>0</v>
      </c>
      <c r="O541" s="678"/>
      <c r="P541" s="678"/>
      <c r="Q541" s="678"/>
      <c r="R541" s="678"/>
      <c r="S541" s="678"/>
      <c r="T541" s="678"/>
      <c r="U541" s="678"/>
      <c r="V541" s="678"/>
      <c r="W541" s="678"/>
      <c r="X541" s="678"/>
      <c r="Y541" s="678"/>
      <c r="Z541" s="678"/>
      <c r="AA541" s="678"/>
      <c r="AB541" s="678"/>
      <c r="AC541" s="679"/>
      <c r="AD541" s="678"/>
      <c r="AE541" s="678"/>
      <c r="AF541" s="678"/>
      <c r="AG541" s="678"/>
      <c r="AH541" s="678"/>
      <c r="AI541" s="678"/>
      <c r="AJ541" s="678"/>
      <c r="AK541" s="658"/>
    </row>
    <row r="542" spans="2:37" s="5" customFormat="1">
      <c r="B542" s="313"/>
      <c r="C542" s="835"/>
      <c r="D542" s="17" t="s">
        <v>30</v>
      </c>
      <c r="E542" s="67" t="s">
        <v>16</v>
      </c>
      <c r="F542" s="101">
        <f>G536+G537+G541</f>
        <v>6</v>
      </c>
      <c r="G542" s="68" t="s">
        <v>31</v>
      </c>
      <c r="H542" s="64">
        <f>SUM(H536:H541)</f>
        <v>355918.95255681814</v>
      </c>
      <c r="I542" s="79"/>
      <c r="J542" s="52"/>
      <c r="K542" s="156"/>
      <c r="L542" s="383"/>
      <c r="M542" s="542"/>
      <c r="N542" s="578">
        <f t="shared" si="15"/>
        <v>-355918.95255681814</v>
      </c>
      <c r="O542" s="678"/>
      <c r="P542" s="678"/>
      <c r="Q542" s="678"/>
      <c r="R542" s="678"/>
      <c r="S542" s="678"/>
      <c r="T542" s="678"/>
      <c r="U542" s="678"/>
      <c r="V542" s="678"/>
      <c r="W542" s="678"/>
      <c r="X542" s="678"/>
      <c r="Y542" s="678"/>
      <c r="Z542" s="678"/>
      <c r="AA542" s="678"/>
      <c r="AB542" s="678"/>
      <c r="AC542" s="678"/>
      <c r="AD542" s="678"/>
      <c r="AE542" s="678"/>
      <c r="AF542" s="678"/>
      <c r="AG542" s="678"/>
      <c r="AH542" s="678"/>
      <c r="AI542" s="678"/>
      <c r="AJ542" s="678"/>
      <c r="AK542" s="658"/>
    </row>
    <row r="543" spans="2:37" s="5" customFormat="1">
      <c r="B543" s="313"/>
      <c r="C543" s="835"/>
      <c r="D543" s="19" t="s">
        <v>32</v>
      </c>
      <c r="E543" s="67" t="s">
        <v>16</v>
      </c>
      <c r="F543" s="84">
        <f>SUM(H536:H541)</f>
        <v>355918.95255681814</v>
      </c>
      <c r="G543" s="92">
        <f>$G$43</f>
        <v>8.3299999999999999E-2</v>
      </c>
      <c r="H543" s="64">
        <f>+G543*F543</f>
        <v>29648.04874798295</v>
      </c>
      <c r="I543" s="93"/>
      <c r="J543" s="52"/>
      <c r="K543" s="156"/>
      <c r="L543" s="383"/>
      <c r="M543" s="542"/>
      <c r="N543" s="578">
        <f t="shared" si="15"/>
        <v>-29648.04874798295</v>
      </c>
      <c r="O543" s="679"/>
      <c r="P543" s="679"/>
      <c r="Q543" s="679"/>
      <c r="R543" s="679"/>
      <c r="S543" s="679"/>
      <c r="T543" s="679"/>
      <c r="U543" s="679"/>
      <c r="V543" s="679"/>
      <c r="W543" s="679"/>
      <c r="X543" s="679"/>
      <c r="Y543" s="679"/>
      <c r="Z543" s="679"/>
      <c r="AA543" s="679"/>
      <c r="AB543" s="679"/>
      <c r="AC543" s="679"/>
      <c r="AD543" s="678"/>
      <c r="AE543" s="678"/>
      <c r="AF543" s="678"/>
      <c r="AG543" s="678"/>
      <c r="AH543" s="678"/>
      <c r="AI543" s="678"/>
      <c r="AJ543" s="678"/>
      <c r="AK543" s="658"/>
    </row>
    <row r="544" spans="2:37" s="5" customFormat="1">
      <c r="B544" s="313"/>
      <c r="C544" s="835"/>
      <c r="D544" s="19" t="s">
        <v>33</v>
      </c>
      <c r="E544" s="84">
        <f>F543/(5*F542)</f>
        <v>11863.965085227272</v>
      </c>
      <c r="F544" s="84">
        <f>E544*(F542*7)</f>
        <v>498286.53357954539</v>
      </c>
      <c r="G544" s="95">
        <f>$G$44</f>
        <v>20</v>
      </c>
      <c r="H544" s="64">
        <f>F544/G544</f>
        <v>24914.326678977268</v>
      </c>
      <c r="I544" s="72">
        <f>SUM(H542:H544)</f>
        <v>410481.32798377838</v>
      </c>
      <c r="J544" s="52">
        <f>SUM(G536:G544)</f>
        <v>32.083300000000001</v>
      </c>
      <c r="K544" s="156"/>
      <c r="L544" s="383"/>
      <c r="M544" s="542"/>
      <c r="N544" s="578">
        <f t="shared" si="15"/>
        <v>-24914.326678977268</v>
      </c>
      <c r="O544" s="678"/>
      <c r="P544" s="678"/>
      <c r="Q544" s="678"/>
      <c r="R544" s="678"/>
      <c r="S544" s="678"/>
      <c r="T544" s="678"/>
      <c r="U544" s="678"/>
      <c r="V544" s="678"/>
      <c r="W544" s="678"/>
      <c r="X544" s="678"/>
      <c r="Y544" s="678"/>
      <c r="Z544" s="678"/>
      <c r="AA544" s="678"/>
      <c r="AB544" s="678"/>
      <c r="AC544" s="678"/>
      <c r="AD544" s="678"/>
      <c r="AE544" s="678"/>
      <c r="AF544" s="678"/>
      <c r="AG544" s="678"/>
      <c r="AH544" s="678"/>
      <c r="AI544" s="678"/>
      <c r="AJ544" s="678"/>
      <c r="AK544" s="658"/>
    </row>
    <row r="545" spans="2:37" s="5" customFormat="1">
      <c r="B545" s="313"/>
      <c r="C545" s="835"/>
      <c r="D545" s="96"/>
      <c r="E545" s="9"/>
      <c r="F545" s="74"/>
      <c r="G545" s="97"/>
      <c r="H545" s="78"/>
      <c r="I545" s="79"/>
      <c r="J545" s="52"/>
      <c r="K545" s="156"/>
      <c r="L545" s="383"/>
      <c r="M545" s="542"/>
      <c r="N545" s="578">
        <f t="shared" si="15"/>
        <v>0</v>
      </c>
      <c r="O545" s="678"/>
      <c r="P545" s="678"/>
      <c r="Q545" s="678"/>
      <c r="R545" s="678"/>
      <c r="S545" s="678"/>
      <c r="T545" s="678"/>
      <c r="U545" s="678"/>
      <c r="V545" s="678"/>
      <c r="W545" s="678"/>
      <c r="X545" s="678"/>
      <c r="Y545" s="678"/>
      <c r="Z545" s="678"/>
      <c r="AA545" s="678"/>
      <c r="AB545" s="678"/>
      <c r="AC545" s="678"/>
      <c r="AD545" s="678"/>
      <c r="AE545" s="678"/>
      <c r="AF545" s="678"/>
      <c r="AG545" s="678"/>
      <c r="AH545" s="678"/>
      <c r="AI545" s="678"/>
      <c r="AJ545" s="678"/>
      <c r="AK545" s="658"/>
    </row>
    <row r="546" spans="2:37" s="5" customFormat="1" ht="15" customHeight="1">
      <c r="B546" s="317">
        <v>45</v>
      </c>
      <c r="C546" s="835" t="s">
        <v>907</v>
      </c>
      <c r="D546" s="80" t="s">
        <v>279</v>
      </c>
      <c r="E546" s="81">
        <v>72180.399999999994</v>
      </c>
      <c r="F546" s="74"/>
      <c r="G546" s="75"/>
      <c r="H546" s="82"/>
      <c r="I546" s="83"/>
      <c r="J546" s="52"/>
      <c r="K546" s="156"/>
      <c r="L546" s="383"/>
      <c r="M546" s="542"/>
      <c r="N546" s="578">
        <f t="shared" si="15"/>
        <v>0</v>
      </c>
      <c r="O546" s="678"/>
      <c r="P546" s="678"/>
      <c r="Q546" s="678"/>
      <c r="R546" s="678"/>
      <c r="S546" s="678"/>
      <c r="T546" s="678"/>
      <c r="U546" s="678"/>
      <c r="V546" s="678"/>
      <c r="W546" s="678"/>
      <c r="X546" s="678"/>
      <c r="Y546" s="678"/>
      <c r="Z546" s="678"/>
      <c r="AA546" s="678"/>
      <c r="AB546" s="678"/>
      <c r="AC546" s="678"/>
      <c r="AD546" s="678"/>
      <c r="AE546" s="678"/>
      <c r="AF546" s="678"/>
      <c r="AG546" s="678"/>
      <c r="AH546" s="678"/>
      <c r="AI546" s="678"/>
      <c r="AJ546" s="678"/>
      <c r="AK546" s="658"/>
    </row>
    <row r="547" spans="2:37" s="5" customFormat="1">
      <c r="B547" s="313"/>
      <c r="C547" s="835"/>
      <c r="D547" s="17" t="s">
        <v>322</v>
      </c>
      <c r="E547" s="81" t="s">
        <v>27</v>
      </c>
      <c r="F547" s="84">
        <f>E546</f>
        <v>72180.399999999994</v>
      </c>
      <c r="G547" s="64">
        <v>1</v>
      </c>
      <c r="H547" s="64">
        <f>+G547*F547</f>
        <v>72180.399999999994</v>
      </c>
      <c r="I547" s="79"/>
      <c r="J547" s="52"/>
      <c r="K547" s="156"/>
      <c r="L547" s="383"/>
      <c r="M547" s="542"/>
      <c r="N547" s="578">
        <f t="shared" si="15"/>
        <v>-72180.399999999994</v>
      </c>
      <c r="O547" s="678"/>
      <c r="P547" s="678"/>
      <c r="Q547" s="678"/>
      <c r="R547" s="678"/>
      <c r="S547" s="678"/>
      <c r="T547" s="678"/>
      <c r="U547" s="678"/>
      <c r="V547" s="678"/>
      <c r="W547" s="678"/>
      <c r="X547" s="678"/>
      <c r="Y547" s="678"/>
      <c r="Z547" s="678"/>
      <c r="AA547" s="678"/>
      <c r="AB547" s="678"/>
      <c r="AC547" s="678"/>
      <c r="AD547" s="678"/>
      <c r="AE547" s="678"/>
      <c r="AF547" s="678"/>
      <c r="AG547" s="678"/>
      <c r="AH547" s="678"/>
      <c r="AI547" s="678"/>
      <c r="AJ547" s="678"/>
      <c r="AK547" s="658"/>
    </row>
    <row r="548" spans="2:37" s="5" customFormat="1">
      <c r="B548" s="313"/>
      <c r="C548" s="835"/>
      <c r="D548" s="17" t="s">
        <v>3</v>
      </c>
      <c r="E548" s="81" t="s">
        <v>27</v>
      </c>
      <c r="F548" s="84">
        <f>E546</f>
        <v>72180.399999999994</v>
      </c>
      <c r="G548" s="64">
        <v>6</v>
      </c>
      <c r="H548" s="64">
        <f>+G548*F548</f>
        <v>433082.39999999997</v>
      </c>
      <c r="I548" s="79"/>
      <c r="J548" s="52"/>
      <c r="K548" s="156"/>
      <c r="L548" s="383"/>
      <c r="M548" s="542"/>
      <c r="N548" s="578">
        <f t="shared" si="15"/>
        <v>-433082.39999999997</v>
      </c>
      <c r="O548" s="678"/>
      <c r="P548" s="678"/>
      <c r="Q548" s="678"/>
      <c r="R548" s="678"/>
      <c r="S548" s="678"/>
      <c r="T548" s="678"/>
      <c r="U548" s="678"/>
      <c r="V548" s="678"/>
      <c r="W548" s="678"/>
      <c r="X548" s="678"/>
      <c r="Y548" s="678"/>
      <c r="Z548" s="678"/>
      <c r="AA548" s="678"/>
      <c r="AB548" s="678"/>
      <c r="AC548" s="678"/>
      <c r="AD548" s="678"/>
      <c r="AE548" s="678"/>
      <c r="AF548" s="678"/>
      <c r="AG548" s="678"/>
      <c r="AH548" s="678"/>
      <c r="AI548" s="678"/>
      <c r="AJ548" s="678"/>
      <c r="AK548" s="658"/>
    </row>
    <row r="549" spans="2:37" s="5" customFormat="1">
      <c r="B549" s="313"/>
      <c r="C549" s="835"/>
      <c r="D549" s="17" t="s">
        <v>28</v>
      </c>
      <c r="E549" s="88">
        <f>$H$5+2+2</f>
        <v>17.25</v>
      </c>
      <c r="F549" s="84">
        <f>E546/44*1.5</f>
        <v>2460.6954545454541</v>
      </c>
      <c r="G549" s="87">
        <v>6</v>
      </c>
      <c r="H549" s="64">
        <f>+G549*F549*E549</f>
        <v>254681.97954545452</v>
      </c>
      <c r="I549" s="79"/>
      <c r="J549" s="52"/>
      <c r="K549" s="156"/>
      <c r="L549" s="383"/>
      <c r="M549" s="542"/>
      <c r="N549" s="578">
        <f t="shared" si="15"/>
        <v>-254681.97954545452</v>
      </c>
      <c r="O549" s="678"/>
      <c r="P549" s="678"/>
      <c r="Q549" s="678"/>
      <c r="R549" s="678"/>
      <c r="S549" s="678"/>
      <c r="T549" s="678"/>
      <c r="U549" s="678"/>
      <c r="V549" s="678"/>
      <c r="W549" s="678"/>
      <c r="X549" s="678"/>
      <c r="Y549" s="678"/>
      <c r="Z549" s="678"/>
      <c r="AA549" s="678"/>
      <c r="AB549" s="678"/>
      <c r="AC549" s="678"/>
      <c r="AD549" s="678"/>
      <c r="AE549" s="678"/>
      <c r="AF549" s="678"/>
      <c r="AG549" s="678"/>
      <c r="AH549" s="678"/>
      <c r="AI549" s="678"/>
      <c r="AJ549" s="678"/>
      <c r="AK549" s="658"/>
    </row>
    <row r="550" spans="2:37" s="5" customFormat="1">
      <c r="B550" s="313"/>
      <c r="C550" s="835"/>
      <c r="D550" s="17" t="s">
        <v>1</v>
      </c>
      <c r="E550" s="81" t="s">
        <v>60</v>
      </c>
      <c r="F550" s="84">
        <f>E546/5*1.5</f>
        <v>21654.119999999995</v>
      </c>
      <c r="G550" s="64">
        <f>$H$3</f>
        <v>0</v>
      </c>
      <c r="H550" s="64">
        <f>+G550*F550</f>
        <v>0</v>
      </c>
      <c r="I550" s="79"/>
      <c r="J550" s="52"/>
      <c r="K550" s="156"/>
      <c r="L550" s="383"/>
      <c r="M550" s="542"/>
      <c r="N550" s="578">
        <f t="shared" si="15"/>
        <v>0</v>
      </c>
      <c r="O550" s="678"/>
      <c r="P550" s="678"/>
      <c r="Q550" s="678"/>
      <c r="R550" s="678"/>
      <c r="S550" s="678"/>
      <c r="T550" s="678"/>
      <c r="U550" s="678"/>
      <c r="V550" s="678"/>
      <c r="W550" s="678"/>
      <c r="X550" s="678"/>
      <c r="Y550" s="678"/>
      <c r="Z550" s="678"/>
      <c r="AA550" s="678"/>
      <c r="AB550" s="678"/>
      <c r="AC550" s="678"/>
      <c r="AD550" s="678"/>
      <c r="AE550" s="678"/>
      <c r="AF550" s="678"/>
      <c r="AG550" s="678"/>
      <c r="AH550" s="678"/>
      <c r="AI550" s="678"/>
      <c r="AJ550" s="678"/>
      <c r="AK550" s="658"/>
    </row>
    <row r="551" spans="2:37" s="5" customFormat="1">
      <c r="B551" s="313"/>
      <c r="C551" s="835"/>
      <c r="D551" s="17" t="s">
        <v>4</v>
      </c>
      <c r="E551" s="81" t="s">
        <v>60</v>
      </c>
      <c r="F551" s="84">
        <f>E546/5*2</f>
        <v>28872.159999999996</v>
      </c>
      <c r="G551" s="64">
        <f>$H$4</f>
        <v>0</v>
      </c>
      <c r="H551" s="64">
        <f>+G551*F551</f>
        <v>0</v>
      </c>
      <c r="I551" s="79"/>
      <c r="J551" s="52"/>
      <c r="K551" s="156"/>
      <c r="L551" s="383"/>
      <c r="M551" s="542"/>
      <c r="N551" s="578">
        <f t="shared" si="15"/>
        <v>0</v>
      </c>
      <c r="O551" s="678"/>
      <c r="P551" s="678"/>
      <c r="Q551" s="678"/>
      <c r="R551" s="678"/>
      <c r="S551" s="678"/>
      <c r="T551" s="678"/>
      <c r="U551" s="678"/>
      <c r="V551" s="678"/>
      <c r="W551" s="678"/>
      <c r="X551" s="678"/>
      <c r="Y551" s="678"/>
      <c r="Z551" s="678"/>
      <c r="AA551" s="678"/>
      <c r="AB551" s="678"/>
      <c r="AC551" s="678"/>
      <c r="AD551" s="678"/>
      <c r="AE551" s="678"/>
      <c r="AF551" s="678"/>
      <c r="AG551" s="678"/>
      <c r="AH551" s="678"/>
      <c r="AI551" s="678"/>
      <c r="AJ551" s="678"/>
      <c r="AK551" s="658"/>
    </row>
    <row r="552" spans="2:37" s="5" customFormat="1">
      <c r="B552" s="313"/>
      <c r="C552" s="835"/>
      <c r="D552" s="17" t="s">
        <v>5</v>
      </c>
      <c r="E552" s="81" t="s">
        <v>27</v>
      </c>
      <c r="F552" s="84">
        <f>E546</f>
        <v>72180.399999999994</v>
      </c>
      <c r="G552" s="64">
        <f>$F$5-F5</f>
        <v>0</v>
      </c>
      <c r="H552" s="64">
        <f>+G552*F552</f>
        <v>0</v>
      </c>
      <c r="I552" s="79"/>
      <c r="J552" s="52"/>
      <c r="K552" s="156"/>
      <c r="L552" s="383"/>
      <c r="M552" s="542"/>
      <c r="N552" s="578">
        <f t="shared" si="15"/>
        <v>0</v>
      </c>
      <c r="O552" s="678"/>
      <c r="P552" s="678"/>
      <c r="Q552" s="678"/>
      <c r="R552" s="678"/>
      <c r="S552" s="678"/>
      <c r="T552" s="678"/>
      <c r="U552" s="678"/>
      <c r="V552" s="678"/>
      <c r="W552" s="678"/>
      <c r="X552" s="678"/>
      <c r="Y552" s="678"/>
      <c r="Z552" s="678"/>
      <c r="AA552" s="678"/>
      <c r="AB552" s="678"/>
      <c r="AC552" s="679"/>
      <c r="AD552" s="678"/>
      <c r="AE552" s="678"/>
      <c r="AF552" s="678"/>
      <c r="AG552" s="678"/>
      <c r="AH552" s="678"/>
      <c r="AI552" s="678"/>
      <c r="AJ552" s="678"/>
      <c r="AK552" s="658"/>
    </row>
    <row r="553" spans="2:37" s="5" customFormat="1">
      <c r="B553" s="313"/>
      <c r="C553" s="835"/>
      <c r="D553" s="17" t="s">
        <v>30</v>
      </c>
      <c r="E553" s="67" t="s">
        <v>16</v>
      </c>
      <c r="F553" s="64">
        <f>G547+G548+G552</f>
        <v>7</v>
      </c>
      <c r="G553" s="68" t="s">
        <v>31</v>
      </c>
      <c r="H553" s="64">
        <f>SUM(H547:H552)</f>
        <v>759944.77954545442</v>
      </c>
      <c r="I553" s="79"/>
      <c r="J553" s="52"/>
      <c r="K553" s="156"/>
      <c r="L553" s="383"/>
      <c r="M553" s="542"/>
      <c r="N553" s="578">
        <f t="shared" si="15"/>
        <v>-759944.77954545442</v>
      </c>
      <c r="O553" s="678"/>
      <c r="P553" s="678"/>
      <c r="Q553" s="678"/>
      <c r="R553" s="678"/>
      <c r="S553" s="678"/>
      <c r="T553" s="678"/>
      <c r="U553" s="678"/>
      <c r="V553" s="678"/>
      <c r="W553" s="678"/>
      <c r="X553" s="678"/>
      <c r="Y553" s="678"/>
      <c r="Z553" s="678"/>
      <c r="AA553" s="678"/>
      <c r="AB553" s="678"/>
      <c r="AC553" s="678"/>
      <c r="AD553" s="678"/>
      <c r="AE553" s="678"/>
      <c r="AF553" s="678"/>
      <c r="AG553" s="678"/>
      <c r="AH553" s="678"/>
      <c r="AI553" s="678"/>
      <c r="AJ553" s="678"/>
      <c r="AK553" s="658"/>
    </row>
    <row r="554" spans="2:37" s="5" customFormat="1">
      <c r="B554" s="313"/>
      <c r="C554" s="835"/>
      <c r="D554" s="19" t="s">
        <v>32</v>
      </c>
      <c r="E554" s="67" t="s">
        <v>16</v>
      </c>
      <c r="F554" s="84">
        <f>SUM(H547:H552)</f>
        <v>759944.77954545442</v>
      </c>
      <c r="G554" s="92">
        <f>$G$43</f>
        <v>8.3299999999999999E-2</v>
      </c>
      <c r="H554" s="64">
        <f>+G554*F554</f>
        <v>63303.400136136355</v>
      </c>
      <c r="I554" s="93"/>
      <c r="J554" s="52"/>
      <c r="K554" s="156"/>
      <c r="L554" s="383"/>
      <c r="M554" s="542"/>
      <c r="N554" s="578">
        <f t="shared" si="15"/>
        <v>-63303.400136136355</v>
      </c>
      <c r="O554" s="679"/>
      <c r="P554" s="679"/>
      <c r="Q554" s="679"/>
      <c r="R554" s="679"/>
      <c r="S554" s="679"/>
      <c r="T554" s="679"/>
      <c r="U554" s="679"/>
      <c r="V554" s="679"/>
      <c r="W554" s="679"/>
      <c r="X554" s="679"/>
      <c r="Y554" s="679"/>
      <c r="Z554" s="679"/>
      <c r="AA554" s="679"/>
      <c r="AB554" s="679"/>
      <c r="AC554" s="679"/>
      <c r="AD554" s="678"/>
      <c r="AE554" s="678"/>
      <c r="AF554" s="678"/>
      <c r="AG554" s="678"/>
      <c r="AH554" s="678"/>
      <c r="AI554" s="678"/>
      <c r="AJ554" s="678"/>
      <c r="AK554" s="658"/>
    </row>
    <row r="555" spans="2:37" s="5" customFormat="1">
      <c r="B555" s="313"/>
      <c r="C555" s="835"/>
      <c r="D555" s="19" t="s">
        <v>33</v>
      </c>
      <c r="E555" s="84">
        <f>F554/(5*F553)</f>
        <v>21712.707987012982</v>
      </c>
      <c r="F555" s="84">
        <f>E555*(F553*7)</f>
        <v>1063922.6913636362</v>
      </c>
      <c r="G555" s="95">
        <f>$G$44</f>
        <v>20</v>
      </c>
      <c r="H555" s="64">
        <f>F555/G555</f>
        <v>53196.134568181806</v>
      </c>
      <c r="I555" s="72">
        <f>SUM(H553:H555)</f>
        <v>876444.31424977258</v>
      </c>
      <c r="J555" s="52">
        <f>SUM(G547:G555)</f>
        <v>33.083300000000001</v>
      </c>
      <c r="K555" s="156"/>
      <c r="L555" s="383"/>
      <c r="M555" s="542"/>
      <c r="N555" s="578">
        <f t="shared" si="15"/>
        <v>-53196.134568181806</v>
      </c>
      <c r="O555" s="678"/>
      <c r="P555" s="678"/>
      <c r="Q555" s="678"/>
      <c r="R555" s="678"/>
      <c r="S555" s="678"/>
      <c r="T555" s="678"/>
      <c r="U555" s="678"/>
      <c r="V555" s="678"/>
      <c r="W555" s="678"/>
      <c r="X555" s="678"/>
      <c r="Y555" s="678"/>
      <c r="Z555" s="678"/>
      <c r="AA555" s="678"/>
      <c r="AB555" s="678"/>
      <c r="AC555" s="678"/>
      <c r="AD555" s="678"/>
      <c r="AE555" s="678"/>
      <c r="AF555" s="678"/>
      <c r="AG555" s="678"/>
      <c r="AH555" s="678"/>
      <c r="AI555" s="678"/>
      <c r="AJ555" s="678"/>
      <c r="AK555" s="658"/>
    </row>
    <row r="556" spans="2:37" s="5" customFormat="1">
      <c r="B556" s="313"/>
      <c r="C556" s="835"/>
      <c r="D556" s="96"/>
      <c r="E556" s="9"/>
      <c r="F556" s="74"/>
      <c r="G556" s="97"/>
      <c r="H556" s="78"/>
      <c r="I556" s="79"/>
      <c r="J556" s="52"/>
      <c r="K556" s="156"/>
      <c r="L556" s="383"/>
      <c r="M556" s="542"/>
      <c r="N556" s="578">
        <f t="shared" si="15"/>
        <v>0</v>
      </c>
      <c r="O556" s="678"/>
      <c r="P556" s="678"/>
      <c r="Q556" s="678"/>
      <c r="R556" s="678"/>
      <c r="S556" s="678"/>
      <c r="T556" s="678"/>
      <c r="U556" s="678"/>
      <c r="V556" s="678"/>
      <c r="W556" s="678"/>
      <c r="X556" s="678"/>
      <c r="Y556" s="678"/>
      <c r="Z556" s="678"/>
      <c r="AA556" s="678"/>
      <c r="AB556" s="678"/>
      <c r="AC556" s="678"/>
      <c r="AD556" s="678"/>
      <c r="AE556" s="678"/>
      <c r="AF556" s="678"/>
      <c r="AG556" s="678"/>
      <c r="AH556" s="678"/>
      <c r="AI556" s="678"/>
      <c r="AJ556" s="678"/>
      <c r="AK556" s="658"/>
    </row>
    <row r="557" spans="2:37" s="5" customFormat="1" ht="15" customHeight="1">
      <c r="B557" s="317">
        <v>46</v>
      </c>
      <c r="C557" s="835" t="s">
        <v>908</v>
      </c>
      <c r="D557" s="80" t="s">
        <v>343</v>
      </c>
      <c r="E557" s="81">
        <v>57232.2</v>
      </c>
      <c r="F557" s="74"/>
      <c r="G557" s="75"/>
      <c r="H557" s="82"/>
      <c r="I557" s="83"/>
      <c r="J557" s="52"/>
      <c r="K557" s="156"/>
      <c r="L557" s="383"/>
      <c r="M557" s="542"/>
      <c r="N557" s="578">
        <f t="shared" si="15"/>
        <v>0</v>
      </c>
      <c r="O557" s="678"/>
      <c r="P557" s="678"/>
      <c r="Q557" s="678"/>
      <c r="R557" s="678"/>
      <c r="S557" s="678"/>
      <c r="T557" s="678"/>
      <c r="U557" s="678"/>
      <c r="V557" s="678"/>
      <c r="W557" s="678"/>
      <c r="X557" s="678"/>
      <c r="Y557" s="678"/>
      <c r="Z557" s="678"/>
      <c r="AA557" s="678"/>
      <c r="AB557" s="678"/>
      <c r="AC557" s="678"/>
      <c r="AD557" s="678"/>
      <c r="AE557" s="678"/>
      <c r="AF557" s="678"/>
      <c r="AG557" s="678"/>
      <c r="AH557" s="678"/>
      <c r="AI557" s="678"/>
      <c r="AJ557" s="678"/>
      <c r="AK557" s="658"/>
    </row>
    <row r="558" spans="2:37" s="5" customFormat="1">
      <c r="B558" s="313"/>
      <c r="C558" s="835"/>
      <c r="D558" s="17" t="s">
        <v>0</v>
      </c>
      <c r="E558" s="81" t="s">
        <v>27</v>
      </c>
      <c r="F558" s="84">
        <f>E557</f>
        <v>57232.2</v>
      </c>
      <c r="G558" s="64">
        <v>0</v>
      </c>
      <c r="H558" s="64">
        <f>+G558*F558</f>
        <v>0</v>
      </c>
      <c r="I558" s="79"/>
      <c r="J558" s="52"/>
      <c r="K558" s="156"/>
      <c r="L558" s="383"/>
      <c r="M558" s="542"/>
      <c r="N558" s="578">
        <f t="shared" si="15"/>
        <v>0</v>
      </c>
      <c r="O558" s="678"/>
      <c r="P558" s="678"/>
      <c r="Q558" s="678"/>
      <c r="R558" s="678"/>
      <c r="S558" s="678"/>
      <c r="T558" s="678"/>
      <c r="U558" s="678"/>
      <c r="V558" s="678"/>
      <c r="W558" s="678"/>
      <c r="X558" s="678"/>
      <c r="Y558" s="678"/>
      <c r="Z558" s="678"/>
      <c r="AA558" s="678"/>
      <c r="AB558" s="678"/>
      <c r="AC558" s="678"/>
      <c r="AD558" s="678"/>
      <c r="AE558" s="678"/>
      <c r="AF558" s="678"/>
      <c r="AG558" s="678"/>
      <c r="AH558" s="678"/>
      <c r="AI558" s="678"/>
      <c r="AJ558" s="678"/>
      <c r="AK558" s="658"/>
    </row>
    <row r="559" spans="2:37" s="5" customFormat="1">
      <c r="B559" s="313"/>
      <c r="C559" s="835"/>
      <c r="D559" s="17" t="s">
        <v>3</v>
      </c>
      <c r="E559" s="81" t="s">
        <v>27</v>
      </c>
      <c r="F559" s="84">
        <f>E557</f>
        <v>57232.2</v>
      </c>
      <c r="G559" s="64">
        <v>6</v>
      </c>
      <c r="H559" s="64">
        <f>+G559*F559</f>
        <v>343393.19999999995</v>
      </c>
      <c r="I559" s="79"/>
      <c r="J559" s="52"/>
      <c r="K559" s="156"/>
      <c r="L559" s="383"/>
      <c r="M559" s="542"/>
      <c r="N559" s="578">
        <f t="shared" si="15"/>
        <v>-343393.19999999995</v>
      </c>
      <c r="O559" s="678"/>
      <c r="P559" s="678"/>
      <c r="Q559" s="678"/>
      <c r="R559" s="678"/>
      <c r="S559" s="678"/>
      <c r="T559" s="678"/>
      <c r="U559" s="678"/>
      <c r="V559" s="678"/>
      <c r="W559" s="678"/>
      <c r="X559" s="678"/>
      <c r="Y559" s="678"/>
      <c r="Z559" s="678"/>
      <c r="AA559" s="678"/>
      <c r="AB559" s="678"/>
      <c r="AC559" s="678"/>
      <c r="AD559" s="678"/>
      <c r="AE559" s="678"/>
      <c r="AF559" s="678"/>
      <c r="AG559" s="678"/>
      <c r="AH559" s="678"/>
      <c r="AI559" s="678"/>
      <c r="AJ559" s="678"/>
      <c r="AK559" s="658"/>
    </row>
    <row r="560" spans="2:37" s="5" customFormat="1">
      <c r="B560" s="313"/>
      <c r="C560" s="835"/>
      <c r="D560" s="17" t="s">
        <v>28</v>
      </c>
      <c r="E560" s="88">
        <f>$H$5+2+2</f>
        <v>17.25</v>
      </c>
      <c r="F560" s="84">
        <f>E557/44*1.5</f>
        <v>1951.0977272727273</v>
      </c>
      <c r="G560" s="87">
        <v>6</v>
      </c>
      <c r="H560" s="64">
        <f>+G560*F560*E560</f>
        <v>201938.61477272731</v>
      </c>
      <c r="I560" s="79"/>
      <c r="J560" s="52"/>
      <c r="K560" s="156"/>
      <c r="L560" s="383"/>
      <c r="M560" s="542"/>
      <c r="N560" s="578">
        <f t="shared" si="15"/>
        <v>-201938.61477272731</v>
      </c>
      <c r="O560" s="678"/>
      <c r="P560" s="678"/>
      <c r="Q560" s="678"/>
      <c r="R560" s="678"/>
      <c r="S560" s="678"/>
      <c r="T560" s="678"/>
      <c r="U560" s="678"/>
      <c r="V560" s="678"/>
      <c r="W560" s="678"/>
      <c r="X560" s="678"/>
      <c r="Y560" s="678"/>
      <c r="Z560" s="678"/>
      <c r="AA560" s="678"/>
      <c r="AB560" s="678"/>
      <c r="AC560" s="678"/>
      <c r="AD560" s="678"/>
      <c r="AE560" s="678"/>
      <c r="AF560" s="678"/>
      <c r="AG560" s="678"/>
      <c r="AH560" s="678"/>
      <c r="AI560" s="678"/>
      <c r="AJ560" s="678"/>
      <c r="AK560" s="658"/>
    </row>
    <row r="561" spans="2:37" s="5" customFormat="1">
      <c r="B561" s="313"/>
      <c r="C561" s="835"/>
      <c r="D561" s="17" t="s">
        <v>1</v>
      </c>
      <c r="E561" s="67" t="s">
        <v>29</v>
      </c>
      <c r="F561" s="84">
        <f>E557/5*1.5</f>
        <v>17169.659999999996</v>
      </c>
      <c r="G561" s="64">
        <f>$H$3</f>
        <v>0</v>
      </c>
      <c r="H561" s="64">
        <f>+G561*F561</f>
        <v>0</v>
      </c>
      <c r="I561" s="79"/>
      <c r="J561" s="52"/>
      <c r="K561" s="156"/>
      <c r="L561" s="383"/>
      <c r="M561" s="542"/>
      <c r="N561" s="578">
        <f t="shared" si="15"/>
        <v>0</v>
      </c>
      <c r="O561" s="678"/>
      <c r="P561" s="678"/>
      <c r="Q561" s="678"/>
      <c r="R561" s="678"/>
      <c r="S561" s="678"/>
      <c r="T561" s="678"/>
      <c r="U561" s="678"/>
      <c r="V561" s="678"/>
      <c r="W561" s="678"/>
      <c r="X561" s="678"/>
      <c r="Y561" s="678"/>
      <c r="Z561" s="678"/>
      <c r="AA561" s="678"/>
      <c r="AB561" s="678"/>
      <c r="AC561" s="678"/>
      <c r="AD561" s="678"/>
      <c r="AE561" s="678"/>
      <c r="AF561" s="678"/>
      <c r="AG561" s="678"/>
      <c r="AH561" s="678"/>
      <c r="AI561" s="678"/>
      <c r="AJ561" s="678"/>
      <c r="AK561" s="658"/>
    </row>
    <row r="562" spans="2:37" s="5" customFormat="1">
      <c r="B562" s="313"/>
      <c r="C562" s="835"/>
      <c r="D562" s="17" t="s">
        <v>4</v>
      </c>
      <c r="E562" s="67" t="s">
        <v>29</v>
      </c>
      <c r="F562" s="84">
        <f>E557/5*2</f>
        <v>22892.879999999997</v>
      </c>
      <c r="G562" s="64">
        <f>$H$4</f>
        <v>0</v>
      </c>
      <c r="H562" s="64">
        <f>+G562*F562</f>
        <v>0</v>
      </c>
      <c r="I562" s="79"/>
      <c r="J562" s="52"/>
      <c r="K562" s="156"/>
      <c r="L562" s="383"/>
      <c r="M562" s="542"/>
      <c r="N562" s="578">
        <f t="shared" si="15"/>
        <v>0</v>
      </c>
      <c r="O562" s="678"/>
      <c r="P562" s="678"/>
      <c r="Q562" s="678"/>
      <c r="R562" s="678"/>
      <c r="S562" s="678"/>
      <c r="T562" s="678"/>
      <c r="U562" s="678"/>
      <c r="V562" s="678"/>
      <c r="W562" s="678"/>
      <c r="X562" s="678"/>
      <c r="Y562" s="678"/>
      <c r="Z562" s="678"/>
      <c r="AA562" s="678"/>
      <c r="AB562" s="678"/>
      <c r="AC562" s="678"/>
      <c r="AD562" s="678"/>
      <c r="AE562" s="678"/>
      <c r="AF562" s="678"/>
      <c r="AG562" s="678"/>
      <c r="AH562" s="678"/>
      <c r="AI562" s="678"/>
      <c r="AJ562" s="678"/>
      <c r="AK562" s="658"/>
    </row>
    <row r="563" spans="2:37" s="5" customFormat="1">
      <c r="B563" s="313"/>
      <c r="C563" s="835"/>
      <c r="D563" s="17" t="s">
        <v>5</v>
      </c>
      <c r="E563" s="81" t="s">
        <v>27</v>
      </c>
      <c r="F563" s="84">
        <f>E557</f>
        <v>57232.2</v>
      </c>
      <c r="G563" s="64">
        <f>$F$5-$F$5</f>
        <v>0</v>
      </c>
      <c r="H563" s="64">
        <f>+G563*F563</f>
        <v>0</v>
      </c>
      <c r="I563" s="79"/>
      <c r="J563" s="52"/>
      <c r="K563" s="156"/>
      <c r="L563" s="383"/>
      <c r="M563" s="542"/>
      <c r="N563" s="578">
        <f t="shared" si="15"/>
        <v>0</v>
      </c>
      <c r="O563" s="678"/>
      <c r="P563" s="678"/>
      <c r="Q563" s="678"/>
      <c r="R563" s="678"/>
      <c r="S563" s="678"/>
      <c r="T563" s="678"/>
      <c r="U563" s="678"/>
      <c r="V563" s="678"/>
      <c r="W563" s="678"/>
      <c r="X563" s="678"/>
      <c r="Y563" s="678"/>
      <c r="Z563" s="678"/>
      <c r="AA563" s="678"/>
      <c r="AB563" s="678"/>
      <c r="AC563" s="679"/>
      <c r="AD563" s="678"/>
      <c r="AE563" s="678"/>
      <c r="AF563" s="678"/>
      <c r="AG563" s="678"/>
      <c r="AH563" s="678"/>
      <c r="AI563" s="678"/>
      <c r="AJ563" s="678"/>
      <c r="AK563" s="658"/>
    </row>
    <row r="564" spans="2:37" s="5" customFormat="1">
      <c r="B564" s="313"/>
      <c r="C564" s="835"/>
      <c r="D564" s="17" t="s">
        <v>30</v>
      </c>
      <c r="E564" s="67" t="s">
        <v>16</v>
      </c>
      <c r="F564" s="64">
        <f>G558+G559+G563</f>
        <v>6</v>
      </c>
      <c r="G564" s="68" t="s">
        <v>31</v>
      </c>
      <c r="H564" s="64">
        <f>SUM(H558:H563)</f>
        <v>545331.8147727272</v>
      </c>
      <c r="I564" s="79"/>
      <c r="J564" s="52"/>
      <c r="K564" s="156"/>
      <c r="L564" s="383"/>
      <c r="M564" s="542"/>
      <c r="N564" s="578">
        <f t="shared" si="15"/>
        <v>-545331.8147727272</v>
      </c>
      <c r="O564" s="678"/>
      <c r="P564" s="678"/>
      <c r="Q564" s="678"/>
      <c r="R564" s="678"/>
      <c r="S564" s="678"/>
      <c r="T564" s="678"/>
      <c r="U564" s="678"/>
      <c r="V564" s="678"/>
      <c r="W564" s="678"/>
      <c r="X564" s="678"/>
      <c r="Y564" s="678"/>
      <c r="Z564" s="678"/>
      <c r="AA564" s="678"/>
      <c r="AB564" s="678"/>
      <c r="AC564" s="678"/>
      <c r="AD564" s="678"/>
      <c r="AE564" s="678"/>
      <c r="AF564" s="678"/>
      <c r="AG564" s="678"/>
      <c r="AH564" s="678"/>
      <c r="AI564" s="678"/>
      <c r="AJ564" s="678"/>
      <c r="AK564" s="658"/>
    </row>
    <row r="565" spans="2:37" s="5" customFormat="1">
      <c r="B565" s="313"/>
      <c r="C565" s="835"/>
      <c r="D565" s="19" t="s">
        <v>32</v>
      </c>
      <c r="E565" s="67" t="s">
        <v>16</v>
      </c>
      <c r="F565" s="84">
        <f>SUM(H558:H563)</f>
        <v>545331.8147727272</v>
      </c>
      <c r="G565" s="92">
        <f>$G$43</f>
        <v>8.3299999999999999E-2</v>
      </c>
      <c r="H565" s="64">
        <f>+G565*F565</f>
        <v>45426.140170568178</v>
      </c>
      <c r="I565" s="93"/>
      <c r="J565" s="52"/>
      <c r="K565" s="156"/>
      <c r="L565" s="383"/>
      <c r="M565" s="542"/>
      <c r="N565" s="578">
        <f t="shared" si="15"/>
        <v>-45426.140170568178</v>
      </c>
      <c r="O565" s="679"/>
      <c r="P565" s="679"/>
      <c r="Q565" s="679"/>
      <c r="R565" s="679"/>
      <c r="S565" s="679"/>
      <c r="T565" s="679"/>
      <c r="U565" s="679"/>
      <c r="V565" s="679"/>
      <c r="W565" s="679"/>
      <c r="X565" s="679"/>
      <c r="Y565" s="679"/>
      <c r="Z565" s="679"/>
      <c r="AA565" s="679"/>
      <c r="AB565" s="679"/>
      <c r="AC565" s="679"/>
      <c r="AD565" s="678"/>
      <c r="AE565" s="678"/>
      <c r="AF565" s="678"/>
      <c r="AG565" s="678"/>
      <c r="AH565" s="678"/>
      <c r="AI565" s="678"/>
      <c r="AJ565" s="678"/>
      <c r="AK565" s="658"/>
    </row>
    <row r="566" spans="2:37" s="5" customFormat="1">
      <c r="B566" s="313"/>
      <c r="C566" s="835"/>
      <c r="D566" s="19" t="s">
        <v>33</v>
      </c>
      <c r="E566" s="84">
        <f>F565/(5*F564)</f>
        <v>18177.727159090908</v>
      </c>
      <c r="F566" s="84">
        <f>E566*(F564*7)</f>
        <v>763464.54068181815</v>
      </c>
      <c r="G566" s="95">
        <f>$G$44</f>
        <v>20</v>
      </c>
      <c r="H566" s="64">
        <f>F566/G566</f>
        <v>38173.227034090909</v>
      </c>
      <c r="I566" s="72">
        <f>SUM(H564:H566)</f>
        <v>628931.18197738624</v>
      </c>
      <c r="J566" s="52">
        <f>SUM(G558:G566)</f>
        <v>32.083300000000001</v>
      </c>
      <c r="K566" s="156"/>
      <c r="L566" s="383"/>
      <c r="M566" s="542"/>
      <c r="N566" s="578">
        <f t="shared" si="15"/>
        <v>-38173.227034090909</v>
      </c>
      <c r="O566" s="678"/>
      <c r="P566" s="678"/>
      <c r="Q566" s="678"/>
      <c r="R566" s="678"/>
      <c r="S566" s="678"/>
      <c r="T566" s="678"/>
      <c r="U566" s="678"/>
      <c r="V566" s="678"/>
      <c r="W566" s="678"/>
      <c r="X566" s="678"/>
      <c r="Y566" s="678"/>
      <c r="Z566" s="678"/>
      <c r="AA566" s="678"/>
      <c r="AB566" s="678"/>
      <c r="AC566" s="678"/>
      <c r="AD566" s="678"/>
      <c r="AE566" s="678"/>
      <c r="AF566" s="678"/>
      <c r="AG566" s="678"/>
      <c r="AH566" s="678"/>
      <c r="AI566" s="678"/>
      <c r="AJ566" s="678"/>
      <c r="AK566" s="658"/>
    </row>
    <row r="567" spans="2:37" s="5" customFormat="1">
      <c r="B567" s="313"/>
      <c r="C567" s="835"/>
      <c r="D567" s="96"/>
      <c r="E567" s="9"/>
      <c r="F567" s="74"/>
      <c r="G567" s="97"/>
      <c r="H567" s="78"/>
      <c r="I567" s="79"/>
      <c r="J567" s="52"/>
      <c r="K567" s="156"/>
      <c r="L567" s="383"/>
      <c r="M567" s="542"/>
      <c r="N567" s="578">
        <f t="shared" si="15"/>
        <v>0</v>
      </c>
      <c r="O567" s="678"/>
      <c r="P567" s="678"/>
      <c r="Q567" s="678"/>
      <c r="R567" s="678"/>
      <c r="S567" s="678"/>
      <c r="T567" s="678"/>
      <c r="U567" s="678"/>
      <c r="V567" s="678"/>
      <c r="W567" s="678"/>
      <c r="X567" s="678"/>
      <c r="Y567" s="678"/>
      <c r="Z567" s="678"/>
      <c r="AA567" s="678"/>
      <c r="AB567" s="678"/>
      <c r="AC567" s="678"/>
      <c r="AD567" s="678"/>
      <c r="AE567" s="678"/>
      <c r="AF567" s="678"/>
      <c r="AG567" s="678"/>
      <c r="AH567" s="678"/>
      <c r="AI567" s="678"/>
      <c r="AJ567" s="678"/>
      <c r="AK567" s="658"/>
    </row>
    <row r="568" spans="2:37" s="5" customFormat="1" ht="15" customHeight="1">
      <c r="B568" s="317">
        <v>47</v>
      </c>
      <c r="C568" s="835" t="s">
        <v>909</v>
      </c>
      <c r="D568" s="80" t="s">
        <v>73</v>
      </c>
      <c r="E568" s="81">
        <v>72180.399999999994</v>
      </c>
      <c r="F568" s="74"/>
      <c r="G568" s="75"/>
      <c r="H568" s="82"/>
      <c r="I568" s="83"/>
      <c r="J568" s="52"/>
      <c r="K568" s="156"/>
      <c r="L568" s="383"/>
      <c r="M568" s="542"/>
      <c r="N568" s="578">
        <f t="shared" si="15"/>
        <v>0</v>
      </c>
      <c r="O568" s="678"/>
      <c r="P568" s="678"/>
      <c r="Q568" s="678"/>
      <c r="R568" s="678"/>
      <c r="S568" s="678"/>
      <c r="T568" s="678"/>
      <c r="U568" s="678"/>
      <c r="V568" s="678"/>
      <c r="W568" s="678"/>
      <c r="X568" s="678"/>
      <c r="Y568" s="678"/>
      <c r="Z568" s="678"/>
      <c r="AA568" s="678"/>
      <c r="AB568" s="678"/>
      <c r="AC568" s="678"/>
      <c r="AD568" s="678"/>
      <c r="AE568" s="678"/>
      <c r="AF568" s="678"/>
      <c r="AG568" s="678"/>
      <c r="AH568" s="678"/>
      <c r="AI568" s="678"/>
      <c r="AJ568" s="678"/>
      <c r="AK568" s="658"/>
    </row>
    <row r="569" spans="2:37" s="5" customFormat="1">
      <c r="B569" s="313"/>
      <c r="C569" s="835"/>
      <c r="D569" s="17" t="s">
        <v>0</v>
      </c>
      <c r="E569" s="81" t="s">
        <v>27</v>
      </c>
      <c r="F569" s="84">
        <f>E568</f>
        <v>72180.399999999994</v>
      </c>
      <c r="G569" s="64">
        <f>$F$3-6</f>
        <v>0</v>
      </c>
      <c r="H569" s="64">
        <f>+G569*F569</f>
        <v>0</v>
      </c>
      <c r="I569" s="79"/>
      <c r="J569" s="52"/>
      <c r="K569" s="156"/>
      <c r="L569" s="383"/>
      <c r="M569" s="542"/>
      <c r="N569" s="578">
        <f t="shared" si="15"/>
        <v>0</v>
      </c>
      <c r="O569" s="678"/>
      <c r="P569" s="678"/>
      <c r="Q569" s="678"/>
      <c r="R569" s="678"/>
      <c r="S569" s="678"/>
      <c r="T569" s="678"/>
      <c r="U569" s="678"/>
      <c r="V569" s="678"/>
      <c r="W569" s="678"/>
      <c r="X569" s="678"/>
      <c r="Y569" s="678"/>
      <c r="Z569" s="678"/>
      <c r="AA569" s="678"/>
      <c r="AB569" s="678"/>
      <c r="AC569" s="678"/>
      <c r="AD569" s="678"/>
      <c r="AE569" s="678"/>
      <c r="AF569" s="678"/>
      <c r="AG569" s="678"/>
      <c r="AH569" s="678"/>
      <c r="AI569" s="678"/>
      <c r="AJ569" s="678"/>
      <c r="AK569" s="658"/>
    </row>
    <row r="570" spans="2:37" s="5" customFormat="1">
      <c r="B570" s="313"/>
      <c r="C570" s="835"/>
      <c r="D570" s="17" t="s">
        <v>3</v>
      </c>
      <c r="E570" s="81" t="s">
        <v>27</v>
      </c>
      <c r="F570" s="84">
        <f>E568</f>
        <v>72180.399999999994</v>
      </c>
      <c r="G570" s="64">
        <v>0</v>
      </c>
      <c r="H570" s="64">
        <f>+G570*F570</f>
        <v>0</v>
      </c>
      <c r="I570" s="79"/>
      <c r="J570" s="52"/>
      <c r="K570" s="156"/>
      <c r="L570" s="383"/>
      <c r="M570" s="542"/>
      <c r="N570" s="578">
        <f t="shared" si="15"/>
        <v>0</v>
      </c>
      <c r="O570" s="678"/>
      <c r="P570" s="678"/>
      <c r="Q570" s="678"/>
      <c r="R570" s="678"/>
      <c r="S570" s="678"/>
      <c r="T570" s="678"/>
      <c r="U570" s="678"/>
      <c r="V570" s="678"/>
      <c r="W570" s="678"/>
      <c r="X570" s="678"/>
      <c r="Y570" s="678"/>
      <c r="Z570" s="678"/>
      <c r="AA570" s="678"/>
      <c r="AB570" s="678"/>
      <c r="AC570" s="678"/>
      <c r="AD570" s="678"/>
      <c r="AE570" s="678"/>
      <c r="AF570" s="678"/>
      <c r="AG570" s="678"/>
      <c r="AH570" s="678"/>
      <c r="AI570" s="678"/>
      <c r="AJ570" s="678"/>
      <c r="AK570" s="658"/>
    </row>
    <row r="571" spans="2:37" s="5" customFormat="1">
      <c r="B571" s="313"/>
      <c r="C571" s="835"/>
      <c r="D571" s="17" t="s">
        <v>28</v>
      </c>
      <c r="E571" s="88">
        <f>$H$5-H5</f>
        <v>0</v>
      </c>
      <c r="F571" s="84">
        <f>E568/44*1.5</f>
        <v>2460.6954545454541</v>
      </c>
      <c r="G571" s="87">
        <v>0</v>
      </c>
      <c r="H571" s="64">
        <f>+G571*F571*E571</f>
        <v>0</v>
      </c>
      <c r="I571" s="79"/>
      <c r="J571" s="52"/>
      <c r="K571" s="156"/>
      <c r="L571" s="383"/>
      <c r="M571" s="542"/>
      <c r="N571" s="578">
        <f t="shared" si="15"/>
        <v>0</v>
      </c>
      <c r="O571" s="678"/>
      <c r="P571" s="678"/>
      <c r="Q571" s="678"/>
      <c r="R571" s="678"/>
      <c r="S571" s="678"/>
      <c r="T571" s="678"/>
      <c r="U571" s="678"/>
      <c r="V571" s="678"/>
      <c r="W571" s="678"/>
      <c r="X571" s="678"/>
      <c r="Y571" s="678"/>
      <c r="Z571" s="678"/>
      <c r="AA571" s="678"/>
      <c r="AB571" s="678"/>
      <c r="AC571" s="678"/>
      <c r="AD571" s="678"/>
      <c r="AE571" s="678"/>
      <c r="AF571" s="678"/>
      <c r="AG571" s="678"/>
      <c r="AH571" s="678"/>
      <c r="AI571" s="678"/>
      <c r="AJ571" s="678"/>
      <c r="AK571" s="658"/>
    </row>
    <row r="572" spans="2:37" s="5" customFormat="1">
      <c r="B572" s="313"/>
      <c r="C572" s="835"/>
      <c r="D572" s="17" t="s">
        <v>1</v>
      </c>
      <c r="E572" s="67" t="s">
        <v>29</v>
      </c>
      <c r="F572" s="84">
        <f>E568/5*1.5</f>
        <v>21654.119999999995</v>
      </c>
      <c r="G572" s="64">
        <f>$H$3</f>
        <v>0</v>
      </c>
      <c r="H572" s="64">
        <f>+G572*F572</f>
        <v>0</v>
      </c>
      <c r="I572" s="79"/>
      <c r="J572" s="52"/>
      <c r="K572" s="156"/>
      <c r="L572" s="383"/>
      <c r="M572" s="542"/>
      <c r="N572" s="578">
        <f t="shared" si="15"/>
        <v>0</v>
      </c>
      <c r="O572" s="678"/>
      <c r="P572" s="678"/>
      <c r="Q572" s="678"/>
      <c r="R572" s="678"/>
      <c r="S572" s="678"/>
      <c r="T572" s="678"/>
      <c r="U572" s="678"/>
      <c r="V572" s="678"/>
      <c r="W572" s="678"/>
      <c r="X572" s="678"/>
      <c r="Y572" s="678"/>
      <c r="Z572" s="678"/>
      <c r="AA572" s="678"/>
      <c r="AB572" s="678"/>
      <c r="AC572" s="678"/>
      <c r="AD572" s="678"/>
      <c r="AE572" s="678"/>
      <c r="AF572" s="678"/>
      <c r="AG572" s="678"/>
      <c r="AH572" s="678"/>
      <c r="AI572" s="678"/>
      <c r="AJ572" s="678"/>
      <c r="AK572" s="658"/>
    </row>
    <row r="573" spans="2:37" s="5" customFormat="1">
      <c r="B573" s="313"/>
      <c r="C573" s="835"/>
      <c r="D573" s="17" t="s">
        <v>4</v>
      </c>
      <c r="E573" s="67" t="s">
        <v>29</v>
      </c>
      <c r="F573" s="84">
        <f>E568/5*2</f>
        <v>28872.159999999996</v>
      </c>
      <c r="G573" s="64">
        <f>$H$4</f>
        <v>0</v>
      </c>
      <c r="H573" s="64">
        <f>+G573*F573</f>
        <v>0</v>
      </c>
      <c r="I573" s="79"/>
      <c r="J573" s="52"/>
      <c r="K573" s="156"/>
      <c r="L573" s="383"/>
      <c r="M573" s="542"/>
      <c r="N573" s="578">
        <f t="shared" si="15"/>
        <v>0</v>
      </c>
      <c r="O573" s="678"/>
      <c r="P573" s="678"/>
      <c r="Q573" s="678"/>
      <c r="R573" s="678"/>
      <c r="S573" s="678"/>
      <c r="T573" s="678"/>
      <c r="U573" s="678"/>
      <c r="V573" s="678"/>
      <c r="W573" s="678"/>
      <c r="X573" s="678"/>
      <c r="Y573" s="678"/>
      <c r="Z573" s="678"/>
      <c r="AA573" s="678"/>
      <c r="AB573" s="678"/>
      <c r="AC573" s="678"/>
      <c r="AD573" s="678"/>
      <c r="AE573" s="678"/>
      <c r="AF573" s="678"/>
      <c r="AG573" s="678"/>
      <c r="AH573" s="678"/>
      <c r="AI573" s="678"/>
      <c r="AJ573" s="678"/>
      <c r="AK573" s="658"/>
    </row>
    <row r="574" spans="2:37" s="5" customFormat="1">
      <c r="B574" s="313"/>
      <c r="C574" s="835"/>
      <c r="D574" s="17" t="s">
        <v>5</v>
      </c>
      <c r="E574" s="81" t="s">
        <v>27</v>
      </c>
      <c r="F574" s="84">
        <f>E568</f>
        <v>72180.399999999994</v>
      </c>
      <c r="G574" s="64">
        <v>7</v>
      </c>
      <c r="H574" s="64">
        <f>+G574*F574</f>
        <v>505262.79999999993</v>
      </c>
      <c r="I574" s="79"/>
      <c r="J574" s="52"/>
      <c r="K574" s="156"/>
      <c r="L574" s="383"/>
      <c r="M574" s="542"/>
      <c r="N574" s="578">
        <f t="shared" si="15"/>
        <v>-505262.79999999993</v>
      </c>
      <c r="O574" s="678"/>
      <c r="P574" s="678"/>
      <c r="Q574" s="678"/>
      <c r="R574" s="678"/>
      <c r="S574" s="678"/>
      <c r="T574" s="678"/>
      <c r="U574" s="678"/>
      <c r="V574" s="678"/>
      <c r="W574" s="678"/>
      <c r="X574" s="678"/>
      <c r="Y574" s="678"/>
      <c r="Z574" s="678"/>
      <c r="AA574" s="678"/>
      <c r="AB574" s="678"/>
      <c r="AC574" s="679"/>
      <c r="AD574" s="678"/>
      <c r="AE574" s="678"/>
      <c r="AF574" s="678"/>
      <c r="AG574" s="678"/>
      <c r="AH574" s="678"/>
      <c r="AI574" s="678"/>
      <c r="AJ574" s="678"/>
      <c r="AK574" s="658"/>
    </row>
    <row r="575" spans="2:37" s="5" customFormat="1">
      <c r="B575" s="313"/>
      <c r="C575" s="835"/>
      <c r="D575" s="17" t="s">
        <v>30</v>
      </c>
      <c r="E575" s="67" t="s">
        <v>16</v>
      </c>
      <c r="F575" s="64">
        <f>G569+G570+G574</f>
        <v>7</v>
      </c>
      <c r="G575" s="68" t="s">
        <v>31</v>
      </c>
      <c r="H575" s="64">
        <f>SUM(H569:H574)</f>
        <v>505262.79999999993</v>
      </c>
      <c r="I575" s="79"/>
      <c r="J575" s="52"/>
      <c r="K575" s="156"/>
      <c r="L575" s="383"/>
      <c r="M575" s="542"/>
      <c r="N575" s="578">
        <f t="shared" si="15"/>
        <v>-505262.79999999993</v>
      </c>
      <c r="O575" s="678"/>
      <c r="P575" s="678"/>
      <c r="Q575" s="678"/>
      <c r="R575" s="678"/>
      <c r="S575" s="678"/>
      <c r="T575" s="678"/>
      <c r="U575" s="678"/>
      <c r="V575" s="678"/>
      <c r="W575" s="678"/>
      <c r="X575" s="678"/>
      <c r="Y575" s="678"/>
      <c r="Z575" s="678"/>
      <c r="AA575" s="678"/>
      <c r="AB575" s="678"/>
      <c r="AC575" s="678"/>
      <c r="AD575" s="678"/>
      <c r="AE575" s="678"/>
      <c r="AF575" s="678"/>
      <c r="AG575" s="678"/>
      <c r="AH575" s="678"/>
      <c r="AI575" s="678"/>
      <c r="AJ575" s="678"/>
      <c r="AK575" s="658"/>
    </row>
    <row r="576" spans="2:37" s="5" customFormat="1">
      <c r="B576" s="313"/>
      <c r="C576" s="835"/>
      <c r="D576" s="19" t="s">
        <v>32</v>
      </c>
      <c r="E576" s="67" t="s">
        <v>16</v>
      </c>
      <c r="F576" s="84">
        <f>SUM(H569:H574)</f>
        <v>505262.79999999993</v>
      </c>
      <c r="G576" s="92">
        <f>$G$43</f>
        <v>8.3299999999999999E-2</v>
      </c>
      <c r="H576" s="64">
        <f>+G576*F576</f>
        <v>42088.391239999997</v>
      </c>
      <c r="I576" s="93"/>
      <c r="J576" s="52"/>
      <c r="K576" s="156"/>
      <c r="L576" s="383"/>
      <c r="M576" s="542"/>
      <c r="N576" s="578">
        <f t="shared" si="15"/>
        <v>-42088.391239999997</v>
      </c>
      <c r="O576" s="679"/>
      <c r="P576" s="679"/>
      <c r="Q576" s="679"/>
      <c r="R576" s="679"/>
      <c r="S576" s="679"/>
      <c r="T576" s="679"/>
      <c r="U576" s="679"/>
      <c r="V576" s="679"/>
      <c r="W576" s="679"/>
      <c r="X576" s="679"/>
      <c r="Y576" s="679"/>
      <c r="Z576" s="679"/>
      <c r="AA576" s="679"/>
      <c r="AB576" s="679"/>
      <c r="AC576" s="679"/>
      <c r="AD576" s="678"/>
      <c r="AE576" s="678"/>
      <c r="AF576" s="678"/>
      <c r="AG576" s="678"/>
      <c r="AH576" s="678"/>
      <c r="AI576" s="678"/>
      <c r="AJ576" s="678"/>
      <c r="AK576" s="658"/>
    </row>
    <row r="577" spans="2:37" s="5" customFormat="1">
      <c r="B577" s="313"/>
      <c r="C577" s="835"/>
      <c r="D577" s="19" t="s">
        <v>33</v>
      </c>
      <c r="E577" s="84">
        <f>F576/(5*F575)</f>
        <v>14436.079999999998</v>
      </c>
      <c r="F577" s="84">
        <f>E577*(F575*7)</f>
        <v>707367.91999999993</v>
      </c>
      <c r="G577" s="95">
        <f>$G$44</f>
        <v>20</v>
      </c>
      <c r="H577" s="64">
        <f>F577/G577</f>
        <v>35368.395999999993</v>
      </c>
      <c r="I577" s="72">
        <f>SUM(H575:H577)</f>
        <v>582719.58723999991</v>
      </c>
      <c r="J577" s="52">
        <f>SUM(G569:G577)</f>
        <v>27.083300000000001</v>
      </c>
      <c r="K577" s="156"/>
      <c r="L577" s="383"/>
      <c r="M577" s="542"/>
      <c r="N577" s="578">
        <f t="shared" si="15"/>
        <v>-35368.395999999993</v>
      </c>
      <c r="O577" s="678"/>
      <c r="P577" s="678"/>
      <c r="Q577" s="678"/>
      <c r="R577" s="678"/>
      <c r="S577" s="678"/>
      <c r="T577" s="678"/>
      <c r="U577" s="678"/>
      <c r="V577" s="678"/>
      <c r="W577" s="678"/>
      <c r="X577" s="678"/>
      <c r="Y577" s="678"/>
      <c r="Z577" s="678"/>
      <c r="AA577" s="678"/>
      <c r="AB577" s="678"/>
      <c r="AC577" s="678"/>
      <c r="AD577" s="678"/>
      <c r="AE577" s="678"/>
      <c r="AF577" s="678"/>
      <c r="AG577" s="678"/>
      <c r="AH577" s="678"/>
      <c r="AI577" s="678"/>
      <c r="AJ577" s="678"/>
      <c r="AK577" s="658"/>
    </row>
    <row r="578" spans="2:37" s="5" customFormat="1">
      <c r="B578" s="313"/>
      <c r="C578" s="835"/>
      <c r="D578" s="96"/>
      <c r="E578" s="9"/>
      <c r="F578" s="74"/>
      <c r="G578" s="97"/>
      <c r="H578" s="78"/>
      <c r="I578" s="79"/>
      <c r="J578" s="52"/>
      <c r="K578" s="156"/>
      <c r="L578" s="383"/>
      <c r="M578" s="542"/>
      <c r="N578" s="578">
        <f t="shared" si="15"/>
        <v>0</v>
      </c>
      <c r="O578" s="678"/>
      <c r="P578" s="678"/>
      <c r="Q578" s="678"/>
      <c r="R578" s="678"/>
      <c r="S578" s="678"/>
      <c r="T578" s="678"/>
      <c r="U578" s="678"/>
      <c r="V578" s="678"/>
      <c r="W578" s="678"/>
      <c r="X578" s="678"/>
      <c r="Y578" s="678"/>
      <c r="Z578" s="678"/>
      <c r="AA578" s="678"/>
      <c r="AB578" s="678"/>
      <c r="AC578" s="678"/>
      <c r="AD578" s="678"/>
      <c r="AE578" s="678"/>
      <c r="AF578" s="678"/>
      <c r="AG578" s="678"/>
      <c r="AH578" s="678"/>
      <c r="AI578" s="678"/>
      <c r="AJ578" s="678"/>
      <c r="AK578" s="658"/>
    </row>
    <row r="579" spans="2:37" s="5" customFormat="1" ht="15" customHeight="1">
      <c r="B579" s="317">
        <v>48</v>
      </c>
      <c r="C579" s="835" t="s">
        <v>910</v>
      </c>
      <c r="D579" s="80" t="s">
        <v>222</v>
      </c>
      <c r="E579" s="81">
        <v>57232.2</v>
      </c>
      <c r="F579" s="74"/>
      <c r="G579" s="75"/>
      <c r="H579" s="82"/>
      <c r="I579" s="83"/>
      <c r="J579" s="52"/>
      <c r="K579" s="156"/>
      <c r="L579" s="383"/>
      <c r="M579" s="542"/>
      <c r="N579" s="578">
        <f t="shared" si="15"/>
        <v>0</v>
      </c>
      <c r="O579" s="678"/>
      <c r="P579" s="678"/>
      <c r="Q579" s="678"/>
      <c r="R579" s="678"/>
      <c r="S579" s="678"/>
      <c r="T579" s="678"/>
      <c r="U579" s="678"/>
      <c r="V579" s="678"/>
      <c r="W579" s="678"/>
      <c r="X579" s="678"/>
      <c r="Y579" s="678"/>
      <c r="Z579" s="678"/>
      <c r="AA579" s="678"/>
      <c r="AB579" s="678"/>
      <c r="AC579" s="678"/>
      <c r="AD579" s="678"/>
      <c r="AE579" s="678"/>
      <c r="AF579" s="678"/>
      <c r="AG579" s="678"/>
      <c r="AH579" s="678"/>
      <c r="AI579" s="678"/>
      <c r="AJ579" s="678"/>
      <c r="AK579" s="658"/>
    </row>
    <row r="580" spans="2:37" s="5" customFormat="1">
      <c r="B580" s="313"/>
      <c r="C580" s="835"/>
      <c r="D580" s="17" t="s">
        <v>0</v>
      </c>
      <c r="E580" s="81" t="s">
        <v>27</v>
      </c>
      <c r="F580" s="84">
        <f>E579</f>
        <v>57232.2</v>
      </c>
      <c r="G580" s="64">
        <f>$F$3-6</f>
        <v>0</v>
      </c>
      <c r="H580" s="64">
        <f>+G580*F580</f>
        <v>0</v>
      </c>
      <c r="I580" s="79"/>
      <c r="J580" s="52"/>
      <c r="K580" s="156"/>
      <c r="L580" s="383"/>
      <c r="M580" s="542"/>
      <c r="N580" s="578">
        <f t="shared" si="15"/>
        <v>0</v>
      </c>
      <c r="O580" s="678"/>
      <c r="P580" s="678"/>
      <c r="Q580" s="678"/>
      <c r="R580" s="678"/>
      <c r="S580" s="678"/>
      <c r="T580" s="678"/>
      <c r="U580" s="678"/>
      <c r="V580" s="678"/>
      <c r="W580" s="678"/>
      <c r="X580" s="678"/>
      <c r="Y580" s="678"/>
      <c r="Z580" s="678"/>
      <c r="AA580" s="678"/>
      <c r="AB580" s="678"/>
      <c r="AC580" s="678"/>
      <c r="AD580" s="678"/>
      <c r="AE580" s="678"/>
      <c r="AF580" s="678"/>
      <c r="AG580" s="678"/>
      <c r="AH580" s="678"/>
      <c r="AI580" s="678"/>
      <c r="AJ580" s="678"/>
      <c r="AK580" s="658"/>
    </row>
    <row r="581" spans="2:37" s="5" customFormat="1">
      <c r="B581" s="313"/>
      <c r="C581" s="835"/>
      <c r="D581" s="17" t="s">
        <v>3</v>
      </c>
      <c r="E581" s="81" t="s">
        <v>27</v>
      </c>
      <c r="F581" s="84">
        <f>E579</f>
        <v>57232.2</v>
      </c>
      <c r="G581" s="64">
        <v>0</v>
      </c>
      <c r="H581" s="64">
        <f>+G581*F581</f>
        <v>0</v>
      </c>
      <c r="I581" s="79"/>
      <c r="J581" s="52"/>
      <c r="K581" s="156"/>
      <c r="L581" s="383"/>
      <c r="M581" s="542"/>
      <c r="N581" s="578">
        <f t="shared" si="15"/>
        <v>0</v>
      </c>
      <c r="O581" s="678"/>
      <c r="P581" s="678"/>
      <c r="Q581" s="678"/>
      <c r="R581" s="678"/>
      <c r="S581" s="678"/>
      <c r="T581" s="678"/>
      <c r="U581" s="678"/>
      <c r="V581" s="678"/>
      <c r="W581" s="678"/>
      <c r="X581" s="678"/>
      <c r="Y581" s="678"/>
      <c r="Z581" s="678"/>
      <c r="AA581" s="678"/>
      <c r="AB581" s="678"/>
      <c r="AC581" s="678"/>
      <c r="AD581" s="678"/>
      <c r="AE581" s="678"/>
      <c r="AF581" s="678"/>
      <c r="AG581" s="678"/>
      <c r="AH581" s="678"/>
      <c r="AI581" s="678"/>
      <c r="AJ581" s="678"/>
      <c r="AK581" s="658"/>
    </row>
    <row r="582" spans="2:37" s="5" customFormat="1">
      <c r="B582" s="313"/>
      <c r="C582" s="835"/>
      <c r="D582" s="17" t="s">
        <v>28</v>
      </c>
      <c r="E582" s="88">
        <f>$H$5</f>
        <v>13.25</v>
      </c>
      <c r="F582" s="84">
        <f>E579/44*1.5</f>
        <v>1951.0977272727273</v>
      </c>
      <c r="G582" s="87"/>
      <c r="H582" s="64">
        <f>+G582*F582*E582</f>
        <v>0</v>
      </c>
      <c r="I582" s="79"/>
      <c r="J582" s="52"/>
      <c r="K582" s="156"/>
      <c r="L582" s="383"/>
      <c r="M582" s="542"/>
      <c r="N582" s="578">
        <f t="shared" si="15"/>
        <v>0</v>
      </c>
      <c r="O582" s="678"/>
      <c r="P582" s="678"/>
      <c r="Q582" s="678"/>
      <c r="R582" s="678"/>
      <c r="S582" s="678"/>
      <c r="T582" s="678"/>
      <c r="U582" s="678"/>
      <c r="V582" s="678"/>
      <c r="W582" s="678"/>
      <c r="X582" s="678"/>
      <c r="Y582" s="678"/>
      <c r="Z582" s="678"/>
      <c r="AA582" s="678"/>
      <c r="AB582" s="678"/>
      <c r="AC582" s="678"/>
      <c r="AD582" s="678"/>
      <c r="AE582" s="678"/>
      <c r="AF582" s="678"/>
      <c r="AG582" s="678"/>
      <c r="AH582" s="678"/>
      <c r="AI582" s="678"/>
      <c r="AJ582" s="678"/>
      <c r="AK582" s="658"/>
    </row>
    <row r="583" spans="2:37" s="5" customFormat="1">
      <c r="B583" s="313"/>
      <c r="C583" s="835"/>
      <c r="D583" s="17" t="s">
        <v>1</v>
      </c>
      <c r="E583" s="67" t="s">
        <v>29</v>
      </c>
      <c r="F583" s="84">
        <f>E579/5*1.5</f>
        <v>17169.659999999996</v>
      </c>
      <c r="G583" s="64">
        <f>$H$3</f>
        <v>0</v>
      </c>
      <c r="H583" s="64">
        <f>+G583*F583</f>
        <v>0</v>
      </c>
      <c r="I583" s="79"/>
      <c r="J583" s="52"/>
      <c r="K583" s="156"/>
      <c r="L583" s="383"/>
      <c r="M583" s="542"/>
      <c r="N583" s="578">
        <f t="shared" si="15"/>
        <v>0</v>
      </c>
      <c r="O583" s="678"/>
      <c r="P583" s="678"/>
      <c r="Q583" s="678"/>
      <c r="R583" s="678"/>
      <c r="S583" s="678"/>
      <c r="T583" s="678"/>
      <c r="U583" s="678"/>
      <c r="V583" s="678"/>
      <c r="W583" s="678"/>
      <c r="X583" s="678"/>
      <c r="Y583" s="678"/>
      <c r="Z583" s="678"/>
      <c r="AA583" s="678"/>
      <c r="AB583" s="678"/>
      <c r="AC583" s="678"/>
      <c r="AD583" s="678"/>
      <c r="AE583" s="678"/>
      <c r="AF583" s="678"/>
      <c r="AG583" s="678"/>
      <c r="AH583" s="678"/>
      <c r="AI583" s="678"/>
      <c r="AJ583" s="678"/>
      <c r="AK583" s="658"/>
    </row>
    <row r="584" spans="2:37" s="5" customFormat="1">
      <c r="B584" s="313"/>
      <c r="C584" s="835"/>
      <c r="D584" s="17" t="s">
        <v>4</v>
      </c>
      <c r="E584" s="67" t="s">
        <v>29</v>
      </c>
      <c r="F584" s="84">
        <f>E579/5*2</f>
        <v>22892.879999999997</v>
      </c>
      <c r="G584" s="64">
        <f>$H$4</f>
        <v>0</v>
      </c>
      <c r="H584" s="64">
        <f>+G584*F584</f>
        <v>0</v>
      </c>
      <c r="I584" s="79"/>
      <c r="J584" s="52"/>
      <c r="K584" s="156"/>
      <c r="L584" s="383"/>
      <c r="M584" s="542"/>
      <c r="N584" s="578">
        <f t="shared" si="15"/>
        <v>0</v>
      </c>
      <c r="O584" s="678"/>
      <c r="P584" s="678"/>
      <c r="Q584" s="678"/>
      <c r="R584" s="678"/>
      <c r="S584" s="678"/>
      <c r="T584" s="678"/>
      <c r="U584" s="678"/>
      <c r="V584" s="678"/>
      <c r="W584" s="678"/>
      <c r="X584" s="678"/>
      <c r="Y584" s="678"/>
      <c r="Z584" s="678"/>
      <c r="AA584" s="678"/>
      <c r="AB584" s="678"/>
      <c r="AC584" s="678"/>
      <c r="AD584" s="678"/>
      <c r="AE584" s="678"/>
      <c r="AF584" s="678"/>
      <c r="AG584" s="678"/>
      <c r="AH584" s="678"/>
      <c r="AI584" s="678"/>
      <c r="AJ584" s="678"/>
      <c r="AK584" s="658"/>
    </row>
    <row r="585" spans="2:37" s="5" customFormat="1" ht="12" customHeight="1">
      <c r="B585" s="313"/>
      <c r="C585" s="835"/>
      <c r="D585" s="17" t="s">
        <v>5</v>
      </c>
      <c r="E585" s="81" t="s">
        <v>27</v>
      </c>
      <c r="F585" s="84">
        <f>E579</f>
        <v>57232.2</v>
      </c>
      <c r="G585" s="64">
        <v>6</v>
      </c>
      <c r="H585" s="64">
        <f>+G585*F585</f>
        <v>343393.19999999995</v>
      </c>
      <c r="I585" s="79"/>
      <c r="J585" s="52"/>
      <c r="K585" s="156"/>
      <c r="L585" s="383"/>
      <c r="M585" s="542"/>
      <c r="N585" s="578">
        <f t="shared" si="15"/>
        <v>-343393.19999999995</v>
      </c>
      <c r="O585" s="678"/>
      <c r="P585" s="678"/>
      <c r="Q585" s="678"/>
      <c r="R585" s="678"/>
      <c r="S585" s="678"/>
      <c r="T585" s="678"/>
      <c r="U585" s="678"/>
      <c r="V585" s="678"/>
      <c r="W585" s="678"/>
      <c r="X585" s="678"/>
      <c r="Y585" s="678"/>
      <c r="Z585" s="678"/>
      <c r="AA585" s="678"/>
      <c r="AB585" s="678"/>
      <c r="AC585" s="679"/>
      <c r="AD585" s="678"/>
      <c r="AE585" s="678"/>
      <c r="AF585" s="678"/>
      <c r="AG585" s="678"/>
      <c r="AH585" s="678"/>
      <c r="AI585" s="678"/>
      <c r="AJ585" s="678"/>
      <c r="AK585" s="658"/>
    </row>
    <row r="586" spans="2:37" s="5" customFormat="1">
      <c r="B586" s="313"/>
      <c r="C586" s="835"/>
      <c r="D586" s="17" t="s">
        <v>30</v>
      </c>
      <c r="E586" s="67" t="s">
        <v>16</v>
      </c>
      <c r="F586" s="64">
        <f>G580+G581+G585</f>
        <v>6</v>
      </c>
      <c r="G586" s="68" t="s">
        <v>31</v>
      </c>
      <c r="H586" s="64">
        <f>SUM(H580:H585)</f>
        <v>343393.19999999995</v>
      </c>
      <c r="I586" s="79"/>
      <c r="J586" s="52"/>
      <c r="K586" s="156"/>
      <c r="L586" s="383"/>
      <c r="M586" s="542"/>
      <c r="N586" s="578">
        <f t="shared" si="15"/>
        <v>-343393.19999999995</v>
      </c>
      <c r="O586" s="678"/>
      <c r="P586" s="678"/>
      <c r="Q586" s="678"/>
      <c r="R586" s="678"/>
      <c r="S586" s="678"/>
      <c r="T586" s="678"/>
      <c r="U586" s="678"/>
      <c r="V586" s="678"/>
      <c r="W586" s="678"/>
      <c r="X586" s="678"/>
      <c r="Y586" s="678"/>
      <c r="Z586" s="678"/>
      <c r="AA586" s="678"/>
      <c r="AB586" s="678"/>
      <c r="AC586" s="678"/>
      <c r="AD586" s="678"/>
      <c r="AE586" s="678"/>
      <c r="AF586" s="678"/>
      <c r="AG586" s="678"/>
      <c r="AH586" s="678"/>
      <c r="AI586" s="678"/>
      <c r="AJ586" s="678"/>
      <c r="AK586" s="658"/>
    </row>
    <row r="587" spans="2:37" s="5" customFormat="1">
      <c r="B587" s="313"/>
      <c r="C587" s="835"/>
      <c r="D587" s="19" t="s">
        <v>32</v>
      </c>
      <c r="E587" s="67" t="s">
        <v>16</v>
      </c>
      <c r="F587" s="84">
        <f>SUM(H580:H585)</f>
        <v>343393.19999999995</v>
      </c>
      <c r="G587" s="92">
        <f>$G$43</f>
        <v>8.3299999999999999E-2</v>
      </c>
      <c r="H587" s="64">
        <f>+G587*F587</f>
        <v>28604.653559999995</v>
      </c>
      <c r="I587" s="93"/>
      <c r="J587" s="52"/>
      <c r="K587" s="156"/>
      <c r="L587" s="383"/>
      <c r="M587" s="542"/>
      <c r="N587" s="578">
        <f t="shared" si="15"/>
        <v>-28604.653559999995</v>
      </c>
      <c r="O587" s="679"/>
      <c r="P587" s="679"/>
      <c r="Q587" s="679"/>
      <c r="R587" s="679"/>
      <c r="S587" s="679"/>
      <c r="T587" s="679"/>
      <c r="U587" s="679"/>
      <c r="V587" s="679"/>
      <c r="W587" s="679"/>
      <c r="X587" s="679"/>
      <c r="Y587" s="679"/>
      <c r="Z587" s="679"/>
      <c r="AA587" s="679"/>
      <c r="AB587" s="679"/>
      <c r="AC587" s="679"/>
      <c r="AD587" s="678"/>
      <c r="AE587" s="678"/>
      <c r="AF587" s="678"/>
      <c r="AG587" s="678"/>
      <c r="AH587" s="678"/>
      <c r="AI587" s="678"/>
      <c r="AJ587" s="678"/>
      <c r="AK587" s="658"/>
    </row>
    <row r="588" spans="2:37" s="5" customFormat="1">
      <c r="B588" s="313"/>
      <c r="C588" s="835"/>
      <c r="D588" s="19" t="s">
        <v>33</v>
      </c>
      <c r="E588" s="84">
        <f>F587/(5*F586)</f>
        <v>11446.439999999999</v>
      </c>
      <c r="F588" s="84">
        <f>E588*(F586*7)</f>
        <v>480750.47999999992</v>
      </c>
      <c r="G588" s="95">
        <f>$G$44</f>
        <v>20</v>
      </c>
      <c r="H588" s="64">
        <f>F588/G588</f>
        <v>24037.523999999998</v>
      </c>
      <c r="I588" s="72">
        <f>SUM(H586:H588)</f>
        <v>396035.37755999994</v>
      </c>
      <c r="J588" s="52">
        <f>SUM(G580:G588)</f>
        <v>26.083300000000001</v>
      </c>
      <c r="K588" s="156"/>
      <c r="L588" s="383"/>
      <c r="M588" s="542"/>
      <c r="N588" s="578">
        <f t="shared" ref="N588:N622" si="16">SUM(O588:AL588)-H588</f>
        <v>-24037.523999999998</v>
      </c>
      <c r="O588" s="678"/>
      <c r="P588" s="678"/>
      <c r="Q588" s="678"/>
      <c r="R588" s="678"/>
      <c r="S588" s="678"/>
      <c r="T588" s="678"/>
      <c r="U588" s="678"/>
      <c r="V588" s="678"/>
      <c r="W588" s="678"/>
      <c r="X588" s="678"/>
      <c r="Y588" s="678"/>
      <c r="Z588" s="678"/>
      <c r="AA588" s="678"/>
      <c r="AB588" s="678"/>
      <c r="AC588" s="678"/>
      <c r="AD588" s="678"/>
      <c r="AE588" s="678"/>
      <c r="AF588" s="678"/>
      <c r="AG588" s="678"/>
      <c r="AH588" s="678"/>
      <c r="AI588" s="678"/>
      <c r="AJ588" s="678"/>
      <c r="AK588" s="658"/>
    </row>
    <row r="589" spans="2:37" s="5" customFormat="1">
      <c r="B589" s="313"/>
      <c r="C589" s="835"/>
      <c r="D589" s="96"/>
      <c r="E589" s="9"/>
      <c r="F589" s="74"/>
      <c r="G589" s="97"/>
      <c r="H589" s="78"/>
      <c r="I589" s="79"/>
      <c r="J589" s="52"/>
      <c r="K589" s="156"/>
      <c r="L589" s="383"/>
      <c r="M589" s="542"/>
      <c r="N589" s="578">
        <f t="shared" si="16"/>
        <v>0</v>
      </c>
      <c r="O589" s="678"/>
      <c r="P589" s="678"/>
      <c r="Q589" s="678"/>
      <c r="R589" s="678"/>
      <c r="S589" s="678"/>
      <c r="T589" s="678"/>
      <c r="U589" s="678"/>
      <c r="V589" s="678"/>
      <c r="W589" s="678"/>
      <c r="X589" s="678"/>
      <c r="Y589" s="678"/>
      <c r="Z589" s="678"/>
      <c r="AA589" s="678"/>
      <c r="AB589" s="678"/>
      <c r="AC589" s="678"/>
      <c r="AD589" s="678"/>
      <c r="AE589" s="678"/>
      <c r="AF589" s="678"/>
      <c r="AG589" s="678"/>
      <c r="AH589" s="678"/>
      <c r="AI589" s="678"/>
      <c r="AJ589" s="678"/>
      <c r="AK589" s="658"/>
    </row>
    <row r="590" spans="2:37" s="5" customFormat="1" ht="15" customHeight="1">
      <c r="B590" s="317">
        <v>49</v>
      </c>
      <c r="C590" s="835" t="s">
        <v>911</v>
      </c>
      <c r="D590" s="80" t="s">
        <v>74</v>
      </c>
      <c r="E590" s="81">
        <v>84572.65</v>
      </c>
      <c r="F590" s="74"/>
      <c r="G590" s="75"/>
      <c r="H590" s="82"/>
      <c r="I590" s="83"/>
      <c r="J590" s="52"/>
      <c r="K590" s="156"/>
      <c r="L590" s="383"/>
      <c r="M590" s="542"/>
      <c r="N590" s="578">
        <f t="shared" si="16"/>
        <v>0</v>
      </c>
      <c r="O590" s="678"/>
      <c r="P590" s="678"/>
      <c r="Q590" s="678"/>
      <c r="R590" s="678"/>
      <c r="S590" s="678"/>
      <c r="T590" s="678"/>
      <c r="U590" s="678"/>
      <c r="V590" s="678"/>
      <c r="W590" s="678"/>
      <c r="X590" s="678"/>
      <c r="Y590" s="678"/>
      <c r="Z590" s="678"/>
      <c r="AA590" s="678"/>
      <c r="AB590" s="678"/>
      <c r="AC590" s="678"/>
      <c r="AD590" s="678"/>
      <c r="AE590" s="678"/>
      <c r="AF590" s="678"/>
      <c r="AG590" s="678"/>
      <c r="AH590" s="678"/>
      <c r="AI590" s="678"/>
      <c r="AJ590" s="678"/>
      <c r="AK590" s="658"/>
    </row>
    <row r="591" spans="2:37" s="5" customFormat="1">
      <c r="B591" s="313"/>
      <c r="C591" s="835"/>
      <c r="D591" s="17" t="s">
        <v>0</v>
      </c>
      <c r="E591" s="81" t="s">
        <v>27</v>
      </c>
      <c r="F591" s="84">
        <f>E590</f>
        <v>84572.65</v>
      </c>
      <c r="G591" s="64">
        <f>$F$3-F3</f>
        <v>0</v>
      </c>
      <c r="H591" s="64">
        <f>+G591*F591</f>
        <v>0</v>
      </c>
      <c r="I591" s="79"/>
      <c r="J591" s="52"/>
      <c r="K591" s="156"/>
      <c r="L591" s="383"/>
      <c r="M591" s="542"/>
      <c r="N591" s="578">
        <f t="shared" si="16"/>
        <v>0</v>
      </c>
      <c r="O591" s="678"/>
      <c r="P591" s="678"/>
      <c r="Q591" s="678"/>
      <c r="R591" s="678"/>
      <c r="S591" s="678"/>
      <c r="T591" s="678"/>
      <c r="U591" s="678"/>
      <c r="V591" s="678"/>
      <c r="W591" s="678"/>
      <c r="X591" s="678"/>
      <c r="Y591" s="678"/>
      <c r="Z591" s="678"/>
      <c r="AA591" s="678"/>
      <c r="AB591" s="678"/>
      <c r="AC591" s="678"/>
      <c r="AD591" s="678"/>
      <c r="AE591" s="678"/>
      <c r="AF591" s="678"/>
      <c r="AG591" s="678"/>
      <c r="AH591" s="678"/>
      <c r="AI591" s="678"/>
      <c r="AJ591" s="678"/>
      <c r="AK591" s="658"/>
    </row>
    <row r="592" spans="2:37" s="5" customFormat="1">
      <c r="B592" s="313"/>
      <c r="C592" s="835"/>
      <c r="D592" s="17" t="s">
        <v>3</v>
      </c>
      <c r="E592" s="81" t="s">
        <v>27</v>
      </c>
      <c r="F592" s="84">
        <f>E590</f>
        <v>84572.65</v>
      </c>
      <c r="G592" s="64">
        <v>4</v>
      </c>
      <c r="H592" s="64">
        <f>+G592*F592</f>
        <v>338290.6</v>
      </c>
      <c r="I592" s="79"/>
      <c r="J592" s="52"/>
      <c r="K592" s="156"/>
      <c r="L592" s="383"/>
      <c r="M592" s="542"/>
      <c r="N592" s="578">
        <f t="shared" si="16"/>
        <v>-338290.6</v>
      </c>
      <c r="O592" s="678"/>
      <c r="P592" s="678"/>
      <c r="Q592" s="678"/>
      <c r="R592" s="678"/>
      <c r="S592" s="678"/>
      <c r="T592" s="678"/>
      <c r="U592" s="678"/>
      <c r="V592" s="678"/>
      <c r="W592" s="678"/>
      <c r="X592" s="678"/>
      <c r="Y592" s="678"/>
      <c r="Z592" s="678"/>
      <c r="AA592" s="678"/>
      <c r="AB592" s="678"/>
      <c r="AC592" s="678"/>
      <c r="AD592" s="678"/>
      <c r="AE592" s="678"/>
      <c r="AF592" s="678"/>
      <c r="AG592" s="678"/>
      <c r="AH592" s="678"/>
      <c r="AI592" s="678"/>
      <c r="AJ592" s="678"/>
      <c r="AK592" s="658"/>
    </row>
    <row r="593" spans="2:37" s="5" customFormat="1">
      <c r="B593" s="313"/>
      <c r="C593" s="835"/>
      <c r="D593" s="17" t="s">
        <v>28</v>
      </c>
      <c r="E593" s="88">
        <f>$H$5-H5</f>
        <v>0</v>
      </c>
      <c r="F593" s="84">
        <f>E590/44*1.5</f>
        <v>2883.1585227272726</v>
      </c>
      <c r="G593" s="87">
        <f>$F$4-F4</f>
        <v>0</v>
      </c>
      <c r="H593" s="64">
        <f>+G593*F593*E593</f>
        <v>0</v>
      </c>
      <c r="I593" s="79"/>
      <c r="J593" s="52"/>
      <c r="K593" s="156"/>
      <c r="L593" s="383"/>
      <c r="M593" s="542"/>
      <c r="N593" s="578">
        <f t="shared" si="16"/>
        <v>0</v>
      </c>
      <c r="O593" s="678"/>
      <c r="P593" s="678"/>
      <c r="Q593" s="678"/>
      <c r="R593" s="678"/>
      <c r="S593" s="678"/>
      <c r="T593" s="678"/>
      <c r="U593" s="678"/>
      <c r="V593" s="678"/>
      <c r="W593" s="678"/>
      <c r="X593" s="678"/>
      <c r="Y593" s="678"/>
      <c r="Z593" s="678"/>
      <c r="AA593" s="678"/>
      <c r="AB593" s="678"/>
      <c r="AC593" s="678"/>
      <c r="AD593" s="678"/>
      <c r="AE593" s="678"/>
      <c r="AF593" s="678"/>
      <c r="AG593" s="678"/>
      <c r="AH593" s="678"/>
      <c r="AI593" s="678"/>
      <c r="AJ593" s="678"/>
      <c r="AK593" s="658"/>
    </row>
    <row r="594" spans="2:37" s="5" customFormat="1">
      <c r="B594" s="313"/>
      <c r="C594" s="835"/>
      <c r="D594" s="17" t="s">
        <v>1</v>
      </c>
      <c r="E594" s="81" t="s">
        <v>60</v>
      </c>
      <c r="F594" s="84">
        <f>E590/5*1.5</f>
        <v>25371.794999999998</v>
      </c>
      <c r="G594" s="64">
        <f>$H$3</f>
        <v>0</v>
      </c>
      <c r="H594" s="64">
        <f>+G594*F594</f>
        <v>0</v>
      </c>
      <c r="I594" s="79"/>
      <c r="J594" s="52"/>
      <c r="K594" s="156"/>
      <c r="L594" s="383"/>
      <c r="M594" s="542"/>
      <c r="N594" s="578">
        <f t="shared" si="16"/>
        <v>0</v>
      </c>
      <c r="O594" s="678"/>
      <c r="P594" s="678"/>
      <c r="Q594" s="678"/>
      <c r="R594" s="678"/>
      <c r="S594" s="678"/>
      <c r="T594" s="678"/>
      <c r="U594" s="678"/>
      <c r="V594" s="678"/>
      <c r="W594" s="678"/>
      <c r="X594" s="678"/>
      <c r="Y594" s="678"/>
      <c r="Z594" s="678"/>
      <c r="AA594" s="678"/>
      <c r="AB594" s="678"/>
      <c r="AC594" s="678"/>
      <c r="AD594" s="678"/>
      <c r="AE594" s="678"/>
      <c r="AF594" s="678"/>
      <c r="AG594" s="678"/>
      <c r="AH594" s="678"/>
      <c r="AI594" s="678"/>
      <c r="AJ594" s="678"/>
      <c r="AK594" s="658"/>
    </row>
    <row r="595" spans="2:37" s="5" customFormat="1">
      <c r="B595" s="313"/>
      <c r="C595" s="835"/>
      <c r="D595" s="17" t="s">
        <v>4</v>
      </c>
      <c r="E595" s="81" t="s">
        <v>60</v>
      </c>
      <c r="F595" s="84">
        <f>E590/5*2</f>
        <v>33829.06</v>
      </c>
      <c r="G595" s="64">
        <f>$H$4</f>
        <v>0</v>
      </c>
      <c r="H595" s="64">
        <f>+G595*F595</f>
        <v>0</v>
      </c>
      <c r="I595" s="79"/>
      <c r="J595" s="52"/>
      <c r="K595" s="156"/>
      <c r="L595" s="383"/>
      <c r="M595" s="542"/>
      <c r="N595" s="578">
        <f t="shared" si="16"/>
        <v>0</v>
      </c>
      <c r="O595" s="678"/>
      <c r="P595" s="678"/>
      <c r="Q595" s="678"/>
      <c r="R595" s="678"/>
      <c r="S595" s="678"/>
      <c r="T595" s="678"/>
      <c r="U595" s="678"/>
      <c r="V595" s="678"/>
      <c r="W595" s="678"/>
      <c r="X595" s="678"/>
      <c r="Y595" s="678"/>
      <c r="Z595" s="678"/>
      <c r="AA595" s="678"/>
      <c r="AB595" s="678"/>
      <c r="AC595" s="678"/>
      <c r="AD595" s="678"/>
      <c r="AE595" s="678"/>
      <c r="AF595" s="678"/>
      <c r="AG595" s="678"/>
      <c r="AH595" s="678"/>
      <c r="AI595" s="678"/>
      <c r="AJ595" s="678"/>
      <c r="AK595" s="658"/>
    </row>
    <row r="596" spans="2:37" s="5" customFormat="1">
      <c r="B596" s="313"/>
      <c r="C596" s="835"/>
      <c r="D596" s="17" t="s">
        <v>5</v>
      </c>
      <c r="E596" s="81" t="s">
        <v>27</v>
      </c>
      <c r="F596" s="84">
        <f>E590</f>
        <v>84572.65</v>
      </c>
      <c r="G596" s="64">
        <v>12</v>
      </c>
      <c r="H596" s="64">
        <f>+G596*F596</f>
        <v>1014871.7999999999</v>
      </c>
      <c r="I596" s="79"/>
      <c r="J596" s="52"/>
      <c r="K596" s="156"/>
      <c r="L596" s="383"/>
      <c r="M596" s="542"/>
      <c r="N596" s="578">
        <f t="shared" si="16"/>
        <v>-1014871.7999999999</v>
      </c>
      <c r="O596" s="678"/>
      <c r="P596" s="678"/>
      <c r="Q596" s="678"/>
      <c r="R596" s="678"/>
      <c r="S596" s="678"/>
      <c r="T596" s="678"/>
      <c r="U596" s="678"/>
      <c r="V596" s="678"/>
      <c r="W596" s="678"/>
      <c r="X596" s="678"/>
      <c r="Y596" s="678"/>
      <c r="Z596" s="678"/>
      <c r="AA596" s="678"/>
      <c r="AB596" s="678"/>
      <c r="AC596" s="679"/>
      <c r="AD596" s="678"/>
      <c r="AE596" s="678"/>
      <c r="AF596" s="678"/>
      <c r="AG596" s="678"/>
      <c r="AH596" s="678"/>
      <c r="AI596" s="678"/>
      <c r="AJ596" s="678"/>
      <c r="AK596" s="658"/>
    </row>
    <row r="597" spans="2:37" s="5" customFormat="1">
      <c r="B597" s="313"/>
      <c r="C597" s="835"/>
      <c r="D597" s="17" t="s">
        <v>30</v>
      </c>
      <c r="E597" s="67" t="s">
        <v>16</v>
      </c>
      <c r="F597" s="64">
        <f>G591+G592+G596</f>
        <v>16</v>
      </c>
      <c r="G597" s="68" t="s">
        <v>31</v>
      </c>
      <c r="H597" s="64">
        <f>SUM(H591:H596)</f>
        <v>1353162.4</v>
      </c>
      <c r="I597" s="79"/>
      <c r="J597" s="52"/>
      <c r="K597" s="156"/>
      <c r="L597" s="383"/>
      <c r="M597" s="542"/>
      <c r="N597" s="578">
        <f t="shared" si="16"/>
        <v>-1353162.4</v>
      </c>
      <c r="O597" s="678"/>
      <c r="P597" s="678"/>
      <c r="Q597" s="678"/>
      <c r="R597" s="678"/>
      <c r="S597" s="678"/>
      <c r="T597" s="678"/>
      <c r="U597" s="678"/>
      <c r="V597" s="678"/>
      <c r="W597" s="678"/>
      <c r="X597" s="678"/>
      <c r="Y597" s="678"/>
      <c r="Z597" s="678"/>
      <c r="AA597" s="678"/>
      <c r="AB597" s="678"/>
      <c r="AC597" s="678"/>
      <c r="AD597" s="678"/>
      <c r="AE597" s="678"/>
      <c r="AF597" s="678"/>
      <c r="AG597" s="678"/>
      <c r="AH597" s="678"/>
      <c r="AI597" s="678"/>
      <c r="AJ597" s="678"/>
      <c r="AK597" s="658"/>
    </row>
    <row r="598" spans="2:37" s="5" customFormat="1">
      <c r="B598" s="313"/>
      <c r="C598" s="835"/>
      <c r="D598" s="19" t="s">
        <v>32</v>
      </c>
      <c r="E598" s="67" t="s">
        <v>16</v>
      </c>
      <c r="F598" s="84">
        <f>SUM(H591:H596)</f>
        <v>1353162.4</v>
      </c>
      <c r="G598" s="92">
        <f>$G$43</f>
        <v>8.3299999999999999E-2</v>
      </c>
      <c r="H598" s="64">
        <f>+G598*F598</f>
        <v>112718.42791999999</v>
      </c>
      <c r="I598" s="93"/>
      <c r="J598" s="52"/>
      <c r="K598" s="156"/>
      <c r="L598" s="383"/>
      <c r="M598" s="542"/>
      <c r="N598" s="578">
        <f t="shared" si="16"/>
        <v>-112718.42791999999</v>
      </c>
      <c r="O598" s="679"/>
      <c r="P598" s="679"/>
      <c r="Q598" s="679"/>
      <c r="R598" s="679"/>
      <c r="S598" s="679"/>
      <c r="T598" s="679"/>
      <c r="U598" s="679"/>
      <c r="V598" s="679"/>
      <c r="W598" s="679"/>
      <c r="X598" s="679"/>
      <c r="Y598" s="679"/>
      <c r="Z598" s="679"/>
      <c r="AA598" s="679"/>
      <c r="AB598" s="679"/>
      <c r="AC598" s="679"/>
      <c r="AD598" s="679"/>
      <c r="AE598" s="679"/>
      <c r="AF598" s="679"/>
      <c r="AG598" s="679"/>
      <c r="AH598" s="679"/>
      <c r="AI598" s="679"/>
      <c r="AJ598" s="679"/>
      <c r="AK598" s="658"/>
    </row>
    <row r="599" spans="2:37" s="5" customFormat="1">
      <c r="B599" s="313"/>
      <c r="C599" s="835"/>
      <c r="D599" s="19" t="s">
        <v>33</v>
      </c>
      <c r="E599" s="84">
        <f>F598/(5*F597)</f>
        <v>16914.53</v>
      </c>
      <c r="F599" s="84">
        <f>E599*(F597*7)</f>
        <v>1894427.3599999999</v>
      </c>
      <c r="G599" s="95">
        <f>$G$44</f>
        <v>20</v>
      </c>
      <c r="H599" s="64">
        <f>F599/G599</f>
        <v>94721.367999999988</v>
      </c>
      <c r="I599" s="72">
        <f>SUM(H597:H599)</f>
        <v>1560602.1959199999</v>
      </c>
      <c r="J599" s="52">
        <f>SUM(G591:G599)</f>
        <v>36.083300000000001</v>
      </c>
      <c r="K599" s="156"/>
      <c r="L599" s="383"/>
      <c r="M599" s="542"/>
      <c r="N599" s="578">
        <f t="shared" si="16"/>
        <v>-94721.367999999988</v>
      </c>
      <c r="O599" s="678"/>
      <c r="P599" s="678"/>
      <c r="Q599" s="678"/>
      <c r="R599" s="678"/>
      <c r="S599" s="678"/>
      <c r="T599" s="678"/>
      <c r="U599" s="678"/>
      <c r="V599" s="678"/>
      <c r="W599" s="678"/>
      <c r="X599" s="678"/>
      <c r="Y599" s="678"/>
      <c r="Z599" s="678"/>
      <c r="AA599" s="678"/>
      <c r="AB599" s="678"/>
      <c r="AC599" s="678"/>
      <c r="AD599" s="678"/>
      <c r="AE599" s="678"/>
      <c r="AF599" s="678"/>
      <c r="AG599" s="678"/>
      <c r="AH599" s="678"/>
      <c r="AI599" s="678"/>
      <c r="AJ599" s="678"/>
      <c r="AK599" s="658"/>
    </row>
    <row r="600" spans="2:37" s="5" customFormat="1">
      <c r="B600" s="313"/>
      <c r="C600" s="835"/>
      <c r="D600" s="96"/>
      <c r="E600" s="9"/>
      <c r="F600" s="74"/>
      <c r="G600" s="97"/>
      <c r="H600" s="78"/>
      <c r="I600" s="79"/>
      <c r="J600" s="52"/>
      <c r="K600" s="156"/>
      <c r="L600" s="383"/>
      <c r="M600" s="542"/>
      <c r="N600" s="578">
        <f t="shared" si="16"/>
        <v>0</v>
      </c>
      <c r="O600" s="678"/>
      <c r="P600" s="678"/>
      <c r="Q600" s="678"/>
      <c r="R600" s="678"/>
      <c r="S600" s="678"/>
      <c r="T600" s="678"/>
      <c r="U600" s="678"/>
      <c r="V600" s="678"/>
      <c r="W600" s="678"/>
      <c r="X600" s="678"/>
      <c r="Y600" s="678"/>
      <c r="Z600" s="678"/>
      <c r="AA600" s="678"/>
      <c r="AB600" s="678"/>
      <c r="AC600" s="678"/>
      <c r="AD600" s="678"/>
      <c r="AE600" s="678"/>
      <c r="AF600" s="678"/>
      <c r="AG600" s="678"/>
      <c r="AH600" s="678"/>
      <c r="AI600" s="678"/>
      <c r="AJ600" s="678"/>
      <c r="AK600" s="658"/>
    </row>
    <row r="601" spans="2:37" s="5" customFormat="1" ht="15" customHeight="1">
      <c r="B601" s="317">
        <v>50</v>
      </c>
      <c r="C601" s="835" t="s">
        <v>912</v>
      </c>
      <c r="D601" s="80" t="s">
        <v>75</v>
      </c>
      <c r="E601" s="81">
        <v>58025.8</v>
      </c>
      <c r="F601" s="74"/>
      <c r="G601" s="75"/>
      <c r="H601" s="82"/>
      <c r="I601" s="83"/>
      <c r="J601" s="52"/>
      <c r="K601" s="156"/>
      <c r="L601" s="383"/>
      <c r="M601" s="542"/>
      <c r="N601" s="578">
        <f t="shared" si="16"/>
        <v>0</v>
      </c>
      <c r="O601" s="678"/>
      <c r="P601" s="678"/>
      <c r="Q601" s="678"/>
      <c r="R601" s="678"/>
      <c r="S601" s="678"/>
      <c r="T601" s="678"/>
      <c r="U601" s="678"/>
      <c r="V601" s="678"/>
      <c r="W601" s="678"/>
      <c r="X601" s="678"/>
      <c r="Y601" s="678"/>
      <c r="Z601" s="678"/>
      <c r="AA601" s="678"/>
      <c r="AB601" s="678"/>
      <c r="AC601" s="678"/>
      <c r="AD601" s="678"/>
      <c r="AE601" s="678"/>
      <c r="AF601" s="678"/>
      <c r="AG601" s="678"/>
      <c r="AH601" s="678"/>
      <c r="AI601" s="678"/>
      <c r="AJ601" s="678"/>
      <c r="AK601" s="658"/>
    </row>
    <row r="602" spans="2:37" s="5" customFormat="1">
      <c r="B602" s="313"/>
      <c r="C602" s="835"/>
      <c r="D602" s="17" t="s">
        <v>0</v>
      </c>
      <c r="E602" s="81" t="s">
        <v>27</v>
      </c>
      <c r="F602" s="84">
        <f>E601</f>
        <v>58025.8</v>
      </c>
      <c r="G602" s="64">
        <f>$F$3-6</f>
        <v>0</v>
      </c>
      <c r="H602" s="64">
        <f>+G602*F602</f>
        <v>0</v>
      </c>
      <c r="I602" s="79"/>
      <c r="J602" s="52"/>
      <c r="K602" s="156"/>
      <c r="L602" s="383"/>
      <c r="M602" s="542"/>
      <c r="N602" s="578">
        <f t="shared" si="16"/>
        <v>0</v>
      </c>
      <c r="O602" s="678"/>
      <c r="P602" s="678"/>
      <c r="Q602" s="678"/>
      <c r="R602" s="678"/>
      <c r="S602" s="678"/>
      <c r="T602" s="678"/>
      <c r="U602" s="678"/>
      <c r="V602" s="678"/>
      <c r="W602" s="678"/>
      <c r="X602" s="678"/>
      <c r="Y602" s="678"/>
      <c r="Z602" s="678"/>
      <c r="AA602" s="678"/>
      <c r="AB602" s="678"/>
      <c r="AC602" s="678"/>
      <c r="AD602" s="678"/>
      <c r="AE602" s="678"/>
      <c r="AF602" s="678"/>
      <c r="AG602" s="678"/>
      <c r="AH602" s="678"/>
      <c r="AI602" s="678"/>
      <c r="AJ602" s="678"/>
      <c r="AK602" s="658"/>
    </row>
    <row r="603" spans="2:37" s="5" customFormat="1">
      <c r="B603" s="313"/>
      <c r="C603" s="835"/>
      <c r="D603" s="17" t="s">
        <v>3</v>
      </c>
      <c r="E603" s="81" t="s">
        <v>27</v>
      </c>
      <c r="F603" s="84">
        <f>E601</f>
        <v>58025.8</v>
      </c>
      <c r="G603" s="64">
        <v>6</v>
      </c>
      <c r="H603" s="64">
        <f>+G603*F603</f>
        <v>348154.80000000005</v>
      </c>
      <c r="I603" s="79"/>
      <c r="J603" s="52"/>
      <c r="K603" s="156"/>
      <c r="L603" s="383"/>
      <c r="M603" s="542"/>
      <c r="N603" s="578">
        <f t="shared" si="16"/>
        <v>-348154.80000000005</v>
      </c>
      <c r="O603" s="678"/>
      <c r="P603" s="678"/>
      <c r="Q603" s="678"/>
      <c r="R603" s="678"/>
      <c r="S603" s="678"/>
      <c r="T603" s="678"/>
      <c r="U603" s="678"/>
      <c r="V603" s="678"/>
      <c r="W603" s="678"/>
      <c r="X603" s="678"/>
      <c r="Y603" s="678"/>
      <c r="Z603" s="678"/>
      <c r="AA603" s="678"/>
      <c r="AB603" s="678"/>
      <c r="AC603" s="678"/>
      <c r="AD603" s="678"/>
      <c r="AE603" s="678"/>
      <c r="AF603" s="678"/>
      <c r="AG603" s="678"/>
      <c r="AH603" s="678"/>
      <c r="AI603" s="678"/>
      <c r="AJ603" s="678"/>
      <c r="AK603" s="658"/>
    </row>
    <row r="604" spans="2:37" s="5" customFormat="1">
      <c r="B604" s="313"/>
      <c r="C604" s="835"/>
      <c r="D604" s="17" t="s">
        <v>28</v>
      </c>
      <c r="E604" s="88">
        <f>$H$5-H5</f>
        <v>0</v>
      </c>
      <c r="F604" s="84">
        <f>E601/44*1.5</f>
        <v>1978.1522727272727</v>
      </c>
      <c r="G604" s="87">
        <f>$F$4-$F$4</f>
        <v>0</v>
      </c>
      <c r="H604" s="64">
        <f>+G604*F604*E604</f>
        <v>0</v>
      </c>
      <c r="I604" s="79"/>
      <c r="J604" s="52"/>
      <c r="K604" s="156"/>
      <c r="L604" s="383"/>
      <c r="M604" s="542"/>
      <c r="N604" s="578">
        <f t="shared" si="16"/>
        <v>0</v>
      </c>
      <c r="O604" s="678"/>
      <c r="P604" s="678"/>
      <c r="Q604" s="678"/>
      <c r="R604" s="678"/>
      <c r="S604" s="678"/>
      <c r="T604" s="678"/>
      <c r="U604" s="678"/>
      <c r="V604" s="678"/>
      <c r="W604" s="678"/>
      <c r="X604" s="678"/>
      <c r="Y604" s="678"/>
      <c r="Z604" s="678"/>
      <c r="AA604" s="678"/>
      <c r="AB604" s="678"/>
      <c r="AC604" s="678"/>
      <c r="AD604" s="678"/>
      <c r="AE604" s="678"/>
      <c r="AF604" s="678"/>
      <c r="AG604" s="678"/>
      <c r="AH604" s="678"/>
      <c r="AI604" s="678"/>
      <c r="AJ604" s="678"/>
      <c r="AK604" s="658"/>
    </row>
    <row r="605" spans="2:37" s="5" customFormat="1">
      <c r="B605" s="313"/>
      <c r="C605" s="835"/>
      <c r="D605" s="17" t="s">
        <v>1</v>
      </c>
      <c r="E605" s="81" t="s">
        <v>60</v>
      </c>
      <c r="F605" s="84">
        <f>E601/5*1.5</f>
        <v>17407.739999999998</v>
      </c>
      <c r="G605" s="64">
        <f>$H$3</f>
        <v>0</v>
      </c>
      <c r="H605" s="64">
        <f>+G605*F605</f>
        <v>0</v>
      </c>
      <c r="I605" s="79"/>
      <c r="J605" s="52"/>
      <c r="K605" s="156"/>
      <c r="L605" s="383"/>
      <c r="M605" s="542"/>
      <c r="N605" s="578">
        <f t="shared" si="16"/>
        <v>0</v>
      </c>
      <c r="O605" s="678"/>
      <c r="P605" s="678"/>
      <c r="Q605" s="678"/>
      <c r="R605" s="678"/>
      <c r="S605" s="678"/>
      <c r="T605" s="678"/>
      <c r="U605" s="678"/>
      <c r="V605" s="678"/>
      <c r="W605" s="678"/>
      <c r="X605" s="678"/>
      <c r="Y605" s="678"/>
      <c r="Z605" s="678"/>
      <c r="AA605" s="678"/>
      <c r="AB605" s="678"/>
      <c r="AC605" s="678"/>
      <c r="AD605" s="678"/>
      <c r="AE605" s="678"/>
      <c r="AF605" s="678"/>
      <c r="AG605" s="678"/>
      <c r="AH605" s="678"/>
      <c r="AI605" s="678"/>
      <c r="AJ605" s="678"/>
      <c r="AK605" s="658"/>
    </row>
    <row r="606" spans="2:37" s="5" customFormat="1">
      <c r="B606" s="313"/>
      <c r="C606" s="835"/>
      <c r="D606" s="17" t="s">
        <v>4</v>
      </c>
      <c r="E606" s="81" t="s">
        <v>60</v>
      </c>
      <c r="F606" s="84">
        <f>E601/5*2</f>
        <v>23210.32</v>
      </c>
      <c r="G606" s="64">
        <f>$H$4</f>
        <v>0</v>
      </c>
      <c r="H606" s="64">
        <f>+G606*F606</f>
        <v>0</v>
      </c>
      <c r="I606" s="79"/>
      <c r="J606" s="52"/>
      <c r="K606" s="156"/>
      <c r="L606" s="383"/>
      <c r="M606" s="542"/>
      <c r="N606" s="578">
        <f t="shared" si="16"/>
        <v>0</v>
      </c>
      <c r="O606" s="678"/>
      <c r="P606" s="678"/>
      <c r="Q606" s="678"/>
      <c r="R606" s="678"/>
      <c r="S606" s="678"/>
      <c r="T606" s="678"/>
      <c r="U606" s="678"/>
      <c r="V606" s="678"/>
      <c r="W606" s="678"/>
      <c r="X606" s="678"/>
      <c r="Y606" s="678"/>
      <c r="Z606" s="678"/>
      <c r="AA606" s="678"/>
      <c r="AB606" s="678"/>
      <c r="AC606" s="678"/>
      <c r="AD606" s="678"/>
      <c r="AE606" s="678"/>
      <c r="AF606" s="678"/>
      <c r="AG606" s="678"/>
      <c r="AH606" s="678"/>
      <c r="AI606" s="678"/>
      <c r="AJ606" s="678"/>
      <c r="AK606" s="658"/>
    </row>
    <row r="607" spans="2:37" s="5" customFormat="1">
      <c r="B607" s="313"/>
      <c r="C607" s="835"/>
      <c r="D607" s="17" t="s">
        <v>5</v>
      </c>
      <c r="E607" s="81" t="s">
        <v>27</v>
      </c>
      <c r="F607" s="84">
        <f>E601</f>
        <v>58025.8</v>
      </c>
      <c r="G607" s="64">
        <v>8</v>
      </c>
      <c r="H607" s="64">
        <f>+G607*F607</f>
        <v>464206.4</v>
      </c>
      <c r="I607" s="79"/>
      <c r="J607" s="52"/>
      <c r="K607" s="156"/>
      <c r="L607" s="383"/>
      <c r="M607" s="542"/>
      <c r="N607" s="578">
        <f t="shared" si="16"/>
        <v>-464206.4</v>
      </c>
      <c r="O607" s="678"/>
      <c r="P607" s="678"/>
      <c r="Q607" s="678"/>
      <c r="R607" s="678"/>
      <c r="S607" s="678"/>
      <c r="T607" s="678"/>
      <c r="U607" s="678"/>
      <c r="V607" s="678"/>
      <c r="W607" s="678"/>
      <c r="X607" s="678"/>
      <c r="Y607" s="678"/>
      <c r="Z607" s="678"/>
      <c r="AA607" s="678"/>
      <c r="AB607" s="678"/>
      <c r="AC607" s="679"/>
      <c r="AD607" s="678"/>
      <c r="AE607" s="678"/>
      <c r="AF607" s="678"/>
      <c r="AG607" s="678"/>
      <c r="AH607" s="678"/>
      <c r="AI607" s="678"/>
      <c r="AJ607" s="678"/>
      <c r="AK607" s="658"/>
    </row>
    <row r="608" spans="2:37" s="5" customFormat="1">
      <c r="B608" s="313"/>
      <c r="C608" s="835"/>
      <c r="D608" s="17" t="s">
        <v>30</v>
      </c>
      <c r="E608" s="67" t="s">
        <v>16</v>
      </c>
      <c r="F608" s="64">
        <f>G602+G603+G607</f>
        <v>14</v>
      </c>
      <c r="G608" s="68" t="s">
        <v>31</v>
      </c>
      <c r="H608" s="64">
        <f>SUM(H602:H607)</f>
        <v>812361.20000000007</v>
      </c>
      <c r="I608" s="79"/>
      <c r="J608" s="52"/>
      <c r="K608" s="156"/>
      <c r="L608" s="383"/>
      <c r="M608" s="542"/>
      <c r="N608" s="578">
        <f t="shared" si="16"/>
        <v>-812361.20000000007</v>
      </c>
      <c r="O608" s="678"/>
      <c r="P608" s="678"/>
      <c r="Q608" s="678"/>
      <c r="R608" s="678"/>
      <c r="S608" s="678"/>
      <c r="T608" s="678"/>
      <c r="U608" s="678"/>
      <c r="V608" s="678"/>
      <c r="W608" s="678"/>
      <c r="X608" s="678"/>
      <c r="Y608" s="678"/>
      <c r="Z608" s="678"/>
      <c r="AA608" s="678"/>
      <c r="AB608" s="678"/>
      <c r="AC608" s="678"/>
      <c r="AD608" s="678"/>
      <c r="AE608" s="678"/>
      <c r="AF608" s="678"/>
      <c r="AG608" s="678"/>
      <c r="AH608" s="678"/>
      <c r="AI608" s="678"/>
      <c r="AJ608" s="678"/>
      <c r="AK608" s="658"/>
    </row>
    <row r="609" spans="1:37" s="5" customFormat="1">
      <c r="B609" s="313"/>
      <c r="C609" s="835"/>
      <c r="D609" s="19" t="s">
        <v>32</v>
      </c>
      <c r="E609" s="67" t="s">
        <v>16</v>
      </c>
      <c r="F609" s="84">
        <f>SUM(H602:H607)</f>
        <v>812361.20000000007</v>
      </c>
      <c r="G609" s="92">
        <f>$G$43</f>
        <v>8.3299999999999999E-2</v>
      </c>
      <c r="H609" s="64">
        <f>+G609*F609</f>
        <v>67669.68796000001</v>
      </c>
      <c r="I609" s="93"/>
      <c r="J609" s="52"/>
      <c r="K609" s="156"/>
      <c r="L609" s="383"/>
      <c r="M609" s="542"/>
      <c r="N609" s="578">
        <f t="shared" si="16"/>
        <v>-67669.68796000001</v>
      </c>
      <c r="O609" s="679"/>
      <c r="P609" s="679"/>
      <c r="Q609" s="679"/>
      <c r="R609" s="679"/>
      <c r="S609" s="679"/>
      <c r="T609" s="679"/>
      <c r="U609" s="679"/>
      <c r="V609" s="679"/>
      <c r="W609" s="679"/>
      <c r="X609" s="679"/>
      <c r="Y609" s="679"/>
      <c r="Z609" s="679"/>
      <c r="AA609" s="679"/>
      <c r="AB609" s="679"/>
      <c r="AC609" s="679"/>
      <c r="AD609" s="679"/>
      <c r="AE609" s="679"/>
      <c r="AF609" s="679"/>
      <c r="AG609" s="679"/>
      <c r="AH609" s="679"/>
      <c r="AI609" s="679"/>
      <c r="AJ609" s="679"/>
      <c r="AK609" s="658"/>
    </row>
    <row r="610" spans="1:37" s="5" customFormat="1">
      <c r="B610" s="313"/>
      <c r="C610" s="835"/>
      <c r="D610" s="19" t="s">
        <v>33</v>
      </c>
      <c r="E610" s="84">
        <f>F609/(5*F608)</f>
        <v>11605.160000000002</v>
      </c>
      <c r="F610" s="84">
        <f>E610*(F608*7)</f>
        <v>1137305.6800000002</v>
      </c>
      <c r="G610" s="95">
        <f>$G$44</f>
        <v>20</v>
      </c>
      <c r="H610" s="64">
        <f>F610/G610</f>
        <v>56865.284000000007</v>
      </c>
      <c r="I610" s="72">
        <f>SUM(H608:H610)</f>
        <v>936896.17196000007</v>
      </c>
      <c r="J610" s="52">
        <f>SUM(G602:G610)</f>
        <v>34.083300000000001</v>
      </c>
      <c r="K610" s="156"/>
      <c r="L610" s="383"/>
      <c r="M610" s="542"/>
      <c r="N610" s="578">
        <f t="shared" si="16"/>
        <v>-56865.284000000007</v>
      </c>
      <c r="O610" s="678"/>
      <c r="P610" s="678"/>
      <c r="Q610" s="678"/>
      <c r="R610" s="678"/>
      <c r="S610" s="678"/>
      <c r="T610" s="678"/>
      <c r="U610" s="678"/>
      <c r="V610" s="678"/>
      <c r="W610" s="678"/>
      <c r="X610" s="678"/>
      <c r="Y610" s="678"/>
      <c r="Z610" s="678"/>
      <c r="AA610" s="678"/>
      <c r="AB610" s="678"/>
      <c r="AC610" s="678"/>
      <c r="AD610" s="678"/>
      <c r="AE610" s="678"/>
      <c r="AF610" s="678"/>
      <c r="AG610" s="678"/>
      <c r="AH610" s="678"/>
      <c r="AI610" s="678"/>
      <c r="AJ610" s="678"/>
      <c r="AK610" s="658"/>
    </row>
    <row r="611" spans="1:37" s="5" customFormat="1">
      <c r="B611" s="313"/>
      <c r="C611" s="835"/>
      <c r="D611" s="96"/>
      <c r="E611" s="9"/>
      <c r="F611" s="74"/>
      <c r="G611" s="97"/>
      <c r="H611" s="78"/>
      <c r="I611" s="79"/>
      <c r="J611" s="52"/>
      <c r="K611" s="156"/>
      <c r="L611" s="383"/>
      <c r="M611" s="542"/>
      <c r="N611" s="578">
        <f t="shared" si="16"/>
        <v>0</v>
      </c>
      <c r="O611" s="678"/>
      <c r="P611" s="678"/>
      <c r="Q611" s="678"/>
      <c r="R611" s="678"/>
      <c r="S611" s="678"/>
      <c r="T611" s="678"/>
      <c r="U611" s="678"/>
      <c r="V611" s="678"/>
      <c r="W611" s="678"/>
      <c r="X611" s="678"/>
      <c r="Y611" s="678"/>
      <c r="Z611" s="678"/>
      <c r="AA611" s="678"/>
      <c r="AB611" s="678"/>
      <c r="AC611" s="678"/>
      <c r="AD611" s="678"/>
      <c r="AE611" s="678"/>
      <c r="AF611" s="678"/>
      <c r="AG611" s="678"/>
      <c r="AH611" s="678"/>
      <c r="AI611" s="678"/>
      <c r="AJ611" s="678"/>
      <c r="AK611" s="658"/>
    </row>
    <row r="612" spans="1:37" s="5" customFormat="1" ht="15" customHeight="1">
      <c r="B612" s="317">
        <v>51</v>
      </c>
      <c r="C612" s="835" t="s">
        <v>913</v>
      </c>
      <c r="D612" s="80" t="s">
        <v>280</v>
      </c>
      <c r="E612" s="81">
        <v>20301.900000000001</v>
      </c>
      <c r="F612" s="84">
        <f>E612*3</f>
        <v>60905.700000000004</v>
      </c>
      <c r="G612" s="75"/>
      <c r="H612" s="82"/>
      <c r="I612" s="83"/>
      <c r="J612" s="52"/>
      <c r="K612" s="156"/>
      <c r="L612" s="383"/>
      <c r="M612" s="542"/>
      <c r="N612" s="578">
        <f t="shared" si="16"/>
        <v>0</v>
      </c>
      <c r="O612" s="678"/>
      <c r="P612" s="678"/>
      <c r="Q612" s="678"/>
      <c r="R612" s="678"/>
      <c r="S612" s="678"/>
      <c r="T612" s="678"/>
      <c r="U612" s="678"/>
      <c r="V612" s="678"/>
      <c r="W612" s="678"/>
      <c r="X612" s="678"/>
      <c r="Y612" s="678"/>
      <c r="Z612" s="678"/>
      <c r="AA612" s="678"/>
      <c r="AB612" s="678"/>
      <c r="AC612" s="678"/>
      <c r="AD612" s="678"/>
      <c r="AE612" s="678"/>
      <c r="AF612" s="678"/>
      <c r="AG612" s="678"/>
      <c r="AH612" s="678"/>
      <c r="AI612" s="678"/>
      <c r="AJ612" s="678"/>
      <c r="AK612" s="658"/>
    </row>
    <row r="613" spans="1:37" s="5" customFormat="1">
      <c r="B613" s="313" t="s">
        <v>427</v>
      </c>
      <c r="C613" s="835" t="s">
        <v>914</v>
      </c>
      <c r="D613" s="17" t="s">
        <v>0</v>
      </c>
      <c r="E613" s="81" t="s">
        <v>27</v>
      </c>
      <c r="F613" s="84">
        <f>F612</f>
        <v>60905.700000000004</v>
      </c>
      <c r="G613" s="64">
        <v>8</v>
      </c>
      <c r="H613" s="64">
        <f>+G613*F613</f>
        <v>487245.60000000003</v>
      </c>
      <c r="I613" s="79"/>
      <c r="J613" s="52"/>
      <c r="K613" s="156"/>
      <c r="L613" s="383"/>
      <c r="M613" s="542"/>
      <c r="N613" s="578">
        <f t="shared" si="16"/>
        <v>-487245.60000000003</v>
      </c>
      <c r="O613" s="678"/>
      <c r="P613" s="678"/>
      <c r="Q613" s="678"/>
      <c r="R613" s="678"/>
      <c r="S613" s="678"/>
      <c r="T613" s="678"/>
      <c r="U613" s="678"/>
      <c r="V613" s="678"/>
      <c r="W613" s="678"/>
      <c r="X613" s="678"/>
      <c r="Y613" s="678"/>
      <c r="Z613" s="678"/>
      <c r="AA613" s="678"/>
      <c r="AB613" s="678"/>
      <c r="AC613" s="678"/>
      <c r="AD613" s="678"/>
      <c r="AE613" s="678"/>
      <c r="AF613" s="678"/>
      <c r="AG613" s="678"/>
      <c r="AH613" s="678"/>
      <c r="AI613" s="678"/>
      <c r="AJ613" s="678"/>
      <c r="AK613" s="658"/>
    </row>
    <row r="614" spans="1:37" s="5" customFormat="1">
      <c r="B614" s="313"/>
      <c r="C614" s="835" t="s">
        <v>915</v>
      </c>
      <c r="D614" s="17" t="s">
        <v>3</v>
      </c>
      <c r="E614" s="81" t="s">
        <v>27</v>
      </c>
      <c r="F614" s="84">
        <f>F612</f>
        <v>60905.700000000004</v>
      </c>
      <c r="G614" s="64">
        <v>12</v>
      </c>
      <c r="H614" s="64">
        <f>+G614*F614</f>
        <v>730868.4</v>
      </c>
      <c r="I614" s="79"/>
      <c r="J614" s="52"/>
      <c r="K614" s="156"/>
      <c r="L614" s="383"/>
      <c r="M614" s="542"/>
      <c r="N614" s="578">
        <f t="shared" si="16"/>
        <v>-730868.4</v>
      </c>
      <c r="O614" s="678"/>
      <c r="P614" s="678"/>
      <c r="Q614" s="678"/>
      <c r="R614" s="678"/>
      <c r="S614" s="678"/>
      <c r="T614" s="678"/>
      <c r="U614" s="678"/>
      <c r="V614" s="678"/>
      <c r="W614" s="678"/>
      <c r="X614" s="678"/>
      <c r="Y614" s="678"/>
      <c r="Z614" s="678"/>
      <c r="AA614" s="678"/>
      <c r="AB614" s="678"/>
      <c r="AC614" s="678"/>
      <c r="AD614" s="678"/>
      <c r="AE614" s="678"/>
      <c r="AF614" s="678"/>
      <c r="AG614" s="678"/>
      <c r="AH614" s="678"/>
      <c r="AI614" s="678"/>
      <c r="AJ614" s="678"/>
      <c r="AK614" s="658"/>
    </row>
    <row r="615" spans="1:37" s="5" customFormat="1">
      <c r="B615" s="313"/>
      <c r="C615" s="835"/>
      <c r="D615" s="17" t="s">
        <v>28</v>
      </c>
      <c r="E615" s="88">
        <f>$H$5+2</f>
        <v>15.25</v>
      </c>
      <c r="F615" s="84">
        <f>F612/44*1.5</f>
        <v>2076.3306818181818</v>
      </c>
      <c r="G615" s="87">
        <v>12</v>
      </c>
      <c r="H615" s="64">
        <f>+G615*F615*E615</f>
        <v>379968.51477272727</v>
      </c>
      <c r="I615" s="79"/>
      <c r="J615" s="52"/>
      <c r="K615" s="156"/>
      <c r="L615" s="383"/>
      <c r="M615" s="542"/>
      <c r="N615" s="578">
        <f t="shared" si="16"/>
        <v>-379968.51477272727</v>
      </c>
      <c r="O615" s="678"/>
      <c r="P615" s="678"/>
      <c r="Q615" s="678"/>
      <c r="R615" s="678"/>
      <c r="S615" s="678"/>
      <c r="T615" s="678"/>
      <c r="U615" s="678"/>
      <c r="V615" s="678"/>
      <c r="W615" s="678"/>
      <c r="X615" s="678"/>
      <c r="Y615" s="678"/>
      <c r="Z615" s="678"/>
      <c r="AA615" s="678"/>
      <c r="AB615" s="678"/>
      <c r="AC615" s="678"/>
      <c r="AD615" s="678"/>
      <c r="AE615" s="678"/>
      <c r="AF615" s="678"/>
      <c r="AG615" s="678"/>
      <c r="AH615" s="678"/>
      <c r="AI615" s="678"/>
      <c r="AJ615" s="678"/>
      <c r="AK615" s="658"/>
    </row>
    <row r="616" spans="1:37" s="5" customFormat="1">
      <c r="B616" s="313"/>
      <c r="C616" s="835"/>
      <c r="D616" s="17" t="s">
        <v>1</v>
      </c>
      <c r="E616" s="81" t="s">
        <v>60</v>
      </c>
      <c r="F616" s="84">
        <f>F612/5*1.5</f>
        <v>18271.710000000003</v>
      </c>
      <c r="G616" s="64">
        <f>$H$3</f>
        <v>0</v>
      </c>
      <c r="H616" s="64">
        <f>+G616*F616</f>
        <v>0</v>
      </c>
      <c r="I616" s="79"/>
      <c r="J616" s="52"/>
      <c r="K616" s="156"/>
      <c r="L616" s="383"/>
      <c r="M616" s="542"/>
      <c r="N616" s="578">
        <f t="shared" si="16"/>
        <v>0</v>
      </c>
      <c r="O616" s="678"/>
      <c r="P616" s="678"/>
      <c r="Q616" s="678"/>
      <c r="R616" s="678"/>
      <c r="S616" s="678"/>
      <c r="T616" s="678"/>
      <c r="U616" s="678"/>
      <c r="V616" s="678"/>
      <c r="W616" s="678"/>
      <c r="X616" s="678"/>
      <c r="Y616" s="678"/>
      <c r="Z616" s="678"/>
      <c r="AA616" s="678"/>
      <c r="AB616" s="678"/>
      <c r="AC616" s="678"/>
      <c r="AD616" s="678"/>
      <c r="AE616" s="678"/>
      <c r="AF616" s="678"/>
      <c r="AG616" s="678"/>
      <c r="AH616" s="678"/>
      <c r="AI616" s="678"/>
      <c r="AJ616" s="678"/>
      <c r="AK616" s="658"/>
    </row>
    <row r="617" spans="1:37" s="5" customFormat="1">
      <c r="B617" s="313"/>
      <c r="C617" s="835"/>
      <c r="D617" s="17" t="s">
        <v>4</v>
      </c>
      <c r="E617" s="81" t="s">
        <v>60</v>
      </c>
      <c r="F617" s="84">
        <f>F612/5*2</f>
        <v>24362.280000000002</v>
      </c>
      <c r="G617" s="64">
        <f>$H$4</f>
        <v>0</v>
      </c>
      <c r="H617" s="64">
        <f>+G617*F617</f>
        <v>0</v>
      </c>
      <c r="I617" s="79"/>
      <c r="J617" s="52"/>
      <c r="K617" s="156"/>
      <c r="L617" s="383"/>
      <c r="M617" s="542"/>
      <c r="N617" s="578">
        <f t="shared" si="16"/>
        <v>0</v>
      </c>
      <c r="O617" s="678"/>
      <c r="P617" s="678"/>
      <c r="Q617" s="678"/>
      <c r="R617" s="678"/>
      <c r="S617" s="678"/>
      <c r="T617" s="678"/>
      <c r="U617" s="678"/>
      <c r="V617" s="678"/>
      <c r="W617" s="678"/>
      <c r="X617" s="678"/>
      <c r="Y617" s="678"/>
      <c r="Z617" s="678"/>
      <c r="AA617" s="678"/>
      <c r="AB617" s="678"/>
      <c r="AC617" s="678"/>
      <c r="AD617" s="678"/>
      <c r="AE617" s="678"/>
      <c r="AF617" s="678"/>
      <c r="AG617" s="678"/>
      <c r="AH617" s="678"/>
      <c r="AI617" s="678"/>
      <c r="AJ617" s="678"/>
      <c r="AK617" s="658"/>
    </row>
    <row r="618" spans="1:37" s="5" customFormat="1">
      <c r="B618" s="313"/>
      <c r="C618" s="835"/>
      <c r="D618" s="17" t="s">
        <v>5</v>
      </c>
      <c r="E618" s="81" t="s">
        <v>27</v>
      </c>
      <c r="F618" s="84">
        <f>F612</f>
        <v>60905.700000000004</v>
      </c>
      <c r="G618" s="64">
        <f>$F$5-$F$5</f>
        <v>0</v>
      </c>
      <c r="H618" s="64">
        <f>+G618*F618</f>
        <v>0</v>
      </c>
      <c r="I618" s="79"/>
      <c r="J618" s="52"/>
      <c r="K618" s="156"/>
      <c r="L618" s="383"/>
      <c r="M618" s="542"/>
      <c r="N618" s="578">
        <f t="shared" si="16"/>
        <v>0</v>
      </c>
      <c r="O618" s="678"/>
      <c r="P618" s="678"/>
      <c r="Q618" s="678"/>
      <c r="R618" s="678"/>
      <c r="S618" s="678"/>
      <c r="T618" s="678"/>
      <c r="U618" s="678"/>
      <c r="V618" s="678"/>
      <c r="W618" s="678"/>
      <c r="X618" s="678"/>
      <c r="Y618" s="678"/>
      <c r="Z618" s="678"/>
      <c r="AA618" s="678"/>
      <c r="AB618" s="678"/>
      <c r="AC618" s="679"/>
      <c r="AD618" s="678"/>
      <c r="AE618" s="678"/>
      <c r="AF618" s="678"/>
      <c r="AG618" s="678"/>
      <c r="AH618" s="678"/>
      <c r="AI618" s="678"/>
      <c r="AJ618" s="678"/>
      <c r="AK618" s="658"/>
    </row>
    <row r="619" spans="1:37" s="5" customFormat="1">
      <c r="B619" s="313"/>
      <c r="C619" s="835"/>
      <c r="D619" s="17" t="s">
        <v>30</v>
      </c>
      <c r="E619" s="67" t="s">
        <v>16</v>
      </c>
      <c r="F619" s="64">
        <f>G613+G614+G618</f>
        <v>20</v>
      </c>
      <c r="G619" s="68" t="s">
        <v>31</v>
      </c>
      <c r="H619" s="64">
        <f>SUM(H613:H618)</f>
        <v>1598082.5147727272</v>
      </c>
      <c r="I619" s="79"/>
      <c r="J619" s="52"/>
      <c r="K619" s="156"/>
      <c r="L619" s="383"/>
      <c r="M619" s="542"/>
      <c r="N619" s="578">
        <f t="shared" si="16"/>
        <v>-1598082.5147727272</v>
      </c>
      <c r="O619" s="678"/>
      <c r="P619" s="678"/>
      <c r="Q619" s="678"/>
      <c r="R619" s="678"/>
      <c r="S619" s="678"/>
      <c r="T619" s="678"/>
      <c r="U619" s="678"/>
      <c r="V619" s="678"/>
      <c r="W619" s="678"/>
      <c r="X619" s="678"/>
      <c r="Y619" s="678"/>
      <c r="Z619" s="678"/>
      <c r="AA619" s="678"/>
      <c r="AB619" s="678"/>
      <c r="AC619" s="678"/>
      <c r="AD619" s="678"/>
      <c r="AE619" s="678"/>
      <c r="AF619" s="678"/>
      <c r="AG619" s="678"/>
      <c r="AH619" s="678"/>
      <c r="AI619" s="678"/>
      <c r="AJ619" s="678"/>
      <c r="AK619" s="658"/>
    </row>
    <row r="620" spans="1:37" s="5" customFormat="1">
      <c r="B620" s="313"/>
      <c r="C620" s="835"/>
      <c r="D620" s="19" t="s">
        <v>32</v>
      </c>
      <c r="E620" s="67" t="s">
        <v>16</v>
      </c>
      <c r="F620" s="84">
        <f>SUM(H613:H618)</f>
        <v>1598082.5147727272</v>
      </c>
      <c r="G620" s="92">
        <f>$G$43</f>
        <v>8.3299999999999999E-2</v>
      </c>
      <c r="H620" s="64">
        <f>+G620*F620</f>
        <v>133120.27348056817</v>
      </c>
      <c r="I620" s="93"/>
      <c r="J620" s="52"/>
      <c r="K620" s="156"/>
      <c r="L620" s="383"/>
      <c r="M620" s="542"/>
      <c r="N620" s="578">
        <f t="shared" si="16"/>
        <v>-133120.27348056817</v>
      </c>
      <c r="O620" s="679"/>
      <c r="P620" s="679"/>
      <c r="Q620" s="679"/>
      <c r="R620" s="679"/>
      <c r="S620" s="679"/>
      <c r="T620" s="679"/>
      <c r="U620" s="679"/>
      <c r="V620" s="679"/>
      <c r="W620" s="679"/>
      <c r="X620" s="679"/>
      <c r="Y620" s="679"/>
      <c r="Z620" s="679"/>
      <c r="AA620" s="679"/>
      <c r="AB620" s="679"/>
      <c r="AC620" s="679"/>
      <c r="AD620" s="678"/>
      <c r="AE620" s="678"/>
      <c r="AF620" s="678"/>
      <c r="AG620" s="678"/>
      <c r="AH620" s="678"/>
      <c r="AI620" s="678"/>
      <c r="AJ620" s="678"/>
      <c r="AK620" s="658"/>
    </row>
    <row r="621" spans="1:37" s="5" customFormat="1">
      <c r="B621" s="313"/>
      <c r="C621" s="835"/>
      <c r="D621" s="19" t="s">
        <v>33</v>
      </c>
      <c r="E621" s="84">
        <f>F620/(5*F619)</f>
        <v>15980.825147727272</v>
      </c>
      <c r="F621" s="84">
        <f>E621*(F619*7)</f>
        <v>2237315.520681818</v>
      </c>
      <c r="G621" s="95">
        <f>$G$44</f>
        <v>20</v>
      </c>
      <c r="H621" s="64">
        <f>F621/G621</f>
        <v>111865.7760340909</v>
      </c>
      <c r="I621" s="72">
        <f>SUM(H619:H621)</f>
        <v>1843068.5642873861</v>
      </c>
      <c r="J621" s="52">
        <f>SUM(G613:G621)</f>
        <v>52.083300000000001</v>
      </c>
      <c r="K621" s="156"/>
      <c r="L621" s="383"/>
      <c r="M621" s="542"/>
      <c r="N621" s="578">
        <f t="shared" si="16"/>
        <v>-111865.7760340909</v>
      </c>
      <c r="O621" s="678"/>
      <c r="P621" s="678"/>
      <c r="Q621" s="678"/>
      <c r="R621" s="678"/>
      <c r="S621" s="678"/>
      <c r="T621" s="678"/>
      <c r="U621" s="678"/>
      <c r="V621" s="678"/>
      <c r="W621" s="678"/>
      <c r="X621" s="678"/>
      <c r="Y621" s="678"/>
      <c r="Z621" s="678"/>
      <c r="AA621" s="678"/>
      <c r="AB621" s="678"/>
      <c r="AC621" s="678"/>
      <c r="AD621" s="678"/>
      <c r="AE621" s="678"/>
      <c r="AF621" s="678"/>
      <c r="AG621" s="678"/>
      <c r="AH621" s="678"/>
      <c r="AI621" s="678"/>
      <c r="AJ621" s="678"/>
      <c r="AK621" s="658"/>
    </row>
    <row r="622" spans="1:37" s="48" customFormat="1" ht="15" customHeight="1">
      <c r="A622" s="45"/>
      <c r="B622" s="314"/>
      <c r="C622" s="844"/>
      <c r="D622" s="184"/>
      <c r="E622" s="71"/>
      <c r="F622" s="906" t="s">
        <v>76</v>
      </c>
      <c r="G622" s="906"/>
      <c r="H622" s="195">
        <f>H347+H158+H64+H65+H66+H319+H320+H321+H330+H331+H332+H398+H399+H400+H409+H410+H411+H443+H444+H445+H454+H455+H456+H42+H43+H44+H53+H54+H55+H75+H76+H77+H87+H88+H89+H98+H99+H100+H109+H110+H111+H120+H121+H122+H131+H132+H133+H142+H143+H144+H153+H154+H155+H165+H166+H167+H176+H177+H178+H187+H188+H189+H198+H199+H200+H209+H210+H211+H220+H221+H222+H231+H232+H233+H242+H243+H244+H253+H254+H255+H275+H276+H277+H286+H287+H288+H297+H298+H299+H308+H309+H310+H342+H343+H344+H354+H355+H356+H365+H366+H367+H376+H377+H378+H387+H388+H389+H421+H422+H423+H432+H433+H434+H465+H466+H467+H476+H477+H478+H487+H488+H489+H498+H499+H500+H509+H510+H511+H520+H521+H522+H531+H532+H533+H542+H543+H544+H553+H554+H555+H566+H565+H564+H577+H576+H575+H586+H587+H588+H597+H598+H599+H608+H609+H610+H619+H620+H621</f>
        <v>43419640.511914</v>
      </c>
      <c r="I622" s="472">
        <f>SUM(I34:I621)</f>
        <v>44263215.554688171</v>
      </c>
      <c r="J622" s="52"/>
      <c r="K622" s="156"/>
      <c r="L622" s="383"/>
      <c r="M622" s="593"/>
      <c r="N622" s="578">
        <f t="shared" si="16"/>
        <v>-43419640.511914</v>
      </c>
      <c r="O622" s="678"/>
      <c r="P622" s="678"/>
      <c r="Q622" s="678"/>
      <c r="R622" s="678"/>
      <c r="S622" s="678"/>
      <c r="T622" s="678"/>
      <c r="U622" s="678"/>
      <c r="V622" s="678"/>
      <c r="W622" s="678"/>
      <c r="X622" s="678"/>
      <c r="Y622" s="678"/>
      <c r="Z622" s="678"/>
      <c r="AA622" s="678"/>
      <c r="AB622" s="678"/>
      <c r="AC622" s="678"/>
      <c r="AD622" s="678"/>
      <c r="AE622" s="676"/>
      <c r="AF622" s="676"/>
      <c r="AG622" s="676"/>
      <c r="AH622" s="676"/>
      <c r="AI622" s="676"/>
      <c r="AJ622" s="676"/>
      <c r="AK622" s="658"/>
    </row>
    <row r="623" spans="1:37" s="543" customFormat="1" ht="30" customHeight="1">
      <c r="B623" s="610"/>
      <c r="C623" s="845"/>
      <c r="D623" s="611"/>
      <c r="G623" s="612"/>
      <c r="H623" s="613"/>
      <c r="I623" s="614"/>
      <c r="J623" s="614"/>
      <c r="K623" s="540"/>
      <c r="L623" s="541"/>
      <c r="M623" s="596"/>
      <c r="N623" s="701"/>
      <c r="O623" s="687"/>
      <c r="P623" s="687"/>
      <c r="Q623" s="687"/>
      <c r="R623" s="687"/>
      <c r="S623" s="687"/>
      <c r="T623" s="687"/>
      <c r="U623" s="687"/>
      <c r="V623" s="687"/>
      <c r="W623" s="687"/>
      <c r="X623" s="687"/>
      <c r="Y623" s="687"/>
      <c r="Z623" s="687"/>
      <c r="AA623" s="687"/>
      <c r="AB623" s="687"/>
      <c r="AC623" s="687"/>
      <c r="AD623" s="687"/>
      <c r="AE623" s="687"/>
      <c r="AF623" s="687"/>
      <c r="AG623" s="687"/>
      <c r="AH623" s="687"/>
      <c r="AI623" s="687"/>
      <c r="AJ623" s="687"/>
      <c r="AK623" s="658"/>
    </row>
    <row r="624" spans="1:37" s="543" customFormat="1" ht="14">
      <c r="B624" s="610"/>
      <c r="C624" s="845"/>
      <c r="D624" s="611"/>
      <c r="G624" s="612"/>
      <c r="H624" s="613"/>
      <c r="I624" s="614"/>
      <c r="J624" s="614"/>
      <c r="K624" s="540"/>
      <c r="L624" s="541"/>
      <c r="M624" s="601"/>
      <c r="N624" s="701"/>
      <c r="O624" s="687"/>
      <c r="P624" s="687"/>
      <c r="Q624" s="687"/>
      <c r="R624" s="687"/>
      <c r="S624" s="687"/>
      <c r="T624" s="687"/>
      <c r="U624" s="687"/>
      <c r="V624" s="687"/>
      <c r="W624" s="687"/>
      <c r="X624" s="687"/>
      <c r="Y624" s="687"/>
      <c r="Z624" s="687"/>
      <c r="AA624" s="687"/>
      <c r="AB624" s="687"/>
      <c r="AC624" s="687"/>
      <c r="AD624" s="687"/>
      <c r="AE624" s="687"/>
      <c r="AF624" s="687"/>
      <c r="AG624" s="687"/>
      <c r="AH624" s="687"/>
      <c r="AI624" s="687"/>
      <c r="AJ624" s="687"/>
      <c r="AK624" s="658"/>
    </row>
    <row r="625" spans="1:37" s="48" customFormat="1" ht="15" customHeight="1">
      <c r="A625" s="45"/>
      <c r="B625" s="312"/>
      <c r="C625" s="834"/>
      <c r="D625" s="33" t="s">
        <v>430</v>
      </c>
      <c r="E625" s="56" t="s">
        <v>13</v>
      </c>
      <c r="F625" s="57" t="s">
        <v>14</v>
      </c>
      <c r="G625" s="860" t="s">
        <v>15</v>
      </c>
      <c r="H625" s="192" t="s">
        <v>8</v>
      </c>
      <c r="I625" s="59"/>
      <c r="J625" s="292"/>
      <c r="K625" s="156"/>
      <c r="L625" s="383"/>
      <c r="M625" s="593"/>
      <c r="N625" s="701"/>
      <c r="O625" s="676"/>
      <c r="P625" s="676"/>
      <c r="Q625" s="676"/>
      <c r="R625" s="676"/>
      <c r="S625" s="676"/>
      <c r="T625" s="676"/>
      <c r="U625" s="676"/>
      <c r="V625" s="676"/>
      <c r="W625" s="676"/>
      <c r="X625" s="676"/>
      <c r="Y625" s="676"/>
      <c r="Z625" s="676"/>
      <c r="AA625" s="676"/>
      <c r="AB625" s="676"/>
      <c r="AC625" s="676"/>
      <c r="AD625" s="676"/>
      <c r="AE625" s="676"/>
      <c r="AF625" s="676"/>
      <c r="AG625" s="676"/>
      <c r="AH625" s="676"/>
      <c r="AI625" s="676"/>
      <c r="AJ625" s="676"/>
      <c r="AK625" s="658"/>
    </row>
    <row r="626" spans="1:37" s="104" customFormat="1" ht="15" customHeight="1">
      <c r="B626" s="313"/>
      <c r="C626" s="838"/>
      <c r="D626" s="105" t="s">
        <v>77</v>
      </c>
      <c r="G626" s="107"/>
      <c r="H626" s="108"/>
      <c r="I626" s="659">
        <v>0.33</v>
      </c>
      <c r="J626" s="296"/>
      <c r="K626" s="156"/>
      <c r="L626" s="383"/>
      <c r="M626" s="542"/>
      <c r="N626" s="701"/>
      <c r="O626" s="688"/>
      <c r="P626" s="688"/>
      <c r="Q626" s="688"/>
      <c r="R626" s="688"/>
      <c r="S626" s="688"/>
      <c r="T626" s="688"/>
      <c r="U626" s="688"/>
      <c r="V626" s="688"/>
      <c r="W626" s="688"/>
      <c r="X626" s="688"/>
      <c r="Y626" s="688"/>
      <c r="Z626" s="688"/>
      <c r="AA626" s="688"/>
      <c r="AB626" s="688"/>
      <c r="AC626" s="688"/>
      <c r="AD626" s="688"/>
      <c r="AE626" s="688"/>
      <c r="AF626" s="688"/>
      <c r="AG626" s="688"/>
      <c r="AH626" s="688"/>
      <c r="AI626" s="688"/>
      <c r="AJ626" s="688"/>
      <c r="AK626" s="658"/>
    </row>
    <row r="627" spans="1:37" s="5" customFormat="1">
      <c r="B627" s="313"/>
      <c r="C627" s="835" t="s">
        <v>916</v>
      </c>
      <c r="D627" s="446" t="s">
        <v>473</v>
      </c>
      <c r="E627" s="443" t="s">
        <v>16</v>
      </c>
      <c r="F627" s="444">
        <v>1500000</v>
      </c>
      <c r="G627" s="419"/>
      <c r="H627" s="416"/>
      <c r="I627" s="445"/>
      <c r="J627" s="52"/>
      <c r="K627" s="156"/>
      <c r="L627" s="421">
        <f>110000-(1000000/205)</f>
        <v>105121.95121951219</v>
      </c>
      <c r="M627" s="542"/>
      <c r="N627" s="701"/>
      <c r="O627" s="678"/>
      <c r="P627" s="678"/>
      <c r="Q627" s="678"/>
      <c r="R627" s="678"/>
      <c r="S627" s="678"/>
      <c r="T627" s="678"/>
      <c r="U627" s="678"/>
      <c r="V627" s="678"/>
      <c r="W627" s="678"/>
      <c r="X627" s="678"/>
      <c r="Y627" s="678"/>
      <c r="Z627" s="678"/>
      <c r="AA627" s="678"/>
      <c r="AB627" s="678"/>
      <c r="AC627" s="678"/>
      <c r="AD627" s="678"/>
      <c r="AE627" s="678"/>
      <c r="AF627" s="678"/>
      <c r="AG627" s="678"/>
      <c r="AH627" s="678"/>
      <c r="AI627" s="678"/>
      <c r="AJ627" s="678"/>
      <c r="AK627" s="658"/>
    </row>
    <row r="628" spans="1:37" s="5" customFormat="1">
      <c r="B628" s="313"/>
      <c r="C628" s="835" t="s">
        <v>917</v>
      </c>
      <c r="D628" s="446" t="s">
        <v>474</v>
      </c>
      <c r="E628" s="443"/>
      <c r="F628" s="444">
        <v>1500000</v>
      </c>
      <c r="G628" s="419"/>
      <c r="H628" s="416"/>
      <c r="I628" s="445"/>
      <c r="J628" s="52"/>
      <c r="K628" s="156"/>
      <c r="L628" s="421">
        <f>80000-(1000000/205)</f>
        <v>75121.951219512193</v>
      </c>
      <c r="M628" s="542"/>
      <c r="N628" s="701"/>
      <c r="O628" s="678"/>
      <c r="P628" s="678"/>
      <c r="Q628" s="678"/>
      <c r="R628" s="678"/>
      <c r="S628" s="678"/>
      <c r="T628" s="678"/>
      <c r="U628" s="678"/>
      <c r="V628" s="678"/>
      <c r="W628" s="678"/>
      <c r="X628" s="678"/>
      <c r="Y628" s="678"/>
      <c r="Z628" s="678"/>
      <c r="AA628" s="678"/>
      <c r="AB628" s="678"/>
      <c r="AC628" s="678"/>
      <c r="AD628" s="678"/>
      <c r="AE628" s="678"/>
      <c r="AF628" s="678"/>
      <c r="AG628" s="678"/>
      <c r="AH628" s="678"/>
      <c r="AI628" s="678"/>
      <c r="AJ628" s="678"/>
      <c r="AK628" s="658"/>
    </row>
    <row r="629" spans="1:37" s="5" customFormat="1">
      <c r="B629" s="313"/>
      <c r="C629" s="835" t="s">
        <v>918</v>
      </c>
      <c r="D629" s="254" t="s">
        <v>420</v>
      </c>
      <c r="E629" s="67"/>
      <c r="F629" s="84">
        <v>1000000</v>
      </c>
      <c r="G629" s="110"/>
      <c r="H629" s="64">
        <f>SUM(F627:F629)</f>
        <v>4000000</v>
      </c>
      <c r="I629" s="79"/>
      <c r="J629" s="52"/>
      <c r="K629" s="156"/>
      <c r="L629" s="383"/>
      <c r="M629" s="542"/>
      <c r="N629" s="701"/>
      <c r="O629" s="678"/>
      <c r="P629" s="678"/>
      <c r="Q629" s="678"/>
      <c r="R629" s="678"/>
      <c r="S629" s="678"/>
      <c r="T629" s="678"/>
      <c r="U629" s="678"/>
      <c r="V629" s="678"/>
      <c r="W629" s="678"/>
      <c r="X629" s="678"/>
      <c r="Y629" s="678"/>
      <c r="Z629" s="678"/>
      <c r="AA629" s="678"/>
      <c r="AB629" s="678"/>
      <c r="AC629" s="678"/>
      <c r="AD629" s="678"/>
      <c r="AE629" s="678"/>
      <c r="AF629" s="678"/>
      <c r="AG629" s="678"/>
      <c r="AH629" s="678"/>
      <c r="AI629" s="678"/>
      <c r="AJ629" s="678"/>
      <c r="AK629" s="658"/>
    </row>
    <row r="630" spans="1:37" s="5" customFormat="1">
      <c r="B630" s="313"/>
      <c r="C630" s="837"/>
      <c r="D630" s="417" t="s">
        <v>467</v>
      </c>
      <c r="E630" s="443"/>
      <c r="F630" s="416"/>
      <c r="G630" s="419"/>
      <c r="H630" s="416">
        <v>1000000</v>
      </c>
      <c r="I630" s="79"/>
      <c r="J630" s="52"/>
      <c r="K630" s="156"/>
      <c r="L630" s="383"/>
      <c r="M630" s="542"/>
      <c r="N630" s="701"/>
      <c r="O630" s="678"/>
      <c r="P630" s="678"/>
      <c r="Q630" s="678"/>
      <c r="R630" s="678"/>
      <c r="S630" s="678"/>
      <c r="T630" s="678"/>
      <c r="U630" s="678"/>
      <c r="V630" s="678"/>
      <c r="W630" s="678"/>
      <c r="X630" s="678"/>
      <c r="Y630" s="678"/>
      <c r="Z630" s="678"/>
      <c r="AA630" s="678"/>
      <c r="AB630" s="678"/>
      <c r="AC630" s="678"/>
      <c r="AD630" s="678"/>
      <c r="AE630" s="678"/>
      <c r="AF630" s="678"/>
      <c r="AG630" s="678"/>
      <c r="AH630" s="678"/>
      <c r="AI630" s="678"/>
      <c r="AJ630" s="678"/>
      <c r="AK630" s="658"/>
    </row>
    <row r="631" spans="1:37" s="5" customFormat="1">
      <c r="B631" s="313"/>
      <c r="C631" s="835"/>
      <c r="D631" s="17" t="s">
        <v>78</v>
      </c>
      <c r="E631" s="67" t="s">
        <v>16</v>
      </c>
      <c r="F631" s="64">
        <v>8</v>
      </c>
      <c r="G631" s="68" t="s">
        <v>31</v>
      </c>
      <c r="H631" s="64">
        <f>F631</f>
        <v>8</v>
      </c>
      <c r="I631" s="79"/>
      <c r="J631" s="52"/>
      <c r="K631" s="156"/>
      <c r="L631" s="383"/>
      <c r="M631" s="542"/>
      <c r="N631" s="701"/>
      <c r="O631" s="678"/>
      <c r="P631" s="678"/>
      <c r="Q631" s="678"/>
      <c r="R631" s="678"/>
      <c r="S631" s="678"/>
      <c r="T631" s="678"/>
      <c r="U631" s="678"/>
      <c r="V631" s="678"/>
      <c r="W631" s="678"/>
      <c r="X631" s="678"/>
      <c r="Y631" s="678"/>
      <c r="Z631" s="678"/>
      <c r="AA631" s="678"/>
      <c r="AB631" s="678"/>
      <c r="AC631" s="678"/>
      <c r="AD631" s="678"/>
      <c r="AE631" s="678"/>
      <c r="AF631" s="678"/>
      <c r="AG631" s="678"/>
      <c r="AH631" s="678"/>
      <c r="AI631" s="678"/>
      <c r="AJ631" s="678"/>
      <c r="AK631" s="658"/>
    </row>
    <row r="632" spans="1:37" s="5" customFormat="1">
      <c r="B632" s="313"/>
      <c r="C632" s="837"/>
      <c r="D632" s="19" t="s">
        <v>32</v>
      </c>
      <c r="E632" s="67" t="s">
        <v>16</v>
      </c>
      <c r="F632" s="84">
        <f>SUM(F627:F629)</f>
        <v>4000000</v>
      </c>
      <c r="G632" s="92">
        <f>$G$43</f>
        <v>8.3299999999999999E-2</v>
      </c>
      <c r="H632" s="64">
        <f>+G632*F632</f>
        <v>333200</v>
      </c>
      <c r="I632" s="79"/>
      <c r="J632" s="52"/>
      <c r="K632" s="156"/>
      <c r="L632" s="383"/>
      <c r="M632" s="542"/>
      <c r="N632" s="701"/>
      <c r="O632" s="678"/>
      <c r="P632" s="678"/>
      <c r="Q632" s="678"/>
      <c r="R632" s="678"/>
      <c r="S632" s="678"/>
      <c r="T632" s="678"/>
      <c r="U632" s="678"/>
      <c r="V632" s="678"/>
      <c r="W632" s="678"/>
      <c r="X632" s="678"/>
      <c r="Y632" s="678"/>
      <c r="Z632" s="678"/>
      <c r="AA632" s="678"/>
      <c r="AB632" s="678"/>
      <c r="AC632" s="678"/>
      <c r="AD632" s="678"/>
      <c r="AE632" s="678"/>
      <c r="AF632" s="678"/>
      <c r="AG632" s="678"/>
      <c r="AH632" s="678"/>
      <c r="AI632" s="678"/>
      <c r="AJ632" s="678"/>
      <c r="AK632" s="658"/>
    </row>
    <row r="633" spans="1:37" s="5" customFormat="1">
      <c r="B633" s="313"/>
      <c r="C633" s="837"/>
      <c r="D633" s="103" t="s">
        <v>33</v>
      </c>
      <c r="E633" s="84">
        <f>F632/(5*F631)</f>
        <v>100000</v>
      </c>
      <c r="F633" s="84">
        <f>E633*(F631*7)</f>
        <v>5600000</v>
      </c>
      <c r="G633" s="95">
        <v>20</v>
      </c>
      <c r="H633" s="64">
        <f>F633/G633</f>
        <v>280000</v>
      </c>
      <c r="I633" s="72">
        <f>SUM(H629:H633)</f>
        <v>5613208</v>
      </c>
      <c r="J633" s="52">
        <v>30</v>
      </c>
      <c r="K633" s="156"/>
      <c r="L633" s="383"/>
      <c r="M633" s="542"/>
      <c r="N633" s="701">
        <f t="shared" ref="N633:N648" si="17">SUM(O633:AJ633)-I633</f>
        <v>-5613208</v>
      </c>
      <c r="O633" s="678"/>
      <c r="P633" s="678"/>
      <c r="Q633" s="678"/>
      <c r="R633" s="678"/>
      <c r="S633" s="678"/>
      <c r="T633" s="678"/>
      <c r="U633" s="678"/>
      <c r="V633" s="678"/>
      <c r="W633" s="678"/>
      <c r="X633" s="678"/>
      <c r="Y633" s="678"/>
      <c r="Z633" s="678"/>
      <c r="AA633" s="678"/>
      <c r="AB633" s="678"/>
      <c r="AC633" s="678"/>
      <c r="AD633" s="678"/>
      <c r="AE633" s="678"/>
      <c r="AF633" s="678"/>
      <c r="AG633" s="678"/>
      <c r="AH633" s="678"/>
      <c r="AI633" s="678"/>
      <c r="AJ633" s="678"/>
      <c r="AK633" s="658"/>
    </row>
    <row r="634" spans="1:37" s="104" customFormat="1" ht="15" customHeight="1">
      <c r="B634" s="313"/>
      <c r="C634" s="835" t="s">
        <v>919</v>
      </c>
      <c r="D634" s="105" t="s">
        <v>79</v>
      </c>
      <c r="E634" s="107"/>
      <c r="F634" s="107"/>
      <c r="G634" s="107"/>
      <c r="H634" s="107"/>
      <c r="I634" s="109"/>
      <c r="J634" s="296"/>
      <c r="K634" s="156"/>
      <c r="L634" s="383"/>
      <c r="M634" s="542"/>
      <c r="N634" s="701">
        <f t="shared" si="17"/>
        <v>0</v>
      </c>
      <c r="O634" s="688"/>
      <c r="P634" s="688"/>
      <c r="Q634" s="688"/>
      <c r="R634" s="688"/>
      <c r="S634" s="688"/>
      <c r="T634" s="688"/>
      <c r="U634" s="678"/>
      <c r="V634" s="678"/>
      <c r="W634" s="678"/>
      <c r="X634" s="678"/>
      <c r="Y634" s="678"/>
      <c r="Z634" s="678"/>
      <c r="AA634" s="678"/>
      <c r="AB634" s="688"/>
      <c r="AC634" s="688"/>
      <c r="AD634" s="688"/>
      <c r="AE634" s="688"/>
      <c r="AF634" s="688"/>
      <c r="AG634" s="688"/>
      <c r="AH634" s="688"/>
      <c r="AI634" s="688"/>
      <c r="AJ634" s="688"/>
      <c r="AK634" s="658"/>
    </row>
    <row r="635" spans="1:37" s="5" customFormat="1">
      <c r="B635" s="313"/>
      <c r="C635" s="837"/>
      <c r="D635" s="17" t="s">
        <v>281</v>
      </c>
      <c r="E635" s="67" t="s">
        <v>16</v>
      </c>
      <c r="F635" s="64">
        <v>1000000</v>
      </c>
      <c r="G635" s="110">
        <v>1</v>
      </c>
      <c r="H635" s="64"/>
      <c r="I635" s="79"/>
      <c r="J635" s="52"/>
      <c r="K635" s="156"/>
      <c r="L635" s="383"/>
      <c r="M635" s="542"/>
      <c r="N635" s="701">
        <f t="shared" si="17"/>
        <v>0</v>
      </c>
      <c r="O635" s="678"/>
      <c r="P635" s="678"/>
      <c r="Q635" s="678"/>
      <c r="R635" s="678"/>
      <c r="S635" s="678"/>
      <c r="T635" s="678"/>
      <c r="U635" s="678"/>
      <c r="V635" s="678"/>
      <c r="W635" s="678"/>
      <c r="X635" s="678"/>
      <c r="Y635" s="678"/>
      <c r="Z635" s="678"/>
      <c r="AA635" s="678"/>
      <c r="AB635" s="678"/>
      <c r="AC635" s="678"/>
      <c r="AD635" s="678"/>
      <c r="AE635" s="678"/>
      <c r="AF635" s="678"/>
      <c r="AG635" s="678"/>
      <c r="AH635" s="678"/>
      <c r="AI635" s="678"/>
      <c r="AJ635" s="678"/>
      <c r="AK635" s="658"/>
    </row>
    <row r="636" spans="1:37" s="5" customFormat="1">
      <c r="B636" s="313"/>
      <c r="C636" s="837"/>
      <c r="D636" s="17"/>
      <c r="E636" s="67"/>
      <c r="F636" s="64"/>
      <c r="G636" s="110"/>
      <c r="H636" s="64"/>
      <c r="I636" s="79"/>
      <c r="J636" s="52"/>
      <c r="K636" s="156"/>
      <c r="L636" s="383"/>
      <c r="M636" s="542"/>
      <c r="N636" s="701">
        <f t="shared" si="17"/>
        <v>0</v>
      </c>
      <c r="O636" s="678"/>
      <c r="P636" s="678"/>
      <c r="Q636" s="678"/>
      <c r="R636" s="678"/>
      <c r="S636" s="678"/>
      <c r="T636" s="678"/>
      <c r="U636" s="678"/>
      <c r="V636" s="678"/>
      <c r="W636" s="678"/>
      <c r="X636" s="678"/>
      <c r="Y636" s="678"/>
      <c r="Z636" s="678"/>
      <c r="AA636" s="678"/>
      <c r="AB636" s="678"/>
      <c r="AC636" s="678"/>
      <c r="AD636" s="678"/>
      <c r="AE636" s="678"/>
      <c r="AF636" s="678"/>
      <c r="AG636" s="678"/>
      <c r="AH636" s="678"/>
      <c r="AI636" s="678"/>
      <c r="AJ636" s="678"/>
      <c r="AK636" s="658"/>
    </row>
    <row r="637" spans="1:37" s="5" customFormat="1">
      <c r="B637" s="313"/>
      <c r="C637" s="837"/>
      <c r="D637" s="17"/>
      <c r="E637" s="67"/>
      <c r="F637" s="64"/>
      <c r="G637" s="110"/>
      <c r="H637" s="64"/>
      <c r="I637" s="79"/>
      <c r="J637" s="52"/>
      <c r="K637" s="156"/>
      <c r="L637" s="383"/>
      <c r="M637" s="542"/>
      <c r="N637" s="701">
        <f t="shared" si="17"/>
        <v>0</v>
      </c>
      <c r="O637" s="678"/>
      <c r="P637" s="678"/>
      <c r="Q637" s="678"/>
      <c r="R637" s="678"/>
      <c r="S637" s="678"/>
      <c r="T637" s="678"/>
      <c r="U637" s="678"/>
      <c r="V637" s="678"/>
      <c r="W637" s="678"/>
      <c r="X637" s="678"/>
      <c r="Y637" s="678"/>
      <c r="Z637" s="678"/>
      <c r="AA637" s="678"/>
      <c r="AB637" s="678"/>
      <c r="AC637" s="678"/>
      <c r="AD637" s="678"/>
      <c r="AE637" s="678"/>
      <c r="AF637" s="678"/>
      <c r="AG637" s="678"/>
      <c r="AH637" s="678"/>
      <c r="AI637" s="678"/>
      <c r="AJ637" s="678"/>
      <c r="AK637" s="658"/>
    </row>
    <row r="638" spans="1:37" s="5" customFormat="1">
      <c r="B638" s="313"/>
      <c r="C638" s="835"/>
      <c r="D638" s="17" t="s">
        <v>78</v>
      </c>
      <c r="E638" s="67" t="s">
        <v>16</v>
      </c>
      <c r="F638" s="64">
        <v>8</v>
      </c>
      <c r="G638" s="68" t="s">
        <v>31</v>
      </c>
      <c r="H638" s="64">
        <v>1000000</v>
      </c>
      <c r="I638" s="79"/>
      <c r="J638" s="52"/>
      <c r="K638" s="156"/>
      <c r="L638" s="383"/>
      <c r="M638" s="542"/>
      <c r="N638" s="701">
        <f t="shared" si="17"/>
        <v>0</v>
      </c>
      <c r="O638" s="678"/>
      <c r="P638" s="678"/>
      <c r="Q638" s="678"/>
      <c r="R638" s="678"/>
      <c r="S638" s="678"/>
      <c r="T638" s="678"/>
      <c r="U638" s="678"/>
      <c r="V638" s="678"/>
      <c r="W638" s="678"/>
      <c r="X638" s="678"/>
      <c r="Y638" s="678"/>
      <c r="Z638" s="678"/>
      <c r="AA638" s="678"/>
      <c r="AB638" s="678"/>
      <c r="AC638" s="678"/>
      <c r="AD638" s="678"/>
      <c r="AE638" s="678"/>
      <c r="AF638" s="678"/>
      <c r="AG638" s="678"/>
      <c r="AH638" s="678"/>
      <c r="AI638" s="678"/>
      <c r="AJ638" s="678"/>
      <c r="AK638" s="658"/>
    </row>
    <row r="639" spans="1:37" s="5" customFormat="1">
      <c r="B639" s="313"/>
      <c r="C639" s="837"/>
      <c r="D639" s="19" t="s">
        <v>32</v>
      </c>
      <c r="E639" s="67" t="s">
        <v>16</v>
      </c>
      <c r="F639" s="84">
        <v>1000000</v>
      </c>
      <c r="G639" s="92">
        <v>8.3299999999999999E-2</v>
      </c>
      <c r="H639" s="64">
        <v>83300</v>
      </c>
      <c r="I639" s="79"/>
      <c r="J639" s="52"/>
      <c r="K639" s="156"/>
      <c r="L639" s="383"/>
      <c r="M639" s="542"/>
      <c r="N639" s="701">
        <f t="shared" si="17"/>
        <v>0</v>
      </c>
      <c r="O639" s="678"/>
      <c r="P639" s="678"/>
      <c r="Q639" s="678"/>
      <c r="R639" s="678"/>
      <c r="S639" s="678"/>
      <c r="T639" s="678"/>
      <c r="U639" s="678"/>
      <c r="V639" s="678"/>
      <c r="W639" s="678"/>
      <c r="X639" s="678"/>
      <c r="Y639" s="678"/>
      <c r="Z639" s="678"/>
      <c r="AA639" s="678"/>
      <c r="AB639" s="678"/>
      <c r="AC639" s="678"/>
      <c r="AD639" s="678"/>
      <c r="AE639" s="678"/>
      <c r="AF639" s="678"/>
      <c r="AG639" s="678"/>
      <c r="AH639" s="678"/>
      <c r="AI639" s="678"/>
      <c r="AJ639" s="678"/>
      <c r="AK639" s="658"/>
    </row>
    <row r="640" spans="1:37" s="5" customFormat="1">
      <c r="B640" s="313"/>
      <c r="C640" s="846"/>
      <c r="D640" s="103" t="s">
        <v>840</v>
      </c>
      <c r="E640" s="84">
        <v>25000</v>
      </c>
      <c r="F640" s="84">
        <v>1400000</v>
      </c>
      <c r="G640" s="95">
        <v>20</v>
      </c>
      <c r="H640" s="64">
        <v>70000</v>
      </c>
      <c r="I640" s="72">
        <v>1153300</v>
      </c>
      <c r="J640" s="52">
        <v>10</v>
      </c>
      <c r="K640" s="156"/>
      <c r="L640" s="383"/>
      <c r="M640" s="542"/>
      <c r="N640" s="701">
        <f t="shared" si="17"/>
        <v>-1153300</v>
      </c>
      <c r="O640" s="678"/>
      <c r="P640" s="678"/>
      <c r="Q640" s="678"/>
      <c r="R640" s="678"/>
      <c r="S640" s="678"/>
      <c r="T640" s="678"/>
      <c r="U640" s="678"/>
      <c r="V640" s="678"/>
      <c r="W640" s="678"/>
      <c r="X640" s="678"/>
      <c r="Y640" s="678"/>
      <c r="Z640" s="678"/>
      <c r="AA640" s="678"/>
      <c r="AB640" s="678"/>
      <c r="AC640" s="678"/>
      <c r="AD640" s="678"/>
      <c r="AE640" s="678"/>
      <c r="AF640" s="678"/>
      <c r="AG640" s="678"/>
      <c r="AH640" s="678"/>
      <c r="AI640" s="678"/>
      <c r="AJ640" s="678"/>
      <c r="AK640" s="658"/>
    </row>
    <row r="641" spans="2:37" s="104" customFormat="1" ht="15" customHeight="1">
      <c r="B641" s="313"/>
      <c r="C641" s="835" t="s">
        <v>920</v>
      </c>
      <c r="D641" s="105" t="s">
        <v>418</v>
      </c>
      <c r="E641" s="107"/>
      <c r="F641" s="107"/>
      <c r="G641" s="107"/>
      <c r="H641" s="107"/>
      <c r="I641" s="109"/>
      <c r="J641" s="782"/>
      <c r="K641" s="156"/>
      <c r="L641" s="383"/>
      <c r="M641" s="542"/>
      <c r="N641" s="701">
        <f t="shared" si="17"/>
        <v>0</v>
      </c>
      <c r="O641" s="688"/>
      <c r="P641" s="688"/>
      <c r="Q641" s="688"/>
      <c r="R641" s="688"/>
      <c r="S641" s="688"/>
      <c r="T641" s="688"/>
      <c r="U641" s="678"/>
      <c r="V641" s="678"/>
      <c r="W641" s="678"/>
      <c r="X641" s="678"/>
      <c r="Y641" s="678"/>
      <c r="Z641" s="678"/>
      <c r="AA641" s="678"/>
      <c r="AB641" s="688"/>
      <c r="AC641" s="688"/>
      <c r="AD641" s="688"/>
      <c r="AE641" s="688"/>
      <c r="AF641" s="688"/>
      <c r="AG641" s="688"/>
      <c r="AH641" s="688"/>
      <c r="AI641" s="688"/>
      <c r="AJ641" s="688"/>
      <c r="AK641" s="658"/>
    </row>
    <row r="642" spans="2:37" s="5" customFormat="1">
      <c r="B642" s="313"/>
      <c r="C642" s="837"/>
      <c r="D642" s="783" t="s">
        <v>419</v>
      </c>
      <c r="E642" s="67" t="s">
        <v>16</v>
      </c>
      <c r="F642" s="784">
        <v>1251000</v>
      </c>
      <c r="G642" s="785">
        <v>1</v>
      </c>
      <c r="H642" s="784"/>
      <c r="I642" s="786"/>
      <c r="J642" s="787"/>
      <c r="K642" s="156"/>
      <c r="L642" s="383"/>
      <c r="M642" s="542"/>
      <c r="N642" s="701">
        <f t="shared" si="17"/>
        <v>0</v>
      </c>
      <c r="O642" s="678"/>
      <c r="P642" s="678"/>
      <c r="Q642" s="678"/>
      <c r="R642" s="678"/>
      <c r="S642" s="678"/>
      <c r="T642" s="678"/>
      <c r="U642" s="678"/>
      <c r="V642" s="678"/>
      <c r="W642" s="678"/>
      <c r="X642" s="678"/>
      <c r="Y642" s="678"/>
      <c r="Z642" s="678"/>
      <c r="AA642" s="678"/>
      <c r="AB642" s="678"/>
      <c r="AC642" s="678"/>
      <c r="AD642" s="678"/>
      <c r="AE642" s="678"/>
      <c r="AF642" s="678"/>
      <c r="AG642" s="678"/>
      <c r="AH642" s="678"/>
      <c r="AI642" s="678"/>
      <c r="AJ642" s="678"/>
      <c r="AK642" s="658"/>
    </row>
    <row r="643" spans="2:37" s="5" customFormat="1">
      <c r="B643" s="313"/>
      <c r="C643" s="837"/>
      <c r="D643" s="783"/>
      <c r="E643" s="67"/>
      <c r="F643" s="784"/>
      <c r="G643" s="785"/>
      <c r="H643" s="784"/>
      <c r="I643" s="786"/>
      <c r="J643" s="787"/>
      <c r="K643" s="156"/>
      <c r="L643" s="383"/>
      <c r="M643" s="542"/>
      <c r="N643" s="701">
        <f t="shared" si="17"/>
        <v>0</v>
      </c>
      <c r="O643" s="678"/>
      <c r="P643" s="678"/>
      <c r="Q643" s="678"/>
      <c r="R643" s="678"/>
      <c r="S643" s="678"/>
      <c r="T643" s="678"/>
      <c r="U643" s="678"/>
      <c r="V643" s="678"/>
      <c r="W643" s="678"/>
      <c r="X643" s="678"/>
      <c r="Y643" s="678"/>
      <c r="Z643" s="678"/>
      <c r="AA643" s="678"/>
      <c r="AB643" s="678"/>
      <c r="AC643" s="678"/>
      <c r="AD643" s="678"/>
      <c r="AE643" s="678"/>
      <c r="AF643" s="678"/>
      <c r="AG643" s="678"/>
      <c r="AH643" s="678"/>
      <c r="AI643" s="678"/>
      <c r="AJ643" s="678"/>
      <c r="AK643" s="658"/>
    </row>
    <row r="644" spans="2:37" s="5" customFormat="1">
      <c r="B644" s="313"/>
      <c r="C644" s="837"/>
      <c r="D644" s="783"/>
      <c r="E644" s="67"/>
      <c r="F644" s="784"/>
      <c r="G644" s="785"/>
      <c r="H644" s="784"/>
      <c r="I644" s="786"/>
      <c r="J644" s="787"/>
      <c r="K644" s="156"/>
      <c r="L644" s="383"/>
      <c r="M644" s="542"/>
      <c r="N644" s="701">
        <f t="shared" si="17"/>
        <v>0</v>
      </c>
      <c r="O644" s="678"/>
      <c r="P644" s="678"/>
      <c r="Q644" s="678"/>
      <c r="R644" s="678"/>
      <c r="S644" s="678"/>
      <c r="T644" s="678"/>
      <c r="U644" s="678"/>
      <c r="V644" s="678"/>
      <c r="W644" s="678"/>
      <c r="X644" s="678"/>
      <c r="Y644" s="678"/>
      <c r="Z644" s="678"/>
      <c r="AA644" s="678"/>
      <c r="AB644" s="678"/>
      <c r="AC644" s="678"/>
      <c r="AD644" s="678"/>
      <c r="AE644" s="678"/>
      <c r="AF644" s="678"/>
      <c r="AG644" s="678"/>
      <c r="AH644" s="678"/>
      <c r="AI644" s="678"/>
      <c r="AJ644" s="678"/>
      <c r="AK644" s="658"/>
    </row>
    <row r="645" spans="2:37" s="5" customFormat="1">
      <c r="B645" s="313"/>
      <c r="C645" s="835"/>
      <c r="D645" s="783" t="s">
        <v>78</v>
      </c>
      <c r="E645" s="67" t="s">
        <v>16</v>
      </c>
      <c r="F645" s="784">
        <v>8</v>
      </c>
      <c r="G645" s="788" t="s">
        <v>31</v>
      </c>
      <c r="H645" s="784">
        <f>SUM(F642:F644)*G642</f>
        <v>1251000</v>
      </c>
      <c r="I645" s="786"/>
      <c r="J645" s="787"/>
      <c r="K645" s="156"/>
      <c r="L645" s="383"/>
      <c r="M645" s="542"/>
      <c r="N645" s="701">
        <f t="shared" si="17"/>
        <v>0</v>
      </c>
      <c r="O645" s="678"/>
      <c r="P645" s="678"/>
      <c r="Q645" s="678"/>
      <c r="R645" s="678"/>
      <c r="S645" s="678"/>
      <c r="T645" s="678"/>
      <c r="U645" s="678"/>
      <c r="V645" s="678"/>
      <c r="W645" s="678"/>
      <c r="X645" s="678"/>
      <c r="Y645" s="678"/>
      <c r="Z645" s="678"/>
      <c r="AA645" s="678"/>
      <c r="AB645" s="678"/>
      <c r="AC645" s="678"/>
      <c r="AD645" s="678"/>
      <c r="AE645" s="678"/>
      <c r="AF645" s="678"/>
      <c r="AG645" s="678"/>
      <c r="AH645" s="678"/>
      <c r="AI645" s="678"/>
      <c r="AJ645" s="678"/>
      <c r="AK645" s="658"/>
    </row>
    <row r="646" spans="2:37" s="5" customFormat="1">
      <c r="B646" s="313"/>
      <c r="C646" s="837"/>
      <c r="D646" s="789" t="s">
        <v>32</v>
      </c>
      <c r="E646" s="67" t="s">
        <v>16</v>
      </c>
      <c r="F646" s="790">
        <f>H645</f>
        <v>1251000</v>
      </c>
      <c r="G646" s="791">
        <f>$G$43</f>
        <v>8.3299999999999999E-2</v>
      </c>
      <c r="H646" s="784">
        <f>+G646*F646</f>
        <v>104208.3</v>
      </c>
      <c r="I646" s="786"/>
      <c r="J646" s="787"/>
      <c r="K646" s="156"/>
      <c r="L646" s="383"/>
      <c r="M646" s="542"/>
      <c r="N646" s="701">
        <f t="shared" si="17"/>
        <v>0</v>
      </c>
      <c r="O646" s="678"/>
      <c r="P646" s="678"/>
      <c r="Q646" s="678"/>
      <c r="R646" s="678"/>
      <c r="S646" s="678"/>
      <c r="T646" s="678"/>
      <c r="U646" s="678"/>
      <c r="V646" s="678"/>
      <c r="W646" s="678"/>
      <c r="X646" s="678"/>
      <c r="Y646" s="678"/>
      <c r="Z646" s="678"/>
      <c r="AA646" s="678"/>
      <c r="AB646" s="678"/>
      <c r="AC646" s="678"/>
      <c r="AD646" s="678"/>
      <c r="AE646" s="678"/>
      <c r="AF646" s="678"/>
      <c r="AG646" s="678"/>
      <c r="AH646" s="678"/>
      <c r="AI646" s="678"/>
      <c r="AJ646" s="678"/>
      <c r="AK646" s="658"/>
    </row>
    <row r="647" spans="2:37" s="5" customFormat="1">
      <c r="B647" s="313"/>
      <c r="C647" s="846"/>
      <c r="D647" s="792" t="s">
        <v>840</v>
      </c>
      <c r="E647" s="790">
        <f>F646/(5*F645)</f>
        <v>31275</v>
      </c>
      <c r="F647" s="790">
        <f>E647*(F645*7)</f>
        <v>1751400</v>
      </c>
      <c r="G647" s="793">
        <v>20</v>
      </c>
      <c r="H647" s="784">
        <f>F647/G647</f>
        <v>87570</v>
      </c>
      <c r="I647" s="794">
        <f>SUM(H645:H647)</f>
        <v>1442778.3</v>
      </c>
      <c r="J647" s="787">
        <v>10</v>
      </c>
      <c r="K647" s="156"/>
      <c r="L647" s="383"/>
      <c r="M647" s="542"/>
      <c r="N647" s="701">
        <f t="shared" si="17"/>
        <v>-1442778.3</v>
      </c>
      <c r="O647" s="678"/>
      <c r="P647" s="678"/>
      <c r="Q647" s="678"/>
      <c r="R647" s="678"/>
      <c r="S647" s="678"/>
      <c r="T647" s="678"/>
      <c r="U647" s="678"/>
      <c r="V647" s="678"/>
      <c r="W647" s="678"/>
      <c r="X647" s="678"/>
      <c r="Y647" s="678"/>
      <c r="Z647" s="678"/>
      <c r="AA647" s="678"/>
      <c r="AB647" s="678"/>
      <c r="AC647" s="678"/>
      <c r="AD647" s="678"/>
      <c r="AE647" s="678"/>
      <c r="AF647" s="678"/>
      <c r="AG647" s="678"/>
      <c r="AH647" s="678"/>
      <c r="AI647" s="678"/>
      <c r="AJ647" s="678"/>
      <c r="AK647" s="658"/>
    </row>
    <row r="648" spans="2:37" s="5" customFormat="1">
      <c r="B648" s="313"/>
      <c r="C648" s="846"/>
      <c r="D648" s="117"/>
      <c r="E648" s="379"/>
      <c r="F648" s="380"/>
      <c r="G648" s="381"/>
      <c r="H648" s="137"/>
      <c r="I648" s="126"/>
      <c r="J648" s="52"/>
      <c r="K648" s="156"/>
      <c r="L648" s="383"/>
      <c r="M648" s="542"/>
      <c r="N648" s="701">
        <f t="shared" si="17"/>
        <v>0</v>
      </c>
      <c r="O648" s="678"/>
      <c r="P648" s="678"/>
      <c r="Q648" s="678"/>
      <c r="R648" s="678"/>
      <c r="S648" s="678"/>
      <c r="T648" s="678"/>
      <c r="U648" s="678"/>
      <c r="V648" s="678"/>
      <c r="W648" s="678"/>
      <c r="X648" s="678"/>
      <c r="Y648" s="678"/>
      <c r="Z648" s="678"/>
      <c r="AA648" s="678"/>
      <c r="AB648" s="678"/>
      <c r="AC648" s="678"/>
      <c r="AD648" s="678"/>
      <c r="AE648" s="678"/>
      <c r="AF648" s="678"/>
      <c r="AG648" s="678"/>
      <c r="AH648" s="678"/>
      <c r="AI648" s="678"/>
      <c r="AJ648" s="678"/>
      <c r="AK648" s="658"/>
    </row>
    <row r="649" spans="2:37" s="104" customFormat="1" ht="15" customHeight="1">
      <c r="B649" s="313"/>
      <c r="C649" s="835" t="s">
        <v>921</v>
      </c>
      <c r="D649" s="105" t="s">
        <v>277</v>
      </c>
      <c r="E649" s="106"/>
      <c r="F649" s="107" t="s">
        <v>654</v>
      </c>
      <c r="G649" s="107"/>
      <c r="H649" s="108"/>
      <c r="I649" s="109"/>
      <c r="J649" s="296"/>
      <c r="K649" s="156"/>
      <c r="L649" s="383"/>
      <c r="M649" s="542"/>
      <c r="N649" s="701"/>
      <c r="O649" s="688"/>
      <c r="P649" s="688"/>
      <c r="Q649" s="688"/>
      <c r="R649" s="688"/>
      <c r="S649" s="688"/>
      <c r="T649" s="688"/>
      <c r="U649" s="688"/>
      <c r="V649" s="688"/>
      <c r="W649" s="688"/>
      <c r="X649" s="688"/>
      <c r="Y649" s="688"/>
      <c r="Z649" s="688"/>
      <c r="AA649" s="688"/>
      <c r="AB649" s="688"/>
      <c r="AC649" s="688"/>
      <c r="AD649" s="688"/>
      <c r="AE649" s="688"/>
      <c r="AF649" s="688"/>
      <c r="AG649" s="688"/>
      <c r="AH649" s="688"/>
      <c r="AI649" s="688"/>
      <c r="AJ649" s="688"/>
      <c r="AK649" s="658"/>
    </row>
    <row r="650" spans="2:37" s="5" customFormat="1">
      <c r="B650" s="313"/>
      <c r="C650" s="837"/>
      <c r="D650" s="17" t="s">
        <v>431</v>
      </c>
      <c r="E650" s="67" t="s">
        <v>60</v>
      </c>
      <c r="F650" s="64">
        <v>25346</v>
      </c>
      <c r="G650" s="64">
        <f>F650*60</f>
        <v>1520760</v>
      </c>
      <c r="H650" s="64"/>
      <c r="I650" s="79"/>
      <c r="J650" s="52"/>
      <c r="K650" s="156"/>
      <c r="L650" s="383"/>
      <c r="M650" s="542"/>
      <c r="N650" s="701"/>
      <c r="O650" s="678"/>
      <c r="P650" s="678"/>
      <c r="Q650" s="678"/>
      <c r="R650" s="678"/>
      <c r="S650" s="678"/>
      <c r="T650" s="678"/>
      <c r="U650" s="678"/>
      <c r="V650" s="678"/>
      <c r="W650" s="678"/>
      <c r="X650" s="678"/>
      <c r="Y650" s="678"/>
      <c r="Z650" s="678"/>
      <c r="AA650" s="678"/>
      <c r="AB650" s="678"/>
      <c r="AC650" s="678"/>
      <c r="AD650" s="678"/>
      <c r="AE650" s="678"/>
      <c r="AF650" s="678"/>
      <c r="AG650" s="678"/>
      <c r="AH650" s="678"/>
      <c r="AI650" s="678"/>
      <c r="AJ650" s="678"/>
      <c r="AK650" s="658"/>
    </row>
    <row r="651" spans="2:37" s="5" customFormat="1">
      <c r="B651" s="313"/>
      <c r="C651" s="837"/>
      <c r="D651" s="17" t="s">
        <v>417</v>
      </c>
      <c r="E651" s="67" t="s">
        <v>60</v>
      </c>
      <c r="F651" s="64">
        <v>21121</v>
      </c>
      <c r="G651" s="64">
        <f>F651*29</f>
        <v>612509</v>
      </c>
      <c r="H651" s="64"/>
      <c r="I651" s="79"/>
      <c r="J651" s="52"/>
      <c r="K651" s="156"/>
      <c r="L651" s="383"/>
      <c r="M651" s="542"/>
      <c r="N651" s="701"/>
      <c r="O651" s="678"/>
      <c r="P651" s="678"/>
      <c r="Q651" s="678"/>
      <c r="R651" s="678"/>
      <c r="S651" s="678"/>
      <c r="T651" s="678"/>
      <c r="U651" s="678"/>
      <c r="V651" s="678"/>
      <c r="W651" s="678"/>
      <c r="X651" s="678"/>
      <c r="Y651" s="678"/>
      <c r="Z651" s="678"/>
      <c r="AA651" s="678"/>
      <c r="AB651" s="678"/>
      <c r="AC651" s="678"/>
      <c r="AD651" s="678"/>
      <c r="AE651" s="678"/>
      <c r="AF651" s="678"/>
      <c r="AG651" s="678"/>
      <c r="AH651" s="678"/>
      <c r="AI651" s="678"/>
      <c r="AJ651" s="678"/>
      <c r="AK651" s="658"/>
    </row>
    <row r="652" spans="2:37" s="5" customFormat="1">
      <c r="B652" s="313"/>
      <c r="C652" s="837"/>
      <c r="D652" s="17"/>
      <c r="E652" s="100"/>
      <c r="F652" s="75"/>
      <c r="G652" s="90"/>
      <c r="H652" s="64"/>
      <c r="I652" s="79"/>
      <c r="J652" s="52"/>
      <c r="K652" s="156"/>
      <c r="L652" s="383"/>
      <c r="M652" s="542"/>
      <c r="N652" s="701"/>
      <c r="O652" s="678"/>
      <c r="P652" s="678"/>
      <c r="Q652" s="678"/>
      <c r="R652" s="678"/>
      <c r="S652" s="678"/>
      <c r="T652" s="678"/>
      <c r="U652" s="678"/>
      <c r="V652" s="678"/>
      <c r="W652" s="678"/>
      <c r="X652" s="678"/>
      <c r="Y652" s="678"/>
      <c r="Z652" s="678"/>
      <c r="AA652" s="678"/>
      <c r="AB652" s="678"/>
      <c r="AC652" s="678"/>
      <c r="AD652" s="678"/>
      <c r="AE652" s="678"/>
      <c r="AF652" s="678"/>
      <c r="AG652" s="678"/>
      <c r="AH652" s="678"/>
      <c r="AI652" s="678"/>
      <c r="AJ652" s="678"/>
      <c r="AK652" s="658"/>
    </row>
    <row r="653" spans="2:37" s="5" customFormat="1">
      <c r="B653" s="313"/>
      <c r="C653" s="835"/>
      <c r="D653" s="113"/>
      <c r="G653" s="163" t="s">
        <v>80</v>
      </c>
      <c r="H653" s="64">
        <f>SUM(G650:G651)</f>
        <v>2133269</v>
      </c>
      <c r="I653" s="79"/>
      <c r="J653" s="52"/>
      <c r="K653" s="156"/>
      <c r="L653" s="383"/>
      <c r="M653" s="542"/>
      <c r="N653" s="701"/>
      <c r="O653" s="678"/>
      <c r="P653" s="678"/>
      <c r="Q653" s="678"/>
      <c r="R653" s="678"/>
      <c r="S653" s="678"/>
      <c r="T653" s="678"/>
      <c r="U653" s="678"/>
      <c r="V653" s="678"/>
      <c r="W653" s="678"/>
      <c r="X653" s="678"/>
      <c r="Y653" s="678"/>
      <c r="Z653" s="678"/>
      <c r="AA653" s="678"/>
      <c r="AB653" s="678"/>
      <c r="AC653" s="678"/>
      <c r="AD653" s="678"/>
      <c r="AE653" s="678"/>
      <c r="AF653" s="678"/>
      <c r="AG653" s="678"/>
      <c r="AH653" s="678"/>
      <c r="AI653" s="678"/>
      <c r="AJ653" s="678"/>
      <c r="AK653" s="658"/>
    </row>
    <row r="654" spans="2:37" s="5" customFormat="1">
      <c r="B654" s="313"/>
      <c r="C654" s="835"/>
      <c r="D654" s="17" t="s">
        <v>81</v>
      </c>
      <c r="E654" s="115">
        <v>0.15</v>
      </c>
      <c r="F654" s="64">
        <f>H653</f>
        <v>2133269</v>
      </c>
      <c r="G654" s="110">
        <v>1</v>
      </c>
      <c r="H654" s="64">
        <f>+G654*F654*E654</f>
        <v>319990.34999999998</v>
      </c>
      <c r="I654" s="79"/>
      <c r="J654" s="52"/>
      <c r="K654" s="156"/>
      <c r="L654" s="383"/>
      <c r="M654" s="542"/>
      <c r="N654" s="701"/>
      <c r="O654" s="678"/>
      <c r="P654" s="678"/>
      <c r="Q654" s="678"/>
      <c r="R654" s="678"/>
      <c r="S654" s="678"/>
      <c r="T654" s="678"/>
      <c r="U654" s="678"/>
      <c r="V654" s="678"/>
      <c r="W654" s="678"/>
      <c r="X654" s="678"/>
      <c r="Y654" s="678"/>
      <c r="Z654" s="678"/>
      <c r="AA654" s="678"/>
      <c r="AB654" s="678"/>
      <c r="AC654" s="678"/>
      <c r="AD654" s="678"/>
      <c r="AE654" s="678"/>
      <c r="AF654" s="678"/>
      <c r="AG654" s="678"/>
      <c r="AH654" s="678"/>
      <c r="AI654" s="678"/>
      <c r="AJ654" s="678"/>
      <c r="AK654" s="658"/>
    </row>
    <row r="655" spans="2:37" s="5" customFormat="1">
      <c r="B655" s="313"/>
      <c r="C655" s="835"/>
      <c r="D655" s="17" t="s">
        <v>82</v>
      </c>
      <c r="E655" s="116">
        <v>0.1</v>
      </c>
      <c r="F655" s="64">
        <f>H653</f>
        <v>2133269</v>
      </c>
      <c r="G655" s="110">
        <v>1</v>
      </c>
      <c r="H655" s="64">
        <f>+G655*F655*E655</f>
        <v>213326.90000000002</v>
      </c>
      <c r="I655" s="79"/>
      <c r="J655" s="52"/>
      <c r="K655" s="156"/>
      <c r="L655" s="383"/>
      <c r="M655" s="542"/>
      <c r="N655" s="701"/>
      <c r="O655" s="678"/>
      <c r="P655" s="678"/>
      <c r="Q655" s="678"/>
      <c r="R655" s="678"/>
      <c r="S655" s="678"/>
      <c r="T655" s="678"/>
      <c r="U655" s="678"/>
      <c r="V655" s="678"/>
      <c r="W655" s="678"/>
      <c r="X655" s="678"/>
      <c r="Y655" s="678"/>
      <c r="Z655" s="678"/>
      <c r="AA655" s="678"/>
      <c r="AB655" s="678"/>
      <c r="AC655" s="678"/>
      <c r="AD655" s="678"/>
      <c r="AE655" s="678"/>
      <c r="AF655" s="678"/>
      <c r="AG655" s="678"/>
      <c r="AH655" s="678"/>
      <c r="AI655" s="678"/>
      <c r="AJ655" s="678"/>
      <c r="AK655" s="658"/>
    </row>
    <row r="656" spans="2:37" s="5" customFormat="1">
      <c r="B656" s="313"/>
      <c r="C656" s="846"/>
      <c r="D656" s="173" t="s">
        <v>32</v>
      </c>
      <c r="E656" s="67" t="s">
        <v>16</v>
      </c>
      <c r="F656" s="84">
        <f>H653+H654+H655</f>
        <v>2666586.25</v>
      </c>
      <c r="G656" s="92">
        <f>$G$43</f>
        <v>8.3299999999999999E-2</v>
      </c>
      <c r="H656" s="64">
        <f>+G656*F656</f>
        <v>222126.63462500001</v>
      </c>
      <c r="I656" s="72">
        <f>SUM(H653:H656)</f>
        <v>2888712.8846249999</v>
      </c>
      <c r="J656" s="52">
        <v>40</v>
      </c>
      <c r="K656" s="156"/>
      <c r="L656" s="383"/>
      <c r="M656" s="542"/>
      <c r="N656" s="701">
        <f>SUM(O656:AJ656)-I656</f>
        <v>-2888712.8846249999</v>
      </c>
      <c r="O656" s="678"/>
      <c r="P656" s="678"/>
      <c r="Q656" s="678"/>
      <c r="R656" s="678"/>
      <c r="S656" s="678"/>
      <c r="T656" s="678"/>
      <c r="U656" s="678"/>
      <c r="V656" s="678"/>
      <c r="W656" s="678"/>
      <c r="X656" s="678"/>
      <c r="Y656" s="678"/>
      <c r="Z656" s="678"/>
      <c r="AA656" s="678"/>
      <c r="AB656" s="678"/>
      <c r="AC656" s="678"/>
      <c r="AD656" s="678"/>
      <c r="AE656" s="678"/>
      <c r="AF656" s="678"/>
      <c r="AG656" s="678"/>
      <c r="AH656" s="678"/>
      <c r="AI656" s="678"/>
      <c r="AJ656" s="678"/>
      <c r="AK656" s="658"/>
    </row>
    <row r="657" spans="1:37" s="548" customFormat="1" ht="14.25" customHeight="1">
      <c r="B657" s="533"/>
      <c r="C657" s="835" t="s">
        <v>922</v>
      </c>
      <c r="D657" s="615" t="s">
        <v>432</v>
      </c>
      <c r="E657" s="616"/>
      <c r="F657" s="617"/>
      <c r="G657" s="617"/>
      <c r="H657" s="618"/>
      <c r="I657" s="619"/>
      <c r="J657" s="555"/>
      <c r="K657" s="540"/>
      <c r="L657" s="541"/>
      <c r="M657" s="542"/>
      <c r="N657" s="701">
        <f t="shared" ref="N657:N670" si="18">SUM(O657:AJ657)-H657</f>
        <v>0</v>
      </c>
      <c r="O657" s="689"/>
      <c r="P657" s="689"/>
      <c r="Q657" s="689"/>
      <c r="R657" s="689"/>
      <c r="S657" s="689"/>
      <c r="T657" s="689"/>
      <c r="U657" s="689"/>
      <c r="V657" s="689"/>
      <c r="W657" s="689"/>
      <c r="X657" s="689"/>
      <c r="Y657" s="689"/>
      <c r="Z657" s="689"/>
      <c r="AA657" s="689"/>
      <c r="AB657" s="689"/>
      <c r="AC657" s="689"/>
      <c r="AD657" s="689"/>
      <c r="AE657" s="689"/>
      <c r="AF657" s="689"/>
      <c r="AG657" s="689"/>
      <c r="AH657" s="689"/>
      <c r="AI657" s="689"/>
      <c r="AJ657" s="689"/>
      <c r="AK657" s="658"/>
    </row>
    <row r="658" spans="1:37" s="532" customFormat="1">
      <c r="B658" s="533"/>
      <c r="C658" s="847"/>
      <c r="D658" s="620" t="s">
        <v>269</v>
      </c>
      <c r="E658" s="616"/>
      <c r="F658" s="617"/>
      <c r="G658" s="617"/>
      <c r="H658" s="618"/>
      <c r="I658" s="569"/>
      <c r="J658" s="547"/>
      <c r="K658" s="540"/>
      <c r="L658" s="541"/>
      <c r="M658" s="542"/>
      <c r="N658" s="701">
        <f t="shared" si="18"/>
        <v>0</v>
      </c>
      <c r="O658" s="690"/>
      <c r="P658" s="690"/>
      <c r="Q658" s="690"/>
      <c r="R658" s="690"/>
      <c r="S658" s="690"/>
      <c r="T658" s="690"/>
      <c r="U658" s="690"/>
      <c r="V658" s="690"/>
      <c r="W658" s="690"/>
      <c r="X658" s="690"/>
      <c r="Y658" s="690"/>
      <c r="Z658" s="690"/>
      <c r="AA658" s="690"/>
      <c r="AB658" s="690"/>
      <c r="AC658" s="690"/>
      <c r="AD658" s="690"/>
      <c r="AE658" s="690"/>
      <c r="AF658" s="690"/>
      <c r="AG658" s="690"/>
      <c r="AH658" s="690"/>
      <c r="AI658" s="690"/>
      <c r="AJ658" s="690"/>
      <c r="AK658" s="658"/>
    </row>
    <row r="659" spans="1:37" s="532" customFormat="1">
      <c r="B659" s="533"/>
      <c r="C659" s="847"/>
      <c r="D659" s="621"/>
      <c r="E659" s="622" t="s">
        <v>84</v>
      </c>
      <c r="F659" s="537">
        <f>+SUTEP!D5</f>
        <v>5836.25</v>
      </c>
      <c r="G659" s="623">
        <v>320</v>
      </c>
      <c r="H659" s="537">
        <f>+F659*G659</f>
        <v>1867600</v>
      </c>
      <c r="I659" s="569"/>
      <c r="J659" s="547"/>
      <c r="K659" s="540"/>
      <c r="L659" s="541"/>
      <c r="M659" s="542"/>
      <c r="N659" s="701">
        <f t="shared" si="18"/>
        <v>-1867600</v>
      </c>
      <c r="O659" s="690"/>
      <c r="P659" s="690"/>
      <c r="Q659" s="690"/>
      <c r="R659" s="690"/>
      <c r="S659" s="690"/>
      <c r="T659" s="690"/>
      <c r="U659" s="690"/>
      <c r="V659" s="690"/>
      <c r="W659" s="690"/>
      <c r="X659" s="690"/>
      <c r="Y659" s="690"/>
      <c r="Z659" s="690"/>
      <c r="AA659" s="690"/>
      <c r="AB659" s="690"/>
      <c r="AC659" s="690"/>
      <c r="AD659" s="690"/>
      <c r="AE659" s="690"/>
      <c r="AF659" s="690"/>
      <c r="AG659" s="690"/>
      <c r="AH659" s="690"/>
      <c r="AI659" s="690"/>
      <c r="AJ659" s="690"/>
      <c r="AK659" s="658"/>
    </row>
    <row r="660" spans="1:37" s="532" customFormat="1">
      <c r="B660" s="533"/>
      <c r="C660" s="847"/>
      <c r="D660" s="621" t="s">
        <v>313</v>
      </c>
      <c r="E660" s="622" t="s">
        <v>86</v>
      </c>
      <c r="F660" s="537">
        <f>+SUTEP!D11</f>
        <v>1823.75</v>
      </c>
      <c r="G660" s="623">
        <v>6</v>
      </c>
      <c r="H660" s="537">
        <f>+F660*G660</f>
        <v>10942.5</v>
      </c>
      <c r="I660" s="569"/>
      <c r="J660" s="547"/>
      <c r="K660" s="540"/>
      <c r="L660" s="541"/>
      <c r="M660" s="542"/>
      <c r="N660" s="701">
        <f t="shared" si="18"/>
        <v>-10942.5</v>
      </c>
      <c r="O660" s="690"/>
      <c r="P660" s="690"/>
      <c r="Q660" s="690"/>
      <c r="R660" s="690"/>
      <c r="S660" s="690"/>
      <c r="T660" s="690"/>
      <c r="U660" s="690"/>
      <c r="V660" s="690"/>
      <c r="W660" s="690"/>
      <c r="X660" s="690"/>
      <c r="Y660" s="690"/>
      <c r="Z660" s="690"/>
      <c r="AA660" s="690"/>
      <c r="AB660" s="690"/>
      <c r="AC660" s="690"/>
      <c r="AD660" s="690"/>
      <c r="AE660" s="690"/>
      <c r="AF660" s="690"/>
      <c r="AG660" s="690"/>
      <c r="AH660" s="690"/>
      <c r="AI660" s="690"/>
      <c r="AJ660" s="690"/>
      <c r="AK660" s="658"/>
    </row>
    <row r="661" spans="1:37" s="532" customFormat="1">
      <c r="B661" s="533"/>
      <c r="C661" s="847"/>
      <c r="D661" s="620" t="s">
        <v>83</v>
      </c>
      <c r="E661" s="616"/>
      <c r="F661" s="617"/>
      <c r="G661" s="617"/>
      <c r="H661" s="618"/>
      <c r="I661" s="569"/>
      <c r="J661" s="547"/>
      <c r="K661" s="540"/>
      <c r="L661" s="541"/>
      <c r="M661" s="542"/>
      <c r="N661" s="701">
        <f t="shared" si="18"/>
        <v>0</v>
      </c>
      <c r="O661" s="690"/>
      <c r="P661" s="690"/>
      <c r="Q661" s="690"/>
      <c r="R661" s="690"/>
      <c r="S661" s="690"/>
      <c r="T661" s="690"/>
      <c r="U661" s="690"/>
      <c r="V661" s="690"/>
      <c r="W661" s="690"/>
      <c r="X661" s="690"/>
      <c r="Y661" s="690"/>
      <c r="Z661" s="690"/>
      <c r="AA661" s="690"/>
      <c r="AB661" s="690"/>
      <c r="AC661" s="690"/>
      <c r="AD661" s="690"/>
      <c r="AE661" s="690"/>
      <c r="AF661" s="690"/>
      <c r="AG661" s="690"/>
      <c r="AH661" s="690"/>
      <c r="AI661" s="690"/>
      <c r="AJ661" s="690"/>
      <c r="AK661" s="658"/>
    </row>
    <row r="662" spans="1:37" s="532" customFormat="1">
      <c r="B662" s="533"/>
      <c r="C662" s="847"/>
      <c r="D662" s="621"/>
      <c r="E662" s="622" t="s">
        <v>84</v>
      </c>
      <c r="F662" s="537">
        <f>+SUTEP!D10</f>
        <v>9723.75</v>
      </c>
      <c r="G662" s="537">
        <v>80</v>
      </c>
      <c r="H662" s="537">
        <f>+F662*G662</f>
        <v>777900</v>
      </c>
      <c r="I662" s="569"/>
      <c r="J662" s="547"/>
      <c r="K662" s="540"/>
      <c r="L662" s="541"/>
      <c r="M662" s="542"/>
      <c r="N662" s="701">
        <f t="shared" si="18"/>
        <v>-777900</v>
      </c>
      <c r="O662" s="690"/>
      <c r="P662" s="690"/>
      <c r="Q662" s="690"/>
      <c r="R662" s="690"/>
      <c r="S662" s="690"/>
      <c r="T662" s="690"/>
      <c r="U662" s="690"/>
      <c r="V662" s="690"/>
      <c r="W662" s="690"/>
      <c r="X662" s="690"/>
      <c r="Y662" s="690"/>
      <c r="Z662" s="690"/>
      <c r="AA662" s="690"/>
      <c r="AB662" s="690"/>
      <c r="AC662" s="690"/>
      <c r="AD662" s="690"/>
      <c r="AE662" s="690"/>
      <c r="AF662" s="690"/>
      <c r="AG662" s="690"/>
      <c r="AH662" s="690"/>
      <c r="AI662" s="690"/>
      <c r="AJ662" s="690"/>
      <c r="AK662" s="658"/>
    </row>
    <row r="663" spans="1:37" s="532" customFormat="1">
      <c r="B663" s="533"/>
      <c r="C663" s="847"/>
      <c r="D663" s="621" t="s">
        <v>85</v>
      </c>
      <c r="E663" s="622" t="s">
        <v>86</v>
      </c>
      <c r="F663" s="537">
        <f>+SUTEP!D11</f>
        <v>1823.75</v>
      </c>
      <c r="G663" s="623">
        <f>G662*3</f>
        <v>240</v>
      </c>
      <c r="H663" s="537">
        <f>+F663*G663</f>
        <v>437700</v>
      </c>
      <c r="I663" s="569"/>
      <c r="J663" s="547"/>
      <c r="K663" s="540"/>
      <c r="L663" s="541"/>
      <c r="M663" s="542"/>
      <c r="N663" s="701">
        <f t="shared" si="18"/>
        <v>-437700</v>
      </c>
      <c r="O663" s="690"/>
      <c r="P663" s="690"/>
      <c r="Q663" s="690"/>
      <c r="R663" s="690"/>
      <c r="S663" s="690"/>
      <c r="T663" s="690"/>
      <c r="U663" s="690"/>
      <c r="V663" s="690"/>
      <c r="W663" s="690"/>
      <c r="X663" s="690"/>
      <c r="Y663" s="690"/>
      <c r="Z663" s="690"/>
      <c r="AA663" s="690"/>
      <c r="AB663" s="690"/>
      <c r="AC663" s="690"/>
      <c r="AD663" s="690"/>
      <c r="AE663" s="690"/>
      <c r="AF663" s="690"/>
      <c r="AG663" s="690"/>
      <c r="AH663" s="690"/>
      <c r="AI663" s="690"/>
      <c r="AJ663" s="690"/>
      <c r="AK663" s="658"/>
    </row>
    <row r="664" spans="1:37" s="532" customFormat="1">
      <c r="B664" s="533"/>
      <c r="C664" s="847"/>
      <c r="D664" s="620"/>
      <c r="E664" s="616"/>
      <c r="F664" s="617"/>
      <c r="G664" s="617"/>
      <c r="H664" s="618"/>
      <c r="I664" s="569"/>
      <c r="J664" s="547"/>
      <c r="K664" s="540"/>
      <c r="L664" s="541"/>
      <c r="M664" s="542"/>
      <c r="N664" s="701">
        <f t="shared" si="18"/>
        <v>0</v>
      </c>
      <c r="O664" s="690"/>
      <c r="P664" s="690"/>
      <c r="Q664" s="690"/>
      <c r="R664" s="690"/>
      <c r="S664" s="690"/>
      <c r="T664" s="690"/>
      <c r="U664" s="690"/>
      <c r="V664" s="690"/>
      <c r="W664" s="690"/>
      <c r="X664" s="690"/>
      <c r="Y664" s="690"/>
      <c r="Z664" s="690"/>
      <c r="AA664" s="690"/>
      <c r="AB664" s="690"/>
      <c r="AC664" s="690"/>
      <c r="AD664" s="690"/>
      <c r="AE664" s="690"/>
      <c r="AF664" s="690"/>
      <c r="AG664" s="690"/>
      <c r="AH664" s="690"/>
      <c r="AI664" s="690"/>
      <c r="AJ664" s="690"/>
      <c r="AK664" s="658"/>
    </row>
    <row r="665" spans="1:37" s="532" customFormat="1">
      <c r="B665" s="533"/>
      <c r="C665" s="847"/>
      <c r="D665" s="621"/>
      <c r="E665" s="622"/>
      <c r="F665" s="537"/>
      <c r="G665" s="537"/>
      <c r="H665" s="537"/>
      <c r="I665" s="569"/>
      <c r="J665" s="547"/>
      <c r="K665" s="540"/>
      <c r="L665" s="541"/>
      <c r="M665" s="542"/>
      <c r="N665" s="701">
        <f t="shared" si="18"/>
        <v>0</v>
      </c>
      <c r="O665" s="690"/>
      <c r="P665" s="690"/>
      <c r="Q665" s="690"/>
      <c r="R665" s="690"/>
      <c r="S665" s="690"/>
      <c r="T665" s="690"/>
      <c r="U665" s="690"/>
      <c r="V665" s="690"/>
      <c r="W665" s="690"/>
      <c r="X665" s="690"/>
      <c r="Y665" s="690"/>
      <c r="Z665" s="690"/>
      <c r="AA665" s="690"/>
      <c r="AB665" s="690"/>
      <c r="AC665" s="690"/>
      <c r="AD665" s="690"/>
      <c r="AE665" s="690"/>
      <c r="AF665" s="690"/>
      <c r="AG665" s="690"/>
      <c r="AH665" s="690"/>
      <c r="AI665" s="690"/>
      <c r="AJ665" s="690"/>
      <c r="AK665" s="658"/>
    </row>
    <row r="666" spans="1:37" s="532" customFormat="1">
      <c r="B666" s="533"/>
      <c r="C666" s="847"/>
      <c r="D666" s="621"/>
      <c r="E666" s="622"/>
      <c r="F666" s="537"/>
      <c r="G666" s="623"/>
      <c r="H666" s="537">
        <f>+F666*G666</f>
        <v>0</v>
      </c>
      <c r="I666" s="569"/>
      <c r="J666" s="547"/>
      <c r="K666" s="540"/>
      <c r="L666" s="541"/>
      <c r="M666" s="542"/>
      <c r="N666" s="701">
        <f t="shared" si="18"/>
        <v>0</v>
      </c>
      <c r="O666" s="690"/>
      <c r="P666" s="690"/>
      <c r="Q666" s="690"/>
      <c r="R666" s="690"/>
      <c r="S666" s="690"/>
      <c r="T666" s="690"/>
      <c r="U666" s="690"/>
      <c r="V666" s="690"/>
      <c r="W666" s="690"/>
      <c r="X666" s="690"/>
      <c r="Y666" s="690"/>
      <c r="Z666" s="690"/>
      <c r="AA666" s="690"/>
      <c r="AB666" s="690"/>
      <c r="AC666" s="690"/>
      <c r="AD666" s="690"/>
      <c r="AE666" s="690"/>
      <c r="AF666" s="690"/>
      <c r="AG666" s="690"/>
      <c r="AH666" s="690"/>
      <c r="AI666" s="690"/>
      <c r="AJ666" s="690"/>
      <c r="AK666" s="658"/>
    </row>
    <row r="667" spans="1:37" s="532" customFormat="1">
      <c r="B667" s="533"/>
      <c r="C667" s="847"/>
      <c r="D667" s="620" t="s">
        <v>87</v>
      </c>
      <c r="E667" s="616"/>
      <c r="F667" s="617"/>
      <c r="G667" s="617"/>
      <c r="H667" s="618"/>
      <c r="I667" s="569"/>
      <c r="J667" s="547"/>
      <c r="K667" s="540"/>
      <c r="L667" s="541"/>
      <c r="M667" s="542"/>
      <c r="N667" s="701">
        <f t="shared" si="18"/>
        <v>0</v>
      </c>
      <c r="O667" s="690"/>
      <c r="P667" s="690"/>
      <c r="Q667" s="690"/>
      <c r="R667" s="690"/>
      <c r="S667" s="690"/>
      <c r="T667" s="690"/>
      <c r="U667" s="690"/>
      <c r="V667" s="690"/>
      <c r="W667" s="690"/>
      <c r="X667" s="690"/>
      <c r="Y667" s="690"/>
      <c r="Z667" s="690"/>
      <c r="AA667" s="690"/>
      <c r="AB667" s="690"/>
      <c r="AC667" s="690"/>
      <c r="AD667" s="690"/>
      <c r="AE667" s="690"/>
      <c r="AF667" s="690"/>
      <c r="AG667" s="690"/>
      <c r="AH667" s="690"/>
      <c r="AI667" s="690"/>
      <c r="AJ667" s="690"/>
      <c r="AK667" s="658"/>
    </row>
    <row r="668" spans="1:37" s="532" customFormat="1">
      <c r="B668" s="533"/>
      <c r="C668" s="847"/>
      <c r="D668" s="621" t="s">
        <v>336</v>
      </c>
      <c r="E668" s="622" t="s">
        <v>29</v>
      </c>
      <c r="F668" s="537">
        <f>+SUTEP!D17</f>
        <v>11493.75</v>
      </c>
      <c r="G668" s="537">
        <v>20</v>
      </c>
      <c r="H668" s="537">
        <f>+F668*G668</f>
        <v>229875</v>
      </c>
      <c r="I668" s="569"/>
      <c r="J668" s="547"/>
      <c r="K668" s="540"/>
      <c r="L668" s="541"/>
      <c r="M668" s="542"/>
      <c r="N668" s="701">
        <f t="shared" si="18"/>
        <v>-229875</v>
      </c>
      <c r="O668" s="690"/>
      <c r="P668" s="690"/>
      <c r="Q668" s="690"/>
      <c r="R668" s="690"/>
      <c r="S668" s="690"/>
      <c r="T668" s="690"/>
      <c r="U668" s="690"/>
      <c r="V668" s="690"/>
      <c r="W668" s="690"/>
      <c r="X668" s="690"/>
      <c r="Y668" s="690"/>
      <c r="Z668" s="690"/>
      <c r="AA668" s="690"/>
      <c r="AB668" s="690"/>
      <c r="AC668" s="690"/>
      <c r="AD668" s="690"/>
      <c r="AE668" s="690"/>
      <c r="AF668" s="690"/>
      <c r="AG668" s="690"/>
      <c r="AH668" s="690"/>
      <c r="AI668" s="690"/>
      <c r="AJ668" s="690"/>
      <c r="AK668" s="658"/>
    </row>
    <row r="669" spans="1:37" s="532" customFormat="1">
      <c r="B669" s="533"/>
      <c r="C669" s="847"/>
      <c r="D669" s="621" t="s">
        <v>88</v>
      </c>
      <c r="E669" s="622" t="s">
        <v>86</v>
      </c>
      <c r="F669" s="537">
        <f>+SUTEP!D19</f>
        <v>2873.75</v>
      </c>
      <c r="G669" s="623">
        <f>G668*3</f>
        <v>60</v>
      </c>
      <c r="H669" s="537">
        <f>+F669*G669</f>
        <v>172425</v>
      </c>
      <c r="I669" s="624"/>
      <c r="J669" s="547"/>
      <c r="K669" s="540"/>
      <c r="L669" s="541"/>
      <c r="M669" s="542"/>
      <c r="N669" s="701">
        <f t="shared" si="18"/>
        <v>-172425</v>
      </c>
      <c r="O669" s="690"/>
      <c r="P669" s="690"/>
      <c r="Q669" s="690"/>
      <c r="R669" s="690"/>
      <c r="S669" s="690"/>
      <c r="T669" s="690"/>
      <c r="U669" s="690"/>
      <c r="V669" s="690"/>
      <c r="W669" s="690"/>
      <c r="X669" s="690"/>
      <c r="Y669" s="690"/>
      <c r="Z669" s="690"/>
      <c r="AA669" s="690"/>
      <c r="AB669" s="690"/>
      <c r="AC669" s="690"/>
      <c r="AD669" s="690"/>
      <c r="AE669" s="690"/>
      <c r="AF669" s="690"/>
      <c r="AG669" s="690"/>
      <c r="AH669" s="690"/>
      <c r="AI669" s="690"/>
      <c r="AJ669" s="690"/>
      <c r="AK669" s="658"/>
    </row>
    <row r="670" spans="1:37" s="532" customFormat="1">
      <c r="B670" s="533"/>
      <c r="C670" s="847"/>
      <c r="D670" s="625"/>
      <c r="E670" s="626"/>
      <c r="F670" s="537"/>
      <c r="G670" s="623"/>
      <c r="H670" s="575"/>
      <c r="I670" s="546">
        <f>SUM(H659:H670)</f>
        <v>3496442.5</v>
      </c>
      <c r="J670" s="547">
        <v>120</v>
      </c>
      <c r="K670" s="540"/>
      <c r="L670" s="541"/>
      <c r="M670" s="542"/>
      <c r="N670" s="701">
        <f t="shared" si="18"/>
        <v>0</v>
      </c>
      <c r="O670" s="690"/>
      <c r="P670" s="690"/>
      <c r="Q670" s="690"/>
      <c r="R670" s="690"/>
      <c r="S670" s="690"/>
      <c r="T670" s="690"/>
      <c r="U670" s="690"/>
      <c r="V670" s="690"/>
      <c r="W670" s="690"/>
      <c r="X670" s="690"/>
      <c r="Y670" s="690"/>
      <c r="Z670" s="690"/>
      <c r="AA670" s="690"/>
      <c r="AB670" s="690"/>
      <c r="AC670" s="690"/>
      <c r="AD670" s="690"/>
      <c r="AE670" s="690"/>
      <c r="AF670" s="690"/>
      <c r="AG670" s="690"/>
      <c r="AH670" s="690"/>
      <c r="AI670" s="690"/>
      <c r="AJ670" s="690"/>
      <c r="AK670" s="658"/>
    </row>
    <row r="671" spans="1:37" s="104" customFormat="1" ht="15" customHeight="1" thickBot="1">
      <c r="B671" s="313"/>
      <c r="C671" s="848"/>
      <c r="D671" s="174" t="s">
        <v>89</v>
      </c>
      <c r="E671" s="120"/>
      <c r="F671" s="91"/>
      <c r="G671" s="121"/>
      <c r="H671" s="64"/>
      <c r="I671" s="94"/>
      <c r="J671" s="52"/>
      <c r="K671" s="156"/>
      <c r="L671" s="383"/>
      <c r="M671" s="542"/>
      <c r="N671" s="701">
        <f>SUM(O671:AJ671)-I671</f>
        <v>0</v>
      </c>
      <c r="O671" s="688"/>
      <c r="P671" s="688"/>
      <c r="Q671" s="688"/>
      <c r="R671" s="688"/>
      <c r="S671" s="688"/>
      <c r="T671" s="688"/>
      <c r="U671" s="688"/>
      <c r="V671" s="688"/>
      <c r="W671" s="688"/>
      <c r="X671" s="688"/>
      <c r="Y671" s="688"/>
      <c r="Z671" s="688"/>
      <c r="AA671" s="688"/>
      <c r="AB671" s="688"/>
      <c r="AC671" s="688"/>
      <c r="AD671" s="688"/>
      <c r="AE671" s="688"/>
      <c r="AF671" s="688"/>
      <c r="AG671" s="688"/>
      <c r="AH671" s="688"/>
      <c r="AI671" s="688"/>
      <c r="AJ671" s="688"/>
      <c r="AK671" s="658"/>
    </row>
    <row r="672" spans="1:37" s="636" customFormat="1" ht="15" customHeight="1" thickBot="1">
      <c r="A672" s="627"/>
      <c r="B672" s="628"/>
      <c r="C672" s="849"/>
      <c r="D672" s="629"/>
      <c r="E672" s="630"/>
      <c r="F672" s="911" t="s">
        <v>90</v>
      </c>
      <c r="G672" s="911" t="s">
        <v>10</v>
      </c>
      <c r="H672" s="631"/>
      <c r="I672" s="632">
        <f>SUM(I626:I670)</f>
        <v>14594442.014625</v>
      </c>
      <c r="J672" s="633"/>
      <c r="K672" s="634"/>
      <c r="L672" s="635"/>
      <c r="M672" s="602">
        <f>+N627+N628</f>
        <v>0</v>
      </c>
      <c r="N672" s="701"/>
      <c r="O672" s="691"/>
      <c r="P672" s="691"/>
      <c r="Q672" s="691"/>
      <c r="R672" s="691"/>
      <c r="S672" s="691"/>
      <c r="T672" s="691"/>
      <c r="U672" s="691"/>
      <c r="V672" s="691"/>
      <c r="W672" s="691"/>
      <c r="X672" s="691"/>
      <c r="Y672" s="691"/>
      <c r="Z672" s="691"/>
      <c r="AA672" s="691"/>
      <c r="AB672" s="691"/>
      <c r="AC672" s="691"/>
      <c r="AD672" s="691"/>
      <c r="AE672" s="691"/>
      <c r="AF672" s="691"/>
      <c r="AG672" s="691"/>
      <c r="AH672" s="691"/>
      <c r="AI672" s="691"/>
      <c r="AJ672" s="691"/>
      <c r="AK672" s="658"/>
    </row>
    <row r="673" spans="1:37" s="543" customFormat="1" ht="12.75" customHeight="1">
      <c r="B673" s="610"/>
      <c r="C673" s="845"/>
      <c r="D673" s="611"/>
      <c r="E673" s="637"/>
      <c r="F673" s="638"/>
      <c r="G673" s="612"/>
      <c r="H673" s="613"/>
      <c r="I673" s="614"/>
      <c r="J673" s="614"/>
      <c r="K673" s="540"/>
      <c r="L673" s="541"/>
      <c r="M673" s="596"/>
      <c r="N673" s="701">
        <f>SUM(O673:AJ673)-I673</f>
        <v>0</v>
      </c>
      <c r="O673" s="687"/>
      <c r="P673" s="687"/>
      <c r="Q673" s="687"/>
      <c r="R673" s="687"/>
      <c r="S673" s="687"/>
      <c r="T673" s="687"/>
      <c r="U673" s="687"/>
      <c r="V673" s="687"/>
      <c r="W673" s="687"/>
      <c r="X673" s="687"/>
      <c r="Y673" s="687"/>
      <c r="Z673" s="687"/>
      <c r="AA673" s="687"/>
      <c r="AB673" s="687"/>
      <c r="AC673" s="687"/>
      <c r="AD673" s="687"/>
      <c r="AE673" s="687"/>
      <c r="AF673" s="687"/>
      <c r="AG673" s="687"/>
      <c r="AH673" s="687"/>
      <c r="AI673" s="687"/>
      <c r="AJ673" s="687"/>
      <c r="AK673" s="658"/>
    </row>
    <row r="674" spans="1:37" s="543" customFormat="1" ht="30" customHeight="1">
      <c r="B674" s="610"/>
      <c r="C674" s="845"/>
      <c r="D674" s="611"/>
      <c r="E674" s="637"/>
      <c r="F674" s="638"/>
      <c r="G674" s="612"/>
      <c r="H674" s="613"/>
      <c r="I674" s="614"/>
      <c r="J674" s="614"/>
      <c r="K674" s="634"/>
      <c r="L674" s="635"/>
      <c r="M674" s="596"/>
      <c r="N674" s="701">
        <f>SUM(O674:AJ674)-I674</f>
        <v>0</v>
      </c>
      <c r="O674" s="687"/>
      <c r="P674" s="687"/>
      <c r="Q674" s="687"/>
      <c r="R674" s="687"/>
      <c r="S674" s="687"/>
      <c r="T674" s="687"/>
      <c r="U674" s="687"/>
      <c r="V674" s="687"/>
      <c r="W674" s="687"/>
      <c r="X674" s="687"/>
      <c r="Y674" s="687"/>
      <c r="Z674" s="687"/>
      <c r="AA674" s="687"/>
      <c r="AB674" s="687"/>
      <c r="AC674" s="687"/>
      <c r="AD674" s="687"/>
      <c r="AE674" s="687"/>
      <c r="AF674" s="687"/>
      <c r="AG674" s="687"/>
      <c r="AH674" s="687"/>
      <c r="AI674" s="687"/>
      <c r="AJ674" s="687"/>
      <c r="AK674" s="658"/>
    </row>
    <row r="675" spans="1:37" s="48" customFormat="1" ht="15" customHeight="1">
      <c r="A675" s="45"/>
      <c r="B675" s="312"/>
      <c r="C675" s="834"/>
      <c r="D675" s="33" t="s">
        <v>91</v>
      </c>
      <c r="E675" s="56" t="s">
        <v>13</v>
      </c>
      <c r="F675" s="57" t="s">
        <v>14</v>
      </c>
      <c r="G675" s="860" t="s">
        <v>15</v>
      </c>
      <c r="H675" s="192" t="s">
        <v>8</v>
      </c>
      <c r="I675" s="59"/>
      <c r="J675" s="614"/>
      <c r="K675" s="156"/>
      <c r="L675" s="383"/>
      <c r="M675" s="593"/>
      <c r="N675" s="701">
        <f>SUM(O675:AJ675)-I675</f>
        <v>0</v>
      </c>
      <c r="O675" s="676"/>
      <c r="P675" s="676"/>
      <c r="Q675" s="676"/>
      <c r="R675" s="676"/>
      <c r="S675" s="676"/>
      <c r="T675" s="676"/>
      <c r="U675" s="676"/>
      <c r="V675" s="676"/>
      <c r="W675" s="676"/>
      <c r="X675" s="676"/>
      <c r="Y675" s="676"/>
      <c r="Z675" s="676"/>
      <c r="AA675" s="676"/>
      <c r="AB675" s="676"/>
      <c r="AC675" s="676"/>
      <c r="AD675" s="676"/>
      <c r="AE675" s="676"/>
      <c r="AF675" s="676"/>
      <c r="AG675" s="676"/>
      <c r="AH675" s="676"/>
      <c r="AI675" s="676"/>
      <c r="AJ675" s="676"/>
      <c r="AK675" s="658"/>
    </row>
    <row r="676" spans="1:37" s="673" customFormat="1" ht="15" customHeight="1">
      <c r="A676" s="660"/>
      <c r="B676" s="661"/>
      <c r="C676" s="835" t="s">
        <v>920</v>
      </c>
      <c r="D676" s="662" t="s">
        <v>332</v>
      </c>
      <c r="E676" s="663">
        <f>(23.3+2.4)/100</f>
        <v>0.25700000000000001</v>
      </c>
      <c r="F676" s="664">
        <f>I672-(I670+H630)</f>
        <v>10097999.514625</v>
      </c>
      <c r="G676" s="665">
        <v>1</v>
      </c>
      <c r="H676" s="666">
        <f>E676*F676*G676</f>
        <v>2595185.875258625</v>
      </c>
      <c r="I676" s="667"/>
      <c r="J676" s="668"/>
      <c r="K676" s="669"/>
      <c r="L676" s="670"/>
      <c r="M676" s="671"/>
      <c r="N676" s="702">
        <f>SUM(O676:AJ676)-H676</f>
        <v>-2595185.875258625</v>
      </c>
      <c r="O676" s="692"/>
      <c r="P676" s="692"/>
      <c r="Q676" s="692"/>
      <c r="R676" s="692"/>
      <c r="S676" s="692"/>
      <c r="T676" s="692"/>
      <c r="U676" s="692"/>
      <c r="V676" s="692"/>
      <c r="W676" s="692"/>
      <c r="X676" s="692"/>
      <c r="Y676" s="692"/>
      <c r="Z676" s="692"/>
      <c r="AA676" s="692"/>
      <c r="AB676" s="692"/>
      <c r="AC676" s="692"/>
      <c r="AD676" s="692"/>
      <c r="AE676" s="692"/>
      <c r="AF676" s="692"/>
      <c r="AG676" s="692"/>
      <c r="AH676" s="692"/>
      <c r="AI676" s="692"/>
      <c r="AJ676" s="692"/>
      <c r="AK676" s="672"/>
    </row>
    <row r="677" spans="1:37" ht="15" customHeight="1">
      <c r="A677" s="5"/>
      <c r="B677" s="313"/>
      <c r="C677" s="835"/>
      <c r="D677" s="234" t="s">
        <v>433</v>
      </c>
      <c r="E677" s="215"/>
      <c r="F677" s="272"/>
      <c r="G677" s="65"/>
      <c r="H677" s="64"/>
      <c r="I677" s="123"/>
      <c r="J677" s="614"/>
      <c r="K677" s="156"/>
      <c r="L677" s="383"/>
      <c r="M677" s="542"/>
      <c r="N677" s="701">
        <f>SUM(O677:AJ677)-I677</f>
        <v>0</v>
      </c>
      <c r="O677" s="675"/>
      <c r="P677" s="675"/>
      <c r="Q677" s="675"/>
      <c r="R677" s="675"/>
      <c r="S677" s="675"/>
      <c r="T677" s="675"/>
      <c r="U677" s="675"/>
      <c r="V677" s="675"/>
      <c r="W677" s="675"/>
      <c r="X677" s="675"/>
      <c r="Y677" s="675"/>
      <c r="Z677" s="675"/>
      <c r="AA677" s="675"/>
      <c r="AB677" s="675"/>
      <c r="AC677" s="675"/>
      <c r="AD677" s="675"/>
      <c r="AE677" s="675"/>
      <c r="AF677" s="675"/>
      <c r="AG677" s="675"/>
      <c r="AH677" s="675"/>
      <c r="AI677" s="675"/>
      <c r="AJ677" s="675"/>
      <c r="AK677" s="658"/>
    </row>
    <row r="678" spans="1:37" s="543" customFormat="1" ht="15" customHeight="1">
      <c r="A678" s="532"/>
      <c r="B678" s="533"/>
      <c r="C678" s="847" t="s">
        <v>923</v>
      </c>
      <c r="D678" s="562" t="s">
        <v>286</v>
      </c>
      <c r="E678" s="751">
        <f>(23.3+2.4)/100</f>
        <v>0.25700000000000001</v>
      </c>
      <c r="F678" s="752">
        <f>H622</f>
        <v>43419640.511914</v>
      </c>
      <c r="G678" s="536">
        <v>1</v>
      </c>
      <c r="H678" s="537">
        <f>E678*F678*G678</f>
        <v>11158847.611561898</v>
      </c>
      <c r="I678" s="538"/>
      <c r="J678" s="614"/>
      <c r="K678" s="634"/>
      <c r="L678" s="635"/>
      <c r="M678" s="542"/>
      <c r="N678" s="753">
        <f>SUM(O678:AJ678)-H678</f>
        <v>-11158847.611561898</v>
      </c>
      <c r="O678" s="687"/>
      <c r="P678" s="687"/>
      <c r="Q678" s="687"/>
      <c r="R678" s="687"/>
      <c r="S678" s="687"/>
      <c r="T678" s="687"/>
      <c r="U678" s="687"/>
      <c r="V678" s="687"/>
      <c r="W678" s="687"/>
      <c r="X678" s="687"/>
      <c r="Y678" s="687"/>
      <c r="Z678" s="687"/>
      <c r="AA678" s="687"/>
      <c r="AB678" s="687"/>
      <c r="AC678" s="687"/>
      <c r="AD678" s="687"/>
      <c r="AE678" s="687"/>
      <c r="AF678" s="687"/>
      <c r="AG678" s="687"/>
      <c r="AH678" s="687"/>
      <c r="AI678" s="687"/>
      <c r="AJ678" s="687"/>
      <c r="AK678" s="750"/>
    </row>
    <row r="679" spans="1:37" ht="15" customHeight="1">
      <c r="A679" s="5"/>
      <c r="B679" s="313"/>
      <c r="C679" s="835" t="s">
        <v>923</v>
      </c>
      <c r="D679" s="234" t="s">
        <v>434</v>
      </c>
      <c r="E679" s="215"/>
      <c r="F679" s="272"/>
      <c r="G679" s="65"/>
      <c r="H679" s="64"/>
      <c r="I679" s="123"/>
      <c r="J679" s="614"/>
      <c r="K679" s="156"/>
      <c r="L679" s="383"/>
      <c r="M679" s="542"/>
      <c r="N679" s="701">
        <f>SUM(O679:AJ679)-I679</f>
        <v>0</v>
      </c>
      <c r="O679" s="675"/>
      <c r="P679" s="675"/>
      <c r="Q679" s="675"/>
      <c r="R679" s="675"/>
      <c r="S679" s="675"/>
      <c r="T679" s="675"/>
      <c r="U679" s="675"/>
      <c r="V679" s="675"/>
      <c r="W679" s="675"/>
      <c r="X679" s="675"/>
      <c r="Y679" s="675"/>
      <c r="Z679" s="675"/>
      <c r="AA679" s="675"/>
      <c r="AB679" s="675"/>
      <c r="AC679" s="675"/>
      <c r="AD679" s="675"/>
      <c r="AE679" s="675"/>
      <c r="AF679" s="675"/>
      <c r="AG679" s="675"/>
      <c r="AH679" s="675"/>
      <c r="AI679" s="675"/>
      <c r="AJ679" s="675"/>
      <c r="AK679" s="658"/>
    </row>
    <row r="680" spans="1:37" ht="15" customHeight="1">
      <c r="A680" s="5"/>
      <c r="B680" s="313"/>
      <c r="C680" s="835" t="s">
        <v>923</v>
      </c>
      <c r="D680" s="122" t="s">
        <v>287</v>
      </c>
      <c r="E680" s="274">
        <v>0.13</v>
      </c>
      <c r="F680" s="272">
        <f>H759+H760</f>
        <v>304802.21999999997</v>
      </c>
      <c r="G680" s="65">
        <v>1</v>
      </c>
      <c r="H680" s="64">
        <f>E680*F680*G680</f>
        <v>39624.2886</v>
      </c>
      <c r="I680" s="123"/>
      <c r="J680" s="614"/>
      <c r="K680" s="158"/>
      <c r="L680" s="386"/>
      <c r="M680" s="542"/>
      <c r="N680" s="701">
        <f>SUM(O680:AJ680)-H680</f>
        <v>-39624.2886</v>
      </c>
      <c r="O680" s="675"/>
      <c r="P680" s="675"/>
      <c r="Q680" s="675"/>
      <c r="R680" s="675"/>
      <c r="S680" s="675"/>
      <c r="T680" s="675"/>
      <c r="U680" s="675"/>
      <c r="V680" s="675"/>
      <c r="W680" s="675"/>
      <c r="X680" s="675"/>
      <c r="Y680" s="675"/>
      <c r="Z680" s="675"/>
      <c r="AA680" s="675"/>
      <c r="AB680" s="675"/>
      <c r="AC680" s="675"/>
      <c r="AD680" s="675"/>
      <c r="AE680" s="675"/>
      <c r="AF680" s="675"/>
      <c r="AG680" s="675"/>
      <c r="AH680" s="675"/>
      <c r="AI680" s="675"/>
      <c r="AJ680" s="675"/>
      <c r="AK680" s="658"/>
    </row>
    <row r="681" spans="1:37" ht="15" customHeight="1">
      <c r="A681" s="5"/>
      <c r="B681" s="313"/>
      <c r="C681" s="835" t="s">
        <v>922</v>
      </c>
      <c r="D681" s="273" t="s">
        <v>333</v>
      </c>
      <c r="E681" s="275">
        <v>0.15</v>
      </c>
      <c r="F681" s="272">
        <f>I670</f>
        <v>3496442.5</v>
      </c>
      <c r="G681" s="65">
        <v>1</v>
      </c>
      <c r="H681" s="64">
        <f>E681*F681*G681</f>
        <v>524466.375</v>
      </c>
      <c r="I681" s="123"/>
      <c r="J681" s="614"/>
      <c r="K681" s="156"/>
      <c r="L681" s="383"/>
      <c r="M681" s="542"/>
      <c r="N681" s="701">
        <f>SUM(O681:AJ681)-H681</f>
        <v>-524466.375</v>
      </c>
      <c r="O681" s="675"/>
      <c r="P681" s="675"/>
      <c r="Q681" s="675"/>
      <c r="R681" s="675"/>
      <c r="S681" s="675"/>
      <c r="T681" s="675"/>
      <c r="U681" s="675"/>
      <c r="V681" s="675"/>
      <c r="W681" s="675"/>
      <c r="X681" s="675"/>
      <c r="Y681" s="675"/>
      <c r="Z681" s="675"/>
      <c r="AA681" s="675"/>
      <c r="AB681" s="675"/>
      <c r="AC681" s="675"/>
      <c r="AD681" s="675"/>
      <c r="AE681" s="675"/>
      <c r="AF681" s="675"/>
      <c r="AG681" s="675"/>
      <c r="AH681" s="675"/>
      <c r="AI681" s="675"/>
      <c r="AJ681" s="675"/>
      <c r="AK681" s="658"/>
    </row>
    <row r="682" spans="1:37" s="48" customFormat="1" ht="15" customHeight="1">
      <c r="A682" s="45"/>
      <c r="B682" s="314"/>
      <c r="C682" s="836"/>
      <c r="D682" s="73"/>
      <c r="E682" s="71"/>
      <c r="F682" s="906" t="s">
        <v>92</v>
      </c>
      <c r="G682" s="906" t="s">
        <v>10</v>
      </c>
      <c r="H682" s="191"/>
      <c r="I682" s="472">
        <f>SUM(H676:H681)</f>
        <v>14318124.150420522</v>
      </c>
      <c r="J682" s="294">
        <v>12</v>
      </c>
      <c r="K682" s="158"/>
      <c r="L682" s="386"/>
      <c r="M682" s="593"/>
      <c r="N682" s="701">
        <f>SUM(O682:AJ682)-I682</f>
        <v>-14318124.150420522</v>
      </c>
      <c r="O682" s="676"/>
      <c r="P682" s="676"/>
      <c r="Q682" s="676"/>
      <c r="R682" s="676"/>
      <c r="S682" s="676"/>
      <c r="T682" s="676"/>
      <c r="U682" s="676"/>
      <c r="V682" s="676"/>
      <c r="W682" s="676"/>
      <c r="X682" s="676"/>
      <c r="Y682" s="676"/>
      <c r="Z682" s="676"/>
      <c r="AA682" s="676"/>
      <c r="AB682" s="676"/>
      <c r="AC682" s="676"/>
      <c r="AD682" s="676"/>
      <c r="AE682" s="676"/>
      <c r="AF682" s="676"/>
      <c r="AG682" s="676"/>
      <c r="AH682" s="676"/>
      <c r="AI682" s="676"/>
      <c r="AJ682" s="676"/>
      <c r="AK682" s="658"/>
    </row>
    <row r="683" spans="1:37" s="53" customFormat="1" ht="30" customHeight="1">
      <c r="B683" s="316"/>
      <c r="C683" s="832"/>
      <c r="D683" s="164"/>
      <c r="E683" s="165"/>
      <c r="F683" s="166"/>
      <c r="G683" s="167"/>
      <c r="H683" s="168"/>
      <c r="I683" s="169"/>
      <c r="J683" s="169"/>
      <c r="K683" s="156"/>
      <c r="L683" s="383"/>
      <c r="M683" s="596"/>
      <c r="N683" s="701"/>
      <c r="O683" s="677"/>
      <c r="P683" s="677"/>
      <c r="Q683" s="677"/>
      <c r="R683" s="677"/>
      <c r="S683" s="677"/>
      <c r="T683" s="677"/>
      <c r="U683" s="677"/>
      <c r="V683" s="677"/>
      <c r="W683" s="677"/>
      <c r="X683" s="677"/>
      <c r="Y683" s="677"/>
      <c r="Z683" s="677"/>
      <c r="AA683" s="677"/>
      <c r="AB683" s="677"/>
      <c r="AC683" s="677"/>
      <c r="AD683" s="677"/>
      <c r="AE683" s="677"/>
      <c r="AF683" s="677"/>
      <c r="AG683" s="677"/>
      <c r="AH683" s="677"/>
      <c r="AI683" s="677"/>
      <c r="AJ683" s="677"/>
      <c r="AK683" s="658"/>
    </row>
    <row r="684" spans="1:37" s="48" customFormat="1" ht="15" customHeight="1">
      <c r="A684" s="45"/>
      <c r="B684" s="312"/>
      <c r="C684" s="834"/>
      <c r="D684" s="33" t="s">
        <v>93</v>
      </c>
      <c r="E684" s="56" t="s">
        <v>13</v>
      </c>
      <c r="F684" s="57" t="s">
        <v>14</v>
      </c>
      <c r="G684" s="860" t="s">
        <v>15</v>
      </c>
      <c r="H684" s="192" t="s">
        <v>8</v>
      </c>
      <c r="I684" s="59"/>
      <c r="J684" s="292"/>
      <c r="K684" s="158"/>
      <c r="L684" s="386"/>
      <c r="M684" s="593"/>
      <c r="N684" s="754"/>
      <c r="O684" s="676"/>
      <c r="P684" s="676"/>
      <c r="Q684" s="676"/>
      <c r="R684" s="676"/>
      <c r="S684" s="676"/>
      <c r="T684" s="676"/>
      <c r="U684" s="676"/>
      <c r="V684" s="676"/>
      <c r="W684" s="676"/>
      <c r="X684" s="676"/>
      <c r="Y684" s="676"/>
      <c r="Z684" s="676"/>
      <c r="AA684" s="676"/>
      <c r="AB684" s="676"/>
      <c r="AC684" s="676"/>
      <c r="AD684" s="676"/>
      <c r="AE684" s="676"/>
      <c r="AF684" s="676"/>
      <c r="AG684" s="676"/>
      <c r="AH684" s="676"/>
      <c r="AI684" s="676"/>
      <c r="AJ684" s="676"/>
      <c r="AK684" s="658"/>
    </row>
    <row r="685" spans="1:37" s="104" customFormat="1" ht="15" customHeight="1">
      <c r="B685" s="313"/>
      <c r="C685" s="835" t="s">
        <v>924</v>
      </c>
      <c r="D685" s="105" t="s">
        <v>94</v>
      </c>
      <c r="E685" s="120"/>
      <c r="F685" s="91"/>
      <c r="G685" s="121"/>
      <c r="H685" s="64"/>
      <c r="I685" s="94"/>
      <c r="J685" s="52"/>
      <c r="K685" s="156"/>
      <c r="L685" s="383"/>
      <c r="M685" s="542"/>
      <c r="N685" s="701"/>
      <c r="O685" s="688"/>
      <c r="P685" s="688"/>
      <c r="Q685" s="688"/>
      <c r="R685" s="688"/>
      <c r="S685" s="688"/>
      <c r="AC685" s="688"/>
      <c r="AD685" s="688"/>
      <c r="AE685" s="688"/>
      <c r="AF685" s="688"/>
      <c r="AG685" s="688"/>
      <c r="AH685" s="688"/>
      <c r="AI685" s="688"/>
      <c r="AJ685" s="688"/>
      <c r="AK685" s="658"/>
    </row>
    <row r="686" spans="1:37" s="532" customFormat="1" ht="15" customHeight="1">
      <c r="B686" s="568"/>
      <c r="C686" s="847"/>
      <c r="D686" s="556" t="s">
        <v>488</v>
      </c>
      <c r="E686" s="559" t="s">
        <v>95</v>
      </c>
      <c r="F686" s="531">
        <v>1161600</v>
      </c>
      <c r="G686" s="537">
        <v>0</v>
      </c>
      <c r="H686" s="537">
        <f>F686</f>
        <v>1161600</v>
      </c>
      <c r="I686" s="537"/>
      <c r="J686" s="570"/>
      <c r="K686" s="540"/>
      <c r="L686" s="541"/>
      <c r="M686" s="542"/>
      <c r="N686" s="701">
        <f t="shared" ref="N686:N701" si="19">SUM(O686:AJ686)-H686</f>
        <v>-1161600</v>
      </c>
      <c r="O686" s="690"/>
      <c r="P686" s="690"/>
      <c r="Q686" s="690"/>
      <c r="R686" s="690"/>
      <c r="S686" s="690"/>
      <c r="T686" s="688"/>
      <c r="U686" s="688"/>
      <c r="V686" s="688"/>
      <c r="W686" s="688"/>
      <c r="X686" s="688"/>
      <c r="Y686" s="688"/>
      <c r="Z686" s="688"/>
      <c r="AA686" s="688"/>
      <c r="AB686" s="688"/>
      <c r="AC686" s="690"/>
      <c r="AD686" s="690"/>
      <c r="AE686" s="690"/>
      <c r="AF686" s="690"/>
      <c r="AG686" s="690"/>
      <c r="AH686" s="690"/>
      <c r="AI686" s="690"/>
      <c r="AJ686" s="690"/>
      <c r="AK686" s="658"/>
    </row>
    <row r="687" spans="1:37" s="532" customFormat="1" ht="15" customHeight="1">
      <c r="B687" s="568"/>
      <c r="C687" s="847"/>
      <c r="D687" s="556" t="s">
        <v>489</v>
      </c>
      <c r="E687" s="559" t="s">
        <v>95</v>
      </c>
      <c r="F687" s="531">
        <v>250000</v>
      </c>
      <c r="G687" s="537">
        <v>0</v>
      </c>
      <c r="H687" s="537">
        <f>F687</f>
        <v>250000</v>
      </c>
      <c r="I687" s="537"/>
      <c r="J687" s="570"/>
      <c r="K687" s="540"/>
      <c r="L687" s="541"/>
      <c r="M687" s="542"/>
      <c r="N687" s="701">
        <f t="shared" si="19"/>
        <v>-250000</v>
      </c>
      <c r="O687" s="690"/>
      <c r="P687" s="690"/>
      <c r="Q687" s="690"/>
      <c r="R687" s="690"/>
      <c r="S687" s="690"/>
      <c r="T687" s="688"/>
      <c r="U687" s="690"/>
      <c r="V687" s="690"/>
      <c r="W687" s="690"/>
      <c r="X687" s="690"/>
      <c r="Y687" s="690"/>
      <c r="Z687" s="690"/>
      <c r="AA687" s="690"/>
      <c r="AB687" s="690"/>
      <c r="AC687" s="690"/>
      <c r="AD687" s="690"/>
      <c r="AE687" s="690"/>
      <c r="AF687" s="690"/>
      <c r="AG687" s="690"/>
      <c r="AH687" s="690"/>
      <c r="AI687" s="690"/>
      <c r="AJ687" s="690"/>
      <c r="AK687" s="658"/>
    </row>
    <row r="688" spans="1:37" s="532" customFormat="1" ht="15" customHeight="1">
      <c r="B688" s="568"/>
      <c r="C688" s="847"/>
      <c r="D688" s="556" t="s">
        <v>490</v>
      </c>
      <c r="E688" s="559" t="s">
        <v>95</v>
      </c>
      <c r="F688" s="531">
        <v>726000</v>
      </c>
      <c r="G688" s="537">
        <v>0</v>
      </c>
      <c r="H688" s="537">
        <f>F688</f>
        <v>726000</v>
      </c>
      <c r="I688" s="537"/>
      <c r="J688" s="570"/>
      <c r="K688" s="540"/>
      <c r="L688" s="541"/>
      <c r="M688" s="542"/>
      <c r="N688" s="701">
        <f t="shared" si="19"/>
        <v>-726000</v>
      </c>
      <c r="O688" s="690"/>
      <c r="P688" s="690"/>
      <c r="Q688" s="690"/>
      <c r="R688" s="690"/>
      <c r="S688" s="690"/>
      <c r="T688" s="688"/>
      <c r="U688" s="690"/>
      <c r="V688" s="690"/>
      <c r="W688" s="690"/>
      <c r="X688" s="690"/>
      <c r="Y688" s="690"/>
      <c r="Z688" s="690"/>
      <c r="AA688" s="690"/>
      <c r="AB688" s="690"/>
      <c r="AC688" s="690"/>
      <c r="AD688" s="690"/>
      <c r="AE688" s="690"/>
      <c r="AF688" s="690"/>
      <c r="AG688" s="690"/>
      <c r="AH688" s="690"/>
      <c r="AI688" s="690"/>
      <c r="AJ688" s="690"/>
      <c r="AK688" s="658"/>
    </row>
    <row r="689" spans="1:37" s="532" customFormat="1" ht="15" customHeight="1">
      <c r="B689" s="568"/>
      <c r="C689" s="847"/>
      <c r="D689" s="556" t="s">
        <v>96</v>
      </c>
      <c r="E689" s="559" t="s">
        <v>16</v>
      </c>
      <c r="F689" s="531">
        <v>0</v>
      </c>
      <c r="G689" s="537">
        <v>0</v>
      </c>
      <c r="H689" s="537">
        <f>+G689*F689</f>
        <v>0</v>
      </c>
      <c r="I689" s="546"/>
      <c r="J689" s="547"/>
      <c r="K689" s="540"/>
      <c r="L689" s="541"/>
      <c r="M689" s="542"/>
      <c r="N689" s="701">
        <f t="shared" si="19"/>
        <v>0</v>
      </c>
      <c r="O689" s="690"/>
      <c r="P689" s="690"/>
      <c r="Q689" s="690"/>
      <c r="R689" s="690"/>
      <c r="S689" s="690"/>
      <c r="T689" s="688"/>
      <c r="U689" s="690"/>
      <c r="V689" s="690"/>
      <c r="W689" s="690"/>
      <c r="X689" s="690"/>
      <c r="Y689" s="690"/>
      <c r="Z689" s="690"/>
      <c r="AA689" s="690"/>
      <c r="AB689" s="690"/>
      <c r="AC689" s="690"/>
      <c r="AD689" s="690"/>
      <c r="AE689" s="690"/>
      <c r="AF689" s="690"/>
      <c r="AG689" s="690"/>
      <c r="AH689" s="690"/>
      <c r="AI689" s="690"/>
      <c r="AJ689" s="690"/>
      <c r="AK689" s="658"/>
    </row>
    <row r="690" spans="1:37" s="548" customFormat="1" ht="15" customHeight="1">
      <c r="B690" s="533"/>
      <c r="C690" s="850"/>
      <c r="D690" s="549" t="s">
        <v>97</v>
      </c>
      <c r="E690" s="571"/>
      <c r="F690" s="529"/>
      <c r="G690" s="572"/>
      <c r="H690" s="537"/>
      <c r="I690" s="573"/>
      <c r="J690" s="547"/>
      <c r="K690" s="540"/>
      <c r="L690" s="541"/>
      <c r="M690" s="542"/>
      <c r="N690" s="701">
        <f t="shared" si="19"/>
        <v>0</v>
      </c>
      <c r="O690" s="689"/>
      <c r="P690" s="689"/>
      <c r="Q690" s="689"/>
      <c r="R690" s="689"/>
      <c r="S690" s="689"/>
      <c r="T690" s="688"/>
      <c r="U690" s="690"/>
      <c r="V690" s="690"/>
      <c r="W690" s="690"/>
      <c r="X690" s="690"/>
      <c r="Y690" s="690"/>
      <c r="Z690" s="690"/>
      <c r="AA690" s="690"/>
      <c r="AB690" s="690"/>
      <c r="AC690" s="689"/>
      <c r="AD690" s="689"/>
      <c r="AE690" s="689"/>
      <c r="AF690" s="689"/>
      <c r="AG690" s="689"/>
      <c r="AH690" s="689"/>
      <c r="AI690" s="689"/>
      <c r="AJ690" s="689"/>
      <c r="AK690" s="658"/>
    </row>
    <row r="691" spans="1:37" s="532" customFormat="1" ht="15" customHeight="1">
      <c r="B691" s="568"/>
      <c r="C691" s="847"/>
      <c r="D691" s="556" t="s">
        <v>98</v>
      </c>
      <c r="E691" s="559" t="s">
        <v>16</v>
      </c>
      <c r="F691" s="531">
        <v>200000</v>
      </c>
      <c r="G691" s="537">
        <v>1</v>
      </c>
      <c r="H691" s="537">
        <f>F691</f>
        <v>200000</v>
      </c>
      <c r="I691" s="537"/>
      <c r="J691" s="570"/>
      <c r="K691" s="540"/>
      <c r="L691" s="541"/>
      <c r="M691" s="542"/>
      <c r="N691" s="701">
        <f t="shared" si="19"/>
        <v>-200000</v>
      </c>
      <c r="O691" s="690"/>
      <c r="P691" s="690"/>
      <c r="Q691" s="690"/>
      <c r="R691" s="690"/>
      <c r="S691" s="690"/>
      <c r="T691" s="688"/>
      <c r="U691" s="689"/>
      <c r="V691" s="689"/>
      <c r="W691" s="689"/>
      <c r="X691" s="689"/>
      <c r="Y691" s="689"/>
      <c r="Z691" s="689"/>
      <c r="AA691" s="689"/>
      <c r="AB691" s="689"/>
      <c r="AC691" s="690"/>
      <c r="AD691" s="690"/>
      <c r="AE691" s="690"/>
      <c r="AF691" s="690"/>
      <c r="AG691" s="690"/>
      <c r="AH691" s="690"/>
      <c r="AI691" s="690"/>
      <c r="AJ691" s="690"/>
      <c r="AK691" s="658"/>
    </row>
    <row r="692" spans="1:37" s="548" customFormat="1" ht="15" customHeight="1">
      <c r="B692" s="533"/>
      <c r="C692" s="850"/>
      <c r="D692" s="549" t="s">
        <v>99</v>
      </c>
      <c r="E692" s="571"/>
      <c r="F692" s="529"/>
      <c r="G692" s="572"/>
      <c r="H692" s="537"/>
      <c r="I692" s="573"/>
      <c r="J692" s="547"/>
      <c r="K692" s="540"/>
      <c r="L692" s="541"/>
      <c r="M692" s="542"/>
      <c r="N692" s="701">
        <f t="shared" si="19"/>
        <v>0</v>
      </c>
      <c r="O692" s="689"/>
      <c r="P692" s="689"/>
      <c r="Q692" s="689"/>
      <c r="R692" s="689"/>
      <c r="S692" s="689"/>
      <c r="T692" s="688"/>
      <c r="U692" s="690"/>
      <c r="V692" s="690"/>
      <c r="W692" s="690"/>
      <c r="X692" s="690"/>
      <c r="Y692" s="690"/>
      <c r="Z692" s="690"/>
      <c r="AA692" s="690"/>
      <c r="AB692" s="690"/>
      <c r="AC692" s="689"/>
      <c r="AD692" s="689"/>
      <c r="AE692" s="689"/>
      <c r="AF692" s="689"/>
      <c r="AG692" s="689"/>
      <c r="AH692" s="689"/>
      <c r="AI692" s="689"/>
      <c r="AJ692" s="689"/>
      <c r="AK692" s="658"/>
    </row>
    <row r="693" spans="1:37" s="532" customFormat="1" ht="15" customHeight="1">
      <c r="B693" s="568"/>
      <c r="C693" s="847"/>
      <c r="D693" s="556" t="s">
        <v>100</v>
      </c>
      <c r="E693" s="559" t="s">
        <v>16</v>
      </c>
      <c r="F693" s="531">
        <v>580800</v>
      </c>
      <c r="G693" s="537">
        <v>0</v>
      </c>
      <c r="H693" s="537">
        <f>F693</f>
        <v>580800</v>
      </c>
      <c r="I693" s="546"/>
      <c r="J693" s="547"/>
      <c r="K693" s="540"/>
      <c r="L693" s="541"/>
      <c r="M693" s="542"/>
      <c r="N693" s="701">
        <f t="shared" si="19"/>
        <v>-580800</v>
      </c>
      <c r="O693" s="690"/>
      <c r="P693" s="690"/>
      <c r="Q693" s="690"/>
      <c r="R693" s="690"/>
      <c r="S693" s="690"/>
      <c r="T693" s="688"/>
      <c r="U693" s="689"/>
      <c r="V693" s="689"/>
      <c r="W693" s="689"/>
      <c r="X693" s="689"/>
      <c r="Y693" s="689"/>
      <c r="Z693" s="689"/>
      <c r="AA693" s="689"/>
      <c r="AB693" s="689"/>
      <c r="AC693" s="690"/>
      <c r="AD693" s="690"/>
      <c r="AE693" s="690"/>
      <c r="AF693" s="690"/>
      <c r="AG693" s="690"/>
      <c r="AH693" s="690"/>
      <c r="AI693" s="690"/>
      <c r="AJ693" s="690"/>
      <c r="AK693" s="658"/>
    </row>
    <row r="694" spans="1:37" s="532" customFormat="1" ht="15" customHeight="1">
      <c r="B694" s="568"/>
      <c r="C694" s="847"/>
      <c r="D694" s="556" t="s">
        <v>461</v>
      </c>
      <c r="E694" s="559" t="s">
        <v>16</v>
      </c>
      <c r="F694" s="531">
        <v>400000</v>
      </c>
      <c r="G694" s="537">
        <v>0</v>
      </c>
      <c r="H694" s="537">
        <f>F694</f>
        <v>400000</v>
      </c>
      <c r="I694" s="546"/>
      <c r="J694" s="547"/>
      <c r="K694" s="540"/>
      <c r="L694" s="541"/>
      <c r="M694" s="542"/>
      <c r="N694" s="701">
        <f t="shared" si="19"/>
        <v>-400000</v>
      </c>
      <c r="O694" s="690"/>
      <c r="P694" s="690"/>
      <c r="Q694" s="690"/>
      <c r="R694" s="690"/>
      <c r="S694" s="690"/>
      <c r="T694" s="688"/>
      <c r="U694" s="690"/>
      <c r="V694" s="690"/>
      <c r="W694" s="690"/>
      <c r="X694" s="690"/>
      <c r="Y694" s="690"/>
      <c r="Z694" s="690"/>
      <c r="AA694" s="690"/>
      <c r="AB694" s="690"/>
      <c r="AC694" s="690"/>
      <c r="AD694" s="690"/>
      <c r="AE694" s="690"/>
      <c r="AF694" s="690"/>
      <c r="AG694" s="690"/>
      <c r="AH694" s="690"/>
      <c r="AI694" s="690"/>
      <c r="AJ694" s="690"/>
      <c r="AK694" s="658"/>
    </row>
    <row r="695" spans="1:37" s="548" customFormat="1" ht="15" customHeight="1">
      <c r="B695" s="533"/>
      <c r="C695" s="850"/>
      <c r="D695" s="549" t="s">
        <v>101</v>
      </c>
      <c r="E695" s="571"/>
      <c r="F695" s="529"/>
      <c r="G695" s="572"/>
      <c r="H695" s="537"/>
      <c r="I695" s="573"/>
      <c r="J695" s="547"/>
      <c r="K695" s="540"/>
      <c r="L695" s="541"/>
      <c r="M695" s="542"/>
      <c r="N695" s="701">
        <f t="shared" si="19"/>
        <v>0</v>
      </c>
      <c r="O695" s="689"/>
      <c r="P695" s="689"/>
      <c r="Q695" s="689"/>
      <c r="R695" s="689"/>
      <c r="S695" s="689"/>
      <c r="T695" s="688"/>
      <c r="U695" s="690"/>
      <c r="V695" s="690"/>
      <c r="W695" s="690"/>
      <c r="X695" s="690"/>
      <c r="Y695" s="690"/>
      <c r="Z695" s="690"/>
      <c r="AA695" s="690"/>
      <c r="AB695" s="690"/>
      <c r="AC695" s="689"/>
      <c r="AD695" s="689"/>
      <c r="AE695" s="689"/>
      <c r="AF695" s="689"/>
      <c r="AG695" s="689"/>
      <c r="AH695" s="689"/>
      <c r="AI695" s="689"/>
      <c r="AJ695" s="689"/>
      <c r="AK695" s="658"/>
    </row>
    <row r="696" spans="1:37" s="532" customFormat="1" ht="15" customHeight="1">
      <c r="B696" s="568"/>
      <c r="C696" s="847"/>
      <c r="D696" s="574" t="s">
        <v>102</v>
      </c>
      <c r="E696" s="559" t="s">
        <v>16</v>
      </c>
      <c r="F696" s="531">
        <v>120000</v>
      </c>
      <c r="G696" s="537">
        <v>1</v>
      </c>
      <c r="H696" s="537">
        <f>F696*G696</f>
        <v>120000</v>
      </c>
      <c r="I696" s="546"/>
      <c r="J696" s="547"/>
      <c r="K696" s="540"/>
      <c r="L696" s="541"/>
      <c r="M696" s="542"/>
      <c r="N696" s="701">
        <f t="shared" si="19"/>
        <v>-120000</v>
      </c>
      <c r="O696" s="690"/>
      <c r="P696" s="690"/>
      <c r="Q696" s="690"/>
      <c r="R696" s="690"/>
      <c r="S696" s="690"/>
      <c r="T696" s="688"/>
      <c r="U696" s="689"/>
      <c r="V696" s="689"/>
      <c r="W696" s="689"/>
      <c r="X696" s="689"/>
      <c r="Y696" s="689"/>
      <c r="Z696" s="689"/>
      <c r="AA696" s="689"/>
      <c r="AB696" s="689"/>
      <c r="AC696" s="690"/>
      <c r="AD696" s="690"/>
      <c r="AE696" s="690"/>
      <c r="AF696" s="690"/>
      <c r="AG696" s="690"/>
      <c r="AH696" s="690"/>
      <c r="AI696" s="690"/>
      <c r="AJ696" s="690"/>
      <c r="AK696" s="658"/>
    </row>
    <row r="697" spans="1:37" s="548" customFormat="1" ht="15" customHeight="1">
      <c r="B697" s="533"/>
      <c r="C697" s="850"/>
      <c r="D697" s="549" t="s">
        <v>103</v>
      </c>
      <c r="E697" s="571"/>
      <c r="F697" s="529"/>
      <c r="G697" s="572"/>
      <c r="H697" s="537"/>
      <c r="I697" s="573"/>
      <c r="J697" s="547"/>
      <c r="K697" s="540"/>
      <c r="L697" s="541"/>
      <c r="M697" s="542"/>
      <c r="N697" s="701">
        <f t="shared" si="19"/>
        <v>0</v>
      </c>
      <c r="O697" s="689"/>
      <c r="P697" s="689"/>
      <c r="Q697" s="689"/>
      <c r="R697" s="689"/>
      <c r="S697" s="689"/>
      <c r="T697" s="688"/>
      <c r="U697" s="690"/>
      <c r="V697" s="690"/>
      <c r="W697" s="690"/>
      <c r="X697" s="690"/>
      <c r="Y697" s="690"/>
      <c r="Z697" s="690"/>
      <c r="AA697" s="690"/>
      <c r="AB697" s="690"/>
      <c r="AC697" s="689"/>
      <c r="AD697" s="689"/>
      <c r="AE697" s="689"/>
      <c r="AF697" s="689"/>
      <c r="AG697" s="689"/>
      <c r="AH697" s="689"/>
      <c r="AI697" s="689"/>
      <c r="AJ697" s="689"/>
      <c r="AK697" s="658"/>
    </row>
    <row r="698" spans="1:37" s="532" customFormat="1" ht="15" customHeight="1">
      <c r="B698" s="568"/>
      <c r="C698" s="847"/>
      <c r="D698" s="556" t="s">
        <v>104</v>
      </c>
      <c r="E698" s="559" t="s">
        <v>105</v>
      </c>
      <c r="F698" s="531">
        <v>0</v>
      </c>
      <c r="G698" s="537">
        <v>1</v>
      </c>
      <c r="H698" s="537">
        <f>F698*G698</f>
        <v>0</v>
      </c>
      <c r="I698" s="537"/>
      <c r="J698" s="570"/>
      <c r="K698" s="540"/>
      <c r="L698" s="541"/>
      <c r="M698" s="542"/>
      <c r="N698" s="701">
        <f t="shared" si="19"/>
        <v>0</v>
      </c>
      <c r="O698" s="690"/>
      <c r="P698" s="690"/>
      <c r="Q698" s="690"/>
      <c r="R698" s="690"/>
      <c r="S698" s="690"/>
      <c r="T698" s="688"/>
      <c r="U698" s="689"/>
      <c r="V698" s="689"/>
      <c r="W698" s="689"/>
      <c r="X698" s="689"/>
      <c r="Y698" s="689"/>
      <c r="Z698" s="689"/>
      <c r="AA698" s="689"/>
      <c r="AB698" s="689"/>
      <c r="AC698" s="690"/>
      <c r="AD698" s="690"/>
      <c r="AE698" s="690"/>
      <c r="AF698" s="690"/>
      <c r="AG698" s="690"/>
      <c r="AH698" s="690"/>
      <c r="AI698" s="690"/>
      <c r="AJ698" s="690"/>
      <c r="AK698" s="658"/>
    </row>
    <row r="699" spans="1:37" s="532" customFormat="1" ht="15" customHeight="1">
      <c r="B699" s="568"/>
      <c r="C699" s="847"/>
      <c r="D699" s="574" t="s">
        <v>487</v>
      </c>
      <c r="E699" s="559" t="s">
        <v>16</v>
      </c>
      <c r="F699" s="531">
        <v>200000</v>
      </c>
      <c r="G699" s="537">
        <v>1</v>
      </c>
      <c r="H699" s="537">
        <f>F699</f>
        <v>200000</v>
      </c>
      <c r="I699" s="537"/>
      <c r="J699" s="570"/>
      <c r="K699" s="540"/>
      <c r="L699" s="541"/>
      <c r="M699" s="542"/>
      <c r="N699" s="701">
        <f t="shared" si="19"/>
        <v>-200000</v>
      </c>
      <c r="O699" s="690"/>
      <c r="P699" s="690"/>
      <c r="Q699" s="690"/>
      <c r="R699" s="690"/>
      <c r="S699" s="690"/>
      <c r="T699" s="688"/>
      <c r="U699" s="690"/>
      <c r="V699" s="690"/>
      <c r="W699" s="690"/>
      <c r="X699" s="690"/>
      <c r="Y699" s="690"/>
      <c r="Z699" s="690"/>
      <c r="AA699" s="690"/>
      <c r="AB699" s="690"/>
      <c r="AC699" s="690"/>
      <c r="AD699" s="690"/>
      <c r="AE699" s="690"/>
      <c r="AF699" s="690"/>
      <c r="AG699" s="690"/>
      <c r="AH699" s="690"/>
      <c r="AI699" s="690"/>
      <c r="AJ699" s="690"/>
      <c r="AK699" s="658"/>
    </row>
    <row r="700" spans="1:37" s="48" customFormat="1" ht="15" customHeight="1">
      <c r="A700" s="45"/>
      <c r="B700" s="314"/>
      <c r="C700" s="836"/>
      <c r="D700" s="73"/>
      <c r="E700" s="71"/>
      <c r="F700" s="906" t="s">
        <v>106</v>
      </c>
      <c r="G700" s="906"/>
      <c r="H700" s="191"/>
      <c r="I700" s="472">
        <f>SUM(H685:H699)</f>
        <v>3638400</v>
      </c>
      <c r="J700" s="294">
        <v>60</v>
      </c>
      <c r="K700" s="158"/>
      <c r="L700" s="386"/>
      <c r="M700" s="593"/>
      <c r="N700" s="701">
        <f t="shared" si="19"/>
        <v>0</v>
      </c>
      <c r="O700" s="676"/>
      <c r="P700" s="676"/>
      <c r="Q700" s="676"/>
      <c r="R700" s="676"/>
      <c r="S700" s="676"/>
      <c r="T700" s="688"/>
      <c r="U700" s="690"/>
      <c r="V700" s="690"/>
      <c r="W700" s="690"/>
      <c r="X700" s="690"/>
      <c r="Y700" s="690"/>
      <c r="Z700" s="690"/>
      <c r="AA700" s="690"/>
      <c r="AB700" s="690"/>
      <c r="AC700" s="676"/>
      <c r="AD700" s="676"/>
      <c r="AE700" s="676"/>
      <c r="AF700" s="676"/>
      <c r="AG700" s="676"/>
      <c r="AH700" s="676"/>
      <c r="AI700" s="676"/>
      <c r="AJ700" s="676"/>
      <c r="AK700" s="658"/>
    </row>
    <row r="701" spans="1:37" s="53" customFormat="1" ht="30" customHeight="1">
      <c r="A701" s="5"/>
      <c r="B701" s="309"/>
      <c r="C701" s="832"/>
      <c r="D701" s="49"/>
      <c r="E701" s="9"/>
      <c r="F701" s="8"/>
      <c r="G701" s="8"/>
      <c r="H701" s="50"/>
      <c r="I701" s="172"/>
      <c r="J701" s="172"/>
      <c r="K701" s="156"/>
      <c r="L701" s="383"/>
      <c r="M701" s="542"/>
      <c r="N701" s="701">
        <f t="shared" si="19"/>
        <v>0</v>
      </c>
      <c r="O701" s="677"/>
      <c r="P701" s="677"/>
      <c r="Q701" s="677"/>
      <c r="R701" s="677"/>
      <c r="S701" s="677"/>
      <c r="T701" s="676"/>
      <c r="U701" s="676"/>
      <c r="V701" s="676"/>
      <c r="W701" s="676"/>
      <c r="X701" s="676"/>
      <c r="Y701" s="676"/>
      <c r="Z701" s="676"/>
      <c r="AA701" s="676"/>
      <c r="AB701" s="676"/>
      <c r="AC701" s="677"/>
      <c r="AD701" s="677"/>
      <c r="AE701" s="677"/>
      <c r="AF701" s="677"/>
      <c r="AG701" s="677"/>
      <c r="AH701" s="677"/>
      <c r="AI701" s="677"/>
      <c r="AJ701" s="677"/>
      <c r="AK701" s="658"/>
    </row>
    <row r="702" spans="1:37" s="48" customFormat="1" ht="15" customHeight="1">
      <c r="A702" s="45"/>
      <c r="B702" s="312"/>
      <c r="C702" s="834"/>
      <c r="D702" s="33" t="s">
        <v>107</v>
      </c>
      <c r="E702" s="56" t="s">
        <v>13</v>
      </c>
      <c r="F702" s="57" t="s">
        <v>14</v>
      </c>
      <c r="G702" s="860" t="s">
        <v>15</v>
      </c>
      <c r="H702" s="192" t="s">
        <v>8</v>
      </c>
      <c r="I702" s="59"/>
      <c r="J702" s="292"/>
      <c r="K702" s="158"/>
      <c r="L702" s="386"/>
      <c r="M702" s="593"/>
      <c r="N702" s="701"/>
      <c r="O702" s="676"/>
      <c r="P702" s="676"/>
      <c r="Q702" s="676"/>
      <c r="R702" s="676"/>
      <c r="S702" s="676"/>
      <c r="T702" s="676"/>
      <c r="U702" s="676"/>
      <c r="V702" s="676"/>
      <c r="W702" s="676"/>
      <c r="X702" s="676"/>
      <c r="Y702" s="676"/>
      <c r="Z702" s="676"/>
      <c r="AA702" s="676"/>
      <c r="AB702" s="676"/>
      <c r="AC702" s="676"/>
      <c r="AD702" s="676"/>
      <c r="AE702" s="676"/>
      <c r="AF702" s="676"/>
      <c r="AG702" s="676"/>
      <c r="AH702" s="676"/>
      <c r="AI702" s="676"/>
      <c r="AJ702" s="676"/>
      <c r="AK702" s="658"/>
    </row>
    <row r="703" spans="1:37" s="532" customFormat="1" ht="15" customHeight="1">
      <c r="B703" s="568"/>
      <c r="C703" s="851" t="s">
        <v>925</v>
      </c>
      <c r="D703" s="560" t="s">
        <v>108</v>
      </c>
      <c r="E703" s="559" t="s">
        <v>16</v>
      </c>
      <c r="F703" s="531">
        <v>250000</v>
      </c>
      <c r="G703" s="537">
        <v>1</v>
      </c>
      <c r="H703" s="537">
        <v>150000</v>
      </c>
      <c r="I703" s="537"/>
      <c r="J703" s="570"/>
      <c r="K703" s="540"/>
      <c r="L703" s="541"/>
      <c r="M703" s="542"/>
      <c r="N703" s="701">
        <f t="shared" ref="N703:N710" si="20">SUM(O703:AJ703)-H703</f>
        <v>-150000</v>
      </c>
      <c r="O703" s="690"/>
      <c r="P703" s="690"/>
      <c r="Q703" s="690"/>
      <c r="R703" s="690"/>
      <c r="S703" s="690"/>
      <c r="T703" s="690"/>
      <c r="U703" s="690"/>
      <c r="V703" s="690"/>
      <c r="W703" s="690"/>
      <c r="X703" s="690"/>
      <c r="Y703" s="690"/>
      <c r="Z703" s="690"/>
      <c r="AA703" s="690"/>
      <c r="AB703" s="690"/>
      <c r="AC703" s="690"/>
      <c r="AD703" s="690"/>
      <c r="AE703" s="690"/>
      <c r="AF703" s="690"/>
      <c r="AG703" s="690"/>
      <c r="AH703" s="690"/>
      <c r="AI703" s="690"/>
      <c r="AJ703" s="690"/>
      <c r="AK703" s="658"/>
    </row>
    <row r="704" spans="1:37" s="532" customFormat="1" ht="15" customHeight="1">
      <c r="B704" s="568"/>
      <c r="C704" s="851"/>
      <c r="D704" s="560" t="s">
        <v>109</v>
      </c>
      <c r="E704" s="559" t="s">
        <v>16</v>
      </c>
      <c r="F704" s="531">
        <v>30000</v>
      </c>
      <c r="G704" s="537">
        <v>1</v>
      </c>
      <c r="H704" s="537">
        <f>G704*F704</f>
        <v>30000</v>
      </c>
      <c r="I704" s="537"/>
      <c r="J704" s="570"/>
      <c r="K704" s="540"/>
      <c r="L704" s="541"/>
      <c r="M704" s="542"/>
      <c r="N704" s="701">
        <f t="shared" si="20"/>
        <v>-30000</v>
      </c>
      <c r="O704" s="690"/>
      <c r="P704" s="690"/>
      <c r="Q704" s="690"/>
      <c r="R704" s="690"/>
      <c r="S704" s="690"/>
      <c r="T704" s="690"/>
      <c r="U704" s="690"/>
      <c r="V704" s="690"/>
      <c r="W704" s="690"/>
      <c r="X704" s="690"/>
      <c r="Y704" s="690"/>
      <c r="Z704" s="690"/>
      <c r="AA704" s="690"/>
      <c r="AB704" s="690"/>
      <c r="AC704" s="690"/>
      <c r="AD704" s="690"/>
      <c r="AE704" s="690"/>
      <c r="AF704" s="690"/>
      <c r="AG704" s="690"/>
      <c r="AH704" s="690"/>
      <c r="AI704" s="690"/>
      <c r="AJ704" s="690"/>
      <c r="AK704" s="658"/>
    </row>
    <row r="705" spans="1:37" s="548" customFormat="1" ht="15" customHeight="1">
      <c r="B705" s="533"/>
      <c r="C705" s="850"/>
      <c r="D705" s="549" t="s">
        <v>99</v>
      </c>
      <c r="E705" s="571"/>
      <c r="F705" s="529"/>
      <c r="G705" s="572"/>
      <c r="H705" s="537"/>
      <c r="I705" s="573"/>
      <c r="J705" s="547"/>
      <c r="K705" s="540"/>
      <c r="L705" s="541"/>
      <c r="M705" s="542"/>
      <c r="N705" s="701">
        <f t="shared" si="20"/>
        <v>0</v>
      </c>
      <c r="O705" s="689"/>
      <c r="P705" s="689"/>
      <c r="Q705" s="689"/>
      <c r="R705" s="689"/>
      <c r="S705" s="689"/>
      <c r="T705" s="689"/>
      <c r="U705" s="689"/>
      <c r="V705" s="689"/>
      <c r="W705" s="689"/>
      <c r="X705" s="689"/>
      <c r="Y705" s="689"/>
      <c r="Z705" s="689"/>
      <c r="AA705" s="689"/>
      <c r="AB705" s="689"/>
      <c r="AC705" s="689"/>
      <c r="AD705" s="689"/>
      <c r="AE705" s="689"/>
      <c r="AF705" s="689"/>
      <c r="AG705" s="689"/>
      <c r="AH705" s="689"/>
      <c r="AI705" s="689"/>
      <c r="AJ705" s="689"/>
      <c r="AK705" s="658"/>
    </row>
    <row r="706" spans="1:37" s="532" customFormat="1" ht="14">
      <c r="B706" s="568"/>
      <c r="C706" s="851"/>
      <c r="D706" s="556" t="s">
        <v>110</v>
      </c>
      <c r="E706" s="545" t="s">
        <v>27</v>
      </c>
      <c r="F706" s="531">
        <v>50000</v>
      </c>
      <c r="G706" s="537">
        <v>6</v>
      </c>
      <c r="H706" s="537">
        <f>+G706*F706</f>
        <v>300000</v>
      </c>
      <c r="I706" s="537"/>
      <c r="J706" s="570"/>
      <c r="K706" s="540"/>
      <c r="L706" s="541"/>
      <c r="M706" s="542"/>
      <c r="N706" s="701">
        <f t="shared" si="20"/>
        <v>-300000</v>
      </c>
      <c r="O706" s="690"/>
      <c r="P706" s="690"/>
      <c r="Q706" s="690"/>
      <c r="R706" s="690"/>
      <c r="S706" s="690"/>
      <c r="T706" s="690"/>
      <c r="U706" s="690"/>
      <c r="V706" s="690"/>
      <c r="W706" s="690"/>
      <c r="X706" s="690"/>
      <c r="Y706" s="690"/>
      <c r="Z706" s="690"/>
      <c r="AA706" s="690"/>
      <c r="AB706" s="690"/>
      <c r="AC706" s="690"/>
      <c r="AD706" s="690"/>
      <c r="AE706" s="690"/>
      <c r="AF706" s="690"/>
      <c r="AG706" s="690"/>
      <c r="AH706" s="690"/>
      <c r="AI706" s="690"/>
      <c r="AJ706" s="690"/>
      <c r="AK706" s="658"/>
    </row>
    <row r="707" spans="1:37" s="532" customFormat="1" ht="14">
      <c r="B707" s="568"/>
      <c r="C707" s="851"/>
      <c r="D707" s="556" t="s">
        <v>111</v>
      </c>
      <c r="E707" s="545" t="s">
        <v>27</v>
      </c>
      <c r="F707" s="531">
        <v>25000</v>
      </c>
      <c r="G707" s="537">
        <v>4</v>
      </c>
      <c r="H707" s="537">
        <f>+G707*F707</f>
        <v>100000</v>
      </c>
      <c r="I707" s="537"/>
      <c r="J707" s="570"/>
      <c r="K707" s="540"/>
      <c r="L707" s="541"/>
      <c r="M707" s="542"/>
      <c r="N707" s="701">
        <f t="shared" si="20"/>
        <v>-100000</v>
      </c>
      <c r="O707" s="690"/>
      <c r="P707" s="690"/>
      <c r="Q707" s="690"/>
      <c r="R707" s="690"/>
      <c r="S707" s="690"/>
      <c r="T707" s="690"/>
      <c r="U707" s="690"/>
      <c r="V707" s="690"/>
      <c r="W707" s="690"/>
      <c r="X707" s="690"/>
      <c r="Y707" s="690"/>
      <c r="Z707" s="690"/>
      <c r="AA707" s="690"/>
      <c r="AB707" s="690"/>
      <c r="AC707" s="690"/>
      <c r="AD707" s="690"/>
      <c r="AE707" s="690"/>
      <c r="AF707" s="690"/>
      <c r="AG707" s="690"/>
      <c r="AH707" s="690"/>
      <c r="AI707" s="690"/>
      <c r="AJ707" s="690"/>
      <c r="AK707" s="658"/>
    </row>
    <row r="708" spans="1:37" s="532" customFormat="1" ht="15" customHeight="1">
      <c r="B708" s="568"/>
      <c r="C708" s="851"/>
      <c r="D708" s="560" t="s">
        <v>112</v>
      </c>
      <c r="E708" s="545" t="s">
        <v>27</v>
      </c>
      <c r="F708" s="531">
        <v>0</v>
      </c>
      <c r="G708" s="537">
        <v>0</v>
      </c>
      <c r="H708" s="537">
        <f>G708*F708</f>
        <v>0</v>
      </c>
      <c r="I708" s="537"/>
      <c r="J708" s="570"/>
      <c r="K708" s="540"/>
      <c r="L708" s="541"/>
      <c r="M708" s="542"/>
      <c r="N708" s="701">
        <f t="shared" si="20"/>
        <v>0</v>
      </c>
      <c r="O708" s="690"/>
      <c r="P708" s="690"/>
      <c r="Q708" s="690"/>
      <c r="R708" s="690"/>
      <c r="S708" s="690"/>
      <c r="T708" s="690"/>
      <c r="U708" s="690"/>
      <c r="V708" s="690"/>
      <c r="W708" s="690"/>
      <c r="X708" s="690"/>
      <c r="Y708" s="690"/>
      <c r="Z708" s="690"/>
      <c r="AA708" s="690"/>
      <c r="AB708" s="690"/>
      <c r="AC708" s="690"/>
      <c r="AD708" s="690"/>
      <c r="AE708" s="690"/>
      <c r="AF708" s="690"/>
      <c r="AG708" s="690"/>
      <c r="AH708" s="690"/>
      <c r="AI708" s="690"/>
      <c r="AJ708" s="690"/>
      <c r="AK708" s="658"/>
    </row>
    <row r="709" spans="1:37" s="48" customFormat="1" ht="15" customHeight="1">
      <c r="A709" s="45"/>
      <c r="B709" s="314"/>
      <c r="C709" s="836"/>
      <c r="D709" s="73"/>
      <c r="E709" s="71"/>
      <c r="F709" s="906" t="s">
        <v>113</v>
      </c>
      <c r="G709" s="906"/>
      <c r="H709" s="191"/>
      <c r="I709" s="472">
        <f>SUM(H703:H708)</f>
        <v>580000</v>
      </c>
      <c r="J709" s="294">
        <v>25</v>
      </c>
      <c r="K709" s="158"/>
      <c r="L709" s="386"/>
      <c r="M709" s="593"/>
      <c r="N709" s="701">
        <f t="shared" si="20"/>
        <v>0</v>
      </c>
      <c r="O709" s="676"/>
      <c r="P709" s="676"/>
      <c r="Q709" s="676"/>
      <c r="R709" s="676"/>
      <c r="S709" s="676"/>
      <c r="T709" s="676"/>
      <c r="U709" s="676"/>
      <c r="V709" s="676"/>
      <c r="W709" s="676"/>
      <c r="X709" s="676"/>
      <c r="Y709" s="676"/>
      <c r="Z709" s="676"/>
      <c r="AA709" s="676"/>
      <c r="AB709" s="676"/>
      <c r="AC709" s="676"/>
      <c r="AD709" s="676"/>
      <c r="AE709" s="676"/>
      <c r="AF709" s="676"/>
      <c r="AG709" s="676"/>
      <c r="AH709" s="676"/>
      <c r="AI709" s="676"/>
      <c r="AJ709" s="676"/>
      <c r="AK709" s="658"/>
    </row>
    <row r="710" spans="1:37" s="53" customFormat="1" ht="30" customHeight="1">
      <c r="A710" s="5"/>
      <c r="B710" s="309"/>
      <c r="C710" s="832"/>
      <c r="D710" s="49"/>
      <c r="E710" s="9"/>
      <c r="F710" s="8"/>
      <c r="G710" s="8"/>
      <c r="H710" s="50"/>
      <c r="I710" s="51"/>
      <c r="J710" s="51"/>
      <c r="K710" s="156"/>
      <c r="L710" s="383"/>
      <c r="M710" s="542"/>
      <c r="N710" s="701">
        <f t="shared" si="20"/>
        <v>0</v>
      </c>
      <c r="O710" s="677"/>
      <c r="P710" s="677"/>
      <c r="Q710" s="677"/>
      <c r="R710" s="677"/>
      <c r="S710" s="677"/>
      <c r="T710" s="677"/>
      <c r="U710" s="677"/>
      <c r="V710" s="677"/>
      <c r="W710" s="677"/>
      <c r="X710" s="677"/>
      <c r="Y710" s="677"/>
      <c r="Z710" s="677"/>
      <c r="AA710" s="677"/>
      <c r="AB710" s="677"/>
      <c r="AC710" s="677"/>
      <c r="AD710" s="677"/>
      <c r="AE710" s="677"/>
      <c r="AF710" s="677"/>
      <c r="AG710" s="677"/>
      <c r="AH710" s="677"/>
      <c r="AI710" s="677"/>
      <c r="AJ710" s="677"/>
      <c r="AK710" s="658"/>
    </row>
    <row r="711" spans="1:37" s="48" customFormat="1" ht="15" customHeight="1">
      <c r="A711" s="45"/>
      <c r="B711" s="312"/>
      <c r="C711" s="834"/>
      <c r="D711" s="33" t="s">
        <v>114</v>
      </c>
      <c r="E711" s="56" t="s">
        <v>13</v>
      </c>
      <c r="F711" s="57" t="s">
        <v>14</v>
      </c>
      <c r="G711" s="860" t="s">
        <v>15</v>
      </c>
      <c r="H711" s="192" t="s">
        <v>8</v>
      </c>
      <c r="I711" s="59"/>
      <c r="J711" s="292"/>
      <c r="K711" s="158"/>
      <c r="L711" s="386"/>
      <c r="M711" s="593"/>
      <c r="N711" s="701"/>
      <c r="O711" s="676"/>
      <c r="P711" s="676"/>
      <c r="Q711" s="676"/>
      <c r="R711" s="676"/>
      <c r="S711" s="676"/>
      <c r="T711" s="676"/>
      <c r="U711" s="676"/>
      <c r="V711" s="676"/>
      <c r="W711" s="676"/>
      <c r="X711" s="676"/>
      <c r="Y711" s="676"/>
      <c r="Z711" s="676"/>
      <c r="AA711" s="676"/>
      <c r="AB711" s="676"/>
      <c r="AC711" s="676"/>
      <c r="AD711" s="676"/>
      <c r="AE711" s="676"/>
      <c r="AF711" s="676"/>
      <c r="AG711" s="676"/>
      <c r="AH711" s="676"/>
      <c r="AI711" s="676"/>
      <c r="AJ711" s="676"/>
      <c r="AK711" s="658"/>
    </row>
    <row r="712" spans="1:37" s="532" customFormat="1" ht="15" customHeight="1">
      <c r="B712" s="568"/>
      <c r="C712" s="851" t="s">
        <v>926</v>
      </c>
      <c r="D712" s="560" t="s">
        <v>115</v>
      </c>
      <c r="E712" s="559" t="s">
        <v>16</v>
      </c>
      <c r="F712" s="531">
        <v>423500</v>
      </c>
      <c r="G712" s="537">
        <v>1</v>
      </c>
      <c r="H712" s="537">
        <v>423500</v>
      </c>
      <c r="I712" s="537"/>
      <c r="J712" s="570"/>
      <c r="K712" s="540"/>
      <c r="L712" s="541"/>
      <c r="M712" s="542"/>
      <c r="N712" s="701">
        <f>SUM(O712:AJ712)-H712</f>
        <v>-423500</v>
      </c>
      <c r="O712" s="690"/>
      <c r="P712" s="690"/>
      <c r="Q712" s="690"/>
      <c r="R712" s="690"/>
      <c r="S712" s="690"/>
      <c r="T712" s="690"/>
      <c r="U712" s="690"/>
      <c r="V712" s="690"/>
      <c r="W712" s="690"/>
      <c r="X712" s="690"/>
      <c r="Y712" s="690"/>
      <c r="Z712" s="690"/>
      <c r="AA712" s="690"/>
      <c r="AB712" s="690"/>
      <c r="AC712" s="690"/>
      <c r="AD712" s="690"/>
      <c r="AE712" s="690"/>
      <c r="AF712" s="690"/>
      <c r="AG712" s="690"/>
      <c r="AH712" s="690"/>
      <c r="AI712" s="690"/>
      <c r="AJ712" s="690"/>
      <c r="AK712" s="658"/>
    </row>
    <row r="713" spans="1:37" s="532" customFormat="1" ht="15" customHeight="1">
      <c r="B713" s="568"/>
      <c r="C713" s="851" t="s">
        <v>926</v>
      </c>
      <c r="D713" s="560" t="s">
        <v>116</v>
      </c>
      <c r="E713" s="559" t="s">
        <v>16</v>
      </c>
      <c r="F713" s="531">
        <v>1500000</v>
      </c>
      <c r="G713" s="537">
        <v>1</v>
      </c>
      <c r="H713" s="537">
        <f>F713*G713</f>
        <v>1500000</v>
      </c>
      <c r="I713" s="537"/>
      <c r="J713" s="570"/>
      <c r="K713" s="540"/>
      <c r="L713" s="541"/>
      <c r="M713" s="542"/>
      <c r="N713" s="701">
        <f>SUM(O713:AJ713)-H713</f>
        <v>-1500000</v>
      </c>
      <c r="O713" s="690"/>
      <c r="P713" s="690"/>
      <c r="Q713" s="690"/>
      <c r="R713" s="690"/>
      <c r="S713" s="690"/>
      <c r="T713" s="690"/>
      <c r="U713" s="690"/>
      <c r="V713" s="690"/>
      <c r="W713" s="690"/>
      <c r="X713" s="690"/>
      <c r="Y713" s="690"/>
      <c r="Z713" s="690"/>
      <c r="AA713" s="690"/>
      <c r="AB713" s="690"/>
      <c r="AC713" s="690"/>
      <c r="AD713" s="690"/>
      <c r="AE713" s="690"/>
      <c r="AF713" s="690"/>
      <c r="AG713" s="690"/>
      <c r="AH713" s="690"/>
      <c r="AI713" s="690"/>
      <c r="AJ713" s="690"/>
      <c r="AK713" s="658"/>
    </row>
    <row r="714" spans="1:37" s="48" customFormat="1" ht="15" customHeight="1">
      <c r="A714" s="45"/>
      <c r="B714" s="314"/>
      <c r="C714" s="836"/>
      <c r="D714" s="73"/>
      <c r="E714" s="71"/>
      <c r="F714" s="906" t="s">
        <v>117</v>
      </c>
      <c r="G714" s="906"/>
      <c r="H714" s="191"/>
      <c r="I714" s="472">
        <f>SUM(H712:H713)</f>
        <v>1923500</v>
      </c>
      <c r="J714" s="294">
        <v>4</v>
      </c>
      <c r="K714" s="158"/>
      <c r="L714" s="386"/>
      <c r="M714" s="593"/>
      <c r="N714" s="701">
        <f>SUM(O714:AJ714)-H714</f>
        <v>0</v>
      </c>
      <c r="O714" s="676"/>
      <c r="P714" s="676"/>
      <c r="Q714" s="676"/>
      <c r="R714" s="676"/>
      <c r="S714" s="676"/>
      <c r="T714" s="676"/>
      <c r="U714" s="676"/>
      <c r="V714" s="676"/>
      <c r="W714" s="676"/>
      <c r="X714" s="676"/>
      <c r="Y714" s="676"/>
      <c r="Z714" s="676"/>
      <c r="AA714" s="676"/>
      <c r="AB714" s="676"/>
      <c r="AC714" s="676"/>
      <c r="AD714" s="676"/>
      <c r="AE714" s="676"/>
      <c r="AF714" s="676"/>
      <c r="AG714" s="676"/>
      <c r="AH714" s="676"/>
      <c r="AI714" s="676"/>
      <c r="AJ714" s="676"/>
      <c r="AK714" s="658"/>
    </row>
    <row r="715" spans="1:37" s="53" customFormat="1" ht="30" customHeight="1">
      <c r="A715" s="5"/>
      <c r="B715" s="309"/>
      <c r="C715" s="832"/>
      <c r="D715" s="49"/>
      <c r="E715" s="9"/>
      <c r="F715" s="8"/>
      <c r="G715" s="8"/>
      <c r="H715" s="50"/>
      <c r="I715" s="51"/>
      <c r="J715" s="51"/>
      <c r="K715" s="156"/>
      <c r="L715" s="383"/>
      <c r="M715" s="542"/>
      <c r="N715" s="701">
        <f>SUM(O715:AJ715)-H715</f>
        <v>0</v>
      </c>
      <c r="O715" s="677"/>
      <c r="P715" s="677"/>
      <c r="Q715" s="677"/>
      <c r="R715" s="677"/>
      <c r="S715" s="677"/>
      <c r="T715" s="677"/>
      <c r="U715" s="677"/>
      <c r="V715" s="677"/>
      <c r="W715" s="677"/>
      <c r="X715" s="677"/>
      <c r="Y715" s="677"/>
      <c r="Z715" s="677"/>
      <c r="AA715" s="677"/>
      <c r="AB715" s="677"/>
      <c r="AC715" s="677"/>
      <c r="AD715" s="677"/>
      <c r="AE715" s="677"/>
      <c r="AF715" s="677"/>
      <c r="AG715" s="677"/>
      <c r="AH715" s="677"/>
      <c r="AI715" s="677"/>
      <c r="AJ715" s="677"/>
      <c r="AK715" s="658"/>
    </row>
    <row r="716" spans="1:37" s="48" customFormat="1" ht="15" customHeight="1">
      <c r="A716" s="45"/>
      <c r="B716" s="312"/>
      <c r="C716" s="834"/>
      <c r="D716" s="33" t="s">
        <v>118</v>
      </c>
      <c r="E716" s="56" t="s">
        <v>13</v>
      </c>
      <c r="F716" s="57" t="s">
        <v>14</v>
      </c>
      <c r="G716" s="860" t="s">
        <v>15</v>
      </c>
      <c r="H716" s="192" t="s">
        <v>8</v>
      </c>
      <c r="I716" s="59"/>
      <c r="J716" s="292"/>
      <c r="K716" s="158"/>
      <c r="L716" s="386"/>
      <c r="M716" s="593"/>
      <c r="N716" s="701"/>
      <c r="O716" s="676"/>
      <c r="P716" s="676"/>
      <c r="Q716" s="676"/>
      <c r="R716" s="676"/>
      <c r="S716" s="676"/>
      <c r="T716" s="676"/>
      <c r="U716" s="676"/>
      <c r="V716" s="676"/>
      <c r="W716" s="676"/>
      <c r="X716" s="676"/>
      <c r="Y716" s="676"/>
      <c r="Z716" s="676"/>
      <c r="AA716" s="676"/>
      <c r="AB716" s="676"/>
      <c r="AC716" s="676"/>
      <c r="AD716" s="676"/>
      <c r="AE716" s="676"/>
      <c r="AF716" s="676"/>
      <c r="AG716" s="676"/>
      <c r="AH716" s="676"/>
      <c r="AI716" s="676"/>
      <c r="AJ716" s="676"/>
      <c r="AK716" s="658"/>
    </row>
    <row r="717" spans="1:37" s="532" customFormat="1" ht="15" customHeight="1">
      <c r="B717" s="568"/>
      <c r="C717" s="851" t="s">
        <v>926</v>
      </c>
      <c r="D717" s="560" t="s">
        <v>108</v>
      </c>
      <c r="E717" s="559" t="s">
        <v>16</v>
      </c>
      <c r="F717" s="531">
        <v>2420000</v>
      </c>
      <c r="G717" s="537">
        <v>1</v>
      </c>
      <c r="H717" s="537">
        <f>F717</f>
        <v>2420000</v>
      </c>
      <c r="I717" s="537"/>
      <c r="J717" s="570"/>
      <c r="K717" s="540"/>
      <c r="L717" s="541"/>
      <c r="M717" s="542"/>
      <c r="N717" s="701">
        <f>SUM(O717:AJ717)-H717</f>
        <v>-2420000</v>
      </c>
      <c r="O717" s="690"/>
      <c r="P717" s="690"/>
      <c r="Q717" s="690"/>
      <c r="R717" s="690"/>
      <c r="S717" s="690"/>
      <c r="T717" s="690"/>
      <c r="U717" s="690"/>
      <c r="V717" s="690"/>
      <c r="W717" s="690"/>
      <c r="X717" s="690"/>
      <c r="Y717" s="690"/>
      <c r="Z717" s="690"/>
      <c r="AA717" s="690"/>
      <c r="AB717" s="690"/>
      <c r="AC717" s="690"/>
      <c r="AD717" s="690"/>
      <c r="AE717" s="690"/>
      <c r="AF717" s="690"/>
      <c r="AG717" s="690"/>
      <c r="AH717" s="690"/>
      <c r="AI717" s="690"/>
      <c r="AJ717" s="690"/>
      <c r="AK717" s="658"/>
    </row>
    <row r="718" spans="1:37" s="532" customFormat="1" ht="15" customHeight="1">
      <c r="B718" s="568"/>
      <c r="C718" s="851" t="s">
        <v>926</v>
      </c>
      <c r="D718" s="560" t="s">
        <v>324</v>
      </c>
      <c r="E718" s="559" t="s">
        <v>16</v>
      </c>
      <c r="F718" s="531">
        <v>4235000</v>
      </c>
      <c r="G718" s="537"/>
      <c r="H718" s="537">
        <f>F718</f>
        <v>4235000</v>
      </c>
      <c r="I718" s="537"/>
      <c r="J718" s="570"/>
      <c r="K718" s="540"/>
      <c r="L718" s="541"/>
      <c r="M718" s="542"/>
      <c r="N718" s="701">
        <f>SUM(O718:AJ718)-H718</f>
        <v>-4235000</v>
      </c>
      <c r="O718" s="690"/>
      <c r="P718" s="690"/>
      <c r="Q718" s="690"/>
      <c r="R718" s="690"/>
      <c r="S718" s="690"/>
      <c r="T718" s="690"/>
      <c r="U718" s="690"/>
      <c r="V718" s="690"/>
      <c r="W718" s="690"/>
      <c r="X718" s="690"/>
      <c r="Y718" s="690"/>
      <c r="Z718" s="690"/>
      <c r="AA718" s="690"/>
      <c r="AB718" s="690"/>
      <c r="AC718" s="690"/>
      <c r="AD718" s="690"/>
      <c r="AE718" s="690"/>
      <c r="AF718" s="690"/>
      <c r="AG718" s="690"/>
      <c r="AH718" s="690"/>
      <c r="AI718" s="690"/>
      <c r="AJ718" s="690"/>
      <c r="AK718" s="658"/>
    </row>
    <row r="719" spans="1:37" s="532" customFormat="1" ht="15" customHeight="1">
      <c r="B719" s="568"/>
      <c r="C719" s="851" t="s">
        <v>926</v>
      </c>
      <c r="D719" s="560" t="s">
        <v>331</v>
      </c>
      <c r="E719" s="559" t="s">
        <v>27</v>
      </c>
      <c r="F719" s="531">
        <v>1149500</v>
      </c>
      <c r="G719" s="537">
        <v>0</v>
      </c>
      <c r="H719" s="537">
        <f>F719</f>
        <v>1149500</v>
      </c>
      <c r="I719" s="537"/>
      <c r="J719" s="570"/>
      <c r="K719" s="540"/>
      <c r="L719" s="541"/>
      <c r="M719" s="542"/>
      <c r="N719" s="701">
        <f>SUM(O719:AJ719)-H719</f>
        <v>-1149500</v>
      </c>
      <c r="O719" s="690"/>
      <c r="P719" s="690"/>
      <c r="Q719" s="690"/>
      <c r="R719" s="690"/>
      <c r="S719" s="690"/>
      <c r="T719" s="690"/>
      <c r="U719" s="690"/>
      <c r="V719" s="690"/>
      <c r="W719" s="690"/>
      <c r="X719" s="690"/>
      <c r="Y719" s="690"/>
      <c r="Z719" s="690"/>
      <c r="AA719" s="690"/>
      <c r="AB719" s="690"/>
      <c r="AC719" s="690"/>
      <c r="AD719" s="690"/>
      <c r="AE719" s="690"/>
      <c r="AF719" s="690"/>
      <c r="AG719" s="690"/>
      <c r="AH719" s="690"/>
      <c r="AI719" s="690"/>
      <c r="AJ719" s="690"/>
      <c r="AK719" s="658"/>
    </row>
    <row r="720" spans="1:37" s="48" customFormat="1" ht="15" customHeight="1">
      <c r="A720" s="45"/>
      <c r="B720" s="314"/>
      <c r="C720" s="836"/>
      <c r="D720" s="73"/>
      <c r="E720" s="71"/>
      <c r="F720" s="906" t="s">
        <v>119</v>
      </c>
      <c r="G720" s="906"/>
      <c r="H720" s="191"/>
      <c r="I720" s="472">
        <f>SUM(H717:H719)</f>
        <v>7804500</v>
      </c>
      <c r="J720" s="294">
        <v>6</v>
      </c>
      <c r="K720" s="158"/>
      <c r="L720" s="386"/>
      <c r="M720" s="593"/>
      <c r="N720" s="701">
        <f>SUM(O720:AJ720)-H720</f>
        <v>0</v>
      </c>
      <c r="O720" s="676"/>
      <c r="P720" s="676"/>
      <c r="Q720" s="676"/>
      <c r="R720" s="676"/>
      <c r="S720" s="676"/>
      <c r="T720" s="676"/>
      <c r="U720" s="676"/>
      <c r="V720" s="676"/>
      <c r="W720" s="676"/>
      <c r="X720" s="676"/>
      <c r="Y720" s="676"/>
      <c r="Z720" s="676"/>
      <c r="AA720" s="676"/>
      <c r="AB720" s="676"/>
      <c r="AC720" s="676"/>
      <c r="AD720" s="676"/>
      <c r="AE720" s="676"/>
      <c r="AF720" s="676"/>
      <c r="AG720" s="676"/>
      <c r="AH720" s="676"/>
      <c r="AI720" s="676"/>
      <c r="AJ720" s="676"/>
      <c r="AK720" s="658"/>
    </row>
    <row r="721" spans="1:37" s="53" customFormat="1" ht="30" customHeight="1">
      <c r="A721" s="5"/>
      <c r="B721" s="309"/>
      <c r="C721" s="832"/>
      <c r="D721" s="49"/>
      <c r="E721" s="9"/>
      <c r="F721" s="8"/>
      <c r="G721" s="8"/>
      <c r="H721" s="50"/>
      <c r="I721" s="51"/>
      <c r="J721" s="51"/>
      <c r="K721" s="156"/>
      <c r="L721" s="383"/>
      <c r="M721" s="542"/>
      <c r="N721" s="701">
        <f>SUM(O721:AJ721)-H721</f>
        <v>0</v>
      </c>
      <c r="O721" s="677"/>
      <c r="P721" s="677"/>
      <c r="Q721" s="677"/>
      <c r="R721" s="677"/>
      <c r="S721" s="677"/>
      <c r="T721" s="677"/>
      <c r="U721" s="677"/>
      <c r="V721" s="677"/>
      <c r="W721" s="677"/>
      <c r="X721" s="677"/>
      <c r="Y721" s="677"/>
      <c r="Z721" s="677"/>
      <c r="AA721" s="677"/>
      <c r="AB721" s="677"/>
      <c r="AC721" s="677"/>
      <c r="AD721" s="677"/>
      <c r="AE721" s="677"/>
      <c r="AF721" s="677"/>
      <c r="AG721" s="677"/>
      <c r="AH721" s="677"/>
      <c r="AI721" s="677"/>
      <c r="AJ721" s="677"/>
      <c r="AK721" s="658"/>
    </row>
    <row r="722" spans="1:37" s="48" customFormat="1" ht="15" customHeight="1">
      <c r="A722" s="45"/>
      <c r="B722" s="309"/>
      <c r="C722" s="834"/>
      <c r="D722" s="33" t="s">
        <v>120</v>
      </c>
      <c r="E722" s="56" t="s">
        <v>13</v>
      </c>
      <c r="F722" s="57" t="s">
        <v>14</v>
      </c>
      <c r="G722" s="860" t="s">
        <v>15</v>
      </c>
      <c r="H722" s="192" t="s">
        <v>8</v>
      </c>
      <c r="I722" s="59"/>
      <c r="J722" s="292"/>
      <c r="K722" s="158"/>
      <c r="L722" s="386"/>
      <c r="M722" s="593"/>
      <c r="N722" s="701"/>
      <c r="O722" s="676"/>
      <c r="P722" s="676"/>
      <c r="Q722" s="676"/>
      <c r="R722" s="676"/>
      <c r="S722" s="676"/>
      <c r="T722" s="676"/>
      <c r="U722" s="676"/>
      <c r="V722" s="676"/>
      <c r="W722" s="676"/>
      <c r="X722" s="676"/>
      <c r="Y722" s="676"/>
      <c r="Z722" s="676"/>
      <c r="AA722" s="676"/>
      <c r="AB722" s="676"/>
      <c r="AC722" s="676"/>
      <c r="AD722" s="676"/>
      <c r="AE722" s="676"/>
      <c r="AF722" s="676"/>
      <c r="AG722" s="676"/>
      <c r="AH722" s="676"/>
      <c r="AI722" s="676"/>
      <c r="AJ722" s="676"/>
      <c r="AK722" s="658"/>
    </row>
    <row r="723" spans="1:37" s="104" customFormat="1" ht="15" customHeight="1">
      <c r="B723" s="313"/>
      <c r="C723" s="851" t="s">
        <v>928</v>
      </c>
      <c r="D723" s="105" t="s">
        <v>99</v>
      </c>
      <c r="E723" s="106"/>
      <c r="F723" s="107"/>
      <c r="G723" s="107"/>
      <c r="H723" s="108"/>
      <c r="I723" s="109"/>
      <c r="J723" s="296"/>
      <c r="K723" s="156"/>
      <c r="L723" s="383"/>
      <c r="M723" s="542"/>
      <c r="N723" s="701"/>
      <c r="O723" s="688"/>
      <c r="P723" s="688"/>
      <c r="Q723" s="688"/>
      <c r="R723" s="688"/>
      <c r="S723" s="688"/>
      <c r="T723" s="688"/>
      <c r="U723" s="688"/>
      <c r="V723" s="688"/>
      <c r="W723" s="688"/>
      <c r="X723" s="688"/>
      <c r="Y723" s="688"/>
      <c r="Z723" s="688"/>
      <c r="AA723" s="688"/>
      <c r="AB723" s="688"/>
      <c r="AC723" s="688"/>
      <c r="AD723" s="688"/>
      <c r="AE723" s="688"/>
      <c r="AF723" s="688"/>
      <c r="AG723" s="688"/>
      <c r="AH723" s="688"/>
      <c r="AI723" s="688"/>
      <c r="AJ723" s="688"/>
      <c r="AK723" s="658"/>
    </row>
    <row r="724" spans="1:37" s="543" customFormat="1" ht="15" customHeight="1">
      <c r="A724" s="532"/>
      <c r="B724" s="568"/>
      <c r="C724" s="851"/>
      <c r="D724" s="556" t="s">
        <v>449</v>
      </c>
      <c r="E724" s="559" t="s">
        <v>16</v>
      </c>
      <c r="F724" s="655">
        <v>300000</v>
      </c>
      <c r="G724" s="537">
        <v>8</v>
      </c>
      <c r="H724" s="537">
        <f t="shared" ref="H724:H731" si="21">+F724*G724</f>
        <v>2400000</v>
      </c>
      <c r="I724" s="569"/>
      <c r="J724" s="547"/>
      <c r="K724" s="540"/>
      <c r="L724" s="541"/>
      <c r="M724" s="542"/>
      <c r="N724" s="701"/>
      <c r="O724" s="687"/>
      <c r="P724" s="687"/>
      <c r="Q724" s="687"/>
      <c r="R724" s="687"/>
      <c r="S724" s="687"/>
      <c r="T724" s="687"/>
      <c r="U724" s="687"/>
      <c r="V724" s="687"/>
      <c r="W724" s="687"/>
      <c r="X724" s="687"/>
      <c r="Y724" s="687"/>
      <c r="Z724" s="687"/>
      <c r="AA724" s="687"/>
      <c r="AB724" s="687"/>
      <c r="AC724" s="687"/>
      <c r="AD724" s="687"/>
      <c r="AE724" s="687"/>
      <c r="AF724" s="687"/>
      <c r="AG724" s="687"/>
      <c r="AH724" s="687"/>
      <c r="AI724" s="687"/>
      <c r="AJ724" s="687"/>
      <c r="AK724" s="658"/>
    </row>
    <row r="725" spans="1:37" s="543" customFormat="1" ht="15" customHeight="1">
      <c r="A725" s="532"/>
      <c r="B725" s="568"/>
      <c r="C725" s="851"/>
      <c r="D725" s="556" t="s">
        <v>325</v>
      </c>
      <c r="E725" s="559" t="s">
        <v>16</v>
      </c>
      <c r="F725" s="531">
        <v>150000</v>
      </c>
      <c r="G725" s="537">
        <v>2</v>
      </c>
      <c r="H725" s="537">
        <f t="shared" si="21"/>
        <v>300000</v>
      </c>
      <c r="I725" s="569"/>
      <c r="J725" s="547"/>
      <c r="K725" s="540"/>
      <c r="L725" s="541"/>
      <c r="M725" s="542"/>
      <c r="N725" s="701"/>
      <c r="O725" s="687"/>
      <c r="P725" s="687"/>
      <c r="Q725" s="687"/>
      <c r="R725" s="687"/>
      <c r="S725" s="687"/>
      <c r="T725" s="687"/>
      <c r="U725" s="687"/>
      <c r="V725" s="687"/>
      <c r="W725" s="687"/>
      <c r="X725" s="687"/>
      <c r="Y725" s="687"/>
      <c r="Z725" s="687"/>
      <c r="AA725" s="687"/>
      <c r="AB725" s="687"/>
      <c r="AC725" s="687"/>
      <c r="AD725" s="687"/>
      <c r="AE725" s="687"/>
      <c r="AF725" s="687"/>
      <c r="AG725" s="687"/>
      <c r="AH725" s="687"/>
      <c r="AI725" s="687"/>
      <c r="AJ725" s="687"/>
      <c r="AK725" s="658"/>
    </row>
    <row r="726" spans="1:37" s="543" customFormat="1" ht="15" customHeight="1">
      <c r="A726" s="532"/>
      <c r="B726" s="568"/>
      <c r="C726" s="851"/>
      <c r="D726" s="556" t="s">
        <v>326</v>
      </c>
      <c r="E726" s="559" t="s">
        <v>16</v>
      </c>
      <c r="F726" s="531">
        <v>120000</v>
      </c>
      <c r="G726" s="537">
        <v>4</v>
      </c>
      <c r="H726" s="537">
        <f t="shared" si="21"/>
        <v>480000</v>
      </c>
      <c r="I726" s="569"/>
      <c r="J726" s="547"/>
      <c r="K726" s="540"/>
      <c r="L726" s="541"/>
      <c r="M726" s="542"/>
      <c r="N726" s="701"/>
      <c r="O726" s="687"/>
      <c r="P726" s="687"/>
      <c r="Q726" s="687"/>
      <c r="R726" s="687"/>
      <c r="S726" s="687"/>
      <c r="T726" s="687"/>
      <c r="U726" s="687"/>
      <c r="V726" s="687"/>
      <c r="W726" s="687"/>
      <c r="X726" s="687"/>
      <c r="Y726" s="687"/>
      <c r="Z726" s="687"/>
      <c r="AA726" s="687"/>
      <c r="AB726" s="687"/>
      <c r="AC726" s="687"/>
      <c r="AD726" s="687"/>
      <c r="AE726" s="687"/>
      <c r="AF726" s="687"/>
      <c r="AG726" s="687"/>
      <c r="AH726" s="687"/>
      <c r="AI726" s="687"/>
      <c r="AJ726" s="687"/>
      <c r="AK726" s="658"/>
    </row>
    <row r="727" spans="1:37" s="543" customFormat="1" ht="15" customHeight="1">
      <c r="A727" s="532"/>
      <c r="B727" s="568"/>
      <c r="C727" s="851"/>
      <c r="D727" s="556" t="s">
        <v>327</v>
      </c>
      <c r="E727" s="559" t="s">
        <v>16</v>
      </c>
      <c r="F727" s="531">
        <v>150000</v>
      </c>
      <c r="G727" s="537">
        <v>1</v>
      </c>
      <c r="H727" s="537">
        <f t="shared" si="21"/>
        <v>150000</v>
      </c>
      <c r="I727" s="569"/>
      <c r="J727" s="547"/>
      <c r="K727" s="540"/>
      <c r="L727" s="541"/>
      <c r="M727" s="542"/>
      <c r="N727" s="701"/>
      <c r="O727" s="687"/>
      <c r="P727" s="687"/>
      <c r="Q727" s="687"/>
      <c r="R727" s="687"/>
      <c r="S727" s="687"/>
      <c r="T727" s="687"/>
      <c r="U727" s="687"/>
      <c r="V727" s="687"/>
      <c r="W727" s="687"/>
      <c r="X727" s="687"/>
      <c r="Y727" s="687"/>
      <c r="Z727" s="687"/>
      <c r="AA727" s="687"/>
      <c r="AB727" s="687"/>
      <c r="AC727" s="687"/>
      <c r="AD727" s="687"/>
      <c r="AE727" s="687"/>
      <c r="AF727" s="687"/>
      <c r="AG727" s="687"/>
      <c r="AH727" s="687"/>
      <c r="AI727" s="687"/>
      <c r="AJ727" s="687"/>
      <c r="AK727" s="658"/>
    </row>
    <row r="728" spans="1:37" s="543" customFormat="1" ht="15" customHeight="1">
      <c r="A728" s="532"/>
      <c r="B728" s="568"/>
      <c r="C728" s="851"/>
      <c r="D728" s="556" t="s">
        <v>450</v>
      </c>
      <c r="E728" s="559" t="s">
        <v>16</v>
      </c>
      <c r="F728" s="531">
        <v>120000</v>
      </c>
      <c r="G728" s="537">
        <v>1</v>
      </c>
      <c r="H728" s="537">
        <f t="shared" si="21"/>
        <v>120000</v>
      </c>
      <c r="I728" s="569"/>
      <c r="J728" s="547"/>
      <c r="K728" s="540"/>
      <c r="L728" s="541"/>
      <c r="M728" s="542"/>
      <c r="N728" s="701"/>
      <c r="O728" s="687"/>
      <c r="P728" s="687"/>
      <c r="Q728" s="687"/>
      <c r="R728" s="687"/>
      <c r="S728" s="687"/>
      <c r="T728" s="687"/>
      <c r="U728" s="687"/>
      <c r="V728" s="687"/>
      <c r="W728" s="687"/>
      <c r="X728" s="687"/>
      <c r="Y728" s="687"/>
      <c r="Z728" s="687"/>
      <c r="AA728" s="687"/>
      <c r="AB728" s="687"/>
      <c r="AC728" s="687"/>
      <c r="AD728" s="687"/>
      <c r="AE728" s="687"/>
      <c r="AF728" s="687"/>
      <c r="AG728" s="687"/>
      <c r="AH728" s="687"/>
      <c r="AI728" s="687"/>
      <c r="AJ728" s="687"/>
      <c r="AK728" s="658"/>
    </row>
    <row r="729" spans="1:37" s="543" customFormat="1" ht="15" customHeight="1">
      <c r="A729" s="532"/>
      <c r="B729" s="568"/>
      <c r="C729" s="851"/>
      <c r="D729" s="556" t="s">
        <v>451</v>
      </c>
      <c r="E729" s="559" t="s">
        <v>16</v>
      </c>
      <c r="F729" s="531">
        <v>120000</v>
      </c>
      <c r="G729" s="537">
        <v>3</v>
      </c>
      <c r="H729" s="537">
        <f t="shared" si="21"/>
        <v>360000</v>
      </c>
      <c r="I729" s="569"/>
      <c r="J729" s="547"/>
      <c r="K729" s="540"/>
      <c r="L729" s="541"/>
      <c r="M729" s="542"/>
      <c r="N729" s="701"/>
      <c r="O729" s="687"/>
      <c r="P729" s="687"/>
      <c r="Q729" s="687"/>
      <c r="R729" s="687"/>
      <c r="S729" s="687"/>
      <c r="T729" s="687"/>
      <c r="U729" s="687"/>
      <c r="V729" s="687"/>
      <c r="W729" s="687"/>
      <c r="X729" s="687"/>
      <c r="Y729" s="687"/>
      <c r="Z729" s="687"/>
      <c r="AA729" s="687"/>
      <c r="AB729" s="687"/>
      <c r="AC729" s="687"/>
      <c r="AD729" s="687"/>
      <c r="AE729" s="687"/>
      <c r="AF729" s="687"/>
      <c r="AG729" s="687"/>
      <c r="AH729" s="687"/>
      <c r="AI729" s="687"/>
      <c r="AJ729" s="687"/>
      <c r="AK729" s="658"/>
    </row>
    <row r="730" spans="1:37" s="543" customFormat="1" ht="15" customHeight="1">
      <c r="A730" s="532"/>
      <c r="B730" s="568"/>
      <c r="C730" s="851"/>
      <c r="D730" s="556" t="s">
        <v>452</v>
      </c>
      <c r="E730" s="545" t="s">
        <v>16</v>
      </c>
      <c r="F730" s="531">
        <v>90000</v>
      </c>
      <c r="G730" s="537">
        <v>3</v>
      </c>
      <c r="H730" s="537">
        <f t="shared" si="21"/>
        <v>270000</v>
      </c>
      <c r="I730" s="569"/>
      <c r="J730" s="547"/>
      <c r="K730" s="540"/>
      <c r="L730" s="541"/>
      <c r="M730" s="542"/>
      <c r="N730" s="701"/>
      <c r="O730" s="687"/>
      <c r="P730" s="687"/>
      <c r="Q730" s="687"/>
      <c r="R730" s="687"/>
      <c r="S730" s="687"/>
      <c r="T730" s="687"/>
      <c r="U730" s="687"/>
      <c r="V730" s="687"/>
      <c r="W730" s="687"/>
      <c r="X730" s="687"/>
      <c r="Y730" s="687"/>
      <c r="Z730" s="687"/>
      <c r="AA730" s="687"/>
      <c r="AB730" s="687"/>
      <c r="AC730" s="687"/>
      <c r="AD730" s="687"/>
      <c r="AE730" s="687"/>
      <c r="AF730" s="687"/>
      <c r="AG730" s="687"/>
      <c r="AH730" s="687"/>
      <c r="AI730" s="687"/>
      <c r="AJ730" s="687"/>
      <c r="AK730" s="658"/>
    </row>
    <row r="731" spans="1:37" s="543" customFormat="1" ht="15" customHeight="1">
      <c r="A731" s="532"/>
      <c r="B731" s="568"/>
      <c r="C731" s="851"/>
      <c r="D731" s="556" t="s">
        <v>453</v>
      </c>
      <c r="E731" s="545" t="s">
        <v>329</v>
      </c>
      <c r="F731" s="655">
        <v>100000</v>
      </c>
      <c r="G731" s="537">
        <v>25</v>
      </c>
      <c r="H731" s="537">
        <f t="shared" si="21"/>
        <v>2500000</v>
      </c>
      <c r="I731" s="569"/>
      <c r="J731" s="547"/>
      <c r="K731" s="540"/>
      <c r="L731" s="541"/>
      <c r="M731" s="542"/>
      <c r="N731" s="701"/>
      <c r="O731" s="687"/>
      <c r="P731" s="687"/>
      <c r="Q731" s="687"/>
      <c r="R731" s="687"/>
      <c r="S731" s="687"/>
      <c r="T731" s="687"/>
      <c r="U731" s="687"/>
      <c r="V731" s="687"/>
      <c r="W731" s="687"/>
      <c r="X731" s="687"/>
      <c r="Y731" s="687"/>
      <c r="Z731" s="687"/>
      <c r="AA731" s="687"/>
      <c r="AB731" s="687"/>
      <c r="AC731" s="687"/>
      <c r="AD731" s="687"/>
      <c r="AE731" s="687"/>
      <c r="AF731" s="687"/>
      <c r="AG731" s="687"/>
      <c r="AH731" s="687"/>
      <c r="AI731" s="687"/>
      <c r="AJ731" s="687"/>
      <c r="AK731" s="658"/>
    </row>
    <row r="732" spans="1:37" s="5" customFormat="1" ht="15" customHeight="1">
      <c r="B732" s="313"/>
      <c r="C732" s="835"/>
      <c r="D732" s="113"/>
      <c r="E732" s="114" t="s">
        <v>282</v>
      </c>
      <c r="F732" s="124"/>
      <c r="G732" s="125"/>
      <c r="H732" s="75"/>
      <c r="I732" s="118"/>
      <c r="J732" s="52"/>
      <c r="K732" s="156"/>
      <c r="L732" s="383"/>
      <c r="M732" s="542"/>
      <c r="N732" s="701"/>
      <c r="O732" s="678"/>
      <c r="P732" s="678"/>
      <c r="Q732" s="678"/>
      <c r="R732" s="678"/>
      <c r="S732" s="678"/>
      <c r="T732" s="678"/>
      <c r="U732" s="678"/>
      <c r="V732" s="678"/>
      <c r="W732" s="678"/>
      <c r="X732" s="678"/>
      <c r="Y732" s="678"/>
      <c r="Z732" s="678"/>
      <c r="AA732" s="678"/>
      <c r="AB732" s="678"/>
      <c r="AC732" s="678"/>
      <c r="AD732" s="678"/>
      <c r="AE732" s="678"/>
      <c r="AF732" s="678"/>
      <c r="AG732" s="678"/>
      <c r="AH732" s="678"/>
      <c r="AI732" s="678"/>
      <c r="AJ732" s="678"/>
      <c r="AK732" s="658"/>
    </row>
    <row r="733" spans="1:37" ht="15" customHeight="1">
      <c r="A733" s="5"/>
      <c r="B733" s="309"/>
      <c r="C733" s="833"/>
      <c r="D733" s="17"/>
      <c r="E733" s="115"/>
      <c r="F733" s="124"/>
      <c r="G733" s="64"/>
      <c r="H733" s="86"/>
      <c r="I733" s="72"/>
      <c r="J733" s="52"/>
      <c r="K733" s="156"/>
      <c r="L733" s="383"/>
      <c r="M733" s="542"/>
      <c r="N733" s="701"/>
      <c r="O733" s="675"/>
      <c r="P733" s="675"/>
      <c r="Q733" s="675"/>
      <c r="R733" s="675"/>
      <c r="S733" s="675"/>
      <c r="T733" s="675"/>
      <c r="U733" s="675"/>
      <c r="V733" s="675"/>
      <c r="W733" s="675"/>
      <c r="X733" s="675"/>
      <c r="Y733" s="675"/>
      <c r="Z733" s="675"/>
      <c r="AA733" s="675"/>
      <c r="AB733" s="675"/>
      <c r="AC733" s="675"/>
      <c r="AD733" s="675"/>
      <c r="AE733" s="675"/>
      <c r="AF733" s="675"/>
      <c r="AG733" s="675"/>
      <c r="AH733" s="675"/>
      <c r="AI733" s="675"/>
      <c r="AJ733" s="675"/>
      <c r="AK733" s="658"/>
    </row>
    <row r="734" spans="1:37" ht="15" customHeight="1">
      <c r="A734" s="5"/>
      <c r="B734" s="313"/>
      <c r="C734" s="835"/>
      <c r="D734" s="17" t="s">
        <v>121</v>
      </c>
      <c r="E734" s="81" t="s">
        <v>60</v>
      </c>
      <c r="F734" s="253">
        <v>40000</v>
      </c>
      <c r="G734" s="64">
        <v>25</v>
      </c>
      <c r="H734" s="64">
        <f>F734*G734</f>
        <v>1000000</v>
      </c>
      <c r="I734" s="72"/>
      <c r="J734" s="52"/>
      <c r="K734" s="156"/>
      <c r="L734" s="383"/>
      <c r="M734" s="542"/>
      <c r="N734" s="701"/>
      <c r="O734" s="675"/>
      <c r="P734" s="675"/>
      <c r="Q734" s="675"/>
      <c r="R734" s="675"/>
      <c r="S734" s="675"/>
      <c r="T734" s="675"/>
      <c r="U734" s="675"/>
      <c r="V734" s="675"/>
      <c r="W734" s="675"/>
      <c r="X734" s="675"/>
      <c r="Y734" s="675"/>
      <c r="Z734" s="675"/>
      <c r="AA734" s="675"/>
      <c r="AB734" s="675"/>
      <c r="AC734" s="675"/>
      <c r="AD734" s="675"/>
      <c r="AE734" s="675"/>
      <c r="AF734" s="675"/>
      <c r="AG734" s="675"/>
      <c r="AH734" s="675"/>
      <c r="AI734" s="675"/>
      <c r="AJ734" s="675"/>
      <c r="AK734" s="658"/>
    </row>
    <row r="735" spans="1:37" s="5" customFormat="1" ht="15" customHeight="1">
      <c r="B735" s="313"/>
      <c r="C735" s="835"/>
      <c r="D735" s="105" t="s">
        <v>347</v>
      </c>
      <c r="E735" s="120"/>
      <c r="F735" s="91"/>
      <c r="G735" s="121"/>
      <c r="H735" s="64"/>
      <c r="I735" s="126"/>
      <c r="J735" s="52"/>
      <c r="K735" s="156"/>
      <c r="L735" s="383"/>
      <c r="M735" s="542"/>
      <c r="N735" s="701"/>
      <c r="O735" s="678"/>
      <c r="P735" s="678"/>
      <c r="Q735" s="678"/>
      <c r="R735" s="678"/>
      <c r="S735" s="678"/>
      <c r="T735" s="678"/>
      <c r="U735" s="678"/>
      <c r="V735" s="678"/>
      <c r="W735" s="678"/>
      <c r="X735" s="678"/>
      <c r="Y735" s="678"/>
      <c r="Z735" s="678"/>
      <c r="AA735" s="678"/>
      <c r="AB735" s="678"/>
      <c r="AC735" s="678"/>
      <c r="AD735" s="678"/>
      <c r="AE735" s="678"/>
      <c r="AF735" s="678"/>
      <c r="AG735" s="678"/>
      <c r="AH735" s="678"/>
      <c r="AI735" s="678"/>
      <c r="AJ735" s="678"/>
      <c r="AK735" s="658"/>
    </row>
    <row r="736" spans="1:37" s="53" customFormat="1" ht="15" customHeight="1">
      <c r="A736" s="5"/>
      <c r="B736" s="309"/>
      <c r="C736" s="833"/>
      <c r="D736" s="17" t="s">
        <v>122</v>
      </c>
      <c r="E736" s="67" t="s">
        <v>16</v>
      </c>
      <c r="F736" s="253">
        <v>6000</v>
      </c>
      <c r="G736" s="64">
        <v>1</v>
      </c>
      <c r="H736" s="64">
        <f t="shared" ref="H736:H742" si="22">F736*G736</f>
        <v>6000</v>
      </c>
      <c r="I736" s="79"/>
      <c r="J736" s="52"/>
      <c r="K736" s="156"/>
      <c r="L736" s="383"/>
      <c r="M736" s="542"/>
      <c r="N736" s="701"/>
      <c r="O736" s="677"/>
      <c r="P736" s="677"/>
      <c r="Q736" s="677"/>
      <c r="R736" s="677"/>
      <c r="S736" s="677"/>
      <c r="T736" s="677"/>
      <c r="U736" s="677"/>
      <c r="V736" s="677"/>
      <c r="W736" s="677"/>
      <c r="X736" s="677"/>
      <c r="Y736" s="677"/>
      <c r="Z736" s="677"/>
      <c r="AA736" s="677"/>
      <c r="AB736" s="677"/>
      <c r="AC736" s="677"/>
      <c r="AD736" s="677"/>
      <c r="AE736" s="677"/>
      <c r="AF736" s="677"/>
      <c r="AG736" s="677"/>
      <c r="AH736" s="677"/>
      <c r="AI736" s="677"/>
      <c r="AJ736" s="677"/>
      <c r="AK736" s="658"/>
    </row>
    <row r="737" spans="1:37" s="53" customFormat="1" ht="15" customHeight="1">
      <c r="A737" s="5"/>
      <c r="B737" s="309"/>
      <c r="C737" s="833"/>
      <c r="D737" s="17" t="s">
        <v>123</v>
      </c>
      <c r="E737" s="67" t="s">
        <v>29</v>
      </c>
      <c r="F737" s="253">
        <v>1945</v>
      </c>
      <c r="G737" s="64">
        <v>30</v>
      </c>
      <c r="H737" s="64">
        <f t="shared" si="22"/>
        <v>58350</v>
      </c>
      <c r="I737" s="79"/>
      <c r="J737" s="52"/>
      <c r="K737" s="156"/>
      <c r="L737" s="383"/>
      <c r="M737" s="542"/>
      <c r="N737" s="701"/>
      <c r="O737" s="677"/>
      <c r="P737" s="677"/>
      <c r="Q737" s="677"/>
      <c r="R737" s="677"/>
      <c r="S737" s="677"/>
      <c r="T737" s="677"/>
      <c r="U737" s="677"/>
      <c r="V737" s="677"/>
      <c r="W737" s="677"/>
      <c r="X737" s="677"/>
      <c r="Y737" s="677"/>
      <c r="Z737" s="677"/>
      <c r="AA737" s="677"/>
      <c r="AB737" s="677"/>
      <c r="AC737" s="677"/>
      <c r="AD737" s="677"/>
      <c r="AE737" s="677"/>
      <c r="AF737" s="677"/>
      <c r="AG737" s="677"/>
      <c r="AH737" s="677"/>
      <c r="AI737" s="677"/>
      <c r="AJ737" s="677"/>
      <c r="AK737" s="658"/>
    </row>
    <row r="738" spans="1:37" s="53" customFormat="1" ht="15" customHeight="1">
      <c r="A738" s="5"/>
      <c r="B738" s="309"/>
      <c r="C738" s="833"/>
      <c r="D738" s="17" t="s">
        <v>124</v>
      </c>
      <c r="E738" s="67" t="s">
        <v>29</v>
      </c>
      <c r="F738" s="253">
        <v>1030</v>
      </c>
      <c r="G738" s="64">
        <v>30</v>
      </c>
      <c r="H738" s="64">
        <f t="shared" si="22"/>
        <v>30900</v>
      </c>
      <c r="I738" s="79"/>
      <c r="J738" s="52"/>
      <c r="K738" s="156"/>
      <c r="L738" s="383"/>
      <c r="M738" s="542"/>
      <c r="N738" s="701"/>
      <c r="O738" s="677"/>
      <c r="P738" s="677"/>
      <c r="Q738" s="677"/>
      <c r="R738" s="677"/>
      <c r="S738" s="677"/>
      <c r="T738" s="677"/>
      <c r="U738" s="677"/>
      <c r="V738" s="677"/>
      <c r="W738" s="677"/>
      <c r="X738" s="677"/>
      <c r="Y738" s="677"/>
      <c r="Z738" s="677"/>
      <c r="AA738" s="677"/>
      <c r="AB738" s="677"/>
      <c r="AC738" s="677"/>
      <c r="AD738" s="677"/>
      <c r="AE738" s="677"/>
      <c r="AF738" s="677"/>
      <c r="AG738" s="677"/>
      <c r="AH738" s="677"/>
      <c r="AI738" s="677"/>
      <c r="AJ738" s="677"/>
      <c r="AK738" s="658"/>
    </row>
    <row r="739" spans="1:37" s="53" customFormat="1" ht="15" customHeight="1">
      <c r="A739" s="5"/>
      <c r="B739" s="309"/>
      <c r="C739" s="833"/>
      <c r="D739" s="17" t="s">
        <v>125</v>
      </c>
      <c r="E739" s="67" t="s">
        <v>29</v>
      </c>
      <c r="F739" s="253">
        <v>7800</v>
      </c>
      <c r="G739" s="64">
        <v>10</v>
      </c>
      <c r="H739" s="64">
        <f t="shared" si="22"/>
        <v>78000</v>
      </c>
      <c r="I739" s="79"/>
      <c r="J739" s="52"/>
      <c r="K739" s="156"/>
      <c r="L739" s="383"/>
      <c r="M739" s="542"/>
      <c r="N739" s="701"/>
      <c r="O739" s="677"/>
      <c r="P739" s="677"/>
      <c r="Q739" s="677"/>
      <c r="R739" s="677"/>
      <c r="S739" s="677"/>
      <c r="T739" s="677"/>
      <c r="U739" s="677"/>
      <c r="V739" s="677"/>
      <c r="W739" s="677"/>
      <c r="X739" s="677"/>
      <c r="Y739" s="677"/>
      <c r="Z739" s="677"/>
      <c r="AA739" s="677"/>
      <c r="AB739" s="677"/>
      <c r="AC739" s="677"/>
      <c r="AD739" s="677"/>
      <c r="AE739" s="677"/>
      <c r="AF739" s="677"/>
      <c r="AG739" s="677"/>
      <c r="AH739" s="677"/>
      <c r="AI739" s="677"/>
      <c r="AJ739" s="677"/>
      <c r="AK739" s="658"/>
    </row>
    <row r="740" spans="1:37" s="53" customFormat="1" ht="15" customHeight="1">
      <c r="A740" s="5"/>
      <c r="B740" s="309"/>
      <c r="C740" s="833"/>
      <c r="D740" s="17" t="s">
        <v>126</v>
      </c>
      <c r="E740" s="67" t="s">
        <v>29</v>
      </c>
      <c r="F740" s="253">
        <v>910</v>
      </c>
      <c r="G740" s="64">
        <v>15</v>
      </c>
      <c r="H740" s="64">
        <f t="shared" si="22"/>
        <v>13650</v>
      </c>
      <c r="I740" s="79"/>
      <c r="J740" s="52"/>
      <c r="K740" s="156"/>
      <c r="L740" s="383"/>
      <c r="M740" s="542"/>
      <c r="N740" s="701"/>
      <c r="O740" s="677"/>
      <c r="P740" s="677"/>
      <c r="Q740" s="677"/>
      <c r="R740" s="677"/>
      <c r="S740" s="677"/>
      <c r="T740" s="677"/>
      <c r="U740" s="677"/>
      <c r="V740" s="677"/>
      <c r="W740" s="677"/>
      <c r="X740" s="677"/>
      <c r="Y740" s="677"/>
      <c r="Z740" s="677"/>
      <c r="AA740" s="677"/>
      <c r="AB740" s="677"/>
      <c r="AC740" s="677"/>
      <c r="AD740" s="677"/>
      <c r="AE740" s="677"/>
      <c r="AF740" s="677"/>
      <c r="AG740" s="677"/>
      <c r="AH740" s="677"/>
      <c r="AI740" s="677"/>
      <c r="AJ740" s="677"/>
      <c r="AK740" s="658"/>
    </row>
    <row r="741" spans="1:37" s="53" customFormat="1" ht="15" customHeight="1">
      <c r="A741" s="5"/>
      <c r="B741" s="309"/>
      <c r="C741" s="833"/>
      <c r="D741" s="17" t="s">
        <v>127</v>
      </c>
      <c r="E741" s="67" t="s">
        <v>29</v>
      </c>
      <c r="F741" s="253">
        <v>21300</v>
      </c>
      <c r="G741" s="64">
        <v>1</v>
      </c>
      <c r="H741" s="64">
        <f t="shared" si="22"/>
        <v>21300</v>
      </c>
      <c r="I741" s="118"/>
      <c r="J741" s="52"/>
      <c r="K741" s="156"/>
      <c r="L741" s="383"/>
      <c r="M741" s="542"/>
      <c r="N741" s="701"/>
      <c r="O741" s="677"/>
      <c r="P741" s="677"/>
      <c r="Q741" s="677"/>
      <c r="R741" s="677"/>
      <c r="S741" s="677"/>
      <c r="T741" s="677"/>
      <c r="U741" s="677"/>
      <c r="V741" s="677"/>
      <c r="W741" s="677"/>
      <c r="X741" s="677"/>
      <c r="Y741" s="677"/>
      <c r="Z741" s="677"/>
      <c r="AA741" s="677"/>
      <c r="AB741" s="677"/>
      <c r="AC741" s="677"/>
      <c r="AD741" s="677"/>
      <c r="AE741" s="677"/>
      <c r="AF741" s="677"/>
      <c r="AG741" s="677"/>
      <c r="AH741" s="677"/>
      <c r="AI741" s="677"/>
      <c r="AJ741" s="677"/>
      <c r="AK741" s="658"/>
    </row>
    <row r="742" spans="1:37" s="53" customFormat="1" ht="15" customHeight="1">
      <c r="A742" s="5"/>
      <c r="B742" s="309"/>
      <c r="C742" s="833"/>
      <c r="D742" s="17" t="s">
        <v>128</v>
      </c>
      <c r="E742" s="67" t="s">
        <v>27</v>
      </c>
      <c r="F742" s="124">
        <v>12000</v>
      </c>
      <c r="G742" s="64">
        <v>6</v>
      </c>
      <c r="H742" s="64">
        <f t="shared" si="22"/>
        <v>72000</v>
      </c>
      <c r="I742" s="72"/>
      <c r="J742" s="52"/>
      <c r="K742" s="156"/>
      <c r="L742" s="383"/>
      <c r="M742" s="542"/>
      <c r="N742" s="701"/>
      <c r="O742" s="677"/>
      <c r="P742" s="677"/>
      <c r="Q742" s="677"/>
      <c r="R742" s="677"/>
      <c r="S742" s="677"/>
      <c r="T742" s="677"/>
      <c r="U742" s="677"/>
      <c r="V742" s="677"/>
      <c r="W742" s="677"/>
      <c r="X742" s="677"/>
      <c r="Y742" s="677"/>
      <c r="Z742" s="677"/>
      <c r="AA742" s="677"/>
      <c r="AB742" s="677"/>
      <c r="AC742" s="677"/>
      <c r="AD742" s="677"/>
      <c r="AE742" s="677"/>
      <c r="AF742" s="677"/>
      <c r="AG742" s="677"/>
      <c r="AH742" s="677"/>
      <c r="AI742" s="677"/>
      <c r="AJ742" s="677"/>
      <c r="AK742" s="658"/>
    </row>
    <row r="743" spans="1:37" s="104" customFormat="1" ht="15" customHeight="1">
      <c r="B743" s="313"/>
      <c r="C743" s="851" t="s">
        <v>927</v>
      </c>
      <c r="D743" s="105" t="s">
        <v>129</v>
      </c>
      <c r="E743" s="120"/>
      <c r="F743" s="91"/>
      <c r="G743" s="121"/>
      <c r="H743" s="64"/>
      <c r="I743" s="126"/>
      <c r="J743" s="52"/>
      <c r="K743" s="156"/>
      <c r="L743" s="383"/>
      <c r="M743" s="542"/>
      <c r="N743" s="701"/>
      <c r="O743" s="688"/>
      <c r="P743" s="688"/>
      <c r="Q743" s="688"/>
      <c r="R743" s="688"/>
      <c r="S743" s="688"/>
      <c r="T743" s="688"/>
      <c r="U743" s="688"/>
      <c r="V743" s="688"/>
      <c r="W743" s="688"/>
      <c r="X743" s="688"/>
      <c r="Y743" s="688"/>
      <c r="Z743" s="688"/>
      <c r="AA743" s="688"/>
      <c r="AB743" s="688"/>
      <c r="AC743" s="688"/>
      <c r="AD743" s="688"/>
      <c r="AE743" s="688"/>
      <c r="AF743" s="688"/>
      <c r="AG743" s="688"/>
      <c r="AH743" s="688"/>
      <c r="AI743" s="688"/>
      <c r="AJ743" s="688"/>
      <c r="AK743" s="658"/>
    </row>
    <row r="744" spans="1:37" s="5" customFormat="1" ht="15" customHeight="1">
      <c r="B744" s="309"/>
      <c r="C744" s="833"/>
      <c r="D744" s="17" t="s">
        <v>130</v>
      </c>
      <c r="E744" s="67" t="s">
        <v>29</v>
      </c>
      <c r="F744" s="124">
        <v>60000</v>
      </c>
      <c r="G744" s="64">
        <v>5</v>
      </c>
      <c r="H744" s="64">
        <f>+F744*G744</f>
        <v>300000</v>
      </c>
      <c r="I744" s="72"/>
      <c r="J744" s="52"/>
      <c r="K744" s="156"/>
      <c r="L744" s="383"/>
      <c r="M744" s="542"/>
      <c r="N744" s="701"/>
      <c r="O744" s="678"/>
      <c r="P744" s="678"/>
      <c r="Q744" s="678"/>
      <c r="R744" s="678"/>
      <c r="S744" s="678"/>
      <c r="T744" s="678"/>
      <c r="U744" s="678"/>
      <c r="V744" s="678"/>
      <c r="W744" s="678"/>
      <c r="X744" s="678"/>
      <c r="Y744" s="678"/>
      <c r="Z744" s="678"/>
      <c r="AA744" s="678"/>
      <c r="AB744" s="678"/>
      <c r="AC744" s="678"/>
      <c r="AD744" s="678"/>
      <c r="AE744" s="678"/>
      <c r="AF744" s="678"/>
      <c r="AG744" s="678"/>
      <c r="AH744" s="678"/>
      <c r="AI744" s="678"/>
      <c r="AJ744" s="678"/>
      <c r="AK744" s="658"/>
    </row>
    <row r="745" spans="1:37" s="5" customFormat="1" ht="15" customHeight="1">
      <c r="B745" s="309"/>
      <c r="C745" s="833"/>
      <c r="D745" s="17" t="s">
        <v>131</v>
      </c>
      <c r="E745" s="67" t="s">
        <v>29</v>
      </c>
      <c r="F745" s="124">
        <v>60000</v>
      </c>
      <c r="G745" s="64">
        <v>3</v>
      </c>
      <c r="H745" s="64">
        <f>+F745*G745</f>
        <v>180000</v>
      </c>
      <c r="I745" s="72"/>
      <c r="J745" s="52"/>
      <c r="K745" s="156"/>
      <c r="L745" s="383"/>
      <c r="M745" s="542"/>
      <c r="N745" s="701"/>
      <c r="O745" s="678"/>
      <c r="P745" s="678"/>
      <c r="Q745" s="678"/>
      <c r="R745" s="678"/>
      <c r="S745" s="678"/>
      <c r="T745" s="678"/>
      <c r="U745" s="678"/>
      <c r="V745" s="678"/>
      <c r="W745" s="678"/>
      <c r="X745" s="678"/>
      <c r="Y745" s="678"/>
      <c r="Z745" s="678"/>
      <c r="AA745" s="678"/>
      <c r="AB745" s="678"/>
      <c r="AC745" s="678"/>
      <c r="AD745" s="678"/>
      <c r="AE745" s="678"/>
      <c r="AF745" s="678"/>
      <c r="AG745" s="678"/>
      <c r="AH745" s="678"/>
      <c r="AI745" s="678"/>
      <c r="AJ745" s="678"/>
      <c r="AK745" s="658"/>
    </row>
    <row r="746" spans="1:37" s="5" customFormat="1" ht="15" customHeight="1">
      <c r="B746" s="309"/>
      <c r="C746" s="833"/>
      <c r="D746" s="17" t="s">
        <v>132</v>
      </c>
      <c r="E746" s="67" t="s">
        <v>16</v>
      </c>
      <c r="F746" s="124">
        <v>35000</v>
      </c>
      <c r="G746" s="64">
        <v>7</v>
      </c>
      <c r="H746" s="64">
        <f>+F746*G746</f>
        <v>245000</v>
      </c>
      <c r="I746" s="72"/>
      <c r="J746" s="52"/>
      <c r="K746" s="156"/>
      <c r="L746" s="383"/>
      <c r="M746" s="542"/>
      <c r="N746" s="701"/>
      <c r="O746" s="678"/>
      <c r="P746" s="678"/>
      <c r="Q746" s="678"/>
      <c r="R746" s="678"/>
      <c r="S746" s="678"/>
      <c r="T746" s="678"/>
      <c r="U746" s="678"/>
      <c r="V746" s="678"/>
      <c r="W746" s="678"/>
      <c r="X746" s="678"/>
      <c r="Y746" s="678"/>
      <c r="Z746" s="678"/>
      <c r="AA746" s="678"/>
      <c r="AB746" s="678"/>
      <c r="AC746" s="678"/>
      <c r="AD746" s="678"/>
      <c r="AE746" s="678"/>
      <c r="AF746" s="678"/>
      <c r="AG746" s="678"/>
      <c r="AH746" s="678"/>
      <c r="AI746" s="678"/>
      <c r="AJ746" s="678"/>
      <c r="AK746" s="658"/>
    </row>
    <row r="747" spans="1:37" s="104" customFormat="1" ht="15" customHeight="1">
      <c r="B747" s="313"/>
      <c r="C747" s="848"/>
      <c r="D747" s="80" t="s">
        <v>133</v>
      </c>
      <c r="E747" s="120"/>
      <c r="F747" s="91"/>
      <c r="G747" s="121"/>
      <c r="H747" s="64"/>
      <c r="I747" s="126"/>
      <c r="J747" s="52"/>
      <c r="K747" s="156"/>
      <c r="L747" s="383"/>
      <c r="M747" s="542"/>
      <c r="N747" s="701"/>
      <c r="O747" s="688"/>
      <c r="P747" s="688"/>
      <c r="Q747" s="688"/>
      <c r="R747" s="688"/>
      <c r="S747" s="688"/>
      <c r="T747" s="688"/>
      <c r="U747" s="688"/>
      <c r="V747" s="688"/>
      <c r="W747" s="688"/>
      <c r="X747" s="688"/>
      <c r="Y747" s="688"/>
      <c r="Z747" s="688"/>
      <c r="AA747" s="688"/>
      <c r="AB747" s="688"/>
      <c r="AC747" s="688"/>
      <c r="AD747" s="688"/>
      <c r="AE747" s="688"/>
      <c r="AF747" s="688"/>
      <c r="AG747" s="688"/>
      <c r="AH747" s="688"/>
      <c r="AI747" s="688"/>
      <c r="AJ747" s="688"/>
      <c r="AK747" s="658"/>
    </row>
    <row r="748" spans="1:37" s="5" customFormat="1" ht="15" customHeight="1">
      <c r="B748" s="309"/>
      <c r="C748" s="833"/>
      <c r="D748" s="17" t="s">
        <v>134</v>
      </c>
      <c r="E748" s="67" t="s">
        <v>16</v>
      </c>
      <c r="F748" s="124">
        <v>0</v>
      </c>
      <c r="G748" s="64">
        <v>0</v>
      </c>
      <c r="H748" s="64">
        <f>F748*G748</f>
        <v>0</v>
      </c>
      <c r="I748" s="72"/>
      <c r="J748" s="52"/>
      <c r="K748" s="156"/>
      <c r="L748" s="383"/>
      <c r="M748" s="542"/>
      <c r="N748" s="701">
        <f t="shared" ref="N748:N775" si="23">SUM(O748:AJ748)-I748</f>
        <v>0</v>
      </c>
      <c r="O748" s="678"/>
      <c r="P748" s="678"/>
      <c r="Q748" s="678"/>
      <c r="R748" s="678"/>
      <c r="S748" s="678"/>
      <c r="T748" s="678"/>
      <c r="U748" s="678"/>
      <c r="V748" s="678"/>
      <c r="W748" s="678"/>
      <c r="X748" s="678"/>
      <c r="Y748" s="678"/>
      <c r="Z748" s="678"/>
      <c r="AA748" s="678"/>
      <c r="AB748" s="678"/>
      <c r="AC748" s="678"/>
      <c r="AD748" s="678"/>
      <c r="AE748" s="678"/>
      <c r="AF748" s="678"/>
      <c r="AG748" s="678"/>
      <c r="AH748" s="678"/>
      <c r="AI748" s="678"/>
      <c r="AJ748" s="678"/>
      <c r="AK748" s="658"/>
    </row>
    <row r="749" spans="1:37" s="5" customFormat="1" ht="15" customHeight="1">
      <c r="B749" s="309"/>
      <c r="C749" s="833"/>
      <c r="D749" s="119" t="s">
        <v>135</v>
      </c>
      <c r="E749" s="67" t="s">
        <v>16</v>
      </c>
      <c r="F749" s="124">
        <v>0</v>
      </c>
      <c r="G749" s="64">
        <v>0</v>
      </c>
      <c r="H749" s="64">
        <f>F749*G749</f>
        <v>0</v>
      </c>
      <c r="I749" s="72"/>
      <c r="J749" s="52"/>
      <c r="K749" s="156"/>
      <c r="L749" s="383"/>
      <c r="M749" s="542"/>
      <c r="N749" s="701">
        <f t="shared" si="23"/>
        <v>0</v>
      </c>
      <c r="O749" s="678"/>
      <c r="P749" s="678"/>
      <c r="Q749" s="678"/>
      <c r="R749" s="678"/>
      <c r="S749" s="678"/>
      <c r="T749" s="678"/>
      <c r="U749" s="678"/>
      <c r="V749" s="678"/>
      <c r="W749" s="678"/>
      <c r="X749" s="678"/>
      <c r="Y749" s="678"/>
      <c r="Z749" s="678"/>
      <c r="AA749" s="678"/>
      <c r="AB749" s="678"/>
      <c r="AC749" s="678"/>
      <c r="AD749" s="678"/>
      <c r="AE749" s="678"/>
      <c r="AF749" s="678"/>
      <c r="AG749" s="678"/>
      <c r="AH749" s="678"/>
      <c r="AI749" s="678"/>
      <c r="AJ749" s="678"/>
      <c r="AK749" s="658"/>
    </row>
    <row r="750" spans="1:37" s="48" customFormat="1" ht="15" customHeight="1">
      <c r="A750" s="45"/>
      <c r="B750" s="314"/>
      <c r="C750" s="836"/>
      <c r="D750" s="73"/>
      <c r="E750" s="71"/>
      <c r="F750" s="906" t="s">
        <v>136</v>
      </c>
      <c r="G750" s="906"/>
      <c r="H750" s="191"/>
      <c r="I750" s="472">
        <f>SUM(H724:H749)</f>
        <v>8585200</v>
      </c>
      <c r="J750" s="294">
        <v>70</v>
      </c>
      <c r="K750" s="158"/>
      <c r="L750" s="386"/>
      <c r="M750" s="593"/>
      <c r="N750" s="701">
        <f t="shared" si="23"/>
        <v>-8585200</v>
      </c>
      <c r="O750" s="676"/>
      <c r="P750" s="676"/>
      <c r="Q750" s="676"/>
      <c r="R750" s="676"/>
      <c r="S750" s="676"/>
      <c r="T750" s="676"/>
      <c r="U750" s="676"/>
      <c r="V750" s="676"/>
      <c r="W750" s="676"/>
      <c r="X750" s="676"/>
      <c r="Y750" s="676"/>
      <c r="Z750" s="676"/>
      <c r="AA750" s="676"/>
      <c r="AB750" s="676"/>
      <c r="AC750" s="676"/>
      <c r="AD750" s="676"/>
      <c r="AE750" s="676"/>
      <c r="AF750" s="676"/>
      <c r="AG750" s="676"/>
      <c r="AH750" s="676"/>
      <c r="AI750" s="676"/>
      <c r="AJ750" s="676"/>
      <c r="AK750" s="658"/>
    </row>
    <row r="751" spans="1:37" s="53" customFormat="1" ht="30" customHeight="1">
      <c r="A751" s="5"/>
      <c r="B751" s="309"/>
      <c r="C751" s="832"/>
      <c r="D751" s="49"/>
      <c r="E751" s="9"/>
      <c r="F751" s="8"/>
      <c r="G751" s="8"/>
      <c r="H751" s="50"/>
      <c r="I751" s="51"/>
      <c r="J751" s="51"/>
      <c r="K751" s="156"/>
      <c r="L751" s="383"/>
      <c r="M751" s="542"/>
      <c r="N751" s="701">
        <f t="shared" si="23"/>
        <v>0</v>
      </c>
      <c r="O751" s="677"/>
      <c r="P751" s="677"/>
      <c r="Q751" s="677"/>
      <c r="R751" s="677"/>
      <c r="S751" s="677"/>
      <c r="T751" s="677"/>
      <c r="U751" s="677"/>
      <c r="V751" s="677"/>
      <c r="W751" s="677"/>
      <c r="X751" s="677"/>
      <c r="Y751" s="677"/>
      <c r="Z751" s="677"/>
      <c r="AA751" s="677"/>
      <c r="AB751" s="677"/>
      <c r="AC751" s="677"/>
      <c r="AD751" s="677"/>
      <c r="AE751" s="677"/>
      <c r="AF751" s="677"/>
      <c r="AG751" s="677"/>
      <c r="AH751" s="677"/>
      <c r="AI751" s="677"/>
      <c r="AJ751" s="677"/>
      <c r="AK751" s="658"/>
    </row>
    <row r="752" spans="1:37" s="48" customFormat="1" ht="15" customHeight="1">
      <c r="A752" s="45"/>
      <c r="B752" s="312"/>
      <c r="C752" s="834"/>
      <c r="D752" s="33" t="s">
        <v>137</v>
      </c>
      <c r="E752" s="56" t="s">
        <v>13</v>
      </c>
      <c r="F752" s="57" t="s">
        <v>14</v>
      </c>
      <c r="G752" s="860" t="s">
        <v>15</v>
      </c>
      <c r="H752" s="192" t="s">
        <v>8</v>
      </c>
      <c r="I752" s="59"/>
      <c r="J752" s="292"/>
      <c r="K752" s="158"/>
      <c r="L752" s="386"/>
      <c r="M752" s="593"/>
      <c r="N752" s="701">
        <f t="shared" si="23"/>
        <v>0</v>
      </c>
      <c r="O752" s="676"/>
      <c r="P752" s="676"/>
      <c r="Q752" s="676"/>
      <c r="R752" s="676"/>
      <c r="S752" s="676"/>
      <c r="T752" s="676"/>
      <c r="U752" s="676"/>
      <c r="V752" s="676"/>
      <c r="W752" s="676"/>
      <c r="X752" s="676"/>
      <c r="Y752" s="676"/>
      <c r="Z752" s="676"/>
      <c r="AA752" s="676"/>
      <c r="AB752" s="676"/>
      <c r="AC752" s="676"/>
      <c r="AD752" s="676"/>
      <c r="AE752" s="676"/>
      <c r="AF752" s="676"/>
      <c r="AG752" s="676"/>
      <c r="AH752" s="676"/>
      <c r="AI752" s="676"/>
      <c r="AJ752" s="676"/>
      <c r="AK752" s="658"/>
    </row>
    <row r="753" spans="1:37" ht="15" customHeight="1">
      <c r="A753" s="5"/>
      <c r="B753" s="309"/>
      <c r="C753" s="833" t="s">
        <v>929</v>
      </c>
      <c r="D753" s="66" t="s">
        <v>138</v>
      </c>
      <c r="E753" s="67" t="s">
        <v>16</v>
      </c>
      <c r="F753" s="129">
        <v>0</v>
      </c>
      <c r="G753" s="130">
        <v>1</v>
      </c>
      <c r="H753" s="102">
        <f>F753*G753</f>
        <v>0</v>
      </c>
      <c r="I753" s="102"/>
      <c r="J753" s="298"/>
      <c r="K753" s="161"/>
      <c r="L753" s="392"/>
      <c r="M753" s="542"/>
      <c r="N753" s="701">
        <f t="shared" si="23"/>
        <v>0</v>
      </c>
      <c r="O753" s="675"/>
      <c r="P753" s="675"/>
      <c r="Q753" s="675"/>
      <c r="R753" s="675"/>
      <c r="S753" s="675"/>
      <c r="T753" s="675"/>
      <c r="U753" s="675"/>
      <c r="V753" s="675"/>
      <c r="W753" s="675"/>
      <c r="X753" s="675"/>
      <c r="Y753" s="675"/>
      <c r="Z753" s="675"/>
      <c r="AA753" s="675"/>
      <c r="AB753" s="675"/>
      <c r="AC753" s="675"/>
      <c r="AD753" s="675"/>
      <c r="AE753" s="675"/>
      <c r="AF753" s="675"/>
      <c r="AG753" s="675"/>
      <c r="AH753" s="675"/>
      <c r="AI753" s="675"/>
      <c r="AJ753" s="675"/>
      <c r="AK753" s="658"/>
    </row>
    <row r="754" spans="1:37" s="53" customFormat="1" ht="15" customHeight="1">
      <c r="B754" s="316"/>
      <c r="C754" s="852"/>
      <c r="D754" s="122" t="s">
        <v>139</v>
      </c>
      <c r="E754" s="301" t="s">
        <v>16</v>
      </c>
      <c r="F754" s="129">
        <f>350*103</f>
        <v>36050</v>
      </c>
      <c r="G754" s="130">
        <v>10</v>
      </c>
      <c r="H754" s="397">
        <f>G754*F754</f>
        <v>360500</v>
      </c>
      <c r="I754" s="397"/>
      <c r="J754" s="398"/>
      <c r="K754" s="399"/>
      <c r="L754" s="400"/>
      <c r="M754" s="567"/>
      <c r="N754" s="701">
        <f t="shared" si="23"/>
        <v>0</v>
      </c>
      <c r="O754" s="677"/>
      <c r="P754" s="677"/>
      <c r="Q754" s="677"/>
      <c r="R754" s="677"/>
      <c r="S754" s="677"/>
      <c r="T754" s="677"/>
      <c r="U754" s="677"/>
      <c r="V754" s="677"/>
      <c r="W754" s="677"/>
      <c r="X754" s="677"/>
      <c r="Y754" s="677"/>
      <c r="Z754" s="677"/>
      <c r="AA754" s="677"/>
      <c r="AB754" s="677"/>
      <c r="AC754" s="677"/>
      <c r="AD754" s="677"/>
      <c r="AE754" s="677"/>
      <c r="AF754" s="677"/>
      <c r="AG754" s="677"/>
      <c r="AH754" s="677"/>
      <c r="AI754" s="677"/>
      <c r="AJ754" s="677"/>
      <c r="AK754" s="658"/>
    </row>
    <row r="755" spans="1:37" s="48" customFormat="1" ht="15" customHeight="1">
      <c r="A755" s="45"/>
      <c r="B755" s="314"/>
      <c r="C755" s="836"/>
      <c r="D755" s="73"/>
      <c r="E755" s="71"/>
      <c r="F755" s="906" t="s">
        <v>140</v>
      </c>
      <c r="G755" s="906"/>
      <c r="H755" s="191"/>
      <c r="I755" s="472">
        <f>SUM(H753:H754)</f>
        <v>360500</v>
      </c>
      <c r="J755" s="294">
        <v>4</v>
      </c>
      <c r="K755" s="158"/>
      <c r="L755" s="386"/>
      <c r="M755" s="593"/>
      <c r="N755" s="701">
        <f t="shared" si="23"/>
        <v>-360500</v>
      </c>
      <c r="O755" s="676"/>
      <c r="P755" s="676"/>
      <c r="Q755" s="676"/>
      <c r="R755" s="676"/>
      <c r="S755" s="676"/>
      <c r="T755" s="676"/>
      <c r="U755" s="676"/>
      <c r="V755" s="676"/>
      <c r="W755" s="676"/>
      <c r="X755" s="676"/>
      <c r="Y755" s="676"/>
      <c r="Z755" s="676"/>
      <c r="AA755" s="676"/>
      <c r="AB755" s="676"/>
      <c r="AC755" s="676"/>
      <c r="AD755" s="676"/>
      <c r="AE755" s="676"/>
      <c r="AF755" s="676"/>
      <c r="AG755" s="676"/>
      <c r="AH755" s="676"/>
      <c r="AI755" s="676"/>
      <c r="AJ755" s="676"/>
      <c r="AK755" s="658"/>
    </row>
    <row r="756" spans="1:37" s="53" customFormat="1" ht="30" customHeight="1">
      <c r="A756" s="5"/>
      <c r="B756" s="309"/>
      <c r="C756" s="832"/>
      <c r="D756" s="49"/>
      <c r="E756" s="9"/>
      <c r="F756" s="8"/>
      <c r="G756" s="8"/>
      <c r="H756" s="50"/>
      <c r="I756" s="51"/>
      <c r="J756" s="51"/>
      <c r="K756" s="156"/>
      <c r="L756" s="383"/>
      <c r="M756" s="542"/>
      <c r="N756" s="701">
        <f t="shared" si="23"/>
        <v>0</v>
      </c>
      <c r="O756" s="677"/>
      <c r="P756" s="677"/>
      <c r="Q756" s="677"/>
      <c r="R756" s="677"/>
      <c r="S756" s="677"/>
      <c r="T756" s="677"/>
      <c r="U756" s="677"/>
      <c r="V756" s="677"/>
      <c r="W756" s="677"/>
      <c r="X756" s="677"/>
      <c r="Y756" s="677"/>
      <c r="Z756" s="677"/>
      <c r="AA756" s="677"/>
      <c r="AB756" s="677"/>
      <c r="AC756" s="677"/>
      <c r="AD756" s="677"/>
      <c r="AE756" s="677"/>
      <c r="AF756" s="677"/>
      <c r="AG756" s="677"/>
      <c r="AH756" s="677"/>
      <c r="AI756" s="677"/>
      <c r="AJ756" s="677"/>
      <c r="AK756" s="658"/>
    </row>
    <row r="757" spans="1:37" s="48" customFormat="1" ht="15" customHeight="1">
      <c r="A757" s="45"/>
      <c r="B757" s="312"/>
      <c r="C757" s="834"/>
      <c r="D757" s="33" t="s">
        <v>141</v>
      </c>
      <c r="E757" s="56" t="s">
        <v>13</v>
      </c>
      <c r="F757" s="57" t="s">
        <v>14</v>
      </c>
      <c r="G757" s="860" t="s">
        <v>15</v>
      </c>
      <c r="H757" s="192" t="s">
        <v>8</v>
      </c>
      <c r="I757" s="59"/>
      <c r="J757" s="292"/>
      <c r="K757" s="158"/>
      <c r="L757" s="386"/>
      <c r="M757" s="593"/>
      <c r="N757" s="701">
        <f t="shared" si="23"/>
        <v>0</v>
      </c>
      <c r="O757" s="676"/>
      <c r="P757" s="676"/>
      <c r="Q757" s="676"/>
      <c r="R757" s="676"/>
      <c r="S757" s="676"/>
      <c r="T757" s="676"/>
      <c r="U757" s="676"/>
      <c r="V757" s="676"/>
      <c r="W757" s="676"/>
      <c r="X757" s="676"/>
      <c r="Y757" s="676"/>
      <c r="Z757" s="676"/>
      <c r="AA757" s="676"/>
      <c r="AB757" s="676"/>
      <c r="AC757" s="676"/>
      <c r="AD757" s="676"/>
      <c r="AE757" s="676"/>
      <c r="AF757" s="676"/>
      <c r="AG757" s="676"/>
      <c r="AH757" s="676"/>
      <c r="AI757" s="676"/>
      <c r="AJ757" s="676"/>
      <c r="AK757" s="658"/>
    </row>
    <row r="758" spans="1:37" s="543" customFormat="1" ht="15" customHeight="1">
      <c r="A758" s="532"/>
      <c r="B758" s="533"/>
      <c r="C758" s="851" t="s">
        <v>930</v>
      </c>
      <c r="D758" s="534" t="s">
        <v>338</v>
      </c>
      <c r="E758" s="559" t="s">
        <v>16</v>
      </c>
      <c r="F758" s="537">
        <f>SADAIC!D10</f>
        <v>1005500</v>
      </c>
      <c r="G758" s="558">
        <v>1</v>
      </c>
      <c r="H758" s="558">
        <f>+F758*G758</f>
        <v>1005500</v>
      </c>
      <c r="I758" s="546"/>
      <c r="J758" s="547"/>
      <c r="K758" s="540"/>
      <c r="L758" s="541"/>
      <c r="M758" s="542"/>
      <c r="N758" s="701">
        <f t="shared" si="23"/>
        <v>0</v>
      </c>
      <c r="O758" s="687"/>
      <c r="P758" s="687"/>
      <c r="Q758" s="687"/>
      <c r="R758" s="687"/>
      <c r="S758" s="687"/>
      <c r="T758" s="687"/>
      <c r="U758" s="687"/>
      <c r="V758" s="687"/>
      <c r="W758" s="687"/>
      <c r="X758" s="687"/>
      <c r="Y758" s="687"/>
      <c r="Z758" s="687"/>
      <c r="AA758" s="687"/>
      <c r="AB758" s="687"/>
      <c r="AC758" s="687"/>
      <c r="AD758" s="687"/>
      <c r="AE758" s="687"/>
      <c r="AF758" s="687"/>
      <c r="AG758" s="687"/>
      <c r="AH758" s="687"/>
      <c r="AI758" s="687"/>
      <c r="AJ758" s="687"/>
      <c r="AK758" s="658"/>
    </row>
    <row r="759" spans="1:37" s="543" customFormat="1" ht="15" customHeight="1">
      <c r="A759" s="532"/>
      <c r="B759" s="533"/>
      <c r="C759" s="851"/>
      <c r="D759" s="534" t="s">
        <v>339</v>
      </c>
      <c r="E759" s="559" t="s">
        <v>16</v>
      </c>
      <c r="F759" s="537">
        <v>228602.22</v>
      </c>
      <c r="G759" s="558">
        <v>1</v>
      </c>
      <c r="H759" s="558">
        <f>+F759*G759</f>
        <v>228602.22</v>
      </c>
      <c r="I759" s="546"/>
      <c r="J759" s="547"/>
      <c r="K759" s="540"/>
      <c r="L759" s="541"/>
      <c r="M759" s="542"/>
      <c r="N759" s="701">
        <f t="shared" si="23"/>
        <v>0</v>
      </c>
      <c r="O759" s="687"/>
      <c r="P759" s="687"/>
      <c r="Q759" s="687"/>
      <c r="R759" s="687"/>
      <c r="S759" s="687"/>
      <c r="T759" s="687"/>
      <c r="U759" s="687"/>
      <c r="V759" s="687"/>
      <c r="W759" s="687"/>
      <c r="X759" s="687"/>
      <c r="Y759" s="687"/>
      <c r="Z759" s="687"/>
      <c r="AA759" s="687"/>
      <c r="AB759" s="687"/>
      <c r="AC759" s="687"/>
      <c r="AD759" s="687"/>
      <c r="AE759" s="687"/>
      <c r="AF759" s="687"/>
      <c r="AG759" s="687"/>
      <c r="AH759" s="687"/>
      <c r="AI759" s="687"/>
      <c r="AJ759" s="687"/>
      <c r="AK759" s="658"/>
    </row>
    <row r="760" spans="1:37" s="543" customFormat="1" ht="15" customHeight="1">
      <c r="A760" s="532"/>
      <c r="B760" s="533"/>
      <c r="C760" s="851"/>
      <c r="D760" s="560" t="s">
        <v>340</v>
      </c>
      <c r="E760" s="559" t="s">
        <v>16</v>
      </c>
      <c r="F760" s="537">
        <f>76200</f>
        <v>76200</v>
      </c>
      <c r="G760" s="558">
        <v>1</v>
      </c>
      <c r="H760" s="558">
        <f>+F760*G760</f>
        <v>76200</v>
      </c>
      <c r="I760" s="546"/>
      <c r="J760" s="547"/>
      <c r="K760" s="540"/>
      <c r="L760" s="541"/>
      <c r="M760" s="542"/>
      <c r="N760" s="701">
        <f t="shared" si="23"/>
        <v>0</v>
      </c>
      <c r="O760" s="687"/>
      <c r="P760" s="687"/>
      <c r="Q760" s="687"/>
      <c r="R760" s="687"/>
      <c r="S760" s="687"/>
      <c r="T760" s="687"/>
      <c r="U760" s="687"/>
      <c r="V760" s="687"/>
      <c r="W760" s="687"/>
      <c r="X760" s="687"/>
      <c r="Y760" s="687"/>
      <c r="Z760" s="687"/>
      <c r="AA760" s="687"/>
      <c r="AB760" s="687"/>
      <c r="AC760" s="687"/>
      <c r="AD760" s="687"/>
      <c r="AE760" s="687"/>
      <c r="AF760" s="687"/>
      <c r="AG760" s="687"/>
      <c r="AH760" s="687"/>
      <c r="AI760" s="687"/>
      <c r="AJ760" s="687"/>
      <c r="AK760" s="658"/>
    </row>
    <row r="761" spans="1:37" s="543" customFormat="1" ht="15" customHeight="1">
      <c r="A761" s="532"/>
      <c r="B761" s="533"/>
      <c r="C761" s="851"/>
      <c r="D761" s="560" t="s">
        <v>422</v>
      </c>
      <c r="E761" s="559" t="s">
        <v>142</v>
      </c>
      <c r="F761" s="537">
        <v>450000</v>
      </c>
      <c r="G761" s="558">
        <v>1</v>
      </c>
      <c r="H761" s="558">
        <f>+F761*G761</f>
        <v>450000</v>
      </c>
      <c r="I761" s="546"/>
      <c r="J761" s="547"/>
      <c r="K761" s="540"/>
      <c r="L761" s="541"/>
      <c r="M761" s="542"/>
      <c r="N761" s="701">
        <f t="shared" si="23"/>
        <v>0</v>
      </c>
      <c r="O761" s="687"/>
      <c r="P761" s="687"/>
      <c r="Q761" s="687"/>
      <c r="R761" s="687"/>
      <c r="S761" s="687"/>
      <c r="T761" s="687"/>
      <c r="U761" s="687"/>
      <c r="V761" s="687"/>
      <c r="W761" s="687"/>
      <c r="X761" s="687"/>
      <c r="Y761" s="687"/>
      <c r="Z761" s="687"/>
      <c r="AA761" s="687"/>
      <c r="AB761" s="687"/>
      <c r="AC761" s="687"/>
      <c r="AD761" s="687"/>
      <c r="AE761" s="687"/>
      <c r="AF761" s="687"/>
      <c r="AG761" s="687"/>
      <c r="AH761" s="687"/>
      <c r="AI761" s="687"/>
      <c r="AJ761" s="687"/>
      <c r="AK761" s="658"/>
    </row>
    <row r="762" spans="1:37" s="543" customFormat="1" ht="15" customHeight="1">
      <c r="B762" s="561"/>
      <c r="C762" s="853"/>
      <c r="D762" s="562" t="s">
        <v>469</v>
      </c>
      <c r="E762" s="563" t="str">
        <f>E761</f>
        <v xml:space="preserve">Temas </v>
      </c>
      <c r="F762" s="536">
        <v>300000</v>
      </c>
      <c r="G762" s="564">
        <v>1</v>
      </c>
      <c r="H762" s="564">
        <f>+F762*G762</f>
        <v>300000</v>
      </c>
      <c r="I762" s="538"/>
      <c r="J762" s="539"/>
      <c r="K762" s="565"/>
      <c r="L762" s="566"/>
      <c r="M762" s="567"/>
      <c r="N762" s="701">
        <f t="shared" si="23"/>
        <v>0</v>
      </c>
      <c r="O762" s="687"/>
      <c r="P762" s="687"/>
      <c r="Q762" s="687"/>
      <c r="R762" s="687"/>
      <c r="S762" s="687"/>
      <c r="T762" s="687"/>
      <c r="U762" s="687"/>
      <c r="V762" s="687"/>
      <c r="W762" s="687"/>
      <c r="X762" s="687"/>
      <c r="Y762" s="687"/>
      <c r="Z762" s="687"/>
      <c r="AA762" s="687"/>
      <c r="AB762" s="687"/>
      <c r="AC762" s="687"/>
      <c r="AD762" s="687"/>
      <c r="AE762" s="687"/>
      <c r="AF762" s="687"/>
      <c r="AG762" s="687"/>
      <c r="AH762" s="687"/>
      <c r="AI762" s="687"/>
      <c r="AJ762" s="687"/>
      <c r="AK762" s="658"/>
    </row>
    <row r="763" spans="1:37" s="543" customFormat="1" ht="15" customHeight="1">
      <c r="A763" s="532"/>
      <c r="B763" s="533"/>
      <c r="C763" s="851"/>
      <c r="D763" s="560" t="s">
        <v>143</v>
      </c>
      <c r="E763" s="559" t="s">
        <v>16</v>
      </c>
      <c r="F763" s="537">
        <v>80000</v>
      </c>
      <c r="G763" s="558">
        <v>1</v>
      </c>
      <c r="H763" s="558">
        <f>+F763*G763+10500</f>
        <v>90500</v>
      </c>
      <c r="I763" s="546"/>
      <c r="J763" s="547"/>
      <c r="K763" s="540"/>
      <c r="L763" s="541"/>
      <c r="M763" s="542"/>
      <c r="N763" s="701">
        <f t="shared" si="23"/>
        <v>0</v>
      </c>
      <c r="O763" s="687"/>
      <c r="P763" s="687"/>
      <c r="Q763" s="687"/>
      <c r="R763" s="687"/>
      <c r="S763" s="687"/>
      <c r="T763" s="687"/>
      <c r="U763" s="687"/>
      <c r="V763" s="687"/>
      <c r="W763" s="687"/>
      <c r="X763" s="687"/>
      <c r="Y763" s="687"/>
      <c r="Z763" s="687"/>
      <c r="AA763" s="687"/>
      <c r="AB763" s="687"/>
      <c r="AC763" s="687"/>
      <c r="AD763" s="687"/>
      <c r="AE763" s="687"/>
      <c r="AF763" s="687"/>
      <c r="AG763" s="687"/>
      <c r="AH763" s="687"/>
      <c r="AI763" s="687"/>
      <c r="AJ763" s="687"/>
      <c r="AK763" s="658"/>
    </row>
    <row r="764" spans="1:37" s="543" customFormat="1" ht="15" customHeight="1">
      <c r="A764" s="532"/>
      <c r="B764" s="533"/>
      <c r="C764" s="851"/>
      <c r="D764" s="720" t="s">
        <v>704</v>
      </c>
      <c r="E764" s="721" t="s">
        <v>16</v>
      </c>
      <c r="F764" s="722">
        <v>0</v>
      </c>
      <c r="G764" s="723">
        <v>1</v>
      </c>
      <c r="H764" s="723">
        <f>+F764*G764</f>
        <v>0</v>
      </c>
      <c r="I764" s="546"/>
      <c r="J764" s="547">
        <v>12</v>
      </c>
      <c r="K764" s="540"/>
      <c r="L764" s="541"/>
      <c r="M764" s="542"/>
      <c r="N764" s="701">
        <f t="shared" si="23"/>
        <v>0</v>
      </c>
      <c r="O764" s="687"/>
      <c r="P764" s="687"/>
      <c r="Q764" s="687"/>
      <c r="R764" s="687"/>
      <c r="S764" s="687"/>
      <c r="T764" s="687"/>
      <c r="U764" s="687"/>
      <c r="V764" s="687"/>
      <c r="W764" s="687"/>
      <c r="X764" s="687"/>
      <c r="Y764" s="687"/>
      <c r="Z764" s="687"/>
      <c r="AA764" s="687"/>
      <c r="AB764" s="687"/>
      <c r="AC764" s="687"/>
      <c r="AD764" s="687"/>
      <c r="AE764" s="687"/>
      <c r="AF764" s="687"/>
      <c r="AG764" s="687"/>
      <c r="AH764" s="687"/>
      <c r="AI764" s="687"/>
      <c r="AJ764" s="687"/>
      <c r="AK764" s="658"/>
    </row>
    <row r="765" spans="1:37" s="48" customFormat="1" ht="15" customHeight="1">
      <c r="A765" s="45"/>
      <c r="B765" s="314"/>
      <c r="C765" s="836"/>
      <c r="D765" s="73"/>
      <c r="E765" s="71"/>
      <c r="F765" s="906" t="s">
        <v>144</v>
      </c>
      <c r="G765" s="906"/>
      <c r="H765" s="191"/>
      <c r="I765" s="472">
        <f>SUM(H758:H764)</f>
        <v>2150802.2199999997</v>
      </c>
      <c r="J765" s="294"/>
      <c r="K765" s="158"/>
      <c r="L765" s="386"/>
      <c r="M765" s="593"/>
      <c r="N765" s="701">
        <f t="shared" si="23"/>
        <v>-2150802.2199999997</v>
      </c>
      <c r="O765" s="676"/>
      <c r="P765" s="676"/>
      <c r="Q765" s="676"/>
      <c r="R765" s="676"/>
      <c r="S765" s="676"/>
      <c r="T765" s="676"/>
      <c r="U765" s="676"/>
      <c r="V765" s="676"/>
      <c r="W765" s="676"/>
      <c r="X765" s="676"/>
      <c r="Y765" s="676"/>
      <c r="Z765" s="676"/>
      <c r="AA765" s="676"/>
      <c r="AB765" s="676"/>
      <c r="AC765" s="676"/>
      <c r="AD765" s="676"/>
      <c r="AE765" s="676"/>
      <c r="AF765" s="676"/>
      <c r="AG765" s="676"/>
      <c r="AH765" s="676"/>
      <c r="AI765" s="676"/>
      <c r="AJ765" s="676"/>
      <c r="AK765" s="658"/>
    </row>
    <row r="766" spans="1:37" s="53" customFormat="1" ht="30" customHeight="1">
      <c r="A766" s="5"/>
      <c r="B766" s="309"/>
      <c r="C766" s="832"/>
      <c r="D766" s="49"/>
      <c r="E766" s="9"/>
      <c r="F766" s="8"/>
      <c r="G766" s="8"/>
      <c r="H766" s="50"/>
      <c r="I766" s="51"/>
      <c r="J766" s="51"/>
      <c r="K766" s="156"/>
      <c r="L766" s="383"/>
      <c r="M766" s="542"/>
      <c r="N766" s="701">
        <f t="shared" si="23"/>
        <v>0</v>
      </c>
      <c r="O766" s="677"/>
      <c r="P766" s="677"/>
      <c r="Q766" s="677"/>
      <c r="R766" s="677"/>
      <c r="S766" s="677"/>
      <c r="T766" s="677"/>
      <c r="U766" s="677"/>
      <c r="V766" s="677"/>
      <c r="W766" s="677"/>
      <c r="X766" s="677"/>
      <c r="Y766" s="677"/>
      <c r="Z766" s="677"/>
      <c r="AA766" s="677"/>
      <c r="AB766" s="677"/>
      <c r="AC766" s="677"/>
      <c r="AD766" s="677"/>
      <c r="AE766" s="677"/>
      <c r="AF766" s="677"/>
      <c r="AG766" s="677"/>
      <c r="AH766" s="677"/>
      <c r="AI766" s="677"/>
      <c r="AJ766" s="677"/>
      <c r="AK766" s="658"/>
    </row>
    <row r="767" spans="1:37" s="48" customFormat="1" ht="15" customHeight="1">
      <c r="A767" s="45"/>
      <c r="B767" s="312"/>
      <c r="C767" s="834"/>
      <c r="D767" s="33" t="s">
        <v>145</v>
      </c>
      <c r="E767" s="56" t="s">
        <v>13</v>
      </c>
      <c r="F767" s="57" t="s">
        <v>14</v>
      </c>
      <c r="G767" s="860" t="s">
        <v>15</v>
      </c>
      <c r="H767" s="192" t="s">
        <v>8</v>
      </c>
      <c r="I767" s="59"/>
      <c r="J767" s="292"/>
      <c r="K767" s="158"/>
      <c r="L767" s="386"/>
      <c r="M767" s="593"/>
      <c r="N767" s="701">
        <f t="shared" si="23"/>
        <v>0</v>
      </c>
      <c r="O767" s="676"/>
      <c r="P767" s="676"/>
      <c r="Q767" s="676"/>
      <c r="R767" s="676"/>
      <c r="S767" s="676"/>
      <c r="T767" s="676"/>
      <c r="U767" s="676"/>
      <c r="V767" s="676"/>
      <c r="W767" s="676"/>
      <c r="X767" s="676"/>
      <c r="Y767" s="676"/>
      <c r="Z767" s="676"/>
      <c r="AA767" s="676"/>
      <c r="AB767" s="676"/>
      <c r="AC767" s="676"/>
      <c r="AD767" s="676"/>
      <c r="AE767" s="676"/>
      <c r="AF767" s="676"/>
      <c r="AG767" s="676"/>
      <c r="AH767" s="676"/>
      <c r="AI767" s="676"/>
      <c r="AJ767" s="676"/>
      <c r="AK767" s="658"/>
    </row>
    <row r="768" spans="1:37" ht="15" customHeight="1">
      <c r="A768" s="5"/>
      <c r="B768" s="313"/>
      <c r="C768" s="833" t="s">
        <v>931</v>
      </c>
      <c r="D768" s="80" t="s">
        <v>146</v>
      </c>
      <c r="E768" s="131"/>
      <c r="F768" s="132"/>
      <c r="G768" s="111"/>
      <c r="H768" s="75"/>
      <c r="I768" s="126"/>
      <c r="J768" s="52"/>
      <c r="K768" s="156"/>
      <c r="L768" s="383"/>
      <c r="M768" s="542"/>
      <c r="N768" s="701">
        <f t="shared" si="23"/>
        <v>0</v>
      </c>
      <c r="O768" s="675"/>
      <c r="P768" s="675"/>
      <c r="Q768" s="675"/>
      <c r="R768" s="675"/>
      <c r="S768" s="675"/>
      <c r="T768" s="675"/>
      <c r="U768" s="675"/>
      <c r="V768" s="675"/>
      <c r="W768" s="675"/>
      <c r="X768" s="675"/>
      <c r="Y768" s="675"/>
      <c r="Z768" s="675"/>
      <c r="AA768" s="675"/>
      <c r="AB768" s="675"/>
      <c r="AC768" s="675"/>
      <c r="AD768" s="675"/>
      <c r="AE768" s="675"/>
      <c r="AF768" s="675"/>
      <c r="AG768" s="675"/>
      <c r="AH768" s="675"/>
      <c r="AI768" s="675"/>
      <c r="AJ768" s="675"/>
      <c r="AK768" s="658"/>
    </row>
    <row r="769" spans="1:37" s="5" customFormat="1" ht="15" customHeight="1">
      <c r="B769" s="309"/>
      <c r="C769" s="833"/>
      <c r="D769" s="17" t="s">
        <v>147</v>
      </c>
      <c r="E769" s="67" t="s">
        <v>16</v>
      </c>
      <c r="F769" s="253">
        <v>600000</v>
      </c>
      <c r="G769" s="64">
        <v>1</v>
      </c>
      <c r="H769" s="64">
        <f>F769</f>
        <v>600000</v>
      </c>
      <c r="I769" s="72"/>
      <c r="J769" s="52"/>
      <c r="K769" s="156"/>
      <c r="L769" s="383"/>
      <c r="M769" s="542"/>
      <c r="N769" s="701">
        <f t="shared" si="23"/>
        <v>0</v>
      </c>
      <c r="O769" s="678"/>
      <c r="P769" s="678"/>
      <c r="Q769" s="678"/>
      <c r="R769" s="678"/>
      <c r="S769" s="678"/>
      <c r="T769" s="678"/>
      <c r="U769" s="678"/>
      <c r="V769" s="678"/>
      <c r="W769" s="678"/>
      <c r="X769" s="678"/>
      <c r="Y769" s="678"/>
      <c r="Z769" s="678"/>
      <c r="AA769" s="678"/>
      <c r="AB769" s="678"/>
      <c r="AC769" s="678"/>
      <c r="AD769" s="678"/>
      <c r="AE769" s="678"/>
      <c r="AF769" s="678"/>
      <c r="AG769" s="678"/>
      <c r="AH769" s="678"/>
      <c r="AI769" s="678"/>
      <c r="AJ769" s="678"/>
      <c r="AK769" s="658"/>
    </row>
    <row r="770" spans="1:37" ht="15" customHeight="1">
      <c r="A770" s="5"/>
      <c r="B770" s="313"/>
      <c r="C770" s="833"/>
      <c r="D770" s="70" t="s">
        <v>436</v>
      </c>
      <c r="E770" s="67" t="s">
        <v>16</v>
      </c>
      <c r="F770" s="124">
        <v>50000</v>
      </c>
      <c r="G770" s="112">
        <v>1</v>
      </c>
      <c r="H770" s="112">
        <f>+F770*G770+8400</f>
        <v>58400</v>
      </c>
      <c r="I770" s="72"/>
      <c r="J770" s="52"/>
      <c r="K770" s="156"/>
      <c r="L770" s="383"/>
      <c r="M770" s="542"/>
      <c r="N770" s="701">
        <f t="shared" si="23"/>
        <v>0</v>
      </c>
      <c r="O770" s="675"/>
      <c r="P770" s="675"/>
      <c r="Q770" s="675"/>
      <c r="R770" s="675"/>
      <c r="S770" s="675"/>
      <c r="T770" s="675"/>
      <c r="U770" s="675"/>
      <c r="V770" s="675"/>
      <c r="W770" s="675"/>
      <c r="X770" s="675"/>
      <c r="Y770" s="675"/>
      <c r="Z770" s="675"/>
      <c r="AA770" s="675"/>
      <c r="AB770" s="675"/>
      <c r="AC770" s="675"/>
      <c r="AD770" s="675"/>
      <c r="AE770" s="675"/>
      <c r="AF770" s="675"/>
      <c r="AG770" s="675"/>
      <c r="AH770" s="675"/>
      <c r="AI770" s="675"/>
      <c r="AJ770" s="675"/>
      <c r="AK770" s="658"/>
    </row>
    <row r="771" spans="1:37" ht="15" customHeight="1">
      <c r="A771" s="5"/>
      <c r="B771" s="313"/>
      <c r="C771" s="833"/>
      <c r="D771" s="66" t="s">
        <v>437</v>
      </c>
      <c r="E771" s="67" t="s">
        <v>16</v>
      </c>
      <c r="F771" s="253">
        <v>242000</v>
      </c>
      <c r="G771" s="112">
        <v>1</v>
      </c>
      <c r="H771" s="112">
        <f>F771</f>
        <v>242000</v>
      </c>
      <c r="I771" s="72"/>
      <c r="J771" s="52"/>
      <c r="K771" s="156"/>
      <c r="L771" s="383"/>
      <c r="M771" s="542"/>
      <c r="N771" s="701">
        <f t="shared" si="23"/>
        <v>0</v>
      </c>
      <c r="O771" s="675"/>
      <c r="P771" s="675"/>
      <c r="Q771" s="675"/>
      <c r="R771" s="675"/>
      <c r="S771" s="675"/>
      <c r="T771" s="675"/>
      <c r="U771" s="675"/>
      <c r="V771" s="675"/>
      <c r="W771" s="675"/>
      <c r="X771" s="675"/>
      <c r="Y771" s="675"/>
      <c r="Z771" s="675"/>
      <c r="AA771" s="675"/>
      <c r="AB771" s="675"/>
      <c r="AC771" s="675"/>
      <c r="AD771" s="675"/>
      <c r="AE771" s="675"/>
      <c r="AF771" s="675"/>
      <c r="AG771" s="675"/>
      <c r="AH771" s="675"/>
      <c r="AI771" s="675"/>
      <c r="AJ771" s="675"/>
      <c r="AK771" s="658"/>
    </row>
    <row r="772" spans="1:37" s="48" customFormat="1" ht="15" customHeight="1">
      <c r="A772" s="45"/>
      <c r="B772" s="314"/>
      <c r="C772" s="836"/>
      <c r="D772" s="73"/>
      <c r="E772" s="71"/>
      <c r="F772" s="906" t="s">
        <v>148</v>
      </c>
      <c r="G772" s="906"/>
      <c r="H772" s="191"/>
      <c r="I772" s="472">
        <f>SUM(H769:H771)</f>
        <v>900400</v>
      </c>
      <c r="J772" s="294">
        <v>4</v>
      </c>
      <c r="K772" s="158"/>
      <c r="L772" s="386"/>
      <c r="M772" s="593"/>
      <c r="N772" s="701">
        <f t="shared" si="23"/>
        <v>-900400</v>
      </c>
      <c r="O772" s="676"/>
      <c r="P772" s="676"/>
      <c r="Q772" s="676"/>
      <c r="R772" s="676"/>
      <c r="S772" s="676"/>
      <c r="T772" s="676"/>
      <c r="U772" s="676"/>
      <c r="V772" s="676"/>
      <c r="W772" s="676"/>
      <c r="X772" s="676"/>
      <c r="Y772" s="676"/>
      <c r="Z772" s="676"/>
      <c r="AA772" s="676"/>
      <c r="AB772" s="676"/>
      <c r="AC772" s="676"/>
      <c r="AD772" s="676"/>
      <c r="AE772" s="676"/>
      <c r="AF772" s="676"/>
      <c r="AG772" s="676"/>
      <c r="AH772" s="676"/>
      <c r="AI772" s="676"/>
      <c r="AJ772" s="676"/>
      <c r="AK772" s="658"/>
    </row>
    <row r="773" spans="1:37" s="53" customFormat="1" ht="30" customHeight="1">
      <c r="A773" s="5"/>
      <c r="B773" s="309"/>
      <c r="C773" s="835"/>
      <c r="D773" s="5"/>
      <c r="E773" s="9"/>
      <c r="F773" s="8"/>
      <c r="G773" s="8"/>
      <c r="H773" s="50"/>
      <c r="I773" s="51"/>
      <c r="J773" s="51"/>
      <c r="K773" s="156"/>
      <c r="L773" s="383"/>
      <c r="M773" s="542"/>
      <c r="N773" s="701">
        <f t="shared" si="23"/>
        <v>0</v>
      </c>
      <c r="O773" s="677"/>
      <c r="P773" s="677"/>
      <c r="Q773" s="677"/>
      <c r="R773" s="677"/>
      <c r="S773" s="677"/>
      <c r="T773" s="677"/>
      <c r="U773" s="677"/>
      <c r="V773" s="677"/>
      <c r="W773" s="677"/>
      <c r="X773" s="677"/>
      <c r="Y773" s="677"/>
      <c r="Z773" s="677"/>
      <c r="AA773" s="677"/>
      <c r="AB773" s="677"/>
      <c r="AC773" s="677"/>
      <c r="AD773" s="677"/>
      <c r="AE773" s="677"/>
      <c r="AF773" s="677"/>
      <c r="AG773" s="677"/>
      <c r="AH773" s="677"/>
      <c r="AI773" s="677"/>
      <c r="AJ773" s="677"/>
      <c r="AK773" s="658"/>
    </row>
    <row r="774" spans="1:37" s="48" customFormat="1" ht="15" customHeight="1">
      <c r="A774" s="45"/>
      <c r="B774" s="312"/>
      <c r="C774" s="834"/>
      <c r="D774" s="33" t="s">
        <v>149</v>
      </c>
      <c r="E774" s="56" t="s">
        <v>13</v>
      </c>
      <c r="F774" s="57" t="s">
        <v>14</v>
      </c>
      <c r="G774" s="860" t="s">
        <v>15</v>
      </c>
      <c r="H774" s="192" t="s">
        <v>8</v>
      </c>
      <c r="I774" s="59"/>
      <c r="J774" s="292"/>
      <c r="K774" s="158"/>
      <c r="L774" s="386"/>
      <c r="M774" s="593"/>
      <c r="N774" s="701">
        <f t="shared" si="23"/>
        <v>0</v>
      </c>
      <c r="O774" s="676"/>
      <c r="P774" s="676"/>
      <c r="Q774" s="676"/>
      <c r="R774" s="676"/>
      <c r="S774" s="676"/>
      <c r="T774" s="676"/>
      <c r="U774" s="676"/>
      <c r="V774" s="676"/>
      <c r="W774" s="676"/>
      <c r="X774" s="676"/>
      <c r="Y774" s="676"/>
      <c r="Z774" s="676"/>
      <c r="AA774" s="676"/>
      <c r="AB774" s="676"/>
      <c r="AC774" s="676"/>
      <c r="AD774" s="676"/>
      <c r="AE774" s="676"/>
      <c r="AF774" s="676"/>
      <c r="AG774" s="676"/>
      <c r="AH774" s="676"/>
      <c r="AI774" s="676"/>
      <c r="AJ774" s="676"/>
      <c r="AK774" s="658"/>
    </row>
    <row r="775" spans="1:37" ht="15" customHeight="1">
      <c r="A775" s="5"/>
      <c r="B775" s="313"/>
      <c r="C775" s="833" t="s">
        <v>932</v>
      </c>
      <c r="D775" s="80" t="s">
        <v>657</v>
      </c>
      <c r="E775" s="131"/>
      <c r="F775" s="132"/>
      <c r="G775" s="111"/>
      <c r="H775" s="75"/>
      <c r="I775" s="126"/>
      <c r="J775" s="52"/>
      <c r="K775" s="156"/>
      <c r="L775" s="383"/>
      <c r="M775" s="542"/>
      <c r="N775" s="701">
        <f t="shared" si="23"/>
        <v>0</v>
      </c>
      <c r="O775" s="675"/>
      <c r="P775" s="675"/>
      <c r="Q775" s="675"/>
      <c r="R775" s="675"/>
      <c r="S775" s="675"/>
      <c r="T775" s="675"/>
      <c r="U775" s="675"/>
      <c r="V775" s="675"/>
      <c r="W775" s="675"/>
      <c r="X775" s="675"/>
      <c r="Y775" s="675"/>
      <c r="Z775" s="675"/>
      <c r="AA775" s="675"/>
      <c r="AB775" s="675"/>
      <c r="AC775" s="675"/>
      <c r="AD775" s="675"/>
      <c r="AE775" s="675"/>
      <c r="AF775" s="675"/>
      <c r="AG775" s="675"/>
      <c r="AH775" s="675"/>
      <c r="AI775" s="675"/>
      <c r="AJ775" s="675"/>
      <c r="AK775" s="658"/>
    </row>
    <row r="776" spans="1:37" ht="14">
      <c r="A776" s="5"/>
      <c r="B776" s="313"/>
      <c r="C776" s="833"/>
      <c r="D776" s="468" t="s">
        <v>658</v>
      </c>
      <c r="E776" s="131"/>
      <c r="F776" s="132"/>
      <c r="G776" s="111"/>
      <c r="H776" s="75"/>
      <c r="I776" s="79"/>
      <c r="J776" s="52"/>
      <c r="K776" s="156"/>
      <c r="L776" s="383"/>
      <c r="M776" s="542"/>
      <c r="N776" s="701">
        <f t="shared" ref="N776:N803" si="24">SUM(O776:AJ776)-H776</f>
        <v>0</v>
      </c>
      <c r="O776" s="675"/>
      <c r="P776" s="675"/>
      <c r="Q776" s="675"/>
      <c r="R776" s="675"/>
      <c r="S776" s="675"/>
      <c r="T776" s="675"/>
      <c r="U776" s="675"/>
      <c r="V776" s="675"/>
      <c r="W776" s="675"/>
      <c r="X776" s="675"/>
      <c r="Y776" s="675"/>
      <c r="Z776" s="675"/>
      <c r="AA776" s="675"/>
      <c r="AB776" s="675"/>
      <c r="AC776" s="675"/>
      <c r="AD776" s="675"/>
      <c r="AE776" s="675"/>
      <c r="AF776" s="675"/>
      <c r="AG776" s="675"/>
      <c r="AH776" s="675"/>
      <c r="AI776" s="675"/>
      <c r="AJ776" s="675"/>
      <c r="AK776" s="658"/>
    </row>
    <row r="777" spans="1:37" ht="14">
      <c r="A777" s="5"/>
      <c r="B777" s="313"/>
      <c r="C777" s="833"/>
      <c r="D777" s="469" t="s">
        <v>659</v>
      </c>
      <c r="E777" s="81" t="s">
        <v>16</v>
      </c>
      <c r="F777" s="253">
        <v>1350000</v>
      </c>
      <c r="G777" s="64">
        <v>1</v>
      </c>
      <c r="H777" s="64">
        <f>+F777*G777+283500</f>
        <v>1633500</v>
      </c>
      <c r="I777" s="79"/>
      <c r="J777" s="52"/>
      <c r="K777" s="156"/>
      <c r="L777" s="383"/>
      <c r="M777" s="542"/>
      <c r="N777" s="701">
        <f t="shared" si="24"/>
        <v>-1633500</v>
      </c>
      <c r="O777" s="675"/>
      <c r="P777" s="675"/>
      <c r="Q777" s="675"/>
      <c r="R777" s="675"/>
      <c r="S777" s="675"/>
      <c r="T777" s="675"/>
      <c r="U777" s="675"/>
      <c r="V777" s="675"/>
      <c r="W777" s="675"/>
      <c r="X777" s="675"/>
      <c r="Y777" s="675"/>
      <c r="Z777" s="675"/>
      <c r="AA777" s="675"/>
      <c r="AB777" s="675"/>
      <c r="AC777" s="675"/>
      <c r="AD777" s="675"/>
      <c r="AE777" s="675"/>
      <c r="AF777" s="675"/>
      <c r="AG777" s="675"/>
      <c r="AH777" s="675"/>
      <c r="AJ777" s="675"/>
      <c r="AK777" s="658"/>
    </row>
    <row r="778" spans="1:37" ht="14">
      <c r="A778" s="5"/>
      <c r="B778" s="313"/>
      <c r="C778" s="833"/>
      <c r="D778" s="469" t="s">
        <v>660</v>
      </c>
      <c r="E778" s="131"/>
      <c r="F778" s="132"/>
      <c r="G778" s="111"/>
      <c r="H778" s="75"/>
      <c r="I778" s="79"/>
      <c r="J778" s="52"/>
      <c r="K778" s="156"/>
      <c r="L778" s="383"/>
      <c r="M778" s="542"/>
      <c r="N778" s="701">
        <f t="shared" si="24"/>
        <v>0</v>
      </c>
      <c r="O778" s="675"/>
      <c r="P778" s="675"/>
      <c r="Q778" s="675"/>
      <c r="R778" s="675"/>
      <c r="S778" s="675"/>
      <c r="T778" s="675"/>
      <c r="U778" s="675"/>
      <c r="V778" s="675"/>
      <c r="W778" s="675"/>
      <c r="X778" s="675"/>
      <c r="Y778" s="675"/>
      <c r="Z778" s="675"/>
      <c r="AA778" s="675"/>
      <c r="AB778" s="675"/>
      <c r="AC778" s="675"/>
      <c r="AD778" s="675"/>
      <c r="AE778" s="675"/>
      <c r="AF778" s="675"/>
      <c r="AG778" s="675"/>
      <c r="AH778" s="675"/>
      <c r="AJ778" s="675"/>
      <c r="AK778" s="658"/>
    </row>
    <row r="779" spans="1:37" ht="14">
      <c r="A779" s="5"/>
      <c r="B779" s="313"/>
      <c r="C779" s="833"/>
      <c r="D779" s="719" t="s">
        <v>663</v>
      </c>
      <c r="E779" s="131"/>
      <c r="F779" s="132"/>
      <c r="G779" s="111"/>
      <c r="H779" s="75"/>
      <c r="I779" s="79"/>
      <c r="J779" s="52"/>
      <c r="K779" s="156"/>
      <c r="L779" s="383"/>
      <c r="M779" s="542"/>
      <c r="N779" s="701">
        <f t="shared" si="24"/>
        <v>0</v>
      </c>
      <c r="O779" s="675"/>
      <c r="P779" s="675"/>
      <c r="Q779" s="675"/>
      <c r="R779" s="675"/>
      <c r="S779" s="675"/>
      <c r="T779" s="675"/>
      <c r="U779" s="675"/>
      <c r="V779" s="675"/>
      <c r="W779" s="675"/>
      <c r="X779" s="675"/>
      <c r="Y779" s="675"/>
      <c r="Z779" s="675"/>
      <c r="AA779" s="675"/>
      <c r="AB779" s="675"/>
      <c r="AC779" s="675"/>
      <c r="AD779" s="675"/>
      <c r="AE779" s="675"/>
      <c r="AF779" s="675"/>
      <c r="AG779" s="675"/>
      <c r="AH779" s="675"/>
      <c r="AJ779" s="675"/>
      <c r="AK779" s="658"/>
    </row>
    <row r="780" spans="1:37" ht="14">
      <c r="A780" s="5"/>
      <c r="B780" s="313"/>
      <c r="C780" s="833"/>
      <c r="D780" s="469"/>
      <c r="E780" s="81"/>
      <c r="F780" s="253">
        <f>1100*'TOP SHEET'!L6</f>
        <v>149325</v>
      </c>
      <c r="G780" s="64">
        <v>14</v>
      </c>
      <c r="H780" s="64">
        <f>+G780*F780</f>
        <v>2090550</v>
      </c>
      <c r="I780" s="79"/>
      <c r="J780" s="52"/>
      <c r="K780" s="156"/>
      <c r="L780" s="383"/>
      <c r="M780" s="542"/>
      <c r="N780" s="701">
        <f t="shared" si="24"/>
        <v>-2090550</v>
      </c>
      <c r="O780" s="675"/>
      <c r="P780" s="675"/>
      <c r="Q780" s="675"/>
      <c r="R780" s="675"/>
      <c r="S780" s="675"/>
      <c r="T780" s="675"/>
      <c r="U780" s="675"/>
      <c r="V780" s="675"/>
      <c r="W780" s="675"/>
      <c r="X780" s="675"/>
      <c r="Y780" s="675"/>
      <c r="Z780" s="675"/>
      <c r="AA780" s="675"/>
      <c r="AB780" s="675"/>
      <c r="AC780" s="675"/>
      <c r="AD780" s="675"/>
      <c r="AE780" s="675"/>
      <c r="AF780" s="675"/>
      <c r="AG780" s="675"/>
      <c r="AH780" s="675"/>
      <c r="AJ780" s="675"/>
      <c r="AK780" s="658"/>
    </row>
    <row r="781" spans="1:37" ht="14">
      <c r="A781" s="5"/>
      <c r="B781" s="313"/>
      <c r="C781" s="833"/>
      <c r="D781" s="469" t="s">
        <v>661</v>
      </c>
      <c r="E781" s="9"/>
      <c r="F781" s="132"/>
      <c r="G781" s="75"/>
      <c r="H781" s="75"/>
      <c r="I781" s="79"/>
      <c r="J781" s="52"/>
      <c r="K781" s="156"/>
      <c r="L781" s="383"/>
      <c r="M781" s="542"/>
      <c r="N781" s="701">
        <f t="shared" si="24"/>
        <v>0</v>
      </c>
      <c r="O781" s="675"/>
      <c r="P781" s="675"/>
      <c r="Q781" s="675"/>
      <c r="R781" s="675"/>
      <c r="S781" s="675"/>
      <c r="T781" s="675"/>
      <c r="U781" s="675"/>
      <c r="V781" s="675"/>
      <c r="W781" s="675"/>
      <c r="X781" s="675"/>
      <c r="Y781" s="675"/>
      <c r="Z781" s="675"/>
      <c r="AA781" s="675"/>
      <c r="AB781" s="675"/>
      <c r="AC781" s="675"/>
      <c r="AD781" s="675"/>
      <c r="AE781" s="675"/>
      <c r="AF781" s="675"/>
      <c r="AG781" s="675"/>
      <c r="AH781" s="675"/>
      <c r="AJ781" s="675"/>
      <c r="AK781" s="658"/>
    </row>
    <row r="782" spans="1:37" ht="14">
      <c r="A782" s="5"/>
      <c r="B782" s="313"/>
      <c r="C782" s="833"/>
      <c r="D782" s="469" t="s">
        <v>662</v>
      </c>
      <c r="E782" s="9"/>
      <c r="F782" s="132"/>
      <c r="G782" s="75"/>
      <c r="H782" s="75"/>
      <c r="I782" s="79"/>
      <c r="J782" s="52"/>
      <c r="K782" s="156"/>
      <c r="L782" s="383"/>
      <c r="M782" s="542"/>
      <c r="N782" s="701">
        <f t="shared" si="24"/>
        <v>0</v>
      </c>
      <c r="O782" s="675"/>
      <c r="P782" s="675"/>
      <c r="Q782" s="675"/>
      <c r="R782" s="675"/>
      <c r="S782" s="675"/>
      <c r="T782" s="675"/>
      <c r="U782" s="675"/>
      <c r="V782" s="675"/>
      <c r="W782" s="675"/>
      <c r="X782" s="675"/>
      <c r="Y782" s="675"/>
      <c r="Z782" s="675"/>
      <c r="AA782" s="675"/>
      <c r="AB782" s="675"/>
      <c r="AC782" s="675"/>
      <c r="AD782" s="675"/>
      <c r="AE782" s="675"/>
      <c r="AF782" s="675"/>
      <c r="AG782" s="675"/>
      <c r="AH782" s="675"/>
      <c r="AJ782" s="675"/>
      <c r="AK782" s="658"/>
    </row>
    <row r="783" spans="1:37" ht="14">
      <c r="A783" s="5"/>
      <c r="B783" s="313"/>
      <c r="C783" s="833"/>
      <c r="D783" s="719" t="s">
        <v>672</v>
      </c>
      <c r="E783" s="81"/>
      <c r="F783" s="253">
        <f>2500*'TOP SHEET'!L6</f>
        <v>339375</v>
      </c>
      <c r="G783" s="64">
        <v>1</v>
      </c>
      <c r="H783" s="64">
        <f>+G783*F783</f>
        <v>339375</v>
      </c>
      <c r="I783" s="79"/>
      <c r="J783" s="52"/>
      <c r="K783" s="156"/>
      <c r="L783" s="383"/>
      <c r="M783" s="542"/>
      <c r="N783" s="701">
        <f t="shared" si="24"/>
        <v>-339375</v>
      </c>
      <c r="O783" s="675"/>
      <c r="P783" s="675"/>
      <c r="Q783" s="675"/>
      <c r="R783" s="675"/>
      <c r="S783" s="675"/>
      <c r="T783" s="675"/>
      <c r="U783" s="675"/>
      <c r="V783" s="675"/>
      <c r="W783" s="675"/>
      <c r="X783" s="675"/>
      <c r="Y783" s="675"/>
      <c r="Z783" s="675"/>
      <c r="AA783" s="675"/>
      <c r="AB783" s="675"/>
      <c r="AC783" s="675"/>
      <c r="AD783" s="675"/>
      <c r="AE783" s="675"/>
      <c r="AF783" s="675"/>
      <c r="AG783" s="675"/>
      <c r="AH783" s="675"/>
      <c r="AJ783" s="675"/>
      <c r="AK783" s="658"/>
    </row>
    <row r="784" spans="1:37" ht="14">
      <c r="A784" s="5"/>
      <c r="B784" s="313"/>
      <c r="C784" s="833"/>
      <c r="D784" s="469" t="s">
        <v>664</v>
      </c>
      <c r="E784" s="9"/>
      <c r="F784" s="132"/>
      <c r="G784" s="75"/>
      <c r="H784" s="75"/>
      <c r="I784" s="79"/>
      <c r="J784" s="52"/>
      <c r="K784" s="156"/>
      <c r="L784" s="383"/>
      <c r="M784" s="542"/>
      <c r="N784" s="701">
        <f t="shared" si="24"/>
        <v>0</v>
      </c>
      <c r="O784" s="675"/>
      <c r="P784" s="675"/>
      <c r="Q784" s="675"/>
      <c r="R784" s="675"/>
      <c r="S784" s="675"/>
      <c r="T784" s="675"/>
      <c r="U784" s="675"/>
      <c r="V784" s="675"/>
      <c r="W784" s="675"/>
      <c r="X784" s="675"/>
      <c r="Y784" s="675"/>
      <c r="Z784" s="675"/>
      <c r="AA784" s="675"/>
      <c r="AB784" s="675"/>
      <c r="AC784" s="675"/>
      <c r="AD784" s="675"/>
      <c r="AE784" s="675"/>
      <c r="AF784" s="675"/>
      <c r="AG784" s="675"/>
      <c r="AH784" s="675"/>
      <c r="AJ784" s="675"/>
      <c r="AK784" s="658"/>
    </row>
    <row r="785" spans="1:37" ht="14">
      <c r="A785" s="5"/>
      <c r="B785" s="313"/>
      <c r="C785" s="833"/>
      <c r="D785" s="469" t="s">
        <v>665</v>
      </c>
      <c r="E785" s="9"/>
      <c r="F785" s="132"/>
      <c r="G785" s="75"/>
      <c r="H785" s="75"/>
      <c r="I785" s="79"/>
      <c r="J785" s="52"/>
      <c r="K785" s="156"/>
      <c r="L785" s="383"/>
      <c r="M785" s="542"/>
      <c r="N785" s="701">
        <f t="shared" si="24"/>
        <v>0</v>
      </c>
      <c r="O785" s="675"/>
      <c r="P785" s="675"/>
      <c r="Q785" s="675"/>
      <c r="R785" s="675"/>
      <c r="S785" s="675"/>
      <c r="T785" s="675"/>
      <c r="U785" s="675"/>
      <c r="V785" s="675"/>
      <c r="W785" s="675"/>
      <c r="X785" s="675"/>
      <c r="Y785" s="675"/>
      <c r="Z785" s="675"/>
      <c r="AA785" s="675"/>
      <c r="AB785" s="675"/>
      <c r="AC785" s="675"/>
      <c r="AD785" s="675"/>
      <c r="AE785" s="675"/>
      <c r="AF785" s="675"/>
      <c r="AG785" s="675"/>
      <c r="AH785" s="675"/>
      <c r="AJ785" s="675"/>
      <c r="AK785" s="658"/>
    </row>
    <row r="786" spans="1:37" ht="14">
      <c r="A786" s="5"/>
      <c r="B786" s="313"/>
      <c r="C786" s="833"/>
      <c r="D786" s="469" t="s">
        <v>666</v>
      </c>
      <c r="E786" s="9"/>
      <c r="F786" s="132"/>
      <c r="G786" s="75"/>
      <c r="H786" s="75"/>
      <c r="I786" s="79"/>
      <c r="J786" s="52"/>
      <c r="K786" s="156"/>
      <c r="L786" s="383"/>
      <c r="M786" s="542"/>
      <c r="N786" s="701">
        <f t="shared" si="24"/>
        <v>0</v>
      </c>
      <c r="O786" s="675"/>
      <c r="P786" s="675"/>
      <c r="Q786" s="675"/>
      <c r="R786" s="675"/>
      <c r="S786" s="675"/>
      <c r="T786" s="675"/>
      <c r="U786" s="675"/>
      <c r="V786" s="675"/>
      <c r="W786" s="675"/>
      <c r="X786" s="675"/>
      <c r="Y786" s="675"/>
      <c r="Z786" s="675"/>
      <c r="AA786" s="675"/>
      <c r="AB786" s="675"/>
      <c r="AC786" s="675"/>
      <c r="AD786" s="675"/>
      <c r="AE786" s="675"/>
      <c r="AF786" s="675"/>
      <c r="AG786" s="675"/>
      <c r="AH786" s="675"/>
      <c r="AJ786" s="675"/>
      <c r="AK786" s="658"/>
    </row>
    <row r="787" spans="1:37" ht="14">
      <c r="A787" s="5"/>
      <c r="B787" s="313"/>
      <c r="C787" s="833"/>
      <c r="D787" s="469" t="s">
        <v>667</v>
      </c>
      <c r="E787" s="9"/>
      <c r="F787" s="132"/>
      <c r="G787" s="75"/>
      <c r="H787" s="75"/>
      <c r="I787" s="79"/>
      <c r="J787" s="52"/>
      <c r="K787" s="156"/>
      <c r="L787" s="383"/>
      <c r="M787" s="542"/>
      <c r="N787" s="701">
        <f t="shared" si="24"/>
        <v>0</v>
      </c>
      <c r="O787" s="675"/>
      <c r="P787" s="675"/>
      <c r="Q787" s="675"/>
      <c r="R787" s="675"/>
      <c r="S787" s="675"/>
      <c r="T787" s="675"/>
      <c r="U787" s="675"/>
      <c r="V787" s="675"/>
      <c r="W787" s="675"/>
      <c r="X787" s="675"/>
      <c r="Y787" s="675"/>
      <c r="Z787" s="675"/>
      <c r="AA787" s="675"/>
      <c r="AB787" s="675"/>
      <c r="AC787" s="675"/>
      <c r="AD787" s="675"/>
      <c r="AE787" s="675"/>
      <c r="AF787" s="675"/>
      <c r="AG787" s="675"/>
      <c r="AH787" s="675"/>
      <c r="AJ787" s="675"/>
      <c r="AK787" s="658"/>
    </row>
    <row r="788" spans="1:37" ht="14">
      <c r="A788" s="5"/>
      <c r="B788" s="313"/>
      <c r="C788" s="833"/>
      <c r="D788" s="469" t="s">
        <v>668</v>
      </c>
      <c r="E788" s="9"/>
      <c r="F788" s="132"/>
      <c r="G788" s="75"/>
      <c r="H788" s="75"/>
      <c r="I788" s="79"/>
      <c r="J788" s="52"/>
      <c r="K788" s="156"/>
      <c r="L788" s="383"/>
      <c r="M788" s="542"/>
      <c r="N788" s="701">
        <f t="shared" si="24"/>
        <v>0</v>
      </c>
      <c r="O788" s="675"/>
      <c r="P788" s="675"/>
      <c r="Q788" s="675"/>
      <c r="R788" s="675"/>
      <c r="S788" s="675"/>
      <c r="T788" s="675"/>
      <c r="U788" s="675"/>
      <c r="V788" s="675"/>
      <c r="W788" s="675"/>
      <c r="X788" s="675"/>
      <c r="Y788" s="675"/>
      <c r="Z788" s="675"/>
      <c r="AA788" s="675"/>
      <c r="AB788" s="675"/>
      <c r="AC788" s="675"/>
      <c r="AD788" s="675"/>
      <c r="AE788" s="675"/>
      <c r="AF788" s="675"/>
      <c r="AG788" s="675"/>
      <c r="AH788" s="675"/>
      <c r="AJ788" s="675"/>
      <c r="AK788" s="658"/>
    </row>
    <row r="789" spans="1:37" ht="14">
      <c r="A789" s="5"/>
      <c r="B789" s="313"/>
      <c r="C789" s="833"/>
      <c r="D789" s="469" t="s">
        <v>669</v>
      </c>
      <c r="E789" s="9"/>
      <c r="F789" s="132"/>
      <c r="G789" s="75"/>
      <c r="H789" s="75"/>
      <c r="I789" s="79"/>
      <c r="J789" s="52"/>
      <c r="K789" s="156"/>
      <c r="L789" s="383"/>
      <c r="M789" s="542"/>
      <c r="N789" s="701">
        <f t="shared" si="24"/>
        <v>0</v>
      </c>
      <c r="O789" s="675"/>
      <c r="P789" s="675"/>
      <c r="Q789" s="675"/>
      <c r="R789" s="675"/>
      <c r="S789" s="675"/>
      <c r="T789" s="675"/>
      <c r="U789" s="675"/>
      <c r="V789" s="675"/>
      <c r="W789" s="675"/>
      <c r="X789" s="675"/>
      <c r="Y789" s="675"/>
      <c r="Z789" s="675"/>
      <c r="AA789" s="675"/>
      <c r="AB789" s="675"/>
      <c r="AC789" s="675"/>
      <c r="AD789" s="675"/>
      <c r="AE789" s="675"/>
      <c r="AF789" s="675"/>
      <c r="AG789" s="675"/>
      <c r="AH789" s="675"/>
      <c r="AJ789" s="675"/>
      <c r="AK789" s="658"/>
    </row>
    <row r="790" spans="1:37" ht="14">
      <c r="A790" s="5"/>
      <c r="B790" s="313"/>
      <c r="C790" s="833"/>
      <c r="D790" s="469" t="s">
        <v>670</v>
      </c>
      <c r="E790" s="9"/>
      <c r="F790" s="132"/>
      <c r="G790" s="75"/>
      <c r="H790" s="75"/>
      <c r="I790" s="79"/>
      <c r="J790" s="52"/>
      <c r="K790" s="156"/>
      <c r="L790" s="383"/>
      <c r="M790" s="542"/>
      <c r="N790" s="701">
        <f t="shared" si="24"/>
        <v>0</v>
      </c>
      <c r="O790" s="675"/>
      <c r="P790" s="675"/>
      <c r="Q790" s="675"/>
      <c r="R790" s="675"/>
      <c r="S790" s="675"/>
      <c r="T790" s="675"/>
      <c r="U790" s="675"/>
      <c r="V790" s="675"/>
      <c r="W790" s="675"/>
      <c r="X790" s="675"/>
      <c r="Y790" s="675"/>
      <c r="Z790" s="675"/>
      <c r="AA790" s="675"/>
      <c r="AB790" s="675"/>
      <c r="AC790" s="675"/>
      <c r="AD790" s="675"/>
      <c r="AE790" s="675"/>
      <c r="AF790" s="675"/>
      <c r="AG790" s="675"/>
      <c r="AH790" s="675"/>
      <c r="AJ790" s="675"/>
      <c r="AK790" s="658"/>
    </row>
    <row r="791" spans="1:37" ht="14">
      <c r="A791" s="5"/>
      <c r="B791" s="313"/>
      <c r="C791" s="833"/>
      <c r="D791" s="469" t="s">
        <v>671</v>
      </c>
      <c r="E791" s="9"/>
      <c r="F791" s="132"/>
      <c r="G791" s="75"/>
      <c r="H791" s="75"/>
      <c r="I791" s="79"/>
      <c r="J791" s="52"/>
      <c r="K791" s="156"/>
      <c r="L791" s="383"/>
      <c r="M791" s="542"/>
      <c r="N791" s="701">
        <f t="shared" si="24"/>
        <v>0</v>
      </c>
      <c r="O791" s="675"/>
      <c r="P791" s="675"/>
      <c r="Q791" s="675"/>
      <c r="R791" s="675"/>
      <c r="S791" s="675"/>
      <c r="T791" s="675"/>
      <c r="U791" s="675"/>
      <c r="V791" s="675"/>
      <c r="W791" s="675"/>
      <c r="X791" s="675"/>
      <c r="Y791" s="675"/>
      <c r="Z791" s="675"/>
      <c r="AA791" s="675"/>
      <c r="AB791" s="675"/>
      <c r="AC791" s="675"/>
      <c r="AD791" s="675"/>
      <c r="AE791" s="675"/>
      <c r="AF791" s="675"/>
      <c r="AG791" s="675"/>
      <c r="AH791" s="675"/>
      <c r="AJ791" s="675"/>
      <c r="AK791" s="658"/>
    </row>
    <row r="792" spans="1:37" ht="14">
      <c r="A792" s="5"/>
      <c r="B792" s="313"/>
      <c r="C792" s="833"/>
      <c r="D792" s="469"/>
      <c r="E792" s="9"/>
      <c r="F792" s="132"/>
      <c r="G792" s="75"/>
      <c r="H792" s="75"/>
      <c r="I792" s="79"/>
      <c r="J792" s="52"/>
      <c r="K792" s="156"/>
      <c r="L792" s="383"/>
      <c r="M792" s="542"/>
      <c r="N792" s="701">
        <f t="shared" si="24"/>
        <v>0</v>
      </c>
      <c r="O792" s="675"/>
      <c r="P792" s="675"/>
      <c r="Q792" s="675"/>
      <c r="R792" s="675"/>
      <c r="S792" s="675"/>
      <c r="T792" s="675"/>
      <c r="U792" s="675"/>
      <c r="V792" s="675"/>
      <c r="W792" s="675"/>
      <c r="X792" s="675"/>
      <c r="Y792" s="675"/>
      <c r="Z792" s="675"/>
      <c r="AA792" s="675"/>
      <c r="AB792" s="675"/>
      <c r="AC792" s="675"/>
      <c r="AD792" s="675"/>
      <c r="AE792" s="675"/>
      <c r="AF792" s="675"/>
      <c r="AG792" s="675"/>
      <c r="AH792" s="675"/>
      <c r="AJ792" s="675"/>
      <c r="AK792" s="658"/>
    </row>
    <row r="793" spans="1:37" ht="33" customHeight="1">
      <c r="A793" s="5"/>
      <c r="B793" s="313"/>
      <c r="C793" s="833"/>
      <c r="D793" s="470"/>
      <c r="E793" s="9"/>
      <c r="F793" s="132"/>
      <c r="G793" s="75"/>
      <c r="H793" s="75"/>
      <c r="I793" s="79"/>
      <c r="J793" s="52"/>
      <c r="K793" s="156"/>
      <c r="L793" s="383"/>
      <c r="M793" s="542"/>
      <c r="N793" s="701">
        <f t="shared" si="24"/>
        <v>0</v>
      </c>
      <c r="O793" s="675"/>
      <c r="P793" s="675"/>
      <c r="Q793" s="675"/>
      <c r="R793" s="675"/>
      <c r="S793" s="675"/>
      <c r="T793" s="675"/>
      <c r="U793" s="675"/>
      <c r="V793" s="675"/>
      <c r="W793" s="675"/>
      <c r="X793" s="675"/>
      <c r="Y793" s="675"/>
      <c r="Z793" s="675"/>
      <c r="AA793" s="675"/>
      <c r="AB793" s="675"/>
      <c r="AC793" s="675"/>
      <c r="AD793" s="675"/>
      <c r="AE793" s="675"/>
      <c r="AF793" s="675"/>
      <c r="AG793" s="675"/>
      <c r="AH793" s="675"/>
      <c r="AJ793" s="675"/>
      <c r="AK793" s="658"/>
    </row>
    <row r="794" spans="1:37" ht="15" customHeight="1">
      <c r="A794" s="5"/>
      <c r="B794" s="313"/>
      <c r="C794" s="833"/>
      <c r="D794" s="80" t="s">
        <v>150</v>
      </c>
      <c r="E794" s="9"/>
      <c r="F794" s="132"/>
      <c r="G794" s="75"/>
      <c r="H794" s="75"/>
      <c r="I794" s="79"/>
      <c r="J794" s="52"/>
      <c r="K794" s="156"/>
      <c r="L794" s="383"/>
      <c r="M794" s="542"/>
      <c r="N794" s="701">
        <f t="shared" si="24"/>
        <v>0</v>
      </c>
      <c r="O794" s="675"/>
      <c r="P794" s="675"/>
      <c r="Q794" s="675"/>
      <c r="R794" s="675"/>
      <c r="S794" s="675"/>
      <c r="T794" s="675"/>
      <c r="U794" s="675"/>
      <c r="V794" s="675"/>
      <c r="W794" s="675"/>
      <c r="X794" s="675"/>
      <c r="Y794" s="675"/>
      <c r="Z794" s="675"/>
      <c r="AA794" s="675"/>
      <c r="AB794" s="675"/>
      <c r="AC794" s="675"/>
      <c r="AD794" s="675"/>
      <c r="AE794" s="675"/>
      <c r="AF794" s="675"/>
      <c r="AG794" s="675"/>
      <c r="AH794" s="675"/>
      <c r="AJ794" s="675"/>
      <c r="AK794" s="658"/>
    </row>
    <row r="795" spans="1:37" ht="15" customHeight="1">
      <c r="A795" s="5"/>
      <c r="B795" s="313"/>
      <c r="C795" s="833"/>
      <c r="D795" s="469" t="s">
        <v>482</v>
      </c>
      <c r="E795" s="9"/>
      <c r="F795" s="132"/>
      <c r="G795" s="75"/>
      <c r="H795" s="75"/>
      <c r="I795" s="79"/>
      <c r="J795" s="52"/>
      <c r="K795" s="156"/>
      <c r="L795" s="383"/>
      <c r="M795" s="542"/>
      <c r="N795" s="701">
        <f t="shared" si="24"/>
        <v>0</v>
      </c>
      <c r="O795" s="675"/>
      <c r="P795" s="675"/>
      <c r="Q795" s="675"/>
      <c r="R795" s="675"/>
      <c r="S795" s="675"/>
      <c r="T795" s="675"/>
      <c r="U795" s="675"/>
      <c r="V795" s="675"/>
      <c r="W795" s="675"/>
      <c r="X795" s="675"/>
      <c r="Y795" s="675"/>
      <c r="Z795" s="675"/>
      <c r="AA795" s="675"/>
      <c r="AB795" s="675"/>
      <c r="AC795" s="675"/>
      <c r="AD795" s="675"/>
      <c r="AE795" s="675"/>
      <c r="AF795" s="675"/>
      <c r="AG795" s="675"/>
      <c r="AH795" s="675"/>
      <c r="AJ795" s="675"/>
      <c r="AK795" s="658"/>
    </row>
    <row r="796" spans="1:37" ht="15" customHeight="1">
      <c r="A796" s="5"/>
      <c r="B796" s="313"/>
      <c r="C796" s="833"/>
      <c r="D796" s="469" t="s">
        <v>483</v>
      </c>
      <c r="E796" s="9"/>
      <c r="F796" s="132"/>
      <c r="G796" s="75"/>
      <c r="H796" s="75"/>
      <c r="I796" s="79"/>
      <c r="J796" s="52"/>
      <c r="K796" s="156"/>
      <c r="L796" s="383"/>
      <c r="M796" s="542"/>
      <c r="N796" s="701">
        <f t="shared" si="24"/>
        <v>0</v>
      </c>
      <c r="O796" s="675"/>
      <c r="P796" s="675"/>
      <c r="Q796" s="675"/>
      <c r="R796" s="675"/>
      <c r="S796" s="675"/>
      <c r="T796" s="675"/>
      <c r="U796" s="675"/>
      <c r="V796" s="675"/>
      <c r="W796" s="675"/>
      <c r="X796" s="675"/>
      <c r="Y796" s="675"/>
      <c r="Z796" s="675"/>
      <c r="AA796" s="675"/>
      <c r="AB796" s="675"/>
      <c r="AC796" s="675"/>
      <c r="AD796" s="675"/>
      <c r="AE796" s="675"/>
      <c r="AF796" s="675"/>
      <c r="AG796" s="675"/>
      <c r="AH796" s="675"/>
      <c r="AJ796" s="675"/>
      <c r="AK796" s="658"/>
    </row>
    <row r="797" spans="1:37" ht="15" customHeight="1">
      <c r="A797" s="5"/>
      <c r="B797" s="313"/>
      <c r="C797" s="833"/>
      <c r="D797" s="469" t="s">
        <v>484</v>
      </c>
      <c r="E797" s="81" t="s">
        <v>16</v>
      </c>
      <c r="F797" s="253">
        <v>100000</v>
      </c>
      <c r="G797" s="64">
        <v>1</v>
      </c>
      <c r="H797" s="64">
        <f>+F797*G797+18900</f>
        <v>118900</v>
      </c>
      <c r="I797" s="72"/>
      <c r="J797" s="52"/>
      <c r="K797" s="156"/>
      <c r="L797" s="383"/>
      <c r="M797" s="542"/>
      <c r="N797" s="701">
        <f t="shared" si="24"/>
        <v>-118900</v>
      </c>
      <c r="O797" s="675"/>
      <c r="P797" s="675"/>
      <c r="Q797" s="675"/>
      <c r="R797" s="675"/>
      <c r="S797" s="675"/>
      <c r="T797" s="675"/>
      <c r="U797" s="675"/>
      <c r="V797" s="675"/>
      <c r="W797" s="675"/>
      <c r="X797" s="675"/>
      <c r="Y797" s="675"/>
      <c r="Z797" s="675"/>
      <c r="AA797" s="675"/>
      <c r="AB797" s="675"/>
      <c r="AC797" s="675"/>
      <c r="AD797" s="675"/>
      <c r="AE797" s="675"/>
      <c r="AF797" s="675"/>
      <c r="AG797" s="675"/>
      <c r="AH797" s="675"/>
      <c r="AJ797" s="675"/>
      <c r="AK797" s="658"/>
    </row>
    <row r="798" spans="1:37" ht="15" customHeight="1">
      <c r="A798" s="5"/>
      <c r="B798" s="313"/>
      <c r="C798" s="833"/>
      <c r="D798" s="80" t="s">
        <v>151</v>
      </c>
      <c r="E798" s="131"/>
      <c r="F798" s="132"/>
      <c r="G798" s="111"/>
      <c r="H798" s="75"/>
      <c r="I798" s="126"/>
      <c r="J798" s="52"/>
      <c r="K798" s="156"/>
      <c r="L798" s="383"/>
      <c r="M798" s="542"/>
      <c r="N798" s="701">
        <f t="shared" si="24"/>
        <v>0</v>
      </c>
      <c r="O798" s="675"/>
      <c r="P798" s="675"/>
      <c r="Q798" s="675"/>
      <c r="R798" s="675"/>
      <c r="S798" s="675"/>
      <c r="T798" s="675"/>
      <c r="U798" s="675"/>
      <c r="V798" s="675"/>
      <c r="W798" s="675"/>
      <c r="X798" s="675"/>
      <c r="Y798" s="675"/>
      <c r="Z798" s="675"/>
      <c r="AA798" s="675"/>
      <c r="AB798" s="675"/>
      <c r="AC798" s="675"/>
      <c r="AD798" s="675"/>
      <c r="AE798" s="675"/>
      <c r="AF798" s="675"/>
      <c r="AG798" s="675"/>
      <c r="AH798" s="675"/>
      <c r="AJ798" s="675"/>
      <c r="AK798" s="658"/>
    </row>
    <row r="799" spans="1:37" ht="15" customHeight="1">
      <c r="A799" s="5"/>
      <c r="B799" s="313"/>
      <c r="C799" s="833"/>
      <c r="D799" s="469" t="s">
        <v>485</v>
      </c>
      <c r="E799" s="81" t="s">
        <v>16</v>
      </c>
      <c r="F799" s="253">
        <v>75000</v>
      </c>
      <c r="G799" s="64">
        <v>1</v>
      </c>
      <c r="H799" s="64">
        <f>+F799*G799+10500</f>
        <v>85500</v>
      </c>
      <c r="I799" s="72"/>
      <c r="J799" s="52"/>
      <c r="K799" s="156"/>
      <c r="L799" s="383"/>
      <c r="M799" s="542"/>
      <c r="N799" s="701">
        <f t="shared" si="24"/>
        <v>-85500</v>
      </c>
      <c r="O799" s="675"/>
      <c r="P799" s="675"/>
      <c r="Q799" s="675"/>
      <c r="R799" s="675"/>
      <c r="S799" s="675"/>
      <c r="T799" s="675"/>
      <c r="U799" s="675"/>
      <c r="V799" s="675"/>
      <c r="W799" s="675"/>
      <c r="X799" s="675"/>
      <c r="Y799" s="675"/>
      <c r="Z799" s="675"/>
      <c r="AA799" s="675"/>
      <c r="AB799" s="675"/>
      <c r="AC799" s="675"/>
      <c r="AD799" s="675"/>
      <c r="AE799" s="675"/>
      <c r="AF799" s="675"/>
      <c r="AG799" s="675"/>
      <c r="AH799" s="675"/>
      <c r="AJ799" s="675"/>
      <c r="AK799" s="658"/>
    </row>
    <row r="800" spans="1:37" ht="15" customHeight="1">
      <c r="A800" s="5"/>
      <c r="B800" s="313"/>
      <c r="C800" s="833"/>
      <c r="D800" s="716" t="s">
        <v>655</v>
      </c>
      <c r="E800" s="717" t="s">
        <v>656</v>
      </c>
      <c r="F800" s="718">
        <f>400*'TOP SHEET'!L6</f>
        <v>54300</v>
      </c>
      <c r="G800" s="527">
        <v>30</v>
      </c>
      <c r="H800" s="527">
        <f>+G800*F800</f>
        <v>1629000</v>
      </c>
      <c r="I800" s="72"/>
      <c r="J800" s="52"/>
      <c r="K800" s="156"/>
      <c r="L800" s="383"/>
      <c r="M800" s="542"/>
      <c r="N800" s="701">
        <f t="shared" si="24"/>
        <v>-1629000</v>
      </c>
      <c r="O800" s="675"/>
      <c r="P800" s="675"/>
      <c r="Q800" s="675"/>
      <c r="R800" s="675"/>
      <c r="S800" s="675"/>
      <c r="T800" s="675"/>
      <c r="U800" s="675"/>
      <c r="V800" s="675"/>
      <c r="W800" s="675"/>
      <c r="X800" s="675"/>
      <c r="Y800" s="675"/>
      <c r="Z800" s="675"/>
      <c r="AA800" s="675"/>
      <c r="AB800" s="675"/>
      <c r="AC800" s="675"/>
      <c r="AD800" s="675"/>
      <c r="AE800" s="675"/>
      <c r="AF800" s="675"/>
      <c r="AG800" s="675"/>
      <c r="AH800" s="675"/>
      <c r="AJ800" s="675"/>
      <c r="AK800" s="658"/>
    </row>
    <row r="801" spans="1:37" ht="15" customHeight="1">
      <c r="A801" s="5"/>
      <c r="B801" s="313"/>
      <c r="C801" s="833"/>
      <c r="D801" s="70" t="s">
        <v>152</v>
      </c>
      <c r="E801" s="67" t="s">
        <v>16</v>
      </c>
      <c r="F801" s="253">
        <v>400000</v>
      </c>
      <c r="G801" s="64">
        <v>1</v>
      </c>
      <c r="H801" s="64">
        <f>+F801*G801+6300</f>
        <v>406300</v>
      </c>
      <c r="I801" s="72"/>
      <c r="J801" s="52"/>
      <c r="K801" s="156"/>
      <c r="L801" s="383"/>
      <c r="M801" s="542"/>
      <c r="N801" s="701">
        <f t="shared" si="24"/>
        <v>-406300</v>
      </c>
      <c r="O801" s="675"/>
      <c r="P801" s="675"/>
      <c r="Q801" s="675"/>
      <c r="R801" s="675"/>
      <c r="S801" s="675"/>
      <c r="T801" s="675"/>
      <c r="U801" s="675"/>
      <c r="V801" s="675"/>
      <c r="W801" s="675"/>
      <c r="X801" s="675"/>
      <c r="Y801" s="675"/>
      <c r="Z801" s="675"/>
      <c r="AA801" s="675"/>
      <c r="AB801" s="675"/>
      <c r="AC801" s="675"/>
      <c r="AD801" s="675"/>
      <c r="AE801" s="675"/>
      <c r="AF801" s="675"/>
      <c r="AG801" s="675"/>
      <c r="AH801" s="675"/>
      <c r="AJ801" s="675"/>
      <c r="AK801" s="658"/>
    </row>
    <row r="802" spans="1:37" s="543" customFormat="1" ht="15" customHeight="1">
      <c r="A802" s="532"/>
      <c r="B802" s="533"/>
      <c r="C802" s="847"/>
      <c r="D802" s="556" t="s">
        <v>515</v>
      </c>
      <c r="E802" s="756" t="s">
        <v>16</v>
      </c>
      <c r="F802" s="757">
        <v>900000</v>
      </c>
      <c r="G802" s="537">
        <v>1</v>
      </c>
      <c r="H802" s="537">
        <v>1200000</v>
      </c>
      <c r="I802" s="546"/>
      <c r="J802" s="547"/>
      <c r="K802" s="540"/>
      <c r="L802" s="541"/>
      <c r="M802" s="542"/>
      <c r="N802" s="753">
        <f t="shared" si="24"/>
        <v>-1200000</v>
      </c>
      <c r="O802" s="687"/>
      <c r="P802" s="687"/>
      <c r="Q802" s="687"/>
      <c r="R802" s="687"/>
      <c r="S802" s="687"/>
      <c r="T802" s="687"/>
      <c r="U802" s="687"/>
      <c r="V802" s="687"/>
      <c r="W802" s="687"/>
      <c r="X802" s="687"/>
      <c r="Y802" s="687"/>
      <c r="Z802" s="687"/>
      <c r="AA802" s="687"/>
      <c r="AB802" s="687"/>
      <c r="AC802" s="687"/>
      <c r="AD802" s="687"/>
      <c r="AE802" s="687"/>
      <c r="AF802" s="687"/>
      <c r="AG802" s="687"/>
      <c r="AH802" s="687"/>
      <c r="AI802" s="687"/>
      <c r="AJ802" s="687"/>
      <c r="AK802" s="750"/>
    </row>
    <row r="803" spans="1:37" ht="15" customHeight="1">
      <c r="A803" s="5"/>
      <c r="B803" s="313"/>
      <c r="C803" s="833"/>
      <c r="D803" s="70" t="s">
        <v>438</v>
      </c>
      <c r="E803" s="67" t="s">
        <v>16</v>
      </c>
      <c r="F803" s="64">
        <v>0</v>
      </c>
      <c r="G803" s="64"/>
      <c r="H803" s="64">
        <f>+F803*G803</f>
        <v>0</v>
      </c>
      <c r="I803" s="72"/>
      <c r="J803" s="52"/>
      <c r="K803" s="156"/>
      <c r="L803" s="383"/>
      <c r="M803" s="542"/>
      <c r="N803" s="701">
        <f t="shared" si="24"/>
        <v>0</v>
      </c>
      <c r="O803" s="675"/>
      <c r="P803" s="675"/>
      <c r="Q803" s="675"/>
      <c r="R803" s="675"/>
      <c r="S803" s="675"/>
      <c r="T803" s="675"/>
      <c r="U803" s="675"/>
      <c r="V803" s="675"/>
      <c r="W803" s="675"/>
      <c r="X803" s="675"/>
      <c r="Y803" s="675"/>
      <c r="Z803" s="675"/>
      <c r="AA803" s="675"/>
      <c r="AB803" s="675"/>
      <c r="AC803" s="675"/>
      <c r="AD803" s="675"/>
      <c r="AE803" s="675"/>
      <c r="AF803" s="675"/>
      <c r="AG803" s="675"/>
      <c r="AH803" s="675"/>
      <c r="AJ803" s="675"/>
      <c r="AK803" s="658"/>
    </row>
    <row r="804" spans="1:37" s="48" customFormat="1" ht="15" customHeight="1">
      <c r="A804" s="45"/>
      <c r="B804" s="314"/>
      <c r="C804" s="836"/>
      <c r="D804" s="73"/>
      <c r="E804" s="71"/>
      <c r="F804" s="906" t="s">
        <v>153</v>
      </c>
      <c r="G804" s="906"/>
      <c r="H804" s="191"/>
      <c r="I804" s="472">
        <f>SUM(H775:H803)</f>
        <v>7503125</v>
      </c>
      <c r="J804" s="294">
        <v>14</v>
      </c>
      <c r="K804" s="158"/>
      <c r="L804" s="386"/>
      <c r="M804" s="593"/>
      <c r="N804" s="701">
        <f>SUM(O804:AJ804)-I804</f>
        <v>-7503125</v>
      </c>
      <c r="O804" s="676"/>
      <c r="P804" s="676"/>
      <c r="Q804" s="676"/>
      <c r="R804" s="675"/>
      <c r="S804" s="675"/>
      <c r="T804" s="675"/>
      <c r="U804" s="675"/>
      <c r="V804" s="675"/>
      <c r="W804" s="675"/>
      <c r="X804" s="675"/>
      <c r="Y804" s="675"/>
      <c r="Z804" s="675"/>
      <c r="AA804" s="675"/>
      <c r="AB804" s="675"/>
      <c r="AC804" s="675"/>
      <c r="AD804" s="675"/>
      <c r="AE804" s="675"/>
      <c r="AF804" s="675"/>
      <c r="AG804" s="675"/>
      <c r="AH804" s="675"/>
      <c r="AI804" s="1"/>
      <c r="AJ804" s="675"/>
      <c r="AK804" s="658"/>
    </row>
    <row r="805" spans="1:37" s="53" customFormat="1" ht="30" customHeight="1">
      <c r="A805" s="5"/>
      <c r="B805" s="309"/>
      <c r="C805" s="832"/>
      <c r="D805" s="49"/>
      <c r="E805" s="9"/>
      <c r="F805" s="8"/>
      <c r="G805" s="8"/>
      <c r="H805" s="50"/>
      <c r="I805" s="51"/>
      <c r="J805" s="51"/>
      <c r="K805" s="156"/>
      <c r="L805" s="383"/>
      <c r="M805" s="542"/>
      <c r="N805" s="701">
        <f>SUM(O805:AJ805)-I805</f>
        <v>0</v>
      </c>
      <c r="O805" s="677"/>
      <c r="P805" s="677"/>
      <c r="Q805" s="677"/>
      <c r="R805" s="675"/>
      <c r="S805" s="675"/>
      <c r="T805" s="675"/>
      <c r="U805" s="675"/>
      <c r="V805" s="675"/>
      <c r="W805" s="675"/>
      <c r="X805" s="675"/>
      <c r="Y805" s="675"/>
      <c r="Z805" s="675"/>
      <c r="AA805" s="675"/>
      <c r="AB805" s="675"/>
      <c r="AC805" s="675"/>
      <c r="AD805" s="675"/>
      <c r="AE805" s="675"/>
      <c r="AF805" s="675"/>
      <c r="AG805" s="675"/>
      <c r="AH805" s="675"/>
      <c r="AI805" s="1"/>
      <c r="AJ805" s="675"/>
      <c r="AK805" s="658"/>
    </row>
    <row r="806" spans="1:37" s="48" customFormat="1" ht="15" customHeight="1">
      <c r="A806" s="45"/>
      <c r="B806" s="312"/>
      <c r="C806" s="834"/>
      <c r="D806" s="33" t="s">
        <v>154</v>
      </c>
      <c r="E806" s="56" t="s">
        <v>13</v>
      </c>
      <c r="F806" s="57" t="s">
        <v>14</v>
      </c>
      <c r="G806" s="860" t="s">
        <v>15</v>
      </c>
      <c r="H806" s="192" t="s">
        <v>8</v>
      </c>
      <c r="I806" s="59"/>
      <c r="J806" s="292"/>
      <c r="K806" s="158"/>
      <c r="L806" s="386"/>
      <c r="M806" s="593"/>
      <c r="N806" s="701"/>
      <c r="O806" s="676"/>
      <c r="P806" s="676"/>
      <c r="Q806" s="676"/>
      <c r="R806" s="675"/>
      <c r="S806" s="675"/>
      <c r="T806" s="675"/>
      <c r="U806" s="675"/>
      <c r="V806" s="675"/>
      <c r="W806" s="675"/>
      <c r="X806" s="675"/>
      <c r="Y806" s="675"/>
      <c r="Z806" s="675"/>
      <c r="AA806" s="675"/>
      <c r="AB806" s="675"/>
      <c r="AC806" s="675"/>
      <c r="AD806" s="675"/>
      <c r="AE806" s="675"/>
      <c r="AF806" s="675"/>
      <c r="AG806" s="675"/>
      <c r="AH806" s="675"/>
      <c r="AI806" s="1"/>
      <c r="AJ806" s="675"/>
      <c r="AK806" s="658"/>
    </row>
    <row r="807" spans="1:37" ht="15" customHeight="1">
      <c r="A807" s="5"/>
      <c r="B807" s="313"/>
      <c r="C807" s="833"/>
      <c r="D807" s="80" t="s">
        <v>155</v>
      </c>
      <c r="E807" s="131"/>
      <c r="F807" s="132"/>
      <c r="G807" s="111"/>
      <c r="H807" s="75"/>
      <c r="I807" s="126"/>
      <c r="J807" s="52"/>
      <c r="K807" s="156"/>
      <c r="L807" s="383"/>
      <c r="M807" s="542"/>
      <c r="N807" s="701">
        <f>SUM(O807:AJ807)-I807</f>
        <v>0</v>
      </c>
      <c r="O807" s="675"/>
      <c r="P807" s="675"/>
      <c r="Q807" s="675"/>
      <c r="R807" s="675"/>
      <c r="S807" s="675"/>
      <c r="T807" s="675"/>
      <c r="U807" s="675"/>
      <c r="V807" s="675"/>
      <c r="W807" s="675"/>
      <c r="X807" s="675"/>
      <c r="Y807" s="675"/>
      <c r="Z807" s="675"/>
      <c r="AA807" s="675"/>
      <c r="AB807" s="675"/>
      <c r="AC807" s="675"/>
      <c r="AD807" s="675"/>
      <c r="AE807" s="675"/>
      <c r="AF807" s="675"/>
      <c r="AG807" s="675"/>
      <c r="AH807" s="675"/>
      <c r="AJ807" s="675"/>
      <c r="AK807" s="658"/>
    </row>
    <row r="808" spans="1:37" ht="14">
      <c r="A808" s="5"/>
      <c r="B808" s="313"/>
      <c r="C808" s="833"/>
      <c r="D808" s="133" t="s">
        <v>156</v>
      </c>
      <c r="E808" s="131"/>
      <c r="F808" s="75"/>
      <c r="G808" s="111"/>
      <c r="H808" s="78"/>
      <c r="I808" s="79"/>
      <c r="J808" s="52"/>
      <c r="K808" s="156"/>
      <c r="L808" s="383"/>
      <c r="M808" s="542"/>
      <c r="N808" s="701">
        <f>SUM(O808:AJ808)-I808</f>
        <v>0</v>
      </c>
      <c r="O808" s="675"/>
      <c r="P808" s="675"/>
      <c r="Q808" s="675"/>
      <c r="R808" s="675"/>
      <c r="S808" s="675"/>
      <c r="T808" s="675"/>
      <c r="U808" s="675"/>
      <c r="V808" s="675"/>
      <c r="W808" s="675"/>
      <c r="X808" s="675"/>
      <c r="Y808" s="675"/>
      <c r="Z808" s="675"/>
      <c r="AA808" s="675"/>
      <c r="AB808" s="675"/>
      <c r="AC808" s="675"/>
      <c r="AD808" s="675"/>
      <c r="AE808" s="675"/>
      <c r="AF808" s="675"/>
      <c r="AG808" s="675"/>
      <c r="AH808" s="675"/>
      <c r="AJ808" s="675"/>
      <c r="AK808" s="658"/>
    </row>
    <row r="809" spans="1:37" ht="14">
      <c r="A809" s="5"/>
      <c r="B809" s="313"/>
      <c r="C809" s="833"/>
      <c r="D809" s="276"/>
      <c r="E809" s="131"/>
      <c r="F809" s="75"/>
      <c r="G809" s="111"/>
      <c r="H809" s="78"/>
      <c r="I809" s="79"/>
      <c r="J809" s="52"/>
      <c r="K809" s="156"/>
      <c r="L809" s="383"/>
      <c r="M809" s="542"/>
      <c r="N809" s="701">
        <f>SUM(O809:AJ809)-I809</f>
        <v>0</v>
      </c>
      <c r="O809" s="675"/>
      <c r="P809" s="675"/>
      <c r="Q809" s="675"/>
      <c r="R809" s="675"/>
      <c r="S809" s="675"/>
      <c r="T809" s="675"/>
      <c r="U809" s="675"/>
      <c r="V809" s="675"/>
      <c r="W809" s="675"/>
      <c r="X809" s="675"/>
      <c r="Y809" s="675"/>
      <c r="Z809" s="675"/>
      <c r="AA809" s="675"/>
      <c r="AB809" s="675"/>
      <c r="AC809" s="675"/>
      <c r="AD809" s="675"/>
      <c r="AE809" s="675"/>
      <c r="AF809" s="675"/>
      <c r="AG809" s="675"/>
      <c r="AH809" s="675"/>
      <c r="AJ809" s="675"/>
      <c r="AK809" s="658"/>
    </row>
    <row r="810" spans="1:37" ht="14">
      <c r="A810" s="5"/>
      <c r="B810" s="313"/>
      <c r="C810" s="833"/>
      <c r="D810" s="276"/>
      <c r="E810" s="131"/>
      <c r="F810" s="132"/>
      <c r="G810" s="111"/>
      <c r="H810" s="75"/>
      <c r="I810" s="79"/>
      <c r="J810" s="52"/>
      <c r="K810" s="156"/>
      <c r="L810" s="383"/>
      <c r="M810" s="542"/>
      <c r="N810" s="701">
        <f>SUM(O810:AJ810)-I810</f>
        <v>0</v>
      </c>
      <c r="O810" s="675"/>
      <c r="P810" s="675"/>
      <c r="Q810" s="675"/>
      <c r="R810" s="675"/>
      <c r="S810" s="675"/>
      <c r="T810" s="675"/>
      <c r="U810" s="675"/>
      <c r="V810" s="675"/>
      <c r="W810" s="675"/>
      <c r="X810" s="675"/>
      <c r="Y810" s="675"/>
      <c r="Z810" s="675"/>
      <c r="AA810" s="675"/>
      <c r="AB810" s="675"/>
      <c r="AC810" s="675"/>
      <c r="AD810" s="675"/>
      <c r="AE810" s="675"/>
      <c r="AF810" s="675"/>
      <c r="AG810" s="675"/>
      <c r="AH810" s="675"/>
      <c r="AJ810" s="675"/>
      <c r="AK810" s="658"/>
    </row>
    <row r="811" spans="1:37" ht="15" customHeight="1">
      <c r="A811" s="5"/>
      <c r="B811" s="313"/>
      <c r="C811" s="833"/>
      <c r="D811" s="717" t="s">
        <v>656</v>
      </c>
      <c r="E811" s="717" t="s">
        <v>329</v>
      </c>
      <c r="F811" s="718">
        <f>200*'TOP SHEET'!L6</f>
        <v>27150</v>
      </c>
      <c r="G811" s="527">
        <v>70</v>
      </c>
      <c r="H811" s="527">
        <f>+F811*G811+110250</f>
        <v>2010750</v>
      </c>
      <c r="I811" s="72"/>
      <c r="J811" s="52"/>
      <c r="K811" s="156"/>
      <c r="L811" s="383"/>
      <c r="M811" s="542"/>
      <c r="N811" s="701">
        <f>SUM(O811:AJ811)-H811</f>
        <v>-2010750</v>
      </c>
      <c r="O811" s="675"/>
      <c r="P811" s="675"/>
      <c r="Q811" s="675"/>
      <c r="R811" s="675"/>
      <c r="S811" s="675"/>
      <c r="T811" s="675"/>
      <c r="U811" s="675"/>
      <c r="V811" s="675"/>
      <c r="W811" s="675"/>
      <c r="X811" s="675"/>
      <c r="Y811" s="675"/>
      <c r="Z811" s="675"/>
      <c r="AA811" s="675"/>
      <c r="AB811" s="675"/>
      <c r="AC811" s="675"/>
      <c r="AD811" s="675"/>
      <c r="AE811" s="675"/>
      <c r="AF811" s="675"/>
      <c r="AG811" s="675"/>
      <c r="AH811" s="675"/>
      <c r="AJ811" s="675"/>
      <c r="AK811" s="658"/>
    </row>
    <row r="812" spans="1:37" s="548" customFormat="1" ht="15" customHeight="1">
      <c r="B812" s="533"/>
      <c r="C812" s="850"/>
      <c r="D812" s="549" t="s">
        <v>133</v>
      </c>
      <c r="E812" s="550"/>
      <c r="F812" s="551"/>
      <c r="G812" s="552"/>
      <c r="H812" s="553"/>
      <c r="I812" s="554"/>
      <c r="J812" s="555"/>
      <c r="K812" s="540"/>
      <c r="L812" s="541"/>
      <c r="M812" s="542"/>
      <c r="N812" s="701">
        <f>SUM(O812:AJ812)-I812</f>
        <v>0</v>
      </c>
      <c r="O812" s="689"/>
      <c r="P812" s="689"/>
      <c r="Q812" s="689"/>
      <c r="R812" s="675"/>
      <c r="S812" s="675"/>
      <c r="T812" s="675"/>
      <c r="U812" s="675"/>
      <c r="V812" s="675"/>
      <c r="W812" s="675"/>
      <c r="X812" s="675"/>
      <c r="Y812" s="675"/>
      <c r="Z812" s="675"/>
      <c r="AA812" s="675"/>
      <c r="AB812" s="675"/>
      <c r="AC812" s="675"/>
      <c r="AD812" s="675"/>
      <c r="AE812" s="675"/>
      <c r="AF812" s="675"/>
      <c r="AG812" s="675"/>
      <c r="AH812" s="675"/>
      <c r="AI812" s="1"/>
      <c r="AJ812" s="675"/>
      <c r="AK812" s="658"/>
    </row>
    <row r="813" spans="1:37" s="543" customFormat="1" ht="15" customHeight="1">
      <c r="A813" s="532"/>
      <c r="B813" s="533"/>
      <c r="C813" s="851"/>
      <c r="D813" s="556" t="s">
        <v>157</v>
      </c>
      <c r="E813" s="559" t="s">
        <v>16</v>
      </c>
      <c r="F813" s="531">
        <v>350000</v>
      </c>
      <c r="G813" s="537">
        <v>1</v>
      </c>
      <c r="H813" s="537">
        <f>+F813*G813+31500</f>
        <v>381500</v>
      </c>
      <c r="I813" s="546"/>
      <c r="J813" s="547"/>
      <c r="K813" s="540"/>
      <c r="L813" s="541"/>
      <c r="M813" s="542"/>
      <c r="N813" s="701">
        <f>SUM(O813:AJ813)-H813</f>
        <v>-381500</v>
      </c>
      <c r="O813" s="687"/>
      <c r="P813" s="687"/>
      <c r="Q813" s="687"/>
      <c r="R813" s="675"/>
      <c r="S813" s="675"/>
      <c r="T813" s="675"/>
      <c r="U813" s="675"/>
      <c r="V813" s="675"/>
      <c r="W813" s="675"/>
      <c r="X813" s="675"/>
      <c r="Y813" s="675"/>
      <c r="Z813" s="675"/>
      <c r="AA813" s="675"/>
      <c r="AB813" s="675"/>
      <c r="AC813" s="675"/>
      <c r="AD813" s="675"/>
      <c r="AE813" s="675"/>
      <c r="AF813" s="675"/>
      <c r="AG813" s="675"/>
      <c r="AH813" s="675"/>
      <c r="AI813" s="1"/>
      <c r="AJ813" s="675"/>
      <c r="AK813" s="658"/>
    </row>
    <row r="814" spans="1:37" s="543" customFormat="1" ht="15" customHeight="1">
      <c r="A814" s="532"/>
      <c r="B814" s="533"/>
      <c r="C814" s="851"/>
      <c r="D814" s="557" t="s">
        <v>158</v>
      </c>
      <c r="E814" s="559" t="s">
        <v>16</v>
      </c>
      <c r="F814" s="531"/>
      <c r="G814" s="537">
        <v>1</v>
      </c>
      <c r="H814" s="537"/>
      <c r="I814" s="546"/>
      <c r="J814" s="547"/>
      <c r="K814" s="540"/>
      <c r="L814" s="541"/>
      <c r="M814" s="542"/>
      <c r="N814" s="701">
        <f>SUM(O814:AJ814)-I814</f>
        <v>0</v>
      </c>
      <c r="O814" s="687"/>
      <c r="P814" s="687"/>
      <c r="Q814" s="687"/>
      <c r="R814" s="675"/>
      <c r="S814" s="675"/>
      <c r="T814" s="675"/>
      <c r="U814" s="675"/>
      <c r="V814" s="675"/>
      <c r="W814" s="675"/>
      <c r="X814" s="675"/>
      <c r="Y814" s="675"/>
      <c r="Z814" s="675"/>
      <c r="AA814" s="675"/>
      <c r="AB814" s="675"/>
      <c r="AC814" s="675"/>
      <c r="AD814" s="675"/>
      <c r="AE814" s="675"/>
      <c r="AF814" s="675"/>
      <c r="AG814" s="675"/>
      <c r="AH814" s="675"/>
      <c r="AI814" s="1"/>
      <c r="AJ814" s="675"/>
      <c r="AK814" s="658"/>
    </row>
    <row r="815" spans="1:37" s="48" customFormat="1" ht="15" customHeight="1">
      <c r="A815" s="45"/>
      <c r="B815" s="314"/>
      <c r="C815" s="836"/>
      <c r="D815" s="73"/>
      <c r="E815" s="71"/>
      <c r="F815" s="906" t="s">
        <v>159</v>
      </c>
      <c r="G815" s="906"/>
      <c r="H815" s="191"/>
      <c r="I815" s="472">
        <f>SUM(H811:H814)</f>
        <v>2392250</v>
      </c>
      <c r="J815" s="294">
        <v>12</v>
      </c>
      <c r="K815" s="158"/>
      <c r="L815" s="386"/>
      <c r="M815" s="593"/>
      <c r="N815" s="701">
        <f>SUM(O815:AJ815)-I815</f>
        <v>-2392250</v>
      </c>
      <c r="O815" s="676"/>
      <c r="P815" s="676"/>
      <c r="Q815" s="676"/>
      <c r="R815" s="675"/>
      <c r="S815" s="675"/>
      <c r="T815" s="675"/>
      <c r="U815" s="675"/>
      <c r="V815" s="675"/>
      <c r="W815" s="675"/>
      <c r="X815" s="675"/>
      <c r="Y815" s="675"/>
      <c r="Z815" s="675"/>
      <c r="AA815" s="675"/>
      <c r="AB815" s="675"/>
      <c r="AC815" s="675"/>
      <c r="AD815" s="675"/>
      <c r="AE815" s="675"/>
      <c r="AF815" s="675"/>
      <c r="AG815" s="675"/>
      <c r="AH815" s="675"/>
      <c r="AI815" s="1"/>
      <c r="AJ815" s="675"/>
      <c r="AK815" s="658"/>
    </row>
    <row r="816" spans="1:37" s="53" customFormat="1" ht="30" customHeight="1">
      <c r="A816" s="5"/>
      <c r="B816" s="309"/>
      <c r="C816" s="832"/>
      <c r="D816" s="49"/>
      <c r="E816" s="9"/>
      <c r="F816" s="8"/>
      <c r="G816" s="8"/>
      <c r="H816" s="50"/>
      <c r="I816" s="51"/>
      <c r="J816" s="51"/>
      <c r="K816" s="156"/>
      <c r="L816" s="383"/>
      <c r="M816" s="542"/>
      <c r="N816" s="701">
        <f>SUM(O816:AJ816)-I816</f>
        <v>0</v>
      </c>
      <c r="O816" s="677"/>
      <c r="P816" s="677"/>
      <c r="Q816" s="677"/>
      <c r="R816" s="675"/>
      <c r="S816" s="675"/>
      <c r="T816" s="675"/>
      <c r="U816" s="675"/>
      <c r="V816" s="675"/>
      <c r="W816" s="675"/>
      <c r="X816" s="675"/>
      <c r="Y816" s="675"/>
      <c r="Z816" s="675"/>
      <c r="AA816" s="675"/>
      <c r="AB816" s="675"/>
      <c r="AC816" s="675"/>
      <c r="AD816" s="675"/>
      <c r="AE816" s="675"/>
      <c r="AF816" s="675"/>
      <c r="AG816" s="675"/>
      <c r="AH816" s="675"/>
      <c r="AI816" s="1"/>
      <c r="AJ816" s="675"/>
      <c r="AK816" s="658"/>
    </row>
    <row r="817" spans="1:37" s="48" customFormat="1" ht="15" customHeight="1">
      <c r="A817" s="45"/>
      <c r="B817" s="312"/>
      <c r="C817" s="834"/>
      <c r="D817" s="33" t="s">
        <v>160</v>
      </c>
      <c r="E817" s="56" t="s">
        <v>161</v>
      </c>
      <c r="F817" s="57" t="s">
        <v>14</v>
      </c>
      <c r="G817" s="860" t="s">
        <v>15</v>
      </c>
      <c r="H817" s="192" t="s">
        <v>162</v>
      </c>
      <c r="I817" s="59"/>
      <c r="J817" s="292"/>
      <c r="K817" s="158"/>
      <c r="L817" s="386"/>
      <c r="M817" s="593"/>
      <c r="N817" s="701"/>
      <c r="O817" s="676"/>
      <c r="P817" s="676"/>
      <c r="Q817" s="676"/>
      <c r="R817" s="675"/>
      <c r="S817" s="675"/>
      <c r="T817" s="675"/>
      <c r="U817" s="675"/>
      <c r="V817" s="675"/>
      <c r="W817" s="675"/>
      <c r="X817" s="675"/>
      <c r="Y817" s="675"/>
      <c r="Z817" s="675"/>
      <c r="AA817" s="675"/>
      <c r="AB817" s="675"/>
      <c r="AC817" s="675"/>
      <c r="AD817" s="675"/>
      <c r="AE817" s="675"/>
      <c r="AF817" s="675"/>
      <c r="AG817" s="675"/>
      <c r="AH817" s="675"/>
      <c r="AI817" s="1"/>
      <c r="AJ817" s="675"/>
      <c r="AK817" s="658"/>
    </row>
    <row r="818" spans="1:37" ht="15" customHeight="1">
      <c r="A818" s="5"/>
      <c r="B818" s="313"/>
      <c r="C818" s="835" t="s">
        <v>933</v>
      </c>
      <c r="D818" s="440" t="s">
        <v>163</v>
      </c>
      <c r="E818" s="131"/>
      <c r="F818" s="75"/>
      <c r="G818" s="111"/>
      <c r="H818" s="78"/>
      <c r="I818" s="79"/>
      <c r="J818" s="52"/>
      <c r="K818" s="156"/>
      <c r="L818" s="383"/>
      <c r="M818" s="542"/>
      <c r="N818" s="701">
        <f t="shared" ref="N818:N849" si="25">SUM(O818:AJ818)-I818</f>
        <v>0</v>
      </c>
      <c r="O818" s="675"/>
      <c r="P818" s="675"/>
      <c r="Q818" s="675"/>
      <c r="R818" s="675"/>
      <c r="S818" s="675"/>
      <c r="T818" s="675"/>
      <c r="U818" s="675"/>
      <c r="V818" s="675"/>
      <c r="W818" s="675"/>
      <c r="X818" s="675"/>
      <c r="Y818" s="675"/>
      <c r="Z818" s="675"/>
      <c r="AA818" s="675"/>
      <c r="AB818" s="675"/>
      <c r="AC818" s="675"/>
      <c r="AD818" s="675"/>
      <c r="AE818" s="675"/>
      <c r="AF818" s="675"/>
      <c r="AG818" s="675"/>
      <c r="AH818" s="675"/>
      <c r="AJ818" s="675"/>
      <c r="AK818" s="658"/>
    </row>
    <row r="819" spans="1:37" ht="15" customHeight="1">
      <c r="A819" s="5"/>
      <c r="B819" s="313"/>
      <c r="C819" s="835"/>
      <c r="D819" s="441" t="s">
        <v>689</v>
      </c>
      <c r="E819" s="131"/>
      <c r="F819" s="75"/>
      <c r="G819" s="111"/>
      <c r="H819" s="78"/>
      <c r="I819" s="79"/>
      <c r="J819" s="52"/>
      <c r="K819" s="156"/>
      <c r="L819" s="383"/>
      <c r="M819" s="542"/>
      <c r="N819" s="701">
        <f t="shared" si="25"/>
        <v>0</v>
      </c>
      <c r="O819" s="675"/>
      <c r="P819" s="675"/>
      <c r="Q819" s="675"/>
      <c r="R819" s="675"/>
      <c r="S819" s="675"/>
      <c r="T819" s="675"/>
      <c r="U819" s="675"/>
      <c r="V819" s="675"/>
      <c r="W819" s="675"/>
      <c r="X819" s="675"/>
      <c r="Y819" s="675"/>
      <c r="Z819" s="675"/>
      <c r="AA819" s="675"/>
      <c r="AB819" s="675"/>
      <c r="AC819" s="675"/>
      <c r="AD819" s="675"/>
      <c r="AE819" s="675"/>
      <c r="AF819" s="675"/>
      <c r="AG819" s="675"/>
      <c r="AH819" s="675"/>
      <c r="AJ819" s="675"/>
      <c r="AK819" s="658"/>
    </row>
    <row r="820" spans="1:37" ht="15" customHeight="1">
      <c r="A820" s="5"/>
      <c r="B820" s="313"/>
      <c r="C820" s="835"/>
      <c r="D820" s="441" t="s">
        <v>690</v>
      </c>
      <c r="E820" s="131"/>
      <c r="F820" s="75"/>
      <c r="G820" s="111"/>
      <c r="H820" s="78"/>
      <c r="I820" s="79"/>
      <c r="J820" s="52"/>
      <c r="K820" s="156"/>
      <c r="L820" s="383"/>
      <c r="M820" s="542"/>
      <c r="N820" s="701">
        <f t="shared" si="25"/>
        <v>0</v>
      </c>
      <c r="O820" s="675"/>
      <c r="P820" s="675"/>
      <c r="Q820" s="675"/>
      <c r="R820" s="675"/>
      <c r="S820" s="675"/>
      <c r="T820" s="675"/>
      <c r="U820" s="675"/>
      <c r="V820" s="675"/>
      <c r="W820" s="675"/>
      <c r="X820" s="675"/>
      <c r="Y820" s="675"/>
      <c r="Z820" s="675"/>
      <c r="AA820" s="675"/>
      <c r="AB820" s="675"/>
      <c r="AC820" s="675"/>
      <c r="AD820" s="675"/>
      <c r="AE820" s="675"/>
      <c r="AF820" s="675"/>
      <c r="AG820" s="675"/>
      <c r="AH820" s="675"/>
      <c r="AJ820" s="675"/>
      <c r="AK820" s="658"/>
    </row>
    <row r="821" spans="1:37" ht="15" customHeight="1">
      <c r="A821" s="5"/>
      <c r="B821" s="313"/>
      <c r="C821" s="835"/>
      <c r="D821" s="441" t="s">
        <v>691</v>
      </c>
      <c r="E821" s="131"/>
      <c r="F821" s="75"/>
      <c r="G821" s="111"/>
      <c r="H821" s="78"/>
      <c r="I821" s="79"/>
      <c r="J821" s="52"/>
      <c r="K821" s="156"/>
      <c r="L821" s="383"/>
      <c r="M821" s="542"/>
      <c r="N821" s="701">
        <f t="shared" si="25"/>
        <v>0</v>
      </c>
      <c r="O821" s="675"/>
      <c r="P821" s="675"/>
      <c r="Q821" s="675"/>
      <c r="R821" s="675"/>
      <c r="S821" s="675"/>
      <c r="T821" s="675"/>
      <c r="U821" s="675"/>
      <c r="V821" s="675"/>
      <c r="W821" s="675"/>
      <c r="X821" s="675"/>
      <c r="Y821" s="675"/>
      <c r="Z821" s="675"/>
      <c r="AA821" s="675"/>
      <c r="AB821" s="675"/>
      <c r="AC821" s="675"/>
      <c r="AD821" s="675"/>
      <c r="AE821" s="675"/>
      <c r="AF821" s="675"/>
      <c r="AG821" s="675"/>
      <c r="AH821" s="675"/>
      <c r="AJ821" s="675"/>
      <c r="AK821" s="658"/>
    </row>
    <row r="822" spans="1:37" ht="15" customHeight="1">
      <c r="A822" s="5"/>
      <c r="B822" s="313"/>
      <c r="C822" s="835"/>
      <c r="D822" s="441" t="s">
        <v>692</v>
      </c>
      <c r="E822" s="131"/>
      <c r="F822" s="75"/>
      <c r="G822" s="111"/>
      <c r="H822" s="78"/>
      <c r="I822" s="79"/>
      <c r="J822" s="52"/>
      <c r="K822" s="156"/>
      <c r="L822" s="383"/>
      <c r="M822" s="542"/>
      <c r="N822" s="701">
        <f t="shared" si="25"/>
        <v>0</v>
      </c>
      <c r="O822" s="675"/>
      <c r="P822" s="675"/>
      <c r="Q822" s="675"/>
      <c r="R822" s="675"/>
      <c r="S822" s="675"/>
      <c r="T822" s="675"/>
      <c r="U822" s="675"/>
      <c r="V822" s="675"/>
      <c r="W822" s="675"/>
      <c r="X822" s="675"/>
      <c r="Y822" s="675"/>
      <c r="Z822" s="675"/>
      <c r="AA822" s="675"/>
      <c r="AB822" s="675"/>
      <c r="AC822" s="675"/>
      <c r="AD822" s="675"/>
      <c r="AE822" s="675"/>
      <c r="AF822" s="675"/>
      <c r="AG822" s="675"/>
      <c r="AH822" s="675"/>
      <c r="AJ822" s="675"/>
      <c r="AK822" s="658"/>
    </row>
    <row r="823" spans="1:37" ht="15" customHeight="1">
      <c r="A823" s="5"/>
      <c r="B823" s="313"/>
      <c r="C823" s="835"/>
      <c r="D823" s="441" t="s">
        <v>693</v>
      </c>
      <c r="E823" s="131"/>
      <c r="F823" s="75"/>
      <c r="G823" s="111"/>
      <c r="H823" s="78"/>
      <c r="I823" s="79"/>
      <c r="J823" s="52"/>
      <c r="K823" s="156"/>
      <c r="L823" s="383"/>
      <c r="M823" s="542"/>
      <c r="N823" s="701">
        <f t="shared" si="25"/>
        <v>0</v>
      </c>
      <c r="O823" s="675"/>
      <c r="P823" s="675"/>
      <c r="Q823" s="675"/>
      <c r="R823" s="675"/>
      <c r="S823" s="675"/>
      <c r="T823" s="675"/>
      <c r="U823" s="675"/>
      <c r="V823" s="675"/>
      <c r="W823" s="675"/>
      <c r="X823" s="675"/>
      <c r="Y823" s="675"/>
      <c r="Z823" s="675"/>
      <c r="AA823" s="675"/>
      <c r="AB823" s="675"/>
      <c r="AC823" s="675"/>
      <c r="AD823" s="675"/>
      <c r="AE823" s="675"/>
      <c r="AF823" s="675"/>
      <c r="AG823" s="675"/>
      <c r="AH823" s="675"/>
      <c r="AJ823" s="675"/>
      <c r="AK823" s="658"/>
    </row>
    <row r="824" spans="1:37" ht="15" customHeight="1">
      <c r="A824" s="5"/>
      <c r="B824" s="313"/>
      <c r="C824" s="835"/>
      <c r="D824" s="441" t="s">
        <v>694</v>
      </c>
      <c r="E824" s="131"/>
      <c r="F824" s="75"/>
      <c r="G824" s="111"/>
      <c r="H824" s="78"/>
      <c r="I824" s="79"/>
      <c r="J824" s="52"/>
      <c r="K824" s="156"/>
      <c r="L824" s="383"/>
      <c r="M824" s="542"/>
      <c r="N824" s="701">
        <f t="shared" si="25"/>
        <v>0</v>
      </c>
      <c r="O824" s="675"/>
      <c r="P824" s="675"/>
      <c r="Q824" s="675"/>
      <c r="R824" s="675"/>
      <c r="S824" s="675"/>
      <c r="T824" s="675"/>
      <c r="U824" s="675"/>
      <c r="V824" s="675"/>
      <c r="W824" s="675"/>
      <c r="X824" s="675"/>
      <c r="Y824" s="675"/>
      <c r="Z824" s="675"/>
      <c r="AA824" s="675"/>
      <c r="AB824" s="675"/>
      <c r="AC824" s="675"/>
      <c r="AD824" s="675"/>
      <c r="AE824" s="675"/>
      <c r="AF824" s="675"/>
      <c r="AG824" s="675"/>
      <c r="AH824" s="675"/>
      <c r="AJ824" s="675"/>
      <c r="AK824" s="658"/>
    </row>
    <row r="825" spans="1:37" ht="15" customHeight="1">
      <c r="A825" s="5"/>
      <c r="B825" s="313"/>
      <c r="C825" s="835"/>
      <c r="D825" s="441" t="s">
        <v>673</v>
      </c>
      <c r="E825" s="131"/>
      <c r="F825" s="75"/>
      <c r="G825" s="111"/>
      <c r="H825" s="78"/>
      <c r="I825" s="79"/>
      <c r="J825" s="52"/>
      <c r="K825" s="156"/>
      <c r="L825" s="383"/>
      <c r="M825" s="542"/>
      <c r="N825" s="701">
        <f t="shared" si="25"/>
        <v>0</v>
      </c>
      <c r="O825" s="675"/>
      <c r="P825" s="675"/>
      <c r="Q825" s="675"/>
      <c r="R825" s="675"/>
      <c r="S825" s="675"/>
      <c r="T825" s="675"/>
      <c r="U825" s="675"/>
      <c r="V825" s="675"/>
      <c r="W825" s="675"/>
      <c r="X825" s="675"/>
      <c r="Y825" s="675"/>
      <c r="Z825" s="675"/>
      <c r="AA825" s="675"/>
      <c r="AB825" s="675"/>
      <c r="AC825" s="675"/>
      <c r="AD825" s="675"/>
      <c r="AE825" s="675"/>
      <c r="AF825" s="675"/>
      <c r="AG825" s="675"/>
      <c r="AH825" s="675"/>
      <c r="AJ825" s="675"/>
      <c r="AK825" s="658"/>
    </row>
    <row r="826" spans="1:37" ht="15" customHeight="1">
      <c r="A826" s="5"/>
      <c r="B826" s="313"/>
      <c r="C826" s="835"/>
      <c r="D826" s="441" t="s">
        <v>695</v>
      </c>
      <c r="E826" s="131"/>
      <c r="F826" s="75"/>
      <c r="G826" s="111"/>
      <c r="H826" s="78"/>
      <c r="I826" s="79"/>
      <c r="J826" s="52"/>
      <c r="K826" s="156"/>
      <c r="L826" s="383"/>
      <c r="M826" s="542"/>
      <c r="N826" s="701">
        <f t="shared" si="25"/>
        <v>0</v>
      </c>
      <c r="O826" s="675"/>
      <c r="P826" s="675"/>
      <c r="Q826" s="675"/>
      <c r="R826" s="675"/>
      <c r="S826" s="675"/>
      <c r="T826" s="675"/>
      <c r="U826" s="675"/>
      <c r="V826" s="675"/>
      <c r="W826" s="675"/>
      <c r="X826" s="675"/>
      <c r="Y826" s="675"/>
      <c r="Z826" s="675"/>
      <c r="AA826" s="675"/>
      <c r="AB826" s="675"/>
      <c r="AC826" s="675"/>
      <c r="AD826" s="675"/>
      <c r="AE826" s="675"/>
      <c r="AF826" s="675"/>
      <c r="AG826" s="675"/>
      <c r="AH826" s="675"/>
      <c r="AJ826" s="675"/>
      <c r="AK826" s="658"/>
    </row>
    <row r="827" spans="1:37" ht="15" customHeight="1">
      <c r="A827" s="5"/>
      <c r="B827" s="313"/>
      <c r="C827" s="835"/>
      <c r="D827" s="441" t="s">
        <v>696</v>
      </c>
      <c r="E827" s="131"/>
      <c r="F827" s="75"/>
      <c r="G827" s="111"/>
      <c r="H827" s="78"/>
      <c r="I827" s="79"/>
      <c r="J827" s="52"/>
      <c r="K827" s="156"/>
      <c r="L827" s="383"/>
      <c r="M827" s="542"/>
      <c r="N827" s="701">
        <f t="shared" si="25"/>
        <v>0</v>
      </c>
      <c r="O827" s="675"/>
      <c r="P827" s="675"/>
      <c r="Q827" s="675"/>
      <c r="R827" s="675"/>
      <c r="S827" s="675"/>
      <c r="T827" s="675"/>
      <c r="U827" s="675"/>
      <c r="V827" s="675"/>
      <c r="W827" s="675"/>
      <c r="X827" s="675"/>
      <c r="Y827" s="675"/>
      <c r="Z827" s="675"/>
      <c r="AA827" s="675"/>
      <c r="AB827" s="675"/>
      <c r="AC827" s="675"/>
      <c r="AD827" s="675"/>
      <c r="AE827" s="675"/>
      <c r="AF827" s="675"/>
      <c r="AG827" s="675"/>
      <c r="AH827" s="675"/>
      <c r="AJ827" s="675"/>
      <c r="AK827" s="658"/>
    </row>
    <row r="828" spans="1:37" ht="15" customHeight="1">
      <c r="A828" s="5"/>
      <c r="B828" s="313"/>
      <c r="C828" s="835"/>
      <c r="D828" s="441" t="s">
        <v>697</v>
      </c>
      <c r="E828" s="131"/>
      <c r="F828" s="75"/>
      <c r="G828" s="111"/>
      <c r="H828" s="78"/>
      <c r="I828" s="79"/>
      <c r="J828" s="52"/>
      <c r="K828" s="156"/>
      <c r="L828" s="383"/>
      <c r="M828" s="542"/>
      <c r="N828" s="701">
        <f t="shared" si="25"/>
        <v>0</v>
      </c>
      <c r="O828" s="675"/>
      <c r="P828" s="675"/>
      <c r="Q828" s="675"/>
      <c r="R828" s="675"/>
      <c r="S828" s="675"/>
      <c r="T828" s="675"/>
      <c r="U828" s="675"/>
      <c r="V828" s="675"/>
      <c r="W828" s="675"/>
      <c r="X828" s="675"/>
      <c r="Y828" s="675"/>
      <c r="Z828" s="675"/>
      <c r="AA828" s="675"/>
      <c r="AB828" s="675"/>
      <c r="AC828" s="675"/>
      <c r="AD828" s="675"/>
      <c r="AE828" s="675"/>
      <c r="AF828" s="675"/>
      <c r="AG828" s="675"/>
      <c r="AH828" s="675"/>
      <c r="AJ828" s="675"/>
      <c r="AK828" s="658"/>
    </row>
    <row r="829" spans="1:37" ht="15" customHeight="1">
      <c r="A829" s="5"/>
      <c r="B829" s="313"/>
      <c r="C829" s="835"/>
      <c r="D829" s="441" t="s">
        <v>674</v>
      </c>
      <c r="E829" s="131"/>
      <c r="F829" s="75"/>
      <c r="G829" s="111"/>
      <c r="H829" s="78"/>
      <c r="I829" s="79"/>
      <c r="J829" s="52"/>
      <c r="K829" s="156"/>
      <c r="L829" s="383"/>
      <c r="M829" s="542"/>
      <c r="N829" s="701">
        <f t="shared" si="25"/>
        <v>0</v>
      </c>
      <c r="O829" s="675"/>
      <c r="P829" s="675"/>
      <c r="Q829" s="675"/>
      <c r="R829" s="675"/>
      <c r="S829" s="675"/>
      <c r="T829" s="675"/>
      <c r="U829" s="675"/>
      <c r="V829" s="675"/>
      <c r="W829" s="675"/>
      <c r="X829" s="675"/>
      <c r="Y829" s="675"/>
      <c r="Z829" s="675"/>
      <c r="AA829" s="675"/>
      <c r="AB829" s="675"/>
      <c r="AC829" s="675"/>
      <c r="AD829" s="675"/>
      <c r="AE829" s="675"/>
      <c r="AF829" s="675"/>
      <c r="AG829" s="675"/>
      <c r="AH829" s="675"/>
      <c r="AJ829" s="675"/>
      <c r="AK829" s="658"/>
    </row>
    <row r="830" spans="1:37" ht="15" customHeight="1">
      <c r="A830" s="5"/>
      <c r="B830" s="313"/>
      <c r="C830" s="835"/>
      <c r="D830" s="441" t="s">
        <v>698</v>
      </c>
      <c r="E830" s="131"/>
      <c r="F830" s="75"/>
      <c r="G830" s="111"/>
      <c r="H830" s="78"/>
      <c r="I830" s="79"/>
      <c r="J830" s="52"/>
      <c r="K830" s="156"/>
      <c r="L830" s="383"/>
      <c r="M830" s="542"/>
      <c r="N830" s="701">
        <f t="shared" si="25"/>
        <v>0</v>
      </c>
      <c r="O830" s="675"/>
      <c r="P830" s="675"/>
      <c r="Q830" s="675"/>
      <c r="R830" s="675"/>
      <c r="S830" s="675"/>
      <c r="T830" s="675"/>
      <c r="U830" s="675"/>
      <c r="V830" s="675"/>
      <c r="W830" s="675"/>
      <c r="X830" s="675"/>
      <c r="Y830" s="675"/>
      <c r="Z830" s="675"/>
      <c r="AA830" s="675"/>
      <c r="AB830" s="675"/>
      <c r="AC830" s="675"/>
      <c r="AD830" s="675"/>
      <c r="AE830" s="675"/>
      <c r="AF830" s="675"/>
      <c r="AG830" s="675"/>
      <c r="AH830" s="675"/>
      <c r="AJ830" s="675"/>
      <c r="AK830" s="658"/>
    </row>
    <row r="831" spans="1:37" ht="15" customHeight="1">
      <c r="A831" s="5"/>
      <c r="B831" s="313"/>
      <c r="C831" s="835"/>
      <c r="D831" s="441" t="s">
        <v>699</v>
      </c>
      <c r="E831" s="131"/>
      <c r="F831" s="75"/>
      <c r="G831" s="111"/>
      <c r="H831" s="78"/>
      <c r="I831" s="79"/>
      <c r="J831" s="52"/>
      <c r="K831" s="156"/>
      <c r="L831" s="383"/>
      <c r="M831" s="542"/>
      <c r="N831" s="701">
        <f t="shared" si="25"/>
        <v>0</v>
      </c>
      <c r="O831" s="675"/>
      <c r="P831" s="675"/>
      <c r="Q831" s="675"/>
      <c r="R831" s="675"/>
      <c r="S831" s="675"/>
      <c r="T831" s="675"/>
      <c r="U831" s="675"/>
      <c r="V831" s="675"/>
      <c r="W831" s="675"/>
      <c r="X831" s="675"/>
      <c r="Y831" s="675"/>
      <c r="Z831" s="675"/>
      <c r="AA831" s="675"/>
      <c r="AB831" s="675"/>
      <c r="AC831" s="675"/>
      <c r="AD831" s="675"/>
      <c r="AE831" s="675"/>
      <c r="AF831" s="675"/>
      <c r="AG831" s="675"/>
      <c r="AH831" s="675"/>
      <c r="AJ831" s="675"/>
      <c r="AK831" s="658"/>
    </row>
    <row r="832" spans="1:37" ht="15" customHeight="1">
      <c r="A832" s="5"/>
      <c r="B832" s="313"/>
      <c r="C832" s="835"/>
      <c r="D832" s="441" t="s">
        <v>700</v>
      </c>
      <c r="E832" s="131"/>
      <c r="F832" s="75"/>
      <c r="G832" s="111"/>
      <c r="H832" s="78"/>
      <c r="I832" s="79"/>
      <c r="J832" s="52"/>
      <c r="K832" s="156"/>
      <c r="L832" s="383"/>
      <c r="M832" s="542"/>
      <c r="N832" s="701">
        <f t="shared" si="25"/>
        <v>0</v>
      </c>
      <c r="O832" s="675"/>
      <c r="P832" s="675"/>
      <c r="Q832" s="675"/>
      <c r="R832" s="675"/>
      <c r="S832" s="675"/>
      <c r="T832" s="675"/>
      <c r="U832" s="675"/>
      <c r="V832" s="675"/>
      <c r="W832" s="675"/>
      <c r="X832" s="675"/>
      <c r="Y832" s="675"/>
      <c r="Z832" s="675"/>
      <c r="AA832" s="675"/>
      <c r="AB832" s="675"/>
      <c r="AC832" s="675"/>
      <c r="AD832" s="675"/>
      <c r="AE832" s="675"/>
      <c r="AF832" s="675"/>
      <c r="AG832" s="675"/>
      <c r="AH832" s="675"/>
      <c r="AJ832" s="675"/>
      <c r="AK832" s="658"/>
    </row>
    <row r="833" spans="1:37" ht="15" customHeight="1">
      <c r="A833" s="5"/>
      <c r="B833" s="313"/>
      <c r="C833" s="835"/>
      <c r="D833" s="441" t="s">
        <v>675</v>
      </c>
      <c r="E833" s="131"/>
      <c r="F833" s="75"/>
      <c r="G833" s="111"/>
      <c r="H833" s="78"/>
      <c r="I833" s="79"/>
      <c r="J833" s="52"/>
      <c r="K833" s="156"/>
      <c r="L833" s="383"/>
      <c r="M833" s="542"/>
      <c r="N833" s="701">
        <f t="shared" si="25"/>
        <v>0</v>
      </c>
      <c r="O833" s="675"/>
      <c r="P833" s="675"/>
      <c r="Q833" s="675"/>
      <c r="R833" s="675"/>
      <c r="S833" s="675"/>
      <c r="T833" s="675"/>
      <c r="U833" s="675"/>
      <c r="V833" s="675"/>
      <c r="W833" s="675"/>
      <c r="X833" s="675"/>
      <c r="Y833" s="675"/>
      <c r="Z833" s="675"/>
      <c r="AA833" s="675"/>
      <c r="AB833" s="675"/>
      <c r="AC833" s="675"/>
      <c r="AD833" s="675"/>
      <c r="AE833" s="675"/>
      <c r="AF833" s="675"/>
      <c r="AG833" s="675"/>
      <c r="AH833" s="675"/>
      <c r="AJ833" s="675"/>
      <c r="AK833" s="658"/>
    </row>
    <row r="834" spans="1:37" ht="15" customHeight="1">
      <c r="A834" s="5"/>
      <c r="B834" s="313"/>
      <c r="C834" s="835"/>
      <c r="D834" s="441" t="s">
        <v>701</v>
      </c>
      <c r="E834" s="131"/>
      <c r="F834" s="75"/>
      <c r="G834" s="111"/>
      <c r="H834" s="78"/>
      <c r="I834" s="79"/>
      <c r="J834" s="52"/>
      <c r="K834" s="156"/>
      <c r="L834" s="383"/>
      <c r="M834" s="542"/>
      <c r="N834" s="701">
        <f t="shared" si="25"/>
        <v>0</v>
      </c>
      <c r="O834" s="675"/>
      <c r="P834" s="675"/>
      <c r="Q834" s="675"/>
      <c r="R834" s="675"/>
      <c r="S834" s="675"/>
      <c r="T834" s="675"/>
      <c r="U834" s="675"/>
      <c r="V834" s="675"/>
      <c r="W834" s="675"/>
      <c r="X834" s="675"/>
      <c r="Y834" s="675"/>
      <c r="Z834" s="675"/>
      <c r="AA834" s="675"/>
      <c r="AB834" s="675"/>
      <c r="AC834" s="675"/>
      <c r="AD834" s="675"/>
      <c r="AE834" s="675"/>
      <c r="AF834" s="675"/>
      <c r="AG834" s="675"/>
      <c r="AH834" s="675"/>
      <c r="AJ834" s="675"/>
      <c r="AK834" s="658"/>
    </row>
    <row r="835" spans="1:37" ht="15" customHeight="1">
      <c r="A835" s="5"/>
      <c r="B835" s="313"/>
      <c r="C835" s="835"/>
      <c r="D835" s="441" t="s">
        <v>676</v>
      </c>
      <c r="E835" s="131"/>
      <c r="F835" s="75"/>
      <c r="G835" s="111"/>
      <c r="H835" s="78"/>
      <c r="I835" s="79"/>
      <c r="J835" s="52"/>
      <c r="K835" s="156"/>
      <c r="L835" s="383"/>
      <c r="M835" s="542"/>
      <c r="N835" s="701">
        <f t="shared" si="25"/>
        <v>0</v>
      </c>
      <c r="O835" s="675"/>
      <c r="P835" s="675"/>
      <c r="Q835" s="675"/>
      <c r="R835" s="675"/>
      <c r="S835" s="675"/>
      <c r="T835" s="675"/>
      <c r="U835" s="675"/>
      <c r="V835" s="675"/>
      <c r="W835" s="675"/>
      <c r="X835" s="675"/>
      <c r="Y835" s="675"/>
      <c r="Z835" s="675"/>
      <c r="AA835" s="675"/>
      <c r="AB835" s="675"/>
      <c r="AC835" s="675"/>
      <c r="AD835" s="675"/>
      <c r="AE835" s="675"/>
      <c r="AF835" s="675"/>
      <c r="AG835" s="675"/>
      <c r="AH835" s="675"/>
      <c r="AJ835" s="675"/>
      <c r="AK835" s="658"/>
    </row>
    <row r="836" spans="1:37" ht="15" customHeight="1">
      <c r="A836" s="5"/>
      <c r="B836" s="313"/>
      <c r="C836" s="835"/>
      <c r="D836" s="441" t="s">
        <v>702</v>
      </c>
      <c r="E836" s="131"/>
      <c r="F836" s="75"/>
      <c r="G836" s="111"/>
      <c r="H836" s="78"/>
      <c r="I836" s="79"/>
      <c r="J836" s="52"/>
      <c r="K836" s="156"/>
      <c r="L836" s="383"/>
      <c r="M836" s="542"/>
      <c r="N836" s="701">
        <f t="shared" si="25"/>
        <v>0</v>
      </c>
      <c r="O836" s="675"/>
      <c r="P836" s="675"/>
      <c r="Q836" s="675"/>
      <c r="R836" s="675"/>
      <c r="S836" s="675"/>
      <c r="T836" s="675"/>
      <c r="U836" s="675"/>
      <c r="V836" s="675"/>
      <c r="W836" s="675"/>
      <c r="X836" s="675"/>
      <c r="Y836" s="675"/>
      <c r="Z836" s="675"/>
      <c r="AA836" s="675"/>
      <c r="AB836" s="675"/>
      <c r="AC836" s="675"/>
      <c r="AD836" s="675"/>
      <c r="AE836" s="675"/>
      <c r="AF836" s="675"/>
      <c r="AG836" s="675"/>
      <c r="AH836" s="675"/>
      <c r="AJ836" s="675"/>
      <c r="AK836" s="658"/>
    </row>
    <row r="837" spans="1:37" ht="15" customHeight="1">
      <c r="A837" s="5"/>
      <c r="B837" s="313"/>
      <c r="C837" s="835"/>
      <c r="D837" s="441" t="s">
        <v>677</v>
      </c>
      <c r="E837" s="131"/>
      <c r="F837" s="75"/>
      <c r="G837" s="111"/>
      <c r="H837" s="78"/>
      <c r="I837" s="79"/>
      <c r="J837" s="52"/>
      <c r="K837" s="156"/>
      <c r="L837" s="383"/>
      <c r="M837" s="542"/>
      <c r="N837" s="701">
        <f t="shared" si="25"/>
        <v>0</v>
      </c>
      <c r="O837" s="675"/>
      <c r="P837" s="675"/>
      <c r="Q837" s="675"/>
      <c r="R837" s="675"/>
      <c r="S837" s="675"/>
      <c r="T837" s="675"/>
      <c r="U837" s="675"/>
      <c r="V837" s="675"/>
      <c r="W837" s="675"/>
      <c r="X837" s="675"/>
      <c r="Y837" s="675"/>
      <c r="Z837" s="675"/>
      <c r="AA837" s="675"/>
      <c r="AB837" s="675"/>
      <c r="AC837" s="675"/>
      <c r="AD837" s="675"/>
      <c r="AE837" s="675"/>
      <c r="AF837" s="675"/>
      <c r="AG837" s="675"/>
      <c r="AH837" s="675"/>
      <c r="AJ837" s="675"/>
      <c r="AK837" s="658"/>
    </row>
    <row r="838" spans="1:37" ht="15" customHeight="1">
      <c r="A838" s="5"/>
      <c r="B838" s="313"/>
      <c r="C838" s="835"/>
      <c r="D838" s="441" t="s">
        <v>703</v>
      </c>
      <c r="E838" s="131"/>
      <c r="F838" s="75"/>
      <c r="G838" s="111"/>
      <c r="H838" s="78"/>
      <c r="I838" s="79"/>
      <c r="J838" s="52"/>
      <c r="K838" s="156"/>
      <c r="L838" s="383"/>
      <c r="M838" s="542"/>
      <c r="N838" s="701">
        <f t="shared" si="25"/>
        <v>0</v>
      </c>
      <c r="O838" s="675"/>
      <c r="P838" s="675"/>
      <c r="Q838" s="675"/>
      <c r="R838" s="675"/>
      <c r="S838" s="675"/>
      <c r="T838" s="675"/>
      <c r="U838" s="675"/>
      <c r="V838" s="675"/>
      <c r="W838" s="675"/>
      <c r="X838" s="675"/>
      <c r="Y838" s="675"/>
      <c r="Z838" s="675"/>
      <c r="AA838" s="675"/>
      <c r="AB838" s="675"/>
      <c r="AC838" s="675"/>
      <c r="AD838" s="675"/>
      <c r="AE838" s="675"/>
      <c r="AF838" s="675"/>
      <c r="AG838" s="675"/>
      <c r="AH838" s="675"/>
      <c r="AJ838" s="675"/>
      <c r="AK838" s="658"/>
    </row>
    <row r="839" spans="1:37" ht="15" customHeight="1">
      <c r="A839" s="5"/>
      <c r="B839" s="313"/>
      <c r="C839" s="835"/>
      <c r="D839" s="441" t="s">
        <v>678</v>
      </c>
      <c r="E839" s="131"/>
      <c r="F839" s="75"/>
      <c r="G839" s="111"/>
      <c r="H839" s="78"/>
      <c r="I839" s="79"/>
      <c r="J839" s="52"/>
      <c r="K839" s="156"/>
      <c r="L839" s="383"/>
      <c r="M839" s="542"/>
      <c r="N839" s="701">
        <f t="shared" si="25"/>
        <v>0</v>
      </c>
      <c r="O839" s="675"/>
      <c r="P839" s="675"/>
      <c r="Q839" s="675"/>
      <c r="R839" s="675"/>
      <c r="S839" s="675"/>
      <c r="T839" s="675"/>
      <c r="U839" s="675"/>
      <c r="V839" s="675"/>
      <c r="W839" s="675"/>
      <c r="X839" s="675"/>
      <c r="Y839" s="675"/>
      <c r="Z839" s="675"/>
      <c r="AA839" s="675"/>
      <c r="AB839" s="675"/>
      <c r="AC839" s="675"/>
      <c r="AD839" s="675"/>
      <c r="AE839" s="675"/>
      <c r="AF839" s="675"/>
      <c r="AG839" s="675"/>
      <c r="AH839" s="675"/>
      <c r="AJ839" s="675"/>
      <c r="AK839" s="658"/>
    </row>
    <row r="840" spans="1:37" ht="15" customHeight="1">
      <c r="A840" s="5"/>
      <c r="B840" s="313"/>
      <c r="C840" s="835"/>
      <c r="D840" s="441" t="s">
        <v>679</v>
      </c>
      <c r="E840" s="131"/>
      <c r="F840" s="75"/>
      <c r="G840" s="111"/>
      <c r="H840" s="78"/>
      <c r="I840" s="79"/>
      <c r="J840" s="52"/>
      <c r="K840" s="156"/>
      <c r="L840" s="383"/>
      <c r="M840" s="542"/>
      <c r="N840" s="701">
        <f t="shared" si="25"/>
        <v>0</v>
      </c>
      <c r="O840" s="675"/>
      <c r="P840" s="675"/>
      <c r="Q840" s="675"/>
      <c r="R840" s="675"/>
      <c r="S840" s="675"/>
      <c r="T840" s="675"/>
      <c r="U840" s="675"/>
      <c r="V840" s="675"/>
      <c r="W840" s="675"/>
      <c r="X840" s="675"/>
      <c r="Y840" s="675"/>
      <c r="Z840" s="675"/>
      <c r="AA840" s="675"/>
      <c r="AB840" s="675"/>
      <c r="AC840" s="675"/>
      <c r="AD840" s="675"/>
      <c r="AE840" s="675"/>
      <c r="AF840" s="675"/>
      <c r="AG840" s="675"/>
      <c r="AH840" s="675"/>
      <c r="AJ840" s="675"/>
      <c r="AK840" s="658"/>
    </row>
    <row r="841" spans="1:37" ht="15" customHeight="1">
      <c r="A841" s="5"/>
      <c r="B841" s="313"/>
      <c r="C841" s="835"/>
      <c r="D841" s="441" t="s">
        <v>680</v>
      </c>
      <c r="E841" s="131"/>
      <c r="F841" s="75"/>
      <c r="G841" s="111"/>
      <c r="H841" s="78"/>
      <c r="I841" s="79"/>
      <c r="J841" s="52"/>
      <c r="K841" s="156"/>
      <c r="L841" s="383"/>
      <c r="M841" s="542"/>
      <c r="N841" s="701">
        <f t="shared" si="25"/>
        <v>0</v>
      </c>
      <c r="O841" s="675"/>
      <c r="P841" s="675"/>
      <c r="Q841" s="675"/>
      <c r="R841" s="675"/>
      <c r="S841" s="675"/>
      <c r="T841" s="675"/>
      <c r="U841" s="675"/>
      <c r="V841" s="675"/>
      <c r="W841" s="675"/>
      <c r="X841" s="675"/>
      <c r="Y841" s="675"/>
      <c r="Z841" s="675"/>
      <c r="AA841" s="675"/>
      <c r="AB841" s="675"/>
      <c r="AC841" s="675"/>
      <c r="AD841" s="675"/>
      <c r="AE841" s="675"/>
      <c r="AF841" s="675"/>
      <c r="AG841" s="675"/>
      <c r="AH841" s="675"/>
      <c r="AJ841" s="675"/>
      <c r="AK841" s="658"/>
    </row>
    <row r="842" spans="1:37" ht="15" customHeight="1">
      <c r="A842" s="5"/>
      <c r="B842" s="313"/>
      <c r="C842" s="835"/>
      <c r="D842" s="441" t="s">
        <v>681</v>
      </c>
      <c r="E842" s="131"/>
      <c r="F842" s="75"/>
      <c r="G842" s="111"/>
      <c r="H842" s="78"/>
      <c r="I842" s="79"/>
      <c r="J842" s="52"/>
      <c r="K842" s="156"/>
      <c r="L842" s="383"/>
      <c r="M842" s="542"/>
      <c r="N842" s="701">
        <f t="shared" si="25"/>
        <v>0</v>
      </c>
      <c r="O842" s="675"/>
      <c r="P842" s="675"/>
      <c r="Q842" s="675"/>
      <c r="R842" s="675"/>
      <c r="S842" s="675"/>
      <c r="T842" s="675"/>
      <c r="U842" s="675"/>
      <c r="V842" s="675"/>
      <c r="W842" s="675"/>
      <c r="X842" s="675"/>
      <c r="Y842" s="675"/>
      <c r="Z842" s="675"/>
      <c r="AA842" s="675"/>
      <c r="AB842" s="675"/>
      <c r="AC842" s="675"/>
      <c r="AD842" s="675"/>
      <c r="AE842" s="675"/>
      <c r="AF842" s="675"/>
      <c r="AG842" s="675"/>
      <c r="AH842" s="675"/>
      <c r="AJ842" s="675"/>
      <c r="AK842" s="658"/>
    </row>
    <row r="843" spans="1:37" ht="15" customHeight="1">
      <c r="A843" s="5"/>
      <c r="B843" s="313"/>
      <c r="C843" s="835"/>
      <c r="D843" s="441" t="s">
        <v>682</v>
      </c>
      <c r="E843" s="131"/>
      <c r="F843" s="75"/>
      <c r="G843" s="111"/>
      <c r="H843" s="78"/>
      <c r="I843" s="79"/>
      <c r="J843" s="52"/>
      <c r="K843" s="156"/>
      <c r="L843" s="383"/>
      <c r="M843" s="542"/>
      <c r="N843" s="701">
        <f t="shared" si="25"/>
        <v>0</v>
      </c>
      <c r="O843" s="675"/>
      <c r="P843" s="675"/>
      <c r="Q843" s="675"/>
      <c r="R843" s="675"/>
      <c r="S843" s="675"/>
      <c r="T843" s="675"/>
      <c r="U843" s="675"/>
      <c r="V843" s="675"/>
      <c r="W843" s="675"/>
      <c r="X843" s="675"/>
      <c r="Y843" s="675"/>
      <c r="Z843" s="675"/>
      <c r="AA843" s="675"/>
      <c r="AB843" s="675"/>
      <c r="AC843" s="675"/>
      <c r="AD843" s="675"/>
      <c r="AE843" s="675"/>
      <c r="AF843" s="675"/>
      <c r="AG843" s="675"/>
      <c r="AH843" s="675"/>
      <c r="AJ843" s="675"/>
      <c r="AK843" s="658"/>
    </row>
    <row r="844" spans="1:37" ht="15" customHeight="1">
      <c r="A844" s="5"/>
      <c r="B844" s="313"/>
      <c r="C844" s="835"/>
      <c r="D844" s="441" t="s">
        <v>683</v>
      </c>
      <c r="E844" s="131"/>
      <c r="F844" s="75"/>
      <c r="G844" s="111"/>
      <c r="H844" s="78"/>
      <c r="I844" s="79"/>
      <c r="J844" s="52"/>
      <c r="K844" s="156"/>
      <c r="L844" s="383"/>
      <c r="M844" s="542"/>
      <c r="N844" s="701">
        <f t="shared" si="25"/>
        <v>0</v>
      </c>
      <c r="O844" s="675"/>
      <c r="P844" s="675"/>
      <c r="Q844" s="675"/>
      <c r="R844" s="675"/>
      <c r="S844" s="675"/>
      <c r="T844" s="675"/>
      <c r="U844" s="675"/>
      <c r="V844" s="675"/>
      <c r="W844" s="675"/>
      <c r="X844" s="675"/>
      <c r="Y844" s="675"/>
      <c r="Z844" s="675"/>
      <c r="AA844" s="675"/>
      <c r="AB844" s="675"/>
      <c r="AC844" s="675"/>
      <c r="AD844" s="675"/>
      <c r="AE844" s="675"/>
      <c r="AF844" s="675"/>
      <c r="AG844" s="675"/>
      <c r="AH844" s="675"/>
      <c r="AJ844" s="675"/>
      <c r="AK844" s="658"/>
    </row>
    <row r="845" spans="1:37" ht="15" customHeight="1">
      <c r="A845" s="5"/>
      <c r="B845" s="313"/>
      <c r="C845" s="835"/>
      <c r="D845" s="441" t="s">
        <v>684</v>
      </c>
      <c r="E845" s="131"/>
      <c r="F845" s="75"/>
      <c r="G845" s="111"/>
      <c r="H845" s="78"/>
      <c r="I845" s="79"/>
      <c r="J845" s="52"/>
      <c r="K845" s="156"/>
      <c r="L845" s="383"/>
      <c r="M845" s="542"/>
      <c r="N845" s="701">
        <f t="shared" si="25"/>
        <v>0</v>
      </c>
      <c r="O845" s="675"/>
      <c r="P845" s="675"/>
      <c r="Q845" s="675"/>
      <c r="R845" s="675"/>
      <c r="S845" s="675"/>
      <c r="T845" s="675"/>
      <c r="U845" s="675"/>
      <c r="V845" s="675"/>
      <c r="W845" s="675"/>
      <c r="X845" s="675"/>
      <c r="Y845" s="675"/>
      <c r="Z845" s="675"/>
      <c r="AA845" s="675"/>
      <c r="AB845" s="675"/>
      <c r="AC845" s="675"/>
      <c r="AD845" s="675"/>
      <c r="AE845" s="675"/>
      <c r="AF845" s="675"/>
      <c r="AG845" s="675"/>
      <c r="AH845" s="675"/>
      <c r="AJ845" s="675"/>
      <c r="AK845" s="658"/>
    </row>
    <row r="846" spans="1:37" ht="15" customHeight="1">
      <c r="A846" s="5"/>
      <c r="B846" s="313"/>
      <c r="C846" s="835"/>
      <c r="D846" s="441" t="s">
        <v>685</v>
      </c>
      <c r="E846" s="131"/>
      <c r="F846" s="75"/>
      <c r="G846" s="111"/>
      <c r="H846" s="78"/>
      <c r="I846" s="79"/>
      <c r="J846" s="52"/>
      <c r="K846" s="156"/>
      <c r="L846" s="383"/>
      <c r="M846" s="542"/>
      <c r="N846" s="701">
        <f t="shared" si="25"/>
        <v>0</v>
      </c>
      <c r="O846" s="675"/>
      <c r="P846" s="675"/>
      <c r="Q846" s="675"/>
      <c r="R846" s="675"/>
      <c r="S846" s="675"/>
      <c r="T846" s="675"/>
      <c r="U846" s="675"/>
      <c r="V846" s="675"/>
      <c r="W846" s="675"/>
      <c r="X846" s="675"/>
      <c r="Y846" s="675"/>
      <c r="Z846" s="675"/>
      <c r="AA846" s="675"/>
      <c r="AB846" s="675"/>
      <c r="AC846" s="675"/>
      <c r="AD846" s="675"/>
      <c r="AE846" s="675"/>
      <c r="AF846" s="675"/>
      <c r="AG846" s="675"/>
      <c r="AH846" s="675"/>
      <c r="AJ846" s="675"/>
      <c r="AK846" s="658"/>
    </row>
    <row r="847" spans="1:37" ht="15" customHeight="1">
      <c r="A847" s="5"/>
      <c r="B847" s="313"/>
      <c r="C847" s="835"/>
      <c r="D847" s="441" t="s">
        <v>686</v>
      </c>
      <c r="E847" s="131"/>
      <c r="F847" s="75"/>
      <c r="G847" s="111"/>
      <c r="H847" s="78"/>
      <c r="I847" s="79"/>
      <c r="J847" s="52"/>
      <c r="K847" s="156"/>
      <c r="L847" s="383"/>
      <c r="M847" s="542"/>
      <c r="N847" s="701">
        <f t="shared" si="25"/>
        <v>0</v>
      </c>
      <c r="O847" s="675"/>
      <c r="P847" s="675"/>
      <c r="Q847" s="675"/>
      <c r="R847" s="675"/>
      <c r="S847" s="675"/>
      <c r="T847" s="675"/>
      <c r="U847" s="675"/>
      <c r="V847" s="675"/>
      <c r="W847" s="675"/>
      <c r="X847" s="675"/>
      <c r="Y847" s="675"/>
      <c r="Z847" s="675"/>
      <c r="AA847" s="675"/>
      <c r="AB847" s="675"/>
      <c r="AC847" s="675"/>
      <c r="AD847" s="675"/>
      <c r="AE847" s="675"/>
      <c r="AF847" s="675"/>
      <c r="AG847" s="675"/>
      <c r="AH847" s="675"/>
      <c r="AJ847" s="675"/>
      <c r="AK847" s="658"/>
    </row>
    <row r="848" spans="1:37" ht="15" customHeight="1">
      <c r="A848" s="5"/>
      <c r="B848" s="313"/>
      <c r="C848" s="835"/>
      <c r="D848" s="441" t="s">
        <v>687</v>
      </c>
      <c r="E848" s="131"/>
      <c r="F848" s="75"/>
      <c r="G848" s="111"/>
      <c r="H848" s="78"/>
      <c r="I848" s="79"/>
      <c r="J848" s="52"/>
      <c r="K848" s="156"/>
      <c r="L848" s="383"/>
      <c r="M848" s="542"/>
      <c r="N848" s="701">
        <f t="shared" si="25"/>
        <v>0</v>
      </c>
      <c r="O848" s="675"/>
      <c r="P848" s="675"/>
      <c r="Q848" s="675"/>
      <c r="R848" s="675"/>
      <c r="S848" s="675"/>
      <c r="T848" s="675"/>
      <c r="U848" s="675"/>
      <c r="V848" s="675"/>
      <c r="W848" s="675"/>
      <c r="X848" s="675"/>
      <c r="Y848" s="675"/>
      <c r="Z848" s="675"/>
      <c r="AA848" s="675"/>
      <c r="AB848" s="675"/>
      <c r="AC848" s="675"/>
      <c r="AD848" s="675"/>
      <c r="AE848" s="675"/>
      <c r="AF848" s="675"/>
      <c r="AG848" s="675"/>
      <c r="AH848" s="675"/>
      <c r="AJ848" s="675"/>
      <c r="AK848" s="658"/>
    </row>
    <row r="849" spans="1:37" ht="15" customHeight="1">
      <c r="A849" s="5"/>
      <c r="B849" s="313"/>
      <c r="C849" s="835"/>
      <c r="D849" s="441" t="s">
        <v>688</v>
      </c>
      <c r="E849" s="131"/>
      <c r="F849" s="75"/>
      <c r="G849" s="111"/>
      <c r="H849" s="78"/>
      <c r="I849" s="79"/>
      <c r="J849" s="52"/>
      <c r="K849" s="156"/>
      <c r="L849" s="383"/>
      <c r="M849" s="542"/>
      <c r="N849" s="701">
        <f t="shared" si="25"/>
        <v>0</v>
      </c>
      <c r="O849" s="675"/>
      <c r="P849" s="675"/>
      <c r="Q849" s="675"/>
      <c r="R849" s="675"/>
      <c r="S849" s="675"/>
      <c r="T849" s="675"/>
      <c r="U849" s="675"/>
      <c r="V849" s="675"/>
      <c r="W849" s="675"/>
      <c r="X849" s="675"/>
      <c r="Y849" s="675"/>
      <c r="Z849" s="675"/>
      <c r="AA849" s="675"/>
      <c r="AB849" s="675"/>
      <c r="AC849" s="675"/>
      <c r="AD849" s="675"/>
      <c r="AE849" s="675"/>
      <c r="AF849" s="675"/>
      <c r="AG849" s="675"/>
      <c r="AH849" s="675"/>
      <c r="AJ849" s="675"/>
      <c r="AK849" s="658"/>
    </row>
    <row r="850" spans="1:37" ht="15" customHeight="1">
      <c r="A850" s="5"/>
      <c r="B850" s="313"/>
      <c r="C850" s="835"/>
      <c r="D850" s="441"/>
      <c r="E850" s="739" t="s">
        <v>16</v>
      </c>
      <c r="F850" s="740">
        <f>26100*'TOP SHEET'!L6</f>
        <v>3543075</v>
      </c>
      <c r="G850" s="741">
        <v>1</v>
      </c>
      <c r="H850" s="742">
        <f>+G850*F850</f>
        <v>3543075</v>
      </c>
      <c r="I850" s="743"/>
      <c r="J850" s="52"/>
      <c r="K850" s="156"/>
      <c r="L850" s="383"/>
      <c r="M850" s="542"/>
      <c r="N850" s="701">
        <f>SUM(O850:AJ850)-H850</f>
        <v>-3543075</v>
      </c>
      <c r="O850" s="675"/>
      <c r="P850" s="675"/>
      <c r="Q850" s="675"/>
      <c r="R850" s="675"/>
      <c r="S850" s="675"/>
      <c r="T850" s="675"/>
      <c r="U850" s="675"/>
      <c r="V850" s="675"/>
      <c r="W850" s="675"/>
      <c r="X850" s="675"/>
      <c r="Y850" s="675"/>
      <c r="Z850" s="675"/>
      <c r="AA850" s="675"/>
      <c r="AB850" s="675"/>
      <c r="AC850" s="675"/>
      <c r="AD850" s="675"/>
      <c r="AE850" s="675"/>
      <c r="AF850" s="675"/>
      <c r="AG850" s="675"/>
      <c r="AH850" s="675"/>
      <c r="AJ850" s="675"/>
      <c r="AK850" s="658"/>
    </row>
    <row r="851" spans="1:37" ht="15" customHeight="1">
      <c r="A851" s="5"/>
      <c r="B851" s="313"/>
      <c r="D851" s="738" t="s">
        <v>834</v>
      </c>
      <c r="E851" s="131"/>
      <c r="F851" s="75"/>
      <c r="G851" s="111"/>
      <c r="H851" s="78"/>
      <c r="I851" s="79"/>
      <c r="J851" s="52"/>
      <c r="K851" s="156"/>
      <c r="L851" s="383"/>
      <c r="M851" s="542"/>
      <c r="N851" s="701">
        <f t="shared" ref="N851:N867" si="26">SUM(O851:AJ851)-I851</f>
        <v>0</v>
      </c>
      <c r="O851" s="675"/>
      <c r="P851" s="675"/>
      <c r="Q851" s="675"/>
      <c r="R851" s="675"/>
      <c r="S851" s="675"/>
      <c r="T851" s="675"/>
      <c r="U851" s="675"/>
      <c r="V851" s="675"/>
      <c r="W851" s="675"/>
      <c r="X851" s="675"/>
      <c r="Y851" s="675"/>
      <c r="Z851" s="675"/>
      <c r="AA851" s="675"/>
      <c r="AB851" s="675"/>
      <c r="AC851" s="675"/>
      <c r="AD851" s="675"/>
      <c r="AE851" s="675"/>
      <c r="AF851" s="675"/>
      <c r="AG851" s="675"/>
      <c r="AH851" s="675"/>
      <c r="AI851" s="675"/>
      <c r="AJ851" s="675"/>
      <c r="AK851" s="658"/>
    </row>
    <row r="852" spans="1:37" ht="15" customHeight="1">
      <c r="A852" s="5"/>
      <c r="B852" s="313"/>
      <c r="C852" s="835" t="s">
        <v>934</v>
      </c>
      <c r="D852" s="737" t="s">
        <v>555</v>
      </c>
      <c r="E852" s="131"/>
      <c r="F852" s="75"/>
      <c r="G852" s="111"/>
      <c r="H852" s="78"/>
      <c r="I852" s="79">
        <f>+DOBLAJES!F6</f>
        <v>1109500</v>
      </c>
      <c r="J852" s="52"/>
      <c r="K852" s="156"/>
      <c r="L852" s="383"/>
      <c r="M852" s="542"/>
      <c r="N852" s="701">
        <f t="shared" si="26"/>
        <v>-1109500</v>
      </c>
      <c r="O852" s="675"/>
      <c r="P852" s="675"/>
      <c r="Q852" s="675"/>
      <c r="R852" s="675"/>
      <c r="S852" s="675"/>
      <c r="T852" s="675"/>
      <c r="U852" s="675"/>
      <c r="V852" s="675"/>
      <c r="W852" s="675"/>
      <c r="X852" s="675"/>
      <c r="Y852" s="675"/>
      <c r="Z852" s="675"/>
      <c r="AA852" s="675"/>
      <c r="AB852" s="675"/>
      <c r="AC852" s="675"/>
      <c r="AD852" s="675"/>
      <c r="AE852" s="675"/>
      <c r="AF852" s="675"/>
      <c r="AG852" s="675"/>
      <c r="AH852" s="675"/>
      <c r="AI852" s="675"/>
      <c r="AJ852" s="675"/>
      <c r="AK852" s="658"/>
    </row>
    <row r="853" spans="1:37" ht="15" customHeight="1">
      <c r="A853" s="5"/>
      <c r="B853" s="313"/>
      <c r="C853" s="835" t="s">
        <v>935</v>
      </c>
      <c r="D853" s="737" t="s">
        <v>835</v>
      </c>
      <c r="E853" s="131"/>
      <c r="F853" s="75"/>
      <c r="G853" s="111"/>
      <c r="H853" s="78"/>
      <c r="I853" s="79">
        <f>+DOBLAJES!F5</f>
        <v>3804000</v>
      </c>
      <c r="J853" s="52"/>
      <c r="K853" s="156"/>
      <c r="L853" s="383"/>
      <c r="M853" s="542"/>
      <c r="N853" s="701">
        <f t="shared" si="26"/>
        <v>-3804000</v>
      </c>
      <c r="O853" s="675"/>
      <c r="P853" s="675"/>
      <c r="Q853" s="675"/>
      <c r="R853" s="675"/>
      <c r="S853" s="675"/>
      <c r="T853" s="675"/>
      <c r="U853" s="675"/>
      <c r="V853" s="675"/>
      <c r="W853" s="675"/>
      <c r="X853" s="675"/>
      <c r="Y853" s="675"/>
      <c r="Z853" s="675"/>
      <c r="AA853" s="675"/>
      <c r="AB853" s="675"/>
      <c r="AC853" s="675"/>
      <c r="AD853" s="675"/>
      <c r="AE853" s="675"/>
      <c r="AF853" s="675"/>
      <c r="AG853" s="675"/>
      <c r="AH853" s="675"/>
      <c r="AI853" s="675"/>
      <c r="AJ853" s="675"/>
      <c r="AK853" s="658"/>
    </row>
    <row r="854" spans="1:37" ht="15" customHeight="1">
      <c r="A854" s="5"/>
      <c r="B854" s="313"/>
      <c r="C854" s="835" t="s">
        <v>936</v>
      </c>
      <c r="D854" s="737" t="s">
        <v>553</v>
      </c>
      <c r="E854" s="131"/>
      <c r="F854" s="75"/>
      <c r="G854" s="111"/>
      <c r="H854" s="78"/>
      <c r="I854" s="79">
        <f>+DOBLAJES!F4</f>
        <v>1838600</v>
      </c>
      <c r="J854" s="52"/>
      <c r="K854" s="156"/>
      <c r="L854" s="383"/>
      <c r="M854" s="542"/>
      <c r="N854" s="701">
        <f t="shared" si="26"/>
        <v>-1838600</v>
      </c>
      <c r="O854" s="675"/>
      <c r="P854" s="675"/>
      <c r="Q854" s="675"/>
      <c r="R854" s="675"/>
      <c r="S854" s="675"/>
      <c r="T854" s="675"/>
      <c r="U854" s="675"/>
      <c r="V854" s="675"/>
      <c r="W854" s="675"/>
      <c r="X854" s="675"/>
      <c r="Y854" s="675"/>
      <c r="Z854" s="675"/>
      <c r="AA854" s="675"/>
      <c r="AB854" s="675"/>
      <c r="AC854" s="675"/>
      <c r="AD854" s="675"/>
      <c r="AE854" s="675"/>
      <c r="AF854" s="675"/>
      <c r="AG854" s="675"/>
      <c r="AH854" s="675"/>
      <c r="AI854" s="675"/>
      <c r="AJ854" s="675"/>
      <c r="AK854" s="658"/>
    </row>
    <row r="855" spans="1:37" ht="15" customHeight="1">
      <c r="A855" s="5"/>
      <c r="B855" s="313"/>
      <c r="C855" s="835"/>
      <c r="D855" s="738" t="s">
        <v>836</v>
      </c>
      <c r="E855" s="131"/>
      <c r="F855" s="75"/>
      <c r="G855" s="111"/>
      <c r="H855" s="78"/>
      <c r="I855" s="79"/>
      <c r="J855" s="52"/>
      <c r="K855" s="156"/>
      <c r="L855" s="383"/>
      <c r="M855" s="542"/>
      <c r="N855" s="701">
        <f t="shared" si="26"/>
        <v>0</v>
      </c>
      <c r="O855" s="675"/>
      <c r="P855" s="675"/>
      <c r="Q855" s="675"/>
      <c r="R855" s="675"/>
      <c r="S855" s="675"/>
      <c r="T855" s="675"/>
      <c r="U855" s="675"/>
      <c r="V855" s="675"/>
      <c r="W855" s="675"/>
      <c r="X855" s="675"/>
      <c r="Y855" s="675"/>
      <c r="Z855" s="675"/>
      <c r="AA855" s="675"/>
      <c r="AB855" s="675"/>
      <c r="AC855" s="675"/>
      <c r="AD855" s="675"/>
      <c r="AE855" s="675"/>
      <c r="AF855" s="675"/>
      <c r="AG855" s="675"/>
      <c r="AH855" s="675"/>
      <c r="AI855" s="675"/>
      <c r="AJ855" s="675"/>
      <c r="AK855" s="658"/>
    </row>
    <row r="856" spans="1:37" ht="15" customHeight="1">
      <c r="A856" s="5"/>
      <c r="B856" s="313"/>
      <c r="C856" s="835" t="s">
        <v>937</v>
      </c>
      <c r="D856" s="737" t="s">
        <v>555</v>
      </c>
      <c r="E856" s="131"/>
      <c r="F856" s="75"/>
      <c r="G856" s="111"/>
      <c r="H856" s="78"/>
      <c r="I856" s="79">
        <f>+DOBLAJES!F12</f>
        <v>221900</v>
      </c>
      <c r="J856" s="52"/>
      <c r="K856" s="156"/>
      <c r="L856" s="383"/>
      <c r="M856" s="542"/>
      <c r="N856" s="701">
        <f t="shared" si="26"/>
        <v>-221900</v>
      </c>
      <c r="O856" s="675"/>
      <c r="P856" s="675"/>
      <c r="Q856" s="675"/>
      <c r="R856" s="675"/>
      <c r="S856" s="675"/>
      <c r="T856" s="675"/>
      <c r="U856" s="675"/>
      <c r="V856" s="675"/>
      <c r="W856" s="675"/>
      <c r="X856" s="675"/>
      <c r="Y856" s="675"/>
      <c r="Z856" s="675"/>
      <c r="AA856" s="675"/>
      <c r="AB856" s="675"/>
      <c r="AC856" s="675"/>
      <c r="AD856" s="675"/>
      <c r="AE856" s="675"/>
      <c r="AF856" s="675"/>
      <c r="AG856" s="675"/>
      <c r="AH856" s="675"/>
      <c r="AI856" s="675"/>
      <c r="AJ856" s="675"/>
      <c r="AK856" s="658"/>
    </row>
    <row r="857" spans="1:37" ht="15" customHeight="1">
      <c r="A857" s="5"/>
      <c r="B857" s="313"/>
      <c r="C857" s="835" t="s">
        <v>938</v>
      </c>
      <c r="D857" s="737" t="s">
        <v>835</v>
      </c>
      <c r="E857" s="131"/>
      <c r="F857" s="75"/>
      <c r="G857" s="111"/>
      <c r="H857" s="78"/>
      <c r="I857" s="79">
        <f>+DOBLAJES!F11</f>
        <v>443800</v>
      </c>
      <c r="J857" s="52"/>
      <c r="K857" s="156"/>
      <c r="L857" s="383"/>
      <c r="M857" s="542"/>
      <c r="N857" s="701">
        <f t="shared" si="26"/>
        <v>-443800</v>
      </c>
      <c r="O857" s="675"/>
      <c r="P857" s="675"/>
      <c r="Q857" s="675"/>
      <c r="R857" s="675"/>
      <c r="S857" s="675"/>
      <c r="T857" s="675"/>
      <c r="U857" s="675"/>
      <c r="V857" s="675"/>
      <c r="W857" s="675"/>
      <c r="X857" s="675"/>
      <c r="Y857" s="675"/>
      <c r="Z857" s="675"/>
      <c r="AA857" s="675"/>
      <c r="AB857" s="675"/>
      <c r="AC857" s="675"/>
      <c r="AD857" s="675"/>
      <c r="AE857" s="675"/>
      <c r="AF857" s="675"/>
      <c r="AG857" s="675"/>
      <c r="AH857" s="675"/>
      <c r="AI857" s="675"/>
      <c r="AJ857" s="675"/>
      <c r="AK857" s="658"/>
    </row>
    <row r="858" spans="1:37" ht="15" customHeight="1">
      <c r="A858" s="5"/>
      <c r="B858" s="313"/>
      <c r="C858" s="835" t="s">
        <v>939</v>
      </c>
      <c r="D858" s="737" t="s">
        <v>553</v>
      </c>
      <c r="E858" s="131"/>
      <c r="F858" s="75"/>
      <c r="G858" s="111"/>
      <c r="H858" s="78"/>
      <c r="I858" s="79">
        <f>+DOBLAJES!F10</f>
        <v>380400</v>
      </c>
      <c r="J858" s="52"/>
      <c r="K858" s="156"/>
      <c r="L858" s="383"/>
      <c r="M858" s="542"/>
      <c r="N858" s="701">
        <f t="shared" si="26"/>
        <v>-380400</v>
      </c>
      <c r="O858" s="675"/>
      <c r="P858" s="675"/>
      <c r="Q858" s="675"/>
      <c r="R858" s="675"/>
      <c r="S858" s="675"/>
      <c r="T858" s="675"/>
      <c r="U858" s="675"/>
      <c r="V858" s="675"/>
      <c r="W858" s="675"/>
      <c r="X858" s="675"/>
      <c r="Y858" s="675"/>
      <c r="Z858" s="675"/>
      <c r="AA858" s="675"/>
      <c r="AB858" s="675"/>
      <c r="AC858" s="675"/>
      <c r="AD858" s="675"/>
      <c r="AE858" s="675"/>
      <c r="AF858" s="675"/>
      <c r="AG858" s="675"/>
      <c r="AH858" s="675"/>
      <c r="AI858" s="675"/>
      <c r="AJ858" s="675"/>
      <c r="AK858" s="658"/>
    </row>
    <row r="859" spans="1:37" ht="15" customHeight="1">
      <c r="A859" s="5"/>
      <c r="B859" s="313"/>
      <c r="C859" s="835"/>
      <c r="D859" s="441"/>
      <c r="E859" s="131"/>
      <c r="F859" s="75"/>
      <c r="G859" s="111"/>
      <c r="H859" s="78"/>
      <c r="I859" s="79"/>
      <c r="J859" s="52"/>
      <c r="K859" s="156"/>
      <c r="L859" s="383"/>
      <c r="M859" s="542"/>
      <c r="N859" s="701">
        <f t="shared" si="26"/>
        <v>0</v>
      </c>
      <c r="O859" s="675"/>
      <c r="P859" s="675"/>
      <c r="Q859" s="675"/>
      <c r="R859" s="675"/>
      <c r="S859" s="675"/>
      <c r="T859" s="675"/>
      <c r="U859" s="675"/>
      <c r="V859" s="675"/>
      <c r="W859" s="675"/>
      <c r="X859" s="675"/>
      <c r="Y859" s="675"/>
      <c r="Z859" s="675"/>
      <c r="AA859" s="675"/>
      <c r="AB859" s="675"/>
      <c r="AC859" s="675"/>
      <c r="AD859" s="675"/>
      <c r="AE859" s="675"/>
      <c r="AF859" s="675"/>
      <c r="AG859" s="675"/>
      <c r="AH859" s="675"/>
      <c r="AI859" s="675"/>
      <c r="AJ859" s="675"/>
      <c r="AK859" s="658"/>
    </row>
    <row r="860" spans="1:37" ht="15" customHeight="1">
      <c r="A860" s="5"/>
      <c r="B860" s="313"/>
      <c r="C860" s="835"/>
      <c r="D860" s="441"/>
      <c r="E860" s="131"/>
      <c r="F860" s="75"/>
      <c r="G860" s="111"/>
      <c r="H860" s="78"/>
      <c r="I860" s="79"/>
      <c r="J860" s="52"/>
      <c r="K860" s="156"/>
      <c r="L860" s="383"/>
      <c r="M860" s="542"/>
      <c r="N860" s="701">
        <f t="shared" si="26"/>
        <v>0</v>
      </c>
      <c r="O860" s="675"/>
      <c r="P860" s="675"/>
      <c r="Q860" s="675"/>
      <c r="R860" s="675"/>
      <c r="S860" s="675"/>
      <c r="T860" s="675"/>
      <c r="U860" s="675"/>
      <c r="V860" s="675"/>
      <c r="W860" s="675"/>
      <c r="X860" s="675"/>
      <c r="Y860" s="675"/>
      <c r="Z860" s="675"/>
      <c r="AA860" s="675"/>
      <c r="AB860" s="675"/>
      <c r="AC860" s="675"/>
      <c r="AD860" s="675"/>
      <c r="AE860" s="675"/>
      <c r="AF860" s="675"/>
      <c r="AG860" s="675"/>
      <c r="AH860" s="675"/>
      <c r="AI860" s="675"/>
      <c r="AJ860" s="675"/>
      <c r="AK860" s="658"/>
    </row>
    <row r="861" spans="1:37" ht="15" customHeight="1">
      <c r="A861" s="5"/>
      <c r="B861" s="313"/>
      <c r="C861" s="835"/>
      <c r="D861" s="441"/>
      <c r="E861" s="1"/>
      <c r="F861" s="1"/>
      <c r="G861" s="1"/>
      <c r="H861" s="1"/>
      <c r="I861" s="79"/>
      <c r="J861" s="52"/>
      <c r="K861" s="156"/>
      <c r="L861" s="383"/>
      <c r="M861" s="542"/>
      <c r="N861" s="701">
        <f t="shared" si="26"/>
        <v>0</v>
      </c>
      <c r="O861" s="675"/>
      <c r="P861" s="675"/>
      <c r="Q861" s="675"/>
      <c r="R861" s="675"/>
      <c r="S861" s="675"/>
      <c r="T861" s="675"/>
      <c r="U861" s="675"/>
      <c r="V861" s="675"/>
      <c r="W861" s="675"/>
      <c r="X861" s="675"/>
      <c r="Y861" s="675"/>
      <c r="Z861" s="675"/>
      <c r="AA861" s="675"/>
      <c r="AB861" s="675"/>
      <c r="AC861" s="675"/>
      <c r="AD861" s="675"/>
      <c r="AE861" s="675"/>
      <c r="AF861" s="675"/>
      <c r="AG861" s="675"/>
      <c r="AH861" s="675"/>
      <c r="AI861" s="675"/>
      <c r="AJ861" s="675"/>
      <c r="AK861" s="658"/>
    </row>
    <row r="862" spans="1:37">
      <c r="A862" s="5"/>
      <c r="B862" s="313"/>
      <c r="C862" s="835"/>
      <c r="D862" s="136"/>
      <c r="E862" s="437"/>
      <c r="F862" s="438"/>
      <c r="G862" s="438"/>
      <c r="H862" s="438"/>
      <c r="I862" s="439"/>
      <c r="J862" s="52"/>
      <c r="K862" s="156"/>
      <c r="L862" s="383"/>
      <c r="M862" s="542"/>
      <c r="N862" s="701">
        <f t="shared" si="26"/>
        <v>0</v>
      </c>
      <c r="O862" s="675"/>
      <c r="P862" s="675"/>
      <c r="Q862" s="675"/>
      <c r="R862" s="675"/>
      <c r="S862" s="675"/>
      <c r="T862" s="675"/>
      <c r="U862" s="675"/>
      <c r="V862" s="675"/>
      <c r="W862" s="675"/>
      <c r="X862" s="675"/>
      <c r="Y862" s="675"/>
      <c r="Z862" s="675"/>
      <c r="AA862" s="675"/>
      <c r="AB862" s="675"/>
      <c r="AC862" s="675"/>
      <c r="AD862" s="675"/>
      <c r="AE862" s="675"/>
      <c r="AF862" s="675"/>
      <c r="AG862" s="675"/>
      <c r="AH862" s="675"/>
      <c r="AI862" s="675"/>
      <c r="AJ862" s="675"/>
      <c r="AK862" s="658"/>
    </row>
    <row r="863" spans="1:37" ht="15" customHeight="1">
      <c r="A863" s="5"/>
      <c r="B863" s="313"/>
      <c r="C863" s="833"/>
      <c r="D863" s="135" t="s">
        <v>444</v>
      </c>
      <c r="E863" s="67"/>
      <c r="F863" s="253"/>
      <c r="G863" s="64"/>
      <c r="H863" s="64"/>
      <c r="I863" s="72"/>
      <c r="J863" s="52"/>
      <c r="K863" s="156"/>
      <c r="L863" s="383"/>
      <c r="M863" s="542"/>
      <c r="N863" s="701">
        <f t="shared" si="26"/>
        <v>0</v>
      </c>
      <c r="O863" s="675"/>
      <c r="P863" s="675"/>
      <c r="Q863" s="675"/>
      <c r="R863" s="675"/>
      <c r="S863" s="675"/>
      <c r="T863" s="675"/>
      <c r="U863" s="675"/>
      <c r="V863" s="675"/>
      <c r="W863" s="675"/>
      <c r="X863" s="675"/>
      <c r="Y863" s="675"/>
      <c r="Z863" s="675"/>
      <c r="AA863" s="675"/>
      <c r="AB863" s="675"/>
      <c r="AC863" s="675"/>
      <c r="AD863" s="675"/>
      <c r="AE863" s="675"/>
      <c r="AF863" s="675"/>
      <c r="AG863" s="675"/>
      <c r="AH863" s="675"/>
      <c r="AI863" s="675"/>
      <c r="AJ863" s="675"/>
      <c r="AK863" s="658"/>
    </row>
    <row r="864" spans="1:37" s="48" customFormat="1" ht="15" customHeight="1">
      <c r="A864" s="45"/>
      <c r="B864" s="314"/>
      <c r="C864" s="836"/>
      <c r="D864" s="73"/>
      <c r="E864" s="71"/>
      <c r="F864" s="906" t="s">
        <v>164</v>
      </c>
      <c r="G864" s="906"/>
      <c r="H864" s="191"/>
      <c r="I864" s="472">
        <f>SUM(H818:I863)</f>
        <v>11341275</v>
      </c>
      <c r="J864" s="294">
        <v>12</v>
      </c>
      <c r="K864" s="158"/>
      <c r="L864" s="386"/>
      <c r="M864" s="593"/>
      <c r="N864" s="701">
        <f t="shared" si="26"/>
        <v>-11341275</v>
      </c>
      <c r="O864" s="676"/>
      <c r="P864" s="676"/>
      <c r="Q864" s="676"/>
      <c r="R864" s="676"/>
      <c r="S864" s="676"/>
      <c r="T864" s="676"/>
      <c r="U864" s="676"/>
      <c r="V864" s="676"/>
      <c r="W864" s="676"/>
      <c r="X864" s="676"/>
      <c r="Y864" s="676"/>
      <c r="Z864" s="676"/>
      <c r="AA864" s="676"/>
      <c r="AB864" s="676"/>
      <c r="AC864" s="676"/>
      <c r="AD864" s="676"/>
      <c r="AE864" s="676"/>
      <c r="AF864" s="676"/>
      <c r="AG864" s="676"/>
      <c r="AH864" s="676"/>
      <c r="AI864" s="676"/>
      <c r="AJ864" s="676"/>
      <c r="AK864" s="658"/>
    </row>
    <row r="865" spans="1:37" s="53" customFormat="1" ht="30" customHeight="1">
      <c r="A865" s="5"/>
      <c r="B865" s="309"/>
      <c r="C865" s="832"/>
      <c r="D865" s="49"/>
      <c r="E865" s="9"/>
      <c r="F865" s="8"/>
      <c r="G865" s="8"/>
      <c r="H865" s="50"/>
      <c r="I865" s="51"/>
      <c r="J865" s="51"/>
      <c r="K865" s="156"/>
      <c r="L865" s="383"/>
      <c r="M865" s="542"/>
      <c r="N865" s="701">
        <f t="shared" si="26"/>
        <v>0</v>
      </c>
      <c r="O865" s="677"/>
      <c r="P865" s="677"/>
      <c r="Q865" s="677"/>
      <c r="R865" s="677"/>
      <c r="S865" s="677"/>
      <c r="T865" s="677"/>
      <c r="U865" s="677"/>
      <c r="V865" s="677"/>
      <c r="W865" s="677"/>
      <c r="X865" s="677"/>
      <c r="Y865" s="677"/>
      <c r="Z865" s="677"/>
      <c r="AA865" s="677"/>
      <c r="AB865" s="677"/>
      <c r="AC865" s="677"/>
      <c r="AD865" s="677"/>
      <c r="AE865" s="677"/>
      <c r="AF865" s="677"/>
      <c r="AG865" s="677"/>
      <c r="AH865" s="677"/>
      <c r="AI865" s="677"/>
      <c r="AJ865" s="677"/>
      <c r="AK865" s="658"/>
    </row>
    <row r="866" spans="1:37" s="48" customFormat="1" ht="15" customHeight="1">
      <c r="A866" s="45"/>
      <c r="B866" s="312"/>
      <c r="C866" s="834"/>
      <c r="D866" s="33" t="s">
        <v>165</v>
      </c>
      <c r="E866" s="56" t="s">
        <v>13</v>
      </c>
      <c r="F866" s="57" t="s">
        <v>14</v>
      </c>
      <c r="G866" s="860" t="s">
        <v>15</v>
      </c>
      <c r="H866" s="192" t="s">
        <v>8</v>
      </c>
      <c r="I866" s="59"/>
      <c r="J866" s="292"/>
      <c r="K866" s="158"/>
      <c r="L866" s="386"/>
      <c r="M866" s="593"/>
      <c r="N866" s="701">
        <f t="shared" si="26"/>
        <v>0</v>
      </c>
      <c r="O866" s="676"/>
      <c r="P866" s="676"/>
      <c r="Q866" s="676"/>
      <c r="R866" s="676"/>
      <c r="S866" s="676"/>
      <c r="T866" s="676"/>
      <c r="U866" s="676"/>
      <c r="V866" s="676"/>
      <c r="W866" s="676"/>
      <c r="X866" s="676"/>
      <c r="Y866" s="676"/>
      <c r="Z866" s="676"/>
      <c r="AA866" s="676"/>
      <c r="AB866" s="676"/>
      <c r="AC866" s="676"/>
      <c r="AD866" s="676"/>
      <c r="AE866" s="676"/>
      <c r="AF866" s="676"/>
      <c r="AG866" s="676"/>
      <c r="AH866" s="676"/>
      <c r="AI866" s="676"/>
      <c r="AJ866" s="676"/>
      <c r="AK866" s="658"/>
    </row>
    <row r="867" spans="1:37" ht="15" customHeight="1">
      <c r="A867" s="5"/>
      <c r="B867" s="313"/>
      <c r="C867" s="835" t="s">
        <v>940</v>
      </c>
      <c r="D867" s="440" t="s">
        <v>446</v>
      </c>
      <c r="E867" s="127"/>
      <c r="F867" s="128"/>
      <c r="G867" s="121"/>
      <c r="H867" s="137"/>
      <c r="I867" s="126"/>
      <c r="J867" s="52"/>
      <c r="K867" s="156"/>
      <c r="L867" s="383"/>
      <c r="M867" s="542"/>
      <c r="N867" s="701">
        <f t="shared" si="26"/>
        <v>0</v>
      </c>
      <c r="O867" s="675"/>
      <c r="P867" s="675"/>
      <c r="Q867" s="675"/>
      <c r="R867" s="675"/>
      <c r="S867" s="675"/>
      <c r="T867" s="675"/>
      <c r="U867" s="675"/>
      <c r="V867" s="675"/>
      <c r="W867" s="675"/>
      <c r="X867" s="675"/>
      <c r="Y867" s="675"/>
      <c r="Z867" s="675"/>
      <c r="AA867" s="675"/>
      <c r="AB867" s="675"/>
      <c r="AC867" s="675"/>
      <c r="AD867" s="675"/>
      <c r="AE867" s="675"/>
      <c r="AF867" s="675"/>
      <c r="AG867" s="675"/>
      <c r="AH867" s="675"/>
      <c r="AI867" s="675"/>
      <c r="AJ867" s="675"/>
      <c r="AK867" s="658"/>
    </row>
    <row r="868" spans="1:37" ht="15" customHeight="1">
      <c r="A868" s="5"/>
      <c r="B868" s="313"/>
      <c r="C868" s="835"/>
      <c r="D868" s="441" t="s">
        <v>705</v>
      </c>
      <c r="E868" s="131"/>
      <c r="F868" s="75"/>
      <c r="G868" s="111"/>
      <c r="H868" s="78"/>
      <c r="I868" s="79"/>
      <c r="J868" s="52"/>
      <c r="K868" s="156"/>
      <c r="L868" s="383"/>
      <c r="M868" s="542"/>
      <c r="N868" s="701">
        <f>SUM(O868:AJ868)-H868</f>
        <v>0</v>
      </c>
      <c r="O868" s="675"/>
      <c r="P868" s="675"/>
      <c r="Q868" s="675"/>
      <c r="R868" s="675"/>
      <c r="S868" s="675"/>
      <c r="T868" s="675"/>
      <c r="U868" s="675"/>
      <c r="V868" s="675"/>
      <c r="W868" s="675"/>
      <c r="X868" s="675"/>
      <c r="Y868" s="675"/>
      <c r="Z868" s="675"/>
      <c r="AA868" s="675"/>
      <c r="AB868" s="675"/>
      <c r="AC868" s="675"/>
      <c r="AD868" s="675"/>
      <c r="AE868" s="675"/>
      <c r="AF868" s="675"/>
      <c r="AG868" s="675"/>
      <c r="AH868" s="675"/>
      <c r="AI868" s="675"/>
      <c r="AJ868" s="675"/>
      <c r="AK868" s="658"/>
    </row>
    <row r="869" spans="1:37" ht="15" customHeight="1">
      <c r="A869" s="5"/>
      <c r="B869" s="313"/>
      <c r="C869" s="835"/>
      <c r="D869" s="441" t="s">
        <v>706</v>
      </c>
      <c r="E869" s="131"/>
      <c r="F869" s="75"/>
      <c r="G869" s="111"/>
      <c r="H869" s="78"/>
      <c r="I869" s="79"/>
      <c r="J869" s="52"/>
      <c r="K869" s="156"/>
      <c r="L869" s="383"/>
      <c r="M869" s="542"/>
      <c r="N869" s="701">
        <f t="shared" ref="N869:N900" si="27">SUM(O869:AJ869)-I869</f>
        <v>0</v>
      </c>
      <c r="O869" s="675"/>
      <c r="P869" s="675"/>
      <c r="Q869" s="675"/>
      <c r="R869" s="675"/>
      <c r="S869" s="675"/>
      <c r="T869" s="675"/>
      <c r="U869" s="675"/>
      <c r="V869" s="675"/>
      <c r="W869" s="675"/>
      <c r="X869" s="675"/>
      <c r="Y869" s="675"/>
      <c r="Z869" s="675"/>
      <c r="AA869" s="675"/>
      <c r="AB869" s="675"/>
      <c r="AC869" s="675"/>
      <c r="AD869" s="675"/>
      <c r="AE869" s="675"/>
      <c r="AF869" s="675"/>
      <c r="AG869" s="675"/>
      <c r="AH869" s="675"/>
      <c r="AI869" s="675"/>
      <c r="AJ869" s="675"/>
      <c r="AK869" s="658"/>
    </row>
    <row r="870" spans="1:37" ht="15" customHeight="1">
      <c r="A870" s="5"/>
      <c r="B870" s="313"/>
      <c r="C870" s="835"/>
      <c r="D870" s="441" t="s">
        <v>707</v>
      </c>
      <c r="E870" s="131"/>
      <c r="F870" s="75"/>
      <c r="G870" s="111"/>
      <c r="H870" s="78"/>
      <c r="I870" s="79"/>
      <c r="J870" s="52"/>
      <c r="K870" s="156"/>
      <c r="L870" s="383"/>
      <c r="M870" s="542"/>
      <c r="N870" s="701">
        <f t="shared" si="27"/>
        <v>0</v>
      </c>
      <c r="O870" s="675"/>
      <c r="P870" s="675"/>
      <c r="Q870" s="675"/>
      <c r="R870" s="675"/>
      <c r="S870" s="675"/>
      <c r="T870" s="675"/>
      <c r="U870" s="675"/>
      <c r="V870" s="675"/>
      <c r="W870" s="675"/>
      <c r="X870" s="675"/>
      <c r="Y870" s="675"/>
      <c r="Z870" s="675"/>
      <c r="AA870" s="675"/>
      <c r="AB870" s="675"/>
      <c r="AC870" s="675"/>
      <c r="AD870" s="675"/>
      <c r="AE870" s="675"/>
      <c r="AF870" s="675"/>
      <c r="AG870" s="675"/>
      <c r="AH870" s="675"/>
      <c r="AI870" s="675"/>
      <c r="AJ870" s="675"/>
      <c r="AK870" s="658"/>
    </row>
    <row r="871" spans="1:37" ht="15" customHeight="1">
      <c r="A871" s="5"/>
      <c r="B871" s="313"/>
      <c r="C871" s="835"/>
      <c r="D871" s="441" t="s">
        <v>708</v>
      </c>
      <c r="E871" s="131"/>
      <c r="F871" s="75"/>
      <c r="G871" s="111"/>
      <c r="H871" s="78"/>
      <c r="I871" s="79"/>
      <c r="J871" s="52"/>
      <c r="K871" s="156"/>
      <c r="L871" s="383"/>
      <c r="M871" s="542"/>
      <c r="N871" s="701">
        <f t="shared" si="27"/>
        <v>0</v>
      </c>
      <c r="O871" s="675"/>
      <c r="P871" s="675"/>
      <c r="Q871" s="675"/>
      <c r="R871" s="675"/>
      <c r="S871" s="675"/>
      <c r="T871" s="675"/>
      <c r="U871" s="675"/>
      <c r="V871" s="675"/>
      <c r="W871" s="675"/>
      <c r="X871" s="675"/>
      <c r="Y871" s="675"/>
      <c r="Z871" s="675"/>
      <c r="AA871" s="675"/>
      <c r="AB871" s="675"/>
      <c r="AC871" s="675"/>
      <c r="AD871" s="675"/>
      <c r="AE871" s="675"/>
      <c r="AF871" s="675"/>
      <c r="AG871" s="675"/>
      <c r="AH871" s="675"/>
      <c r="AI871" s="675"/>
      <c r="AJ871" s="675"/>
      <c r="AK871" s="658"/>
    </row>
    <row r="872" spans="1:37" ht="15" customHeight="1">
      <c r="A872" s="5"/>
      <c r="B872" s="313"/>
      <c r="C872" s="835"/>
      <c r="D872" s="441" t="s">
        <v>709</v>
      </c>
      <c r="E872" s="131"/>
      <c r="F872" s="75"/>
      <c r="G872" s="111"/>
      <c r="H872" s="78"/>
      <c r="I872" s="79"/>
      <c r="J872" s="52"/>
      <c r="K872" s="156"/>
      <c r="L872" s="383"/>
      <c r="M872" s="542"/>
      <c r="N872" s="701">
        <f t="shared" si="27"/>
        <v>0</v>
      </c>
      <c r="O872" s="675"/>
      <c r="P872" s="675"/>
      <c r="Q872" s="675"/>
      <c r="R872" s="675"/>
      <c r="S872" s="675"/>
      <c r="T872" s="675"/>
      <c r="U872" s="675"/>
      <c r="V872" s="675"/>
      <c r="W872" s="675"/>
      <c r="X872" s="675"/>
      <c r="Y872" s="675"/>
      <c r="Z872" s="675"/>
      <c r="AA872" s="675"/>
      <c r="AB872" s="675"/>
      <c r="AC872" s="675"/>
      <c r="AD872" s="675"/>
      <c r="AE872" s="675"/>
      <c r="AF872" s="675"/>
      <c r="AG872" s="675"/>
      <c r="AH872" s="675"/>
      <c r="AI872" s="675"/>
      <c r="AJ872" s="675"/>
      <c r="AK872" s="658"/>
    </row>
    <row r="873" spans="1:37" ht="15" customHeight="1">
      <c r="A873" s="5"/>
      <c r="B873" s="313"/>
      <c r="C873" s="835"/>
      <c r="D873" s="441" t="s">
        <v>710</v>
      </c>
      <c r="E873" s="131"/>
      <c r="F873" s="75"/>
      <c r="G873" s="111"/>
      <c r="H873" s="78"/>
      <c r="I873" s="79"/>
      <c r="J873" s="52"/>
      <c r="K873" s="156"/>
      <c r="L873" s="383"/>
      <c r="M873" s="542"/>
      <c r="N873" s="701">
        <f t="shared" si="27"/>
        <v>0</v>
      </c>
      <c r="O873" s="675"/>
      <c r="P873" s="675"/>
      <c r="Q873" s="675"/>
      <c r="R873" s="675"/>
      <c r="S873" s="675"/>
      <c r="T873" s="675"/>
      <c r="U873" s="675"/>
      <c r="V873" s="675"/>
      <c r="W873" s="675"/>
      <c r="X873" s="675"/>
      <c r="Y873" s="675"/>
      <c r="Z873" s="675"/>
      <c r="AA873" s="675"/>
      <c r="AB873" s="675"/>
      <c r="AC873" s="675"/>
      <c r="AD873" s="675"/>
      <c r="AE873" s="675"/>
      <c r="AF873" s="675"/>
      <c r="AG873" s="675"/>
      <c r="AH873" s="675"/>
      <c r="AI873" s="675"/>
      <c r="AJ873" s="675"/>
      <c r="AK873" s="658"/>
    </row>
    <row r="874" spans="1:37" ht="15" customHeight="1">
      <c r="A874" s="5"/>
      <c r="B874" s="313"/>
      <c r="C874" s="835"/>
      <c r="D874" s="441" t="s">
        <v>711</v>
      </c>
      <c r="E874" s="131"/>
      <c r="F874" s="75"/>
      <c r="G874" s="111"/>
      <c r="H874" s="78"/>
      <c r="I874" s="79"/>
      <c r="J874" s="52"/>
      <c r="K874" s="156"/>
      <c r="L874" s="383"/>
      <c r="M874" s="542"/>
      <c r="N874" s="701">
        <f t="shared" si="27"/>
        <v>0</v>
      </c>
      <c r="O874" s="675"/>
      <c r="P874" s="675"/>
      <c r="Q874" s="675"/>
      <c r="R874" s="675"/>
      <c r="S874" s="675"/>
      <c r="T874" s="675"/>
      <c r="U874" s="675"/>
      <c r="V874" s="675"/>
      <c r="W874" s="675"/>
      <c r="X874" s="675"/>
      <c r="Y874" s="675"/>
      <c r="Z874" s="675"/>
      <c r="AA874" s="675"/>
      <c r="AB874" s="675"/>
      <c r="AC874" s="675"/>
      <c r="AD874" s="675"/>
      <c r="AE874" s="675"/>
      <c r="AF874" s="675"/>
      <c r="AG874" s="675"/>
      <c r="AH874" s="675"/>
      <c r="AI874" s="675"/>
      <c r="AJ874" s="675"/>
      <c r="AK874" s="658"/>
    </row>
    <row r="875" spans="1:37" ht="15" customHeight="1">
      <c r="A875" s="5"/>
      <c r="B875" s="313"/>
      <c r="C875" s="835"/>
      <c r="D875" s="441" t="s">
        <v>712</v>
      </c>
      <c r="E875" s="131"/>
      <c r="F875" s="75"/>
      <c r="G875" s="111"/>
      <c r="H875" s="78"/>
      <c r="I875" s="79"/>
      <c r="J875" s="52"/>
      <c r="K875" s="156"/>
      <c r="L875" s="383"/>
      <c r="M875" s="542"/>
      <c r="N875" s="701">
        <f t="shared" si="27"/>
        <v>0</v>
      </c>
      <c r="O875" s="675"/>
      <c r="P875" s="675"/>
      <c r="Q875" s="675"/>
      <c r="R875" s="675"/>
      <c r="S875" s="675"/>
      <c r="T875" s="675"/>
      <c r="U875" s="675"/>
      <c r="V875" s="675"/>
      <c r="W875" s="675"/>
      <c r="X875" s="675"/>
      <c r="Y875" s="675"/>
      <c r="Z875" s="675"/>
      <c r="AA875" s="675"/>
      <c r="AB875" s="675"/>
      <c r="AC875" s="675"/>
      <c r="AD875" s="675"/>
      <c r="AE875" s="675"/>
      <c r="AF875" s="675"/>
      <c r="AG875" s="675"/>
      <c r="AH875" s="675"/>
      <c r="AI875" s="675"/>
      <c r="AJ875" s="675"/>
      <c r="AK875" s="658"/>
    </row>
    <row r="876" spans="1:37" ht="15" customHeight="1">
      <c r="A876" s="5"/>
      <c r="B876" s="313"/>
      <c r="C876" s="835"/>
      <c r="D876" s="441" t="s">
        <v>713</v>
      </c>
      <c r="E876" s="131"/>
      <c r="F876" s="75"/>
      <c r="G876" s="111"/>
      <c r="H876" s="78"/>
      <c r="I876" s="79"/>
      <c r="J876" s="52"/>
      <c r="K876" s="156"/>
      <c r="L876" s="383"/>
      <c r="M876" s="542"/>
      <c r="N876" s="701">
        <f t="shared" si="27"/>
        <v>0</v>
      </c>
      <c r="O876" s="675"/>
      <c r="P876" s="675"/>
      <c r="Q876" s="675"/>
      <c r="R876" s="675"/>
      <c r="S876" s="675"/>
      <c r="T876" s="675"/>
      <c r="U876" s="675"/>
      <c r="V876" s="675"/>
      <c r="W876" s="675"/>
      <c r="X876" s="675"/>
      <c r="Y876" s="675"/>
      <c r="Z876" s="675"/>
      <c r="AA876" s="675"/>
      <c r="AB876" s="675"/>
      <c r="AC876" s="675"/>
      <c r="AD876" s="675"/>
      <c r="AE876" s="675"/>
      <c r="AF876" s="675"/>
      <c r="AG876" s="675"/>
      <c r="AH876" s="675"/>
      <c r="AI876" s="675"/>
      <c r="AJ876" s="675"/>
      <c r="AK876" s="658"/>
    </row>
    <row r="877" spans="1:37" ht="15" customHeight="1">
      <c r="A877" s="5"/>
      <c r="B877" s="313"/>
      <c r="C877" s="835"/>
      <c r="D877" s="441" t="s">
        <v>714</v>
      </c>
      <c r="E877" s="131"/>
      <c r="F877" s="75"/>
      <c r="G877" s="111"/>
      <c r="H877" s="78"/>
      <c r="I877" s="79"/>
      <c r="J877" s="52"/>
      <c r="K877" s="156"/>
      <c r="L877" s="383"/>
      <c r="M877" s="542"/>
      <c r="N877" s="701">
        <f t="shared" si="27"/>
        <v>0</v>
      </c>
      <c r="O877" s="675"/>
      <c r="P877" s="675"/>
      <c r="Q877" s="675"/>
      <c r="R877" s="675"/>
      <c r="S877" s="675"/>
      <c r="T877" s="675"/>
      <c r="U877" s="675"/>
      <c r="V877" s="675"/>
      <c r="W877" s="675"/>
      <c r="X877" s="675"/>
      <c r="Y877" s="675"/>
      <c r="Z877" s="675"/>
      <c r="AA877" s="675"/>
      <c r="AB877" s="675"/>
      <c r="AC877" s="675"/>
      <c r="AD877" s="675"/>
      <c r="AE877" s="675"/>
      <c r="AF877" s="675"/>
      <c r="AG877" s="675"/>
      <c r="AH877" s="675"/>
      <c r="AI877" s="675"/>
      <c r="AJ877" s="675"/>
      <c r="AK877" s="658"/>
    </row>
    <row r="878" spans="1:37" ht="15" customHeight="1">
      <c r="A878" s="5"/>
      <c r="B878" s="313"/>
      <c r="C878" s="835"/>
      <c r="D878" s="441" t="s">
        <v>715</v>
      </c>
      <c r="E878" s="131"/>
      <c r="F878" s="75"/>
      <c r="G878" s="111"/>
      <c r="H878" s="78"/>
      <c r="I878" s="79"/>
      <c r="J878" s="52"/>
      <c r="K878" s="156"/>
      <c r="L878" s="383"/>
      <c r="M878" s="542"/>
      <c r="N878" s="701">
        <f t="shared" si="27"/>
        <v>0</v>
      </c>
      <c r="O878" s="675"/>
      <c r="P878" s="675"/>
      <c r="Q878" s="675"/>
      <c r="R878" s="675"/>
      <c r="S878" s="675"/>
      <c r="T878" s="675"/>
      <c r="U878" s="675"/>
      <c r="V878" s="675"/>
      <c r="W878" s="675"/>
      <c r="X878" s="675"/>
      <c r="Y878" s="675"/>
      <c r="Z878" s="675"/>
      <c r="AA878" s="675"/>
      <c r="AB878" s="675"/>
      <c r="AC878" s="675"/>
      <c r="AD878" s="675"/>
      <c r="AE878" s="675"/>
      <c r="AF878" s="675"/>
      <c r="AG878" s="675"/>
      <c r="AH878" s="675"/>
      <c r="AI878" s="675"/>
      <c r="AJ878" s="675"/>
      <c r="AK878" s="658"/>
    </row>
    <row r="879" spans="1:37" ht="15" customHeight="1">
      <c r="A879" s="5"/>
      <c r="B879" s="313"/>
      <c r="C879" s="835"/>
      <c r="D879" s="441" t="s">
        <v>716</v>
      </c>
      <c r="E879" s="131"/>
      <c r="F879" s="75"/>
      <c r="G879" s="111"/>
      <c r="H879" s="78"/>
      <c r="I879" s="79"/>
      <c r="J879" s="52"/>
      <c r="K879" s="156"/>
      <c r="L879" s="383"/>
      <c r="M879" s="542"/>
      <c r="N879" s="701">
        <f t="shared" si="27"/>
        <v>0</v>
      </c>
      <c r="O879" s="675"/>
      <c r="P879" s="675"/>
      <c r="Q879" s="675"/>
      <c r="R879" s="675"/>
      <c r="S879" s="675"/>
      <c r="T879" s="675"/>
      <c r="U879" s="675"/>
      <c r="V879" s="675"/>
      <c r="W879" s="675"/>
      <c r="X879" s="675"/>
      <c r="Y879" s="675"/>
      <c r="Z879" s="675"/>
      <c r="AA879" s="675"/>
      <c r="AB879" s="675"/>
      <c r="AC879" s="675"/>
      <c r="AD879" s="675"/>
      <c r="AE879" s="675"/>
      <c r="AF879" s="675"/>
      <c r="AG879" s="675"/>
      <c r="AH879" s="675"/>
      <c r="AI879" s="675"/>
      <c r="AJ879" s="675"/>
      <c r="AK879" s="658"/>
    </row>
    <row r="880" spans="1:37" ht="15" customHeight="1">
      <c r="A880" s="5"/>
      <c r="B880" s="313"/>
      <c r="C880" s="835"/>
      <c r="D880" s="442"/>
      <c r="E880" s="67" t="s">
        <v>27</v>
      </c>
      <c r="F880" s="253">
        <v>450000</v>
      </c>
      <c r="G880" s="64">
        <v>6</v>
      </c>
      <c r="H880" s="64">
        <f>F880*G880+727650</f>
        <v>3427650</v>
      </c>
      <c r="I880" s="72"/>
      <c r="J880" s="52"/>
      <c r="K880" s="156"/>
      <c r="L880" s="383"/>
      <c r="M880" s="542"/>
      <c r="N880" s="701">
        <f t="shared" si="27"/>
        <v>0</v>
      </c>
      <c r="O880" s="675"/>
      <c r="P880" s="675"/>
      <c r="Q880" s="675"/>
      <c r="R880" s="675"/>
      <c r="S880" s="675"/>
      <c r="T880" s="675"/>
      <c r="U880" s="675"/>
      <c r="V880" s="675"/>
      <c r="W880" s="675"/>
      <c r="X880" s="675"/>
      <c r="Y880" s="675"/>
      <c r="Z880" s="675"/>
      <c r="AA880" s="675"/>
      <c r="AB880" s="675"/>
      <c r="AC880" s="675"/>
      <c r="AD880" s="675"/>
      <c r="AE880" s="675"/>
      <c r="AF880" s="675"/>
      <c r="AG880" s="675"/>
      <c r="AH880" s="675"/>
      <c r="AI880" s="675"/>
      <c r="AJ880" s="675"/>
      <c r="AK880" s="658"/>
    </row>
    <row r="881" spans="1:37" ht="15" customHeight="1">
      <c r="A881" s="5"/>
      <c r="B881" s="313"/>
      <c r="C881" s="835"/>
      <c r="D881" s="105" t="s">
        <v>445</v>
      </c>
      <c r="E881" s="127"/>
      <c r="F881" s="128"/>
      <c r="G881" s="121"/>
      <c r="H881" s="137"/>
      <c r="I881" s="126"/>
      <c r="J881" s="52"/>
      <c r="K881" s="156"/>
      <c r="L881" s="383"/>
      <c r="M881" s="542"/>
      <c r="N881" s="701">
        <f t="shared" si="27"/>
        <v>0</v>
      </c>
      <c r="O881" s="675"/>
      <c r="P881" s="675"/>
      <c r="Q881" s="675"/>
      <c r="R881" s="675"/>
      <c r="S881" s="675"/>
      <c r="T881" s="675"/>
      <c r="U881" s="675"/>
      <c r="V881" s="675"/>
      <c r="W881" s="675"/>
      <c r="X881" s="675"/>
      <c r="Y881" s="675"/>
      <c r="Z881" s="675"/>
      <c r="AA881" s="675"/>
      <c r="AB881" s="675"/>
      <c r="AC881" s="675"/>
      <c r="AD881" s="675"/>
      <c r="AE881" s="675"/>
      <c r="AF881" s="675"/>
      <c r="AG881" s="675"/>
      <c r="AH881" s="675"/>
      <c r="AI881" s="675"/>
      <c r="AJ881" s="675"/>
      <c r="AK881" s="658"/>
    </row>
    <row r="882" spans="1:37" ht="15" customHeight="1">
      <c r="A882" s="5"/>
      <c r="B882" s="313"/>
      <c r="C882" s="835"/>
      <c r="D882" s="724" t="s">
        <v>717</v>
      </c>
      <c r="E882" s="131"/>
      <c r="F882" s="75"/>
      <c r="G882" s="111"/>
      <c r="H882" s="78"/>
      <c r="I882" s="79"/>
      <c r="J882" s="52"/>
      <c r="K882" s="156"/>
      <c r="L882" s="383"/>
      <c r="M882" s="542"/>
      <c r="N882" s="701">
        <f t="shared" si="27"/>
        <v>0</v>
      </c>
      <c r="O882" s="675"/>
      <c r="P882" s="675"/>
      <c r="Q882" s="675"/>
      <c r="R882" s="675"/>
      <c r="S882" s="675"/>
      <c r="T882" s="675"/>
      <c r="U882" s="675"/>
      <c r="V882" s="675"/>
      <c r="W882" s="675"/>
      <c r="X882" s="675"/>
      <c r="Y882" s="675"/>
      <c r="Z882" s="675"/>
      <c r="AA882" s="675"/>
      <c r="AB882" s="675"/>
      <c r="AC882" s="675"/>
      <c r="AD882" s="675"/>
      <c r="AE882" s="675"/>
      <c r="AF882" s="675"/>
      <c r="AG882" s="675"/>
      <c r="AH882" s="675"/>
      <c r="AI882" s="675"/>
      <c r="AJ882" s="675"/>
      <c r="AK882" s="658"/>
    </row>
    <row r="883" spans="1:37" ht="15" customHeight="1">
      <c r="A883" s="5"/>
      <c r="B883" s="313"/>
      <c r="C883" s="835"/>
      <c r="D883" s="724" t="s">
        <v>718</v>
      </c>
      <c r="E883" s="131"/>
      <c r="F883" s="75"/>
      <c r="G883" s="111"/>
      <c r="H883" s="78"/>
      <c r="I883" s="79"/>
      <c r="J883" s="52"/>
      <c r="K883" s="156"/>
      <c r="L883" s="383"/>
      <c r="M883" s="542"/>
      <c r="N883" s="701">
        <f t="shared" si="27"/>
        <v>0</v>
      </c>
      <c r="O883" s="675"/>
      <c r="P883" s="675"/>
      <c r="Q883" s="675"/>
      <c r="R883" s="675"/>
      <c r="S883" s="675"/>
      <c r="T883" s="675"/>
      <c r="U883" s="675"/>
      <c r="V883" s="675"/>
      <c r="W883" s="675"/>
      <c r="X883" s="675"/>
      <c r="Y883" s="675"/>
      <c r="Z883" s="675"/>
      <c r="AA883" s="675"/>
      <c r="AB883" s="675"/>
      <c r="AC883" s="675"/>
      <c r="AD883" s="675"/>
      <c r="AE883" s="675"/>
      <c r="AF883" s="675"/>
      <c r="AG883" s="675"/>
      <c r="AH883" s="675"/>
      <c r="AI883" s="675"/>
      <c r="AJ883" s="675"/>
      <c r="AK883" s="658"/>
    </row>
    <row r="884" spans="1:37" ht="15" customHeight="1">
      <c r="A884" s="5"/>
      <c r="B884" s="313"/>
      <c r="C884" s="835"/>
      <c r="D884" s="724" t="s">
        <v>719</v>
      </c>
      <c r="E884" s="131"/>
      <c r="F884" s="75"/>
      <c r="G884" s="111"/>
      <c r="H884" s="78"/>
      <c r="I884" s="79"/>
      <c r="J884" s="52"/>
      <c r="K884" s="156"/>
      <c r="L884" s="383"/>
      <c r="M884" s="542"/>
      <c r="N884" s="701">
        <f t="shared" si="27"/>
        <v>0</v>
      </c>
      <c r="O884" s="675"/>
      <c r="P884" s="675"/>
      <c r="Q884" s="675"/>
      <c r="R884" s="675"/>
      <c r="S884" s="675"/>
      <c r="T884" s="675"/>
      <c r="U884" s="675"/>
      <c r="V884" s="675"/>
      <c r="W884" s="675"/>
      <c r="X884" s="675"/>
      <c r="Y884" s="675"/>
      <c r="Z884" s="675"/>
      <c r="AA884" s="675"/>
      <c r="AB884" s="675"/>
      <c r="AC884" s="675"/>
      <c r="AD884" s="675"/>
      <c r="AE884" s="675"/>
      <c r="AF884" s="675"/>
      <c r="AG884" s="675"/>
      <c r="AH884" s="675"/>
      <c r="AI884" s="675"/>
      <c r="AJ884" s="675"/>
      <c r="AK884" s="658"/>
    </row>
    <row r="885" spans="1:37" ht="15" customHeight="1">
      <c r="A885" s="5"/>
      <c r="B885" s="313"/>
      <c r="C885" s="835"/>
      <c r="D885" s="724" t="s">
        <v>720</v>
      </c>
      <c r="E885" s="131"/>
      <c r="F885" s="75"/>
      <c r="G885" s="111"/>
      <c r="H885" s="78"/>
      <c r="I885" s="79"/>
      <c r="J885" s="52"/>
      <c r="K885" s="156"/>
      <c r="L885" s="383"/>
      <c r="M885" s="542"/>
      <c r="N885" s="701">
        <f t="shared" si="27"/>
        <v>0</v>
      </c>
      <c r="O885" s="675"/>
      <c r="P885" s="675"/>
      <c r="Q885" s="675"/>
      <c r="R885" s="675"/>
      <c r="S885" s="675"/>
      <c r="T885" s="675"/>
      <c r="U885" s="675"/>
      <c r="V885" s="675"/>
      <c r="W885" s="675"/>
      <c r="X885" s="675"/>
      <c r="Y885" s="675"/>
      <c r="Z885" s="675"/>
      <c r="AA885" s="675"/>
      <c r="AB885" s="675"/>
      <c r="AC885" s="675"/>
      <c r="AD885" s="675"/>
      <c r="AE885" s="675"/>
      <c r="AF885" s="675"/>
      <c r="AG885" s="675"/>
      <c r="AH885" s="675"/>
      <c r="AI885" s="675"/>
      <c r="AJ885" s="675"/>
      <c r="AK885" s="658"/>
    </row>
    <row r="886" spans="1:37" ht="15" customHeight="1">
      <c r="A886" s="5"/>
      <c r="B886" s="313"/>
      <c r="C886" s="835"/>
      <c r="D886" s="724" t="s">
        <v>721</v>
      </c>
      <c r="E886" s="131"/>
      <c r="F886" s="75"/>
      <c r="G886" s="111"/>
      <c r="H886" s="78"/>
      <c r="I886" s="79"/>
      <c r="J886" s="52"/>
      <c r="K886" s="156"/>
      <c r="L886" s="383"/>
      <c r="M886" s="542"/>
      <c r="N886" s="701">
        <f t="shared" si="27"/>
        <v>0</v>
      </c>
      <c r="O886" s="675"/>
      <c r="P886" s="675"/>
      <c r="Q886" s="675"/>
      <c r="R886" s="675"/>
      <c r="S886" s="675"/>
      <c r="T886" s="675"/>
      <c r="U886" s="675"/>
      <c r="V886" s="675"/>
      <c r="W886" s="675"/>
      <c r="X886" s="675"/>
      <c r="Y886" s="675"/>
      <c r="Z886" s="675"/>
      <c r="AA886" s="675"/>
      <c r="AB886" s="675"/>
      <c r="AC886" s="675"/>
      <c r="AD886" s="675"/>
      <c r="AE886" s="675"/>
      <c r="AF886" s="675"/>
      <c r="AG886" s="675"/>
      <c r="AH886" s="675"/>
      <c r="AI886" s="675"/>
      <c r="AJ886" s="675"/>
      <c r="AK886" s="658"/>
    </row>
    <row r="887" spans="1:37" ht="15" customHeight="1">
      <c r="A887" s="5"/>
      <c r="B887" s="313"/>
      <c r="C887" s="835"/>
      <c r="D887" s="724" t="s">
        <v>722</v>
      </c>
      <c r="E887" s="131"/>
      <c r="F887" s="75"/>
      <c r="G887" s="111"/>
      <c r="H887" s="78"/>
      <c r="I887" s="79"/>
      <c r="J887" s="52"/>
      <c r="K887" s="156"/>
      <c r="L887" s="383"/>
      <c r="M887" s="542"/>
      <c r="N887" s="701">
        <f t="shared" si="27"/>
        <v>0</v>
      </c>
      <c r="O887" s="675"/>
      <c r="P887" s="675"/>
      <c r="Q887" s="675"/>
      <c r="R887" s="675"/>
      <c r="S887" s="675"/>
      <c r="T887" s="675"/>
      <c r="U887" s="675"/>
      <c r="V887" s="675"/>
      <c r="W887" s="675"/>
      <c r="X887" s="675"/>
      <c r="Y887" s="675"/>
      <c r="Z887" s="675"/>
      <c r="AA887" s="675"/>
      <c r="AB887" s="675"/>
      <c r="AC887" s="675"/>
      <c r="AD887" s="675"/>
      <c r="AE887" s="675"/>
      <c r="AF887" s="675"/>
      <c r="AG887" s="675"/>
      <c r="AH887" s="675"/>
      <c r="AI887" s="675"/>
      <c r="AJ887" s="675"/>
      <c r="AK887" s="658"/>
    </row>
    <row r="888" spans="1:37" ht="15" customHeight="1">
      <c r="A888" s="5"/>
      <c r="B888" s="313"/>
      <c r="C888" s="835"/>
      <c r="D888" s="724" t="s">
        <v>723</v>
      </c>
      <c r="E888" s="131"/>
      <c r="F888" s="75"/>
      <c r="G888" s="111"/>
      <c r="H888" s="78"/>
      <c r="I888" s="79"/>
      <c r="J888" s="52"/>
      <c r="K888" s="156"/>
      <c r="L888" s="383"/>
      <c r="M888" s="542"/>
      <c r="N888" s="701">
        <f t="shared" si="27"/>
        <v>0</v>
      </c>
      <c r="O888" s="675"/>
      <c r="P888" s="675"/>
      <c r="Q888" s="675"/>
      <c r="R888" s="675"/>
      <c r="S888" s="675"/>
      <c r="T888" s="675"/>
      <c r="U888" s="675"/>
      <c r="V888" s="675"/>
      <c r="W888" s="675"/>
      <c r="X888" s="675"/>
      <c r="Y888" s="675"/>
      <c r="Z888" s="675"/>
      <c r="AA888" s="675"/>
      <c r="AB888" s="675"/>
      <c r="AC888" s="675"/>
      <c r="AD888" s="675"/>
      <c r="AE888" s="675"/>
      <c r="AF888" s="675"/>
      <c r="AG888" s="675"/>
      <c r="AH888" s="675"/>
      <c r="AI888" s="675"/>
      <c r="AJ888" s="675"/>
      <c r="AK888" s="658"/>
    </row>
    <row r="889" spans="1:37" ht="15" customHeight="1">
      <c r="A889" s="5"/>
      <c r="B889" s="313"/>
      <c r="C889" s="835"/>
      <c r="D889" s="724" t="s">
        <v>724</v>
      </c>
      <c r="E889" s="131"/>
      <c r="F889" s="75"/>
      <c r="G889" s="111"/>
      <c r="H889" s="78"/>
      <c r="I889" s="79"/>
      <c r="J889" s="52"/>
      <c r="K889" s="156"/>
      <c r="L889" s="383"/>
      <c r="M889" s="542"/>
      <c r="N889" s="701">
        <f t="shared" si="27"/>
        <v>0</v>
      </c>
      <c r="O889" s="675"/>
      <c r="P889" s="675"/>
      <c r="Q889" s="675"/>
      <c r="R889" s="675"/>
      <c r="S889" s="675"/>
      <c r="T889" s="675"/>
      <c r="U889" s="675"/>
      <c r="V889" s="675"/>
      <c r="W889" s="675"/>
      <c r="X889" s="675"/>
      <c r="Y889" s="675"/>
      <c r="Z889" s="675"/>
      <c r="AA889" s="675"/>
      <c r="AB889" s="675"/>
      <c r="AC889" s="675"/>
      <c r="AD889" s="675"/>
      <c r="AE889" s="675"/>
      <c r="AF889" s="675"/>
      <c r="AG889" s="675"/>
      <c r="AH889" s="675"/>
      <c r="AI889" s="675"/>
      <c r="AJ889" s="675"/>
      <c r="AK889" s="658"/>
    </row>
    <row r="890" spans="1:37" ht="15" customHeight="1">
      <c r="A890" s="5"/>
      <c r="B890" s="313"/>
      <c r="C890" s="835"/>
      <c r="D890" s="724" t="s">
        <v>725</v>
      </c>
      <c r="E890" s="131"/>
      <c r="F890" s="75"/>
      <c r="G890" s="111"/>
      <c r="H890" s="78"/>
      <c r="I890" s="79"/>
      <c r="J890" s="52"/>
      <c r="K890" s="156"/>
      <c r="L890" s="383"/>
      <c r="M890" s="542"/>
      <c r="N890" s="701">
        <f t="shared" si="27"/>
        <v>0</v>
      </c>
      <c r="O890" s="675"/>
      <c r="P890" s="675"/>
      <c r="Q890" s="675"/>
      <c r="R890" s="675"/>
      <c r="S890" s="675"/>
      <c r="T890" s="675"/>
      <c r="U890" s="675"/>
      <c r="V890" s="675"/>
      <c r="W890" s="675"/>
      <c r="X890" s="675"/>
      <c r="Y890" s="675"/>
      <c r="Z890" s="675"/>
      <c r="AA890" s="675"/>
      <c r="AB890" s="675"/>
      <c r="AC890" s="675"/>
      <c r="AD890" s="675"/>
      <c r="AE890" s="675"/>
      <c r="AF890" s="675"/>
      <c r="AG890" s="675"/>
      <c r="AH890" s="675"/>
      <c r="AI890" s="675"/>
      <c r="AJ890" s="675"/>
      <c r="AK890" s="658"/>
    </row>
    <row r="891" spans="1:37" ht="15" customHeight="1">
      <c r="A891" s="5"/>
      <c r="B891" s="313"/>
      <c r="C891" s="835"/>
      <c r="D891" s="724" t="s">
        <v>726</v>
      </c>
      <c r="E891" s="131"/>
      <c r="F891" s="75"/>
      <c r="G891" s="111"/>
      <c r="H891" s="78"/>
      <c r="I891" s="79"/>
      <c r="J891" s="52"/>
      <c r="K891" s="156"/>
      <c r="L891" s="383"/>
      <c r="M891" s="542"/>
      <c r="N891" s="701">
        <f t="shared" si="27"/>
        <v>0</v>
      </c>
      <c r="O891" s="675"/>
      <c r="P891" s="675"/>
      <c r="Q891" s="675"/>
      <c r="R891" s="675"/>
      <c r="S891" s="675"/>
      <c r="T891" s="675"/>
      <c r="U891" s="675"/>
      <c r="V891" s="675"/>
      <c r="W891" s="675"/>
      <c r="X891" s="675"/>
      <c r="Y891" s="675"/>
      <c r="Z891" s="675"/>
      <c r="AA891" s="675"/>
      <c r="AB891" s="675"/>
      <c r="AC891" s="675"/>
      <c r="AD891" s="675"/>
      <c r="AE891" s="675"/>
      <c r="AF891" s="675"/>
      <c r="AG891" s="675"/>
      <c r="AH891" s="675"/>
      <c r="AI891" s="675"/>
      <c r="AJ891" s="675"/>
      <c r="AK891" s="658"/>
    </row>
    <row r="892" spans="1:37" ht="15">
      <c r="A892" s="5"/>
      <c r="B892" s="313"/>
      <c r="C892" s="835"/>
      <c r="D892" s="724" t="s">
        <v>727</v>
      </c>
      <c r="E892" s="131"/>
      <c r="F892" s="75"/>
      <c r="G892" s="111"/>
      <c r="H892" s="78"/>
      <c r="I892" s="79"/>
      <c r="J892" s="52"/>
      <c r="K892" s="156"/>
      <c r="L892" s="383"/>
      <c r="M892" s="542"/>
      <c r="N892" s="701">
        <f t="shared" si="27"/>
        <v>0</v>
      </c>
      <c r="O892" s="675"/>
      <c r="P892" s="675"/>
      <c r="Q892" s="675"/>
      <c r="R892" s="675"/>
      <c r="S892" s="675"/>
      <c r="T892" s="675"/>
      <c r="U892" s="675"/>
      <c r="V892" s="675"/>
      <c r="W892" s="675"/>
      <c r="X892" s="675"/>
      <c r="Y892" s="675"/>
      <c r="Z892" s="675"/>
      <c r="AA892" s="675"/>
      <c r="AB892" s="675"/>
      <c r="AC892" s="675"/>
      <c r="AD892" s="675"/>
      <c r="AE892" s="675"/>
      <c r="AF892" s="675"/>
      <c r="AG892" s="675"/>
      <c r="AH892" s="675"/>
      <c r="AI892" s="675"/>
      <c r="AJ892" s="675"/>
      <c r="AK892" s="658"/>
    </row>
    <row r="893" spans="1:37" ht="15">
      <c r="A893" s="5"/>
      <c r="B893" s="313"/>
      <c r="C893" s="835"/>
      <c r="D893" s="724" t="s">
        <v>728</v>
      </c>
      <c r="E893" s="131"/>
      <c r="F893" s="75"/>
      <c r="G893" s="111"/>
      <c r="H893" s="78"/>
      <c r="I893" s="79"/>
      <c r="J893" s="52"/>
      <c r="K893" s="156"/>
      <c r="L893" s="383"/>
      <c r="M893" s="542"/>
      <c r="N893" s="701">
        <f t="shared" si="27"/>
        <v>0</v>
      </c>
      <c r="O893" s="675"/>
      <c r="P893" s="675"/>
      <c r="Q893" s="675"/>
      <c r="R893" s="675"/>
      <c r="S893" s="675"/>
      <c r="T893" s="675"/>
      <c r="U893" s="675"/>
      <c r="V893" s="675"/>
      <c r="W893" s="675"/>
      <c r="X893" s="675"/>
      <c r="Y893" s="675"/>
      <c r="Z893" s="675"/>
      <c r="AA893" s="675"/>
      <c r="AB893" s="675"/>
      <c r="AC893" s="675"/>
      <c r="AD893" s="675"/>
      <c r="AE893" s="675"/>
      <c r="AF893" s="675"/>
      <c r="AG893" s="675"/>
      <c r="AH893" s="675"/>
      <c r="AI893" s="675"/>
      <c r="AJ893" s="675"/>
      <c r="AK893" s="658"/>
    </row>
    <row r="894" spans="1:37" ht="15" customHeight="1">
      <c r="A894" s="5"/>
      <c r="B894" s="313"/>
      <c r="C894" s="835"/>
      <c r="D894" s="724" t="s">
        <v>729</v>
      </c>
      <c r="E894" s="67" t="s">
        <v>27</v>
      </c>
      <c r="F894" s="253">
        <v>200000</v>
      </c>
      <c r="G894" s="64">
        <v>6</v>
      </c>
      <c r="H894" s="64">
        <f>F894*G894</f>
        <v>1200000</v>
      </c>
      <c r="I894" s="72"/>
      <c r="J894" s="52"/>
      <c r="K894" s="156"/>
      <c r="L894" s="383"/>
      <c r="M894" s="542"/>
      <c r="N894" s="701">
        <f t="shared" si="27"/>
        <v>0</v>
      </c>
      <c r="O894" s="675"/>
      <c r="P894" s="675"/>
      <c r="Q894" s="675"/>
      <c r="R894" s="675"/>
      <c r="S894" s="675"/>
      <c r="T894" s="675"/>
      <c r="U894" s="675"/>
      <c r="V894" s="675"/>
      <c r="W894" s="675"/>
      <c r="X894" s="675"/>
      <c r="Y894" s="675"/>
      <c r="Z894" s="675"/>
      <c r="AA894" s="675"/>
      <c r="AB894" s="675"/>
      <c r="AC894" s="675"/>
      <c r="AD894" s="675"/>
      <c r="AE894" s="675"/>
      <c r="AF894" s="675"/>
      <c r="AG894" s="675"/>
      <c r="AH894" s="675"/>
      <c r="AI894" s="675"/>
      <c r="AJ894" s="675"/>
      <c r="AK894" s="658"/>
    </row>
    <row r="895" spans="1:37" ht="15" customHeight="1">
      <c r="A895" s="5"/>
      <c r="B895" s="313"/>
      <c r="C895" s="835"/>
      <c r="D895" s="105" t="s">
        <v>166</v>
      </c>
      <c r="E895" s="127"/>
      <c r="F895" s="128"/>
      <c r="G895" s="121"/>
      <c r="H895" s="137"/>
      <c r="I895" s="126"/>
      <c r="J895" s="52"/>
      <c r="K895" s="156"/>
      <c r="L895" s="383"/>
      <c r="M895" s="542"/>
      <c r="N895" s="701">
        <f t="shared" si="27"/>
        <v>0</v>
      </c>
      <c r="O895" s="675"/>
      <c r="P895" s="675"/>
      <c r="Q895" s="675"/>
      <c r="R895" s="675"/>
      <c r="S895" s="675"/>
      <c r="T895" s="675"/>
      <c r="U895" s="675"/>
      <c r="V895" s="675"/>
      <c r="W895" s="675"/>
      <c r="X895" s="675"/>
      <c r="Y895" s="675"/>
      <c r="Z895" s="675"/>
      <c r="AA895" s="675"/>
      <c r="AB895" s="675"/>
      <c r="AC895" s="675"/>
      <c r="AD895" s="675"/>
      <c r="AE895" s="675"/>
      <c r="AF895" s="675"/>
      <c r="AG895" s="675"/>
      <c r="AH895" s="675"/>
      <c r="AI895" s="675"/>
      <c r="AJ895" s="675"/>
      <c r="AK895" s="658"/>
    </row>
    <row r="896" spans="1:37" ht="15" customHeight="1">
      <c r="A896" s="5"/>
      <c r="B896" s="313"/>
      <c r="C896" s="835"/>
      <c r="D896" s="725" t="s">
        <v>730</v>
      </c>
      <c r="E896" s="131"/>
      <c r="F896" s="75"/>
      <c r="G896" s="111"/>
      <c r="H896" s="78"/>
      <c r="I896" s="79"/>
      <c r="J896" s="52"/>
      <c r="K896" s="156"/>
      <c r="L896" s="383"/>
      <c r="M896" s="542"/>
      <c r="N896" s="701">
        <f t="shared" si="27"/>
        <v>0</v>
      </c>
      <c r="O896" s="675"/>
      <c r="P896" s="675"/>
      <c r="Q896" s="675"/>
      <c r="R896" s="675"/>
      <c r="S896" s="675"/>
      <c r="T896" s="675"/>
      <c r="U896" s="675"/>
      <c r="V896" s="675"/>
      <c r="W896" s="675"/>
      <c r="X896" s="675"/>
      <c r="Y896" s="675"/>
      <c r="Z896" s="675"/>
      <c r="AA896" s="675"/>
      <c r="AB896" s="675"/>
      <c r="AC896" s="675"/>
      <c r="AD896" s="675"/>
      <c r="AE896" s="675"/>
      <c r="AF896" s="675"/>
      <c r="AG896" s="675"/>
      <c r="AH896" s="675"/>
      <c r="AI896" s="675"/>
      <c r="AJ896" s="675"/>
      <c r="AK896" s="658"/>
    </row>
    <row r="897" spans="1:37" ht="15" customHeight="1">
      <c r="A897" s="5"/>
      <c r="B897" s="313"/>
      <c r="C897" s="835"/>
      <c r="D897" s="725"/>
      <c r="E897" s="131"/>
      <c r="F897" s="75"/>
      <c r="G897" s="111"/>
      <c r="H897" s="78"/>
      <c r="I897" s="79"/>
      <c r="J897" s="52"/>
      <c r="K897" s="156"/>
      <c r="L897" s="383"/>
      <c r="M897" s="542"/>
      <c r="N897" s="701">
        <f t="shared" si="27"/>
        <v>0</v>
      </c>
      <c r="O897" s="675"/>
      <c r="P897" s="675"/>
      <c r="Q897" s="675"/>
      <c r="R897" s="675"/>
      <c r="S897" s="675"/>
      <c r="T897" s="675"/>
      <c r="U897" s="675"/>
      <c r="V897" s="675"/>
      <c r="W897" s="675"/>
      <c r="X897" s="675"/>
      <c r="Y897" s="675"/>
      <c r="Z897" s="675"/>
      <c r="AA897" s="675"/>
      <c r="AB897" s="675"/>
      <c r="AC897" s="675"/>
      <c r="AD897" s="675"/>
      <c r="AE897" s="675"/>
      <c r="AF897" s="675"/>
      <c r="AG897" s="675"/>
      <c r="AH897" s="675"/>
      <c r="AI897" s="675"/>
      <c r="AJ897" s="675"/>
      <c r="AK897" s="658"/>
    </row>
    <row r="898" spans="1:37" ht="15" customHeight="1">
      <c r="A898" s="5"/>
      <c r="B898" s="313"/>
      <c r="C898" s="835"/>
      <c r="D898" s="725" t="s">
        <v>731</v>
      </c>
      <c r="E898" s="131"/>
      <c r="F898" s="75"/>
      <c r="G898" s="111"/>
      <c r="H898" s="78"/>
      <c r="I898" s="79"/>
      <c r="J898" s="52"/>
      <c r="K898" s="156"/>
      <c r="L898" s="383"/>
      <c r="M898" s="542"/>
      <c r="N898" s="701">
        <f t="shared" si="27"/>
        <v>0</v>
      </c>
      <c r="O898" s="675"/>
      <c r="P898" s="675"/>
      <c r="Q898" s="675"/>
      <c r="R898" s="675"/>
      <c r="S898" s="675"/>
      <c r="T898" s="675"/>
      <c r="U898" s="675"/>
      <c r="V898" s="675"/>
      <c r="W898" s="675"/>
      <c r="X898" s="675"/>
      <c r="Y898" s="675"/>
      <c r="Z898" s="675"/>
      <c r="AA898" s="675"/>
      <c r="AB898" s="675"/>
      <c r="AC898" s="675"/>
      <c r="AD898" s="675"/>
      <c r="AE898" s="675"/>
      <c r="AF898" s="675"/>
      <c r="AG898" s="675"/>
      <c r="AH898" s="675"/>
      <c r="AI898" s="675"/>
      <c r="AJ898" s="675"/>
      <c r="AK898" s="658"/>
    </row>
    <row r="899" spans="1:37" ht="15" customHeight="1">
      <c r="A899" s="5"/>
      <c r="B899" s="313"/>
      <c r="C899" s="835"/>
      <c r="D899" s="725" t="s">
        <v>732</v>
      </c>
      <c r="E899" s="131"/>
      <c r="F899" s="75"/>
      <c r="G899" s="111"/>
      <c r="H899" s="78"/>
      <c r="I899" s="79"/>
      <c r="J899" s="52"/>
      <c r="K899" s="156"/>
      <c r="L899" s="383"/>
      <c r="M899" s="542"/>
      <c r="N899" s="701">
        <f t="shared" si="27"/>
        <v>0</v>
      </c>
      <c r="O899" s="675"/>
      <c r="P899" s="675"/>
      <c r="Q899" s="675"/>
      <c r="R899" s="675"/>
      <c r="S899" s="675"/>
      <c r="T899" s="675"/>
      <c r="U899" s="675"/>
      <c r="V899" s="675"/>
      <c r="W899" s="675"/>
      <c r="X899" s="675"/>
      <c r="Y899" s="675"/>
      <c r="Z899" s="675"/>
      <c r="AA899" s="675"/>
      <c r="AB899" s="675"/>
      <c r="AC899" s="675"/>
      <c r="AD899" s="675"/>
      <c r="AE899" s="675"/>
      <c r="AF899" s="675"/>
      <c r="AG899" s="675"/>
      <c r="AH899" s="675"/>
      <c r="AI899" s="675"/>
      <c r="AJ899" s="675"/>
      <c r="AK899" s="658"/>
    </row>
    <row r="900" spans="1:37" ht="15" customHeight="1">
      <c r="A900" s="5"/>
      <c r="B900" s="313"/>
      <c r="C900" s="835"/>
      <c r="D900" s="725" t="s">
        <v>733</v>
      </c>
      <c r="E900" s="131"/>
      <c r="F900" s="75"/>
      <c r="G900" s="111"/>
      <c r="H900" s="78"/>
      <c r="I900" s="79"/>
      <c r="J900" s="52"/>
      <c r="K900" s="156"/>
      <c r="L900" s="383"/>
      <c r="M900" s="542"/>
      <c r="N900" s="701">
        <f t="shared" si="27"/>
        <v>0</v>
      </c>
      <c r="O900" s="675"/>
      <c r="P900" s="675"/>
      <c r="Q900" s="675"/>
      <c r="R900" s="675"/>
      <c r="S900" s="675"/>
      <c r="T900" s="675"/>
      <c r="U900" s="675"/>
      <c r="V900" s="675"/>
      <c r="W900" s="675"/>
      <c r="X900" s="675"/>
      <c r="Y900" s="675"/>
      <c r="Z900" s="675"/>
      <c r="AA900" s="675"/>
      <c r="AB900" s="675"/>
      <c r="AC900" s="675"/>
      <c r="AD900" s="675"/>
      <c r="AE900" s="675"/>
      <c r="AF900" s="675"/>
      <c r="AG900" s="675"/>
      <c r="AH900" s="675"/>
      <c r="AI900" s="675"/>
      <c r="AJ900" s="675"/>
      <c r="AK900" s="658"/>
    </row>
    <row r="901" spans="1:37" ht="15" customHeight="1">
      <c r="A901" s="5"/>
      <c r="B901" s="313"/>
      <c r="C901" s="835"/>
      <c r="D901" s="725" t="s">
        <v>734</v>
      </c>
      <c r="E901" s="131"/>
      <c r="F901" s="75"/>
      <c r="G901" s="111"/>
      <c r="H901" s="78"/>
      <c r="I901" s="79"/>
      <c r="J901" s="52"/>
      <c r="K901" s="156"/>
      <c r="L901" s="383"/>
      <c r="M901" s="542"/>
      <c r="N901" s="701">
        <f t="shared" ref="N901:N932" si="28">SUM(O901:AJ901)-I901</f>
        <v>0</v>
      </c>
      <c r="O901" s="675"/>
      <c r="P901" s="675"/>
      <c r="Q901" s="675"/>
      <c r="R901" s="675"/>
      <c r="S901" s="675"/>
      <c r="T901" s="675"/>
      <c r="U901" s="675"/>
      <c r="V901" s="675"/>
      <c r="W901" s="675"/>
      <c r="X901" s="675"/>
      <c r="Y901" s="675"/>
      <c r="Z901" s="675"/>
      <c r="AA901" s="675"/>
      <c r="AB901" s="675"/>
      <c r="AC901" s="675"/>
      <c r="AD901" s="675"/>
      <c r="AE901" s="675"/>
      <c r="AF901" s="675"/>
      <c r="AG901" s="675"/>
      <c r="AH901" s="675"/>
      <c r="AI901" s="675"/>
      <c r="AJ901" s="675"/>
      <c r="AK901" s="658"/>
    </row>
    <row r="902" spans="1:37" ht="15" customHeight="1">
      <c r="A902" s="5"/>
      <c r="B902" s="313"/>
      <c r="C902" s="835"/>
      <c r="D902" s="725" t="s">
        <v>735</v>
      </c>
      <c r="E902" s="131"/>
      <c r="F902" s="75"/>
      <c r="G902" s="111"/>
      <c r="H902" s="78"/>
      <c r="I902" s="79"/>
      <c r="J902" s="52"/>
      <c r="K902" s="156"/>
      <c r="L902" s="383"/>
      <c r="M902" s="542"/>
      <c r="N902" s="701">
        <f t="shared" si="28"/>
        <v>0</v>
      </c>
      <c r="O902" s="675"/>
      <c r="P902" s="675"/>
      <c r="Q902" s="675"/>
      <c r="R902" s="675"/>
      <c r="S902" s="675"/>
      <c r="T902" s="675"/>
      <c r="U902" s="675"/>
      <c r="V902" s="675"/>
      <c r="W902" s="675"/>
      <c r="X902" s="675"/>
      <c r="Y902" s="675"/>
      <c r="Z902" s="675"/>
      <c r="AA902" s="675"/>
      <c r="AB902" s="675"/>
      <c r="AC902" s="675"/>
      <c r="AD902" s="675"/>
      <c r="AE902" s="675"/>
      <c r="AF902" s="675"/>
      <c r="AG902" s="675"/>
      <c r="AH902" s="675"/>
      <c r="AI902" s="675"/>
      <c r="AJ902" s="675"/>
      <c r="AK902" s="658"/>
    </row>
    <row r="903" spans="1:37" ht="15" customHeight="1">
      <c r="A903" s="5"/>
      <c r="B903" s="313"/>
      <c r="C903" s="835"/>
      <c r="D903" s="725" t="s">
        <v>736</v>
      </c>
      <c r="E903" s="131"/>
      <c r="F903" s="75"/>
      <c r="G903" s="111"/>
      <c r="H903" s="78"/>
      <c r="I903" s="79"/>
      <c r="J903" s="52"/>
      <c r="K903" s="156"/>
      <c r="L903" s="383"/>
      <c r="M903" s="542"/>
      <c r="N903" s="701">
        <f t="shared" si="28"/>
        <v>0</v>
      </c>
      <c r="O903" s="675"/>
      <c r="P903" s="675"/>
      <c r="Q903" s="675"/>
      <c r="R903" s="675"/>
      <c r="S903" s="675"/>
      <c r="T903" s="675"/>
      <c r="U903" s="675"/>
      <c r="V903" s="675"/>
      <c r="W903" s="675"/>
      <c r="X903" s="675"/>
      <c r="Y903" s="675"/>
      <c r="Z903" s="675"/>
      <c r="AA903" s="675"/>
      <c r="AB903" s="675"/>
      <c r="AC903" s="675"/>
      <c r="AD903" s="675"/>
      <c r="AE903" s="675"/>
      <c r="AF903" s="675"/>
      <c r="AG903" s="675"/>
      <c r="AH903" s="675"/>
      <c r="AI903" s="675"/>
      <c r="AJ903" s="675"/>
      <c r="AK903" s="658"/>
    </row>
    <row r="904" spans="1:37" ht="15" customHeight="1">
      <c r="A904" s="5"/>
      <c r="B904" s="313"/>
      <c r="C904" s="835"/>
      <c r="D904" s="725" t="s">
        <v>737</v>
      </c>
      <c r="E904" s="131"/>
      <c r="F904" s="75"/>
      <c r="G904" s="111"/>
      <c r="H904" s="78"/>
      <c r="I904" s="79"/>
      <c r="J904" s="52"/>
      <c r="K904" s="156"/>
      <c r="L904" s="383"/>
      <c r="M904" s="542"/>
      <c r="N904" s="701">
        <f t="shared" si="28"/>
        <v>0</v>
      </c>
      <c r="O904" s="675"/>
      <c r="P904" s="675"/>
      <c r="Q904" s="675"/>
      <c r="R904" s="675"/>
      <c r="S904" s="675"/>
      <c r="T904" s="675"/>
      <c r="U904" s="675"/>
      <c r="V904" s="675"/>
      <c r="W904" s="675"/>
      <c r="X904" s="675"/>
      <c r="Y904" s="675"/>
      <c r="Z904" s="675"/>
      <c r="AA904" s="675"/>
      <c r="AB904" s="675"/>
      <c r="AC904" s="675"/>
      <c r="AD904" s="675"/>
      <c r="AE904" s="675"/>
      <c r="AF904" s="675"/>
      <c r="AG904" s="675"/>
      <c r="AH904" s="675"/>
      <c r="AI904" s="675"/>
      <c r="AJ904" s="675"/>
      <c r="AK904" s="658"/>
    </row>
    <row r="905" spans="1:37" ht="15" customHeight="1">
      <c r="A905" s="5"/>
      <c r="B905" s="313"/>
      <c r="C905" s="835"/>
      <c r="D905" s="725" t="s">
        <v>738</v>
      </c>
      <c r="E905" s="131"/>
      <c r="F905" s="75"/>
      <c r="G905" s="111"/>
      <c r="H905" s="78"/>
      <c r="I905" s="79"/>
      <c r="J905" s="52"/>
      <c r="K905" s="156"/>
      <c r="L905" s="383"/>
      <c r="M905" s="542"/>
      <c r="N905" s="701">
        <f t="shared" si="28"/>
        <v>0</v>
      </c>
      <c r="O905" s="675"/>
      <c r="P905" s="675"/>
      <c r="Q905" s="675"/>
      <c r="R905" s="675"/>
      <c r="S905" s="675"/>
      <c r="T905" s="675"/>
      <c r="U905" s="675"/>
      <c r="V905" s="675"/>
      <c r="W905" s="675"/>
      <c r="X905" s="675"/>
      <c r="Y905" s="675"/>
      <c r="Z905" s="675"/>
      <c r="AA905" s="675"/>
      <c r="AB905" s="675"/>
      <c r="AC905" s="675"/>
      <c r="AD905" s="675"/>
      <c r="AE905" s="675"/>
      <c r="AF905" s="675"/>
      <c r="AG905" s="675"/>
      <c r="AH905" s="675"/>
      <c r="AI905" s="675"/>
      <c r="AJ905" s="675"/>
      <c r="AK905" s="658"/>
    </row>
    <row r="906" spans="1:37" ht="15" customHeight="1">
      <c r="A906" s="5"/>
      <c r="B906" s="313"/>
      <c r="C906" s="835"/>
      <c r="D906" s="725" t="s">
        <v>739</v>
      </c>
      <c r="E906" s="131"/>
      <c r="F906" s="75"/>
      <c r="G906" s="111"/>
      <c r="H906" s="78"/>
      <c r="I906" s="79"/>
      <c r="J906" s="52"/>
      <c r="K906" s="156"/>
      <c r="L906" s="383"/>
      <c r="M906" s="542"/>
      <c r="N906" s="701">
        <f t="shared" si="28"/>
        <v>0</v>
      </c>
      <c r="O906" s="675"/>
      <c r="P906" s="675"/>
      <c r="Q906" s="675"/>
      <c r="R906" s="675"/>
      <c r="S906" s="675"/>
      <c r="T906" s="675"/>
      <c r="U906" s="675"/>
      <c r="V906" s="675"/>
      <c r="W906" s="675"/>
      <c r="X906" s="675"/>
      <c r="Y906" s="675"/>
      <c r="Z906" s="675"/>
      <c r="AA906" s="675"/>
      <c r="AB906" s="675"/>
      <c r="AC906" s="675"/>
      <c r="AD906" s="675"/>
      <c r="AE906" s="675"/>
      <c r="AF906" s="675"/>
      <c r="AG906" s="675"/>
      <c r="AH906" s="675"/>
      <c r="AI906" s="675"/>
      <c r="AJ906" s="675"/>
      <c r="AK906" s="658"/>
    </row>
    <row r="907" spans="1:37" ht="15" customHeight="1">
      <c r="A907" s="5"/>
      <c r="B907" s="313"/>
      <c r="C907" s="835"/>
      <c r="D907" s="725" t="s">
        <v>740</v>
      </c>
      <c r="E907" s="131"/>
      <c r="F907" s="75"/>
      <c r="G907" s="111"/>
      <c r="H907" s="78"/>
      <c r="I907" s="79"/>
      <c r="J907" s="52"/>
      <c r="K907" s="156"/>
      <c r="L907" s="383"/>
      <c r="M907" s="542"/>
      <c r="N907" s="701">
        <f t="shared" si="28"/>
        <v>0</v>
      </c>
      <c r="O907" s="675"/>
      <c r="P907" s="675"/>
      <c r="Q907" s="675"/>
      <c r="R907" s="675"/>
      <c r="S907" s="675"/>
      <c r="T907" s="675"/>
      <c r="U907" s="675"/>
      <c r="V907" s="675"/>
      <c r="W907" s="675"/>
      <c r="X907" s="675"/>
      <c r="Y907" s="675"/>
      <c r="Z907" s="675"/>
      <c r="AA907" s="675"/>
      <c r="AB907" s="675"/>
      <c r="AC907" s="675"/>
      <c r="AD907" s="675"/>
      <c r="AE907" s="675"/>
      <c r="AF907" s="675"/>
      <c r="AG907" s="675"/>
      <c r="AH907" s="675"/>
      <c r="AI907" s="675"/>
      <c r="AJ907" s="675"/>
      <c r="AK907" s="658"/>
    </row>
    <row r="908" spans="1:37" ht="15" customHeight="1">
      <c r="A908" s="5"/>
      <c r="B908" s="313"/>
      <c r="C908" s="835"/>
      <c r="D908" s="725" t="s">
        <v>741</v>
      </c>
      <c r="E908" s="131"/>
      <c r="F908" s="75"/>
      <c r="G908" s="111"/>
      <c r="H908" s="78"/>
      <c r="I908" s="79"/>
      <c r="J908" s="52"/>
      <c r="K908" s="156"/>
      <c r="L908" s="383"/>
      <c r="M908" s="542"/>
      <c r="N908" s="701">
        <f t="shared" si="28"/>
        <v>0</v>
      </c>
      <c r="O908" s="675"/>
      <c r="P908" s="675"/>
      <c r="Q908" s="675"/>
      <c r="R908" s="675"/>
      <c r="S908" s="675"/>
      <c r="T908" s="675"/>
      <c r="U908" s="675"/>
      <c r="V908" s="675"/>
      <c r="W908" s="675"/>
      <c r="X908" s="675"/>
      <c r="Y908" s="675"/>
      <c r="Z908" s="675"/>
      <c r="AA908" s="675"/>
      <c r="AB908" s="675"/>
      <c r="AC908" s="675"/>
      <c r="AD908" s="675"/>
      <c r="AE908" s="675"/>
      <c r="AF908" s="675"/>
      <c r="AG908" s="675"/>
      <c r="AH908" s="675"/>
      <c r="AI908" s="675"/>
      <c r="AJ908" s="675"/>
      <c r="AK908" s="658"/>
    </row>
    <row r="909" spans="1:37" ht="15" customHeight="1">
      <c r="A909" s="5"/>
      <c r="B909" s="313"/>
      <c r="C909" s="835"/>
      <c r="D909" s="725" t="s">
        <v>742</v>
      </c>
      <c r="E909" s="131"/>
      <c r="F909" s="75"/>
      <c r="G909" s="111"/>
      <c r="H909" s="78"/>
      <c r="I909" s="79"/>
      <c r="J909" s="52"/>
      <c r="K909" s="156"/>
      <c r="L909" s="383"/>
      <c r="M909" s="542"/>
      <c r="N909" s="701">
        <f t="shared" si="28"/>
        <v>0</v>
      </c>
      <c r="O909" s="675"/>
      <c r="P909" s="675"/>
      <c r="Q909" s="675"/>
      <c r="R909" s="675"/>
      <c r="S909" s="675"/>
      <c r="T909" s="675"/>
      <c r="U909" s="675"/>
      <c r="V909" s="675"/>
      <c r="W909" s="675"/>
      <c r="X909" s="675"/>
      <c r="Y909" s="675"/>
      <c r="Z909" s="675"/>
      <c r="AA909" s="675"/>
      <c r="AB909" s="675"/>
      <c r="AC909" s="675"/>
      <c r="AD909" s="675"/>
      <c r="AE909" s="675"/>
      <c r="AF909" s="675"/>
      <c r="AG909" s="675"/>
      <c r="AH909" s="675"/>
      <c r="AI909" s="675"/>
      <c r="AJ909" s="675"/>
      <c r="AK909" s="658"/>
    </row>
    <row r="910" spans="1:37" ht="15" customHeight="1">
      <c r="A910" s="5"/>
      <c r="B910" s="313"/>
      <c r="C910" s="835"/>
      <c r="D910" s="725" t="s">
        <v>743</v>
      </c>
      <c r="E910" s="131"/>
      <c r="F910" s="75"/>
      <c r="G910" s="111"/>
      <c r="H910" s="78"/>
      <c r="I910" s="79"/>
      <c r="J910" s="52"/>
      <c r="K910" s="156"/>
      <c r="L910" s="383"/>
      <c r="M910" s="542"/>
      <c r="N910" s="701">
        <f t="shared" si="28"/>
        <v>0</v>
      </c>
      <c r="O910" s="675"/>
      <c r="P910" s="675"/>
      <c r="Q910" s="675"/>
      <c r="R910" s="675"/>
      <c r="S910" s="675"/>
      <c r="T910" s="675"/>
      <c r="U910" s="675"/>
      <c r="V910" s="675"/>
      <c r="W910" s="675"/>
      <c r="X910" s="675"/>
      <c r="Y910" s="675"/>
      <c r="Z910" s="675"/>
      <c r="AA910" s="675"/>
      <c r="AB910" s="675"/>
      <c r="AC910" s="675"/>
      <c r="AD910" s="675"/>
      <c r="AE910" s="675"/>
      <c r="AF910" s="675"/>
      <c r="AG910" s="675"/>
      <c r="AH910" s="675"/>
      <c r="AI910" s="675"/>
      <c r="AJ910" s="675"/>
      <c r="AK910" s="658"/>
    </row>
    <row r="911" spans="1:37" ht="15" customHeight="1">
      <c r="A911" s="5"/>
      <c r="B911" s="313"/>
      <c r="C911" s="835"/>
      <c r="D911" s="725" t="s">
        <v>744</v>
      </c>
      <c r="E911" s="131"/>
      <c r="F911" s="75"/>
      <c r="G911" s="111"/>
      <c r="H911" s="78"/>
      <c r="I911" s="79"/>
      <c r="J911" s="52"/>
      <c r="K911" s="156"/>
      <c r="L911" s="383"/>
      <c r="M911" s="542"/>
      <c r="N911" s="701">
        <f t="shared" si="28"/>
        <v>0</v>
      </c>
      <c r="O911" s="675"/>
      <c r="P911" s="675"/>
      <c r="Q911" s="675"/>
      <c r="R911" s="675"/>
      <c r="S911" s="675"/>
      <c r="T911" s="675"/>
      <c r="U911" s="675"/>
      <c r="V911" s="675"/>
      <c r="W911" s="675"/>
      <c r="X911" s="675"/>
      <c r="Y911" s="675"/>
      <c r="Z911" s="675"/>
      <c r="AA911" s="675"/>
      <c r="AB911" s="675"/>
      <c r="AC911" s="675"/>
      <c r="AD911" s="675"/>
      <c r="AE911" s="675"/>
      <c r="AF911" s="675"/>
      <c r="AG911" s="675"/>
      <c r="AH911" s="675"/>
      <c r="AI911" s="675"/>
      <c r="AJ911" s="675"/>
      <c r="AK911" s="658"/>
    </row>
    <row r="912" spans="1:37" ht="15" customHeight="1">
      <c r="A912" s="5"/>
      <c r="B912" s="313"/>
      <c r="C912" s="835"/>
      <c r="D912" s="725" t="s">
        <v>745</v>
      </c>
      <c r="E912" s="131"/>
      <c r="F912" s="75"/>
      <c r="G912" s="111"/>
      <c r="H912" s="78"/>
      <c r="I912" s="79"/>
      <c r="J912" s="52"/>
      <c r="K912" s="156"/>
      <c r="L912" s="383"/>
      <c r="M912" s="542"/>
      <c r="N912" s="701">
        <f t="shared" si="28"/>
        <v>0</v>
      </c>
      <c r="O912" s="675"/>
      <c r="P912" s="675"/>
      <c r="Q912" s="675"/>
      <c r="R912" s="675"/>
      <c r="S912" s="675"/>
      <c r="T912" s="675"/>
      <c r="U912" s="675"/>
      <c r="V912" s="675"/>
      <c r="W912" s="675"/>
      <c r="X912" s="675"/>
      <c r="Y912" s="675"/>
      <c r="Z912" s="675"/>
      <c r="AA912" s="675"/>
      <c r="AB912" s="675"/>
      <c r="AC912" s="675"/>
      <c r="AD912" s="675"/>
      <c r="AE912" s="675"/>
      <c r="AF912" s="675"/>
      <c r="AG912" s="675"/>
      <c r="AH912" s="675"/>
      <c r="AI912" s="675"/>
      <c r="AJ912" s="675"/>
      <c r="AK912" s="658"/>
    </row>
    <row r="913" spans="1:37" ht="15" customHeight="1">
      <c r="A913" s="5"/>
      <c r="B913" s="313"/>
      <c r="C913" s="835"/>
      <c r="D913" s="725" t="s">
        <v>746</v>
      </c>
      <c r="E913" s="131"/>
      <c r="F913" s="75"/>
      <c r="G913" s="111"/>
      <c r="H913" s="78"/>
      <c r="I913" s="79"/>
      <c r="J913" s="52"/>
      <c r="K913" s="156"/>
      <c r="L913" s="383"/>
      <c r="M913" s="542"/>
      <c r="N913" s="701">
        <f t="shared" si="28"/>
        <v>0</v>
      </c>
      <c r="O913" s="675"/>
      <c r="P913" s="675"/>
      <c r="Q913" s="675"/>
      <c r="R913" s="675"/>
      <c r="S913" s="675"/>
      <c r="T913" s="675"/>
      <c r="U913" s="675"/>
      <c r="V913" s="675"/>
      <c r="W913" s="675"/>
      <c r="X913" s="675"/>
      <c r="Y913" s="675"/>
      <c r="Z913" s="675"/>
      <c r="AA913" s="675"/>
      <c r="AB913" s="675"/>
      <c r="AC913" s="675"/>
      <c r="AD913" s="675"/>
      <c r="AE913" s="675"/>
      <c r="AF913" s="675"/>
      <c r="AG913" s="675"/>
      <c r="AH913" s="675"/>
      <c r="AI913" s="675"/>
      <c r="AJ913" s="675"/>
      <c r="AK913" s="658"/>
    </row>
    <row r="914" spans="1:37" ht="15" customHeight="1">
      <c r="A914" s="5"/>
      <c r="B914" s="313"/>
      <c r="C914" s="835"/>
      <c r="D914" s="725" t="s">
        <v>747</v>
      </c>
      <c r="E914" s="131"/>
      <c r="F914" s="75"/>
      <c r="G914" s="111"/>
      <c r="H914" s="78"/>
      <c r="I914" s="79"/>
      <c r="J914" s="52"/>
      <c r="K914" s="156"/>
      <c r="L914" s="383"/>
      <c r="M914" s="542"/>
      <c r="N914" s="701">
        <f t="shared" si="28"/>
        <v>0</v>
      </c>
      <c r="O914" s="675"/>
      <c r="P914" s="675"/>
      <c r="Q914" s="675"/>
      <c r="R914" s="675"/>
      <c r="S914" s="675"/>
      <c r="T914" s="675"/>
      <c r="U914" s="675"/>
      <c r="V914" s="675"/>
      <c r="W914" s="675"/>
      <c r="X914" s="675"/>
      <c r="Y914" s="675"/>
      <c r="Z914" s="675"/>
      <c r="AA914" s="675"/>
      <c r="AB914" s="675"/>
      <c r="AC914" s="675"/>
      <c r="AD914" s="675"/>
      <c r="AE914" s="675"/>
      <c r="AF914" s="675"/>
      <c r="AG914" s="675"/>
      <c r="AH914" s="675"/>
      <c r="AI914" s="675"/>
      <c r="AJ914" s="675"/>
      <c r="AK914" s="658"/>
    </row>
    <row r="915" spans="1:37" ht="15" customHeight="1">
      <c r="A915" s="5"/>
      <c r="B915" s="313"/>
      <c r="C915" s="835"/>
      <c r="D915" s="725" t="s">
        <v>748</v>
      </c>
      <c r="E915" s="131"/>
      <c r="F915" s="75"/>
      <c r="G915" s="111"/>
      <c r="H915" s="78"/>
      <c r="I915" s="79"/>
      <c r="J915" s="52"/>
      <c r="K915" s="156"/>
      <c r="L915" s="383"/>
      <c r="M915" s="542"/>
      <c r="N915" s="701">
        <f t="shared" si="28"/>
        <v>0</v>
      </c>
      <c r="O915" s="675"/>
      <c r="P915" s="675"/>
      <c r="Q915" s="675"/>
      <c r="R915" s="675"/>
      <c r="S915" s="675"/>
      <c r="T915" s="675"/>
      <c r="U915" s="675"/>
      <c r="V915" s="675"/>
      <c r="W915" s="675"/>
      <c r="X915" s="675"/>
      <c r="Y915" s="675"/>
      <c r="Z915" s="675"/>
      <c r="AA915" s="675"/>
      <c r="AB915" s="675"/>
      <c r="AC915" s="675"/>
      <c r="AD915" s="675"/>
      <c r="AE915" s="675"/>
      <c r="AF915" s="675"/>
      <c r="AG915" s="675"/>
      <c r="AH915" s="675"/>
      <c r="AI915" s="675"/>
      <c r="AJ915" s="675"/>
      <c r="AK915" s="658"/>
    </row>
    <row r="916" spans="1:37" ht="15" customHeight="1">
      <c r="A916" s="5"/>
      <c r="B916" s="313"/>
      <c r="C916" s="835"/>
      <c r="D916" s="725" t="s">
        <v>749</v>
      </c>
      <c r="E916" s="131"/>
      <c r="F916" s="75"/>
      <c r="G916" s="111"/>
      <c r="H916" s="78"/>
      <c r="I916" s="79"/>
      <c r="J916" s="52"/>
      <c r="K916" s="156"/>
      <c r="L916" s="383"/>
      <c r="M916" s="542"/>
      <c r="N916" s="701">
        <f t="shared" si="28"/>
        <v>0</v>
      </c>
      <c r="O916" s="675"/>
      <c r="P916" s="675"/>
      <c r="Q916" s="675"/>
      <c r="R916" s="675"/>
      <c r="S916" s="675"/>
      <c r="T916" s="675"/>
      <c r="U916" s="675"/>
      <c r="V916" s="675"/>
      <c r="W916" s="675"/>
      <c r="X916" s="675"/>
      <c r="Y916" s="675"/>
      <c r="Z916" s="675"/>
      <c r="AA916" s="675"/>
      <c r="AB916" s="675"/>
      <c r="AC916" s="675"/>
      <c r="AD916" s="675"/>
      <c r="AE916" s="675"/>
      <c r="AF916" s="675"/>
      <c r="AG916" s="675"/>
      <c r="AH916" s="675"/>
      <c r="AI916" s="675"/>
      <c r="AJ916" s="675"/>
      <c r="AK916" s="658"/>
    </row>
    <row r="917" spans="1:37" ht="15" customHeight="1">
      <c r="A917" s="5"/>
      <c r="B917" s="313"/>
      <c r="C917" s="835"/>
      <c r="D917" s="725" t="s">
        <v>750</v>
      </c>
      <c r="E917" s="131"/>
      <c r="F917" s="75"/>
      <c r="G917" s="111"/>
      <c r="H917" s="78"/>
      <c r="I917" s="79"/>
      <c r="J917" s="52"/>
      <c r="K917" s="156"/>
      <c r="L917" s="383"/>
      <c r="M917" s="542"/>
      <c r="N917" s="701">
        <f t="shared" si="28"/>
        <v>0</v>
      </c>
      <c r="O917" s="675"/>
      <c r="P917" s="675"/>
      <c r="Q917" s="675"/>
      <c r="R917" s="675"/>
      <c r="S917" s="675"/>
      <c r="T917" s="675"/>
      <c r="U917" s="675"/>
      <c r="V917" s="675"/>
      <c r="W917" s="675"/>
      <c r="X917" s="675"/>
      <c r="Y917" s="675"/>
      <c r="Z917" s="675"/>
      <c r="AA917" s="675"/>
      <c r="AB917" s="675"/>
      <c r="AC917" s="675"/>
      <c r="AD917" s="675"/>
      <c r="AE917" s="675"/>
      <c r="AF917" s="675"/>
      <c r="AG917" s="675"/>
      <c r="AH917" s="675"/>
      <c r="AI917" s="675"/>
      <c r="AJ917" s="675"/>
      <c r="AK917" s="658"/>
    </row>
    <row r="918" spans="1:37" ht="15" customHeight="1">
      <c r="A918" s="5"/>
      <c r="B918" s="313"/>
      <c r="C918" s="835"/>
      <c r="D918" s="725" t="s">
        <v>751</v>
      </c>
      <c r="E918" s="131"/>
      <c r="F918" s="75"/>
      <c r="G918" s="111"/>
      <c r="H918" s="78"/>
      <c r="I918" s="79"/>
      <c r="J918" s="52"/>
      <c r="K918" s="156"/>
      <c r="L918" s="383"/>
      <c r="M918" s="542"/>
      <c r="N918" s="701">
        <f t="shared" si="28"/>
        <v>0</v>
      </c>
      <c r="O918" s="675"/>
      <c r="P918" s="675"/>
      <c r="Q918" s="675"/>
      <c r="R918" s="675"/>
      <c r="S918" s="675"/>
      <c r="T918" s="675"/>
      <c r="U918" s="675"/>
      <c r="V918" s="675"/>
      <c r="W918" s="675"/>
      <c r="X918" s="675"/>
      <c r="Y918" s="675"/>
      <c r="Z918" s="675"/>
      <c r="AA918" s="675"/>
      <c r="AB918" s="675"/>
      <c r="AC918" s="675"/>
      <c r="AD918" s="675"/>
      <c r="AE918" s="675"/>
      <c r="AF918" s="675"/>
      <c r="AG918" s="675"/>
      <c r="AH918" s="675"/>
      <c r="AI918" s="675"/>
      <c r="AJ918" s="675"/>
      <c r="AK918" s="658"/>
    </row>
    <row r="919" spans="1:37" ht="15" customHeight="1">
      <c r="A919" s="5"/>
      <c r="B919" s="313"/>
      <c r="C919" s="835"/>
      <c r="D919" s="725" t="s">
        <v>752</v>
      </c>
      <c r="E919" s="131"/>
      <c r="F919" s="75"/>
      <c r="G919" s="111"/>
      <c r="H919" s="78"/>
      <c r="I919" s="79"/>
      <c r="J919" s="52"/>
      <c r="K919" s="156"/>
      <c r="L919" s="383"/>
      <c r="M919" s="542"/>
      <c r="N919" s="701">
        <f t="shared" si="28"/>
        <v>0</v>
      </c>
      <c r="O919" s="675"/>
      <c r="P919" s="675"/>
      <c r="Q919" s="675"/>
      <c r="R919" s="675"/>
      <c r="S919" s="675"/>
      <c r="T919" s="675"/>
      <c r="U919" s="675"/>
      <c r="V919" s="675"/>
      <c r="W919" s="675"/>
      <c r="X919" s="675"/>
      <c r="Y919" s="675"/>
      <c r="Z919" s="675"/>
      <c r="AA919" s="675"/>
      <c r="AB919" s="675"/>
      <c r="AC919" s="675"/>
      <c r="AD919" s="675"/>
      <c r="AE919" s="675"/>
      <c r="AF919" s="675"/>
      <c r="AG919" s="675"/>
      <c r="AH919" s="675"/>
      <c r="AI919" s="675"/>
      <c r="AJ919" s="675"/>
      <c r="AK919" s="658"/>
    </row>
    <row r="920" spans="1:37" ht="15" customHeight="1">
      <c r="A920" s="5"/>
      <c r="B920" s="313"/>
      <c r="C920" s="835"/>
      <c r="D920" s="725" t="s">
        <v>753</v>
      </c>
      <c r="E920" s="131"/>
      <c r="F920" s="75"/>
      <c r="G920" s="111"/>
      <c r="H920" s="78"/>
      <c r="I920" s="79"/>
      <c r="J920" s="52"/>
      <c r="K920" s="156"/>
      <c r="L920" s="383"/>
      <c r="M920" s="542"/>
      <c r="N920" s="701">
        <f t="shared" si="28"/>
        <v>0</v>
      </c>
      <c r="O920" s="675"/>
      <c r="P920" s="675"/>
      <c r="Q920" s="675"/>
      <c r="R920" s="675"/>
      <c r="S920" s="675"/>
      <c r="T920" s="675"/>
      <c r="U920" s="675"/>
      <c r="V920" s="675"/>
      <c r="W920" s="675"/>
      <c r="X920" s="675"/>
      <c r="Y920" s="675"/>
      <c r="Z920" s="675"/>
      <c r="AA920" s="675"/>
      <c r="AB920" s="675"/>
      <c r="AC920" s="675"/>
      <c r="AD920" s="675"/>
      <c r="AE920" s="675"/>
      <c r="AF920" s="675"/>
      <c r="AG920" s="675"/>
      <c r="AH920" s="675"/>
      <c r="AI920" s="675"/>
      <c r="AJ920" s="675"/>
      <c r="AK920" s="658"/>
    </row>
    <row r="921" spans="1:37">
      <c r="A921" s="5"/>
      <c r="B921" s="313"/>
      <c r="C921" s="835"/>
      <c r="D921" s="17"/>
      <c r="E921" s="131"/>
      <c r="F921" s="75"/>
      <c r="G921" s="111"/>
      <c r="H921" s="78"/>
      <c r="I921" s="79"/>
      <c r="J921" s="52"/>
      <c r="K921" s="156"/>
      <c r="L921" s="383"/>
      <c r="M921" s="542"/>
      <c r="N921" s="701">
        <f t="shared" si="28"/>
        <v>0</v>
      </c>
      <c r="O921" s="675"/>
      <c r="P921" s="675"/>
      <c r="Q921" s="675"/>
      <c r="R921" s="675"/>
      <c r="S921" s="675"/>
      <c r="T921" s="675"/>
      <c r="U921" s="675"/>
      <c r="V921" s="675"/>
      <c r="W921" s="675"/>
      <c r="X921" s="675"/>
      <c r="Y921" s="675"/>
      <c r="Z921" s="675"/>
      <c r="AA921" s="675"/>
      <c r="AB921" s="675"/>
      <c r="AC921" s="675"/>
      <c r="AD921" s="675"/>
      <c r="AE921" s="675"/>
      <c r="AF921" s="675"/>
      <c r="AG921" s="675"/>
      <c r="AH921" s="675"/>
      <c r="AI921" s="675"/>
      <c r="AJ921" s="675"/>
      <c r="AK921" s="658"/>
    </row>
    <row r="922" spans="1:37" ht="15" customHeight="1">
      <c r="A922" s="5"/>
      <c r="B922" s="313"/>
      <c r="C922" s="835"/>
      <c r="D922" s="17" t="s">
        <v>167</v>
      </c>
      <c r="E922" s="67" t="s">
        <v>27</v>
      </c>
      <c r="F922" s="253">
        <v>100000</v>
      </c>
      <c r="G922" s="64">
        <v>6</v>
      </c>
      <c r="H922" s="64">
        <f>F922*G922+325605</f>
        <v>925605</v>
      </c>
      <c r="I922" s="72"/>
      <c r="J922" s="52"/>
      <c r="K922" s="156"/>
      <c r="L922" s="383"/>
      <c r="M922" s="542"/>
      <c r="N922" s="701">
        <f t="shared" si="28"/>
        <v>0</v>
      </c>
      <c r="O922" s="675"/>
      <c r="P922" s="675"/>
      <c r="Q922" s="675"/>
      <c r="R922" s="675"/>
      <c r="S922" s="675"/>
      <c r="T922" s="675"/>
      <c r="U922" s="675"/>
      <c r="V922" s="675"/>
      <c r="W922" s="675"/>
      <c r="X922" s="675"/>
      <c r="Y922" s="675"/>
      <c r="Z922" s="675"/>
      <c r="AA922" s="675"/>
      <c r="AB922" s="675"/>
      <c r="AC922" s="675"/>
      <c r="AD922" s="675"/>
      <c r="AE922" s="675"/>
      <c r="AF922" s="675"/>
      <c r="AG922" s="675"/>
      <c r="AH922" s="675"/>
      <c r="AI922" s="675"/>
      <c r="AJ922" s="675"/>
      <c r="AK922" s="658"/>
    </row>
    <row r="923" spans="1:37" ht="15" customHeight="1">
      <c r="A923" s="5"/>
      <c r="B923" s="313"/>
      <c r="C923" s="835"/>
      <c r="D923" s="105" t="s">
        <v>51</v>
      </c>
      <c r="E923" s="127"/>
      <c r="F923" s="128"/>
      <c r="G923" s="121"/>
      <c r="H923" s="137"/>
      <c r="I923" s="79"/>
      <c r="J923" s="52"/>
      <c r="K923" s="156"/>
      <c r="L923" s="383"/>
      <c r="M923" s="542"/>
      <c r="N923" s="701">
        <f t="shared" si="28"/>
        <v>0</v>
      </c>
      <c r="O923" s="675"/>
      <c r="P923" s="675"/>
      <c r="Q923" s="675"/>
      <c r="R923" s="675"/>
      <c r="S923" s="675"/>
      <c r="T923" s="675"/>
      <c r="U923" s="675"/>
      <c r="V923" s="675"/>
      <c r="W923" s="675"/>
      <c r="X923" s="675"/>
      <c r="Y923" s="675"/>
      <c r="Z923" s="675"/>
      <c r="AA923" s="675"/>
      <c r="AB923" s="675"/>
      <c r="AC923" s="675"/>
      <c r="AD923" s="675"/>
      <c r="AE923" s="675"/>
      <c r="AF923" s="675"/>
      <c r="AG923" s="675"/>
      <c r="AH923" s="675"/>
      <c r="AI923" s="675"/>
      <c r="AJ923" s="675"/>
      <c r="AK923" s="658"/>
    </row>
    <row r="924" spans="1:37" ht="15" customHeight="1">
      <c r="A924" s="5"/>
      <c r="B924" s="313"/>
      <c r="C924" s="835"/>
      <c r="D924" s="725" t="s">
        <v>97</v>
      </c>
      <c r="E924" s="131"/>
      <c r="F924" s="75"/>
      <c r="G924" s="111"/>
      <c r="H924" s="78"/>
      <c r="I924" s="79"/>
      <c r="J924" s="52"/>
      <c r="K924" s="156"/>
      <c r="L924" s="383"/>
      <c r="M924" s="542"/>
      <c r="N924" s="701">
        <f t="shared" si="28"/>
        <v>0</v>
      </c>
      <c r="O924" s="675"/>
      <c r="P924" s="675"/>
      <c r="Q924" s="675"/>
      <c r="R924" s="675"/>
      <c r="S924" s="675"/>
      <c r="T924" s="675"/>
      <c r="U924" s="675"/>
      <c r="V924" s="675"/>
      <c r="W924" s="675"/>
      <c r="X924" s="675"/>
      <c r="Y924" s="675"/>
      <c r="Z924" s="675"/>
      <c r="AA924" s="675"/>
      <c r="AB924" s="675"/>
      <c r="AC924" s="675"/>
      <c r="AD924" s="675"/>
      <c r="AE924" s="675"/>
      <c r="AF924" s="675"/>
      <c r="AG924" s="675"/>
      <c r="AH924" s="675"/>
      <c r="AI924" s="675"/>
      <c r="AJ924" s="675"/>
      <c r="AK924" s="658"/>
    </row>
    <row r="925" spans="1:37" ht="15" customHeight="1">
      <c r="A925" s="5"/>
      <c r="B925" s="313"/>
      <c r="C925" s="835"/>
      <c r="D925" s="725"/>
      <c r="E925" s="131"/>
      <c r="F925" s="75"/>
      <c r="G925" s="111"/>
      <c r="H925" s="78"/>
      <c r="I925" s="79"/>
      <c r="J925" s="52"/>
      <c r="K925" s="156"/>
      <c r="L925" s="383"/>
      <c r="M925" s="542"/>
      <c r="N925" s="701">
        <f t="shared" si="28"/>
        <v>0</v>
      </c>
      <c r="O925" s="675"/>
      <c r="P925" s="675"/>
      <c r="Q925" s="675"/>
      <c r="R925" s="675"/>
      <c r="S925" s="675"/>
      <c r="T925" s="675"/>
      <c r="U925" s="675"/>
      <c r="V925" s="675"/>
      <c r="W925" s="675"/>
      <c r="X925" s="675"/>
      <c r="Y925" s="675"/>
      <c r="Z925" s="675"/>
      <c r="AA925" s="675"/>
      <c r="AB925" s="675"/>
      <c r="AC925" s="675"/>
      <c r="AD925" s="675"/>
      <c r="AE925" s="675"/>
      <c r="AF925" s="675"/>
      <c r="AG925" s="675"/>
      <c r="AH925" s="675"/>
      <c r="AI925" s="675"/>
      <c r="AJ925" s="675"/>
      <c r="AK925" s="658"/>
    </row>
    <row r="926" spans="1:37" ht="15" customHeight="1">
      <c r="A926" s="5"/>
      <c r="B926" s="313"/>
      <c r="C926" s="835"/>
      <c r="D926" s="725" t="s">
        <v>754</v>
      </c>
      <c r="E926" s="131"/>
      <c r="F926" s="75"/>
      <c r="G926" s="111"/>
      <c r="H926" s="78"/>
      <c r="I926" s="79"/>
      <c r="J926" s="52"/>
      <c r="K926" s="156"/>
      <c r="L926" s="383"/>
      <c r="M926" s="542"/>
      <c r="N926" s="701">
        <f t="shared" si="28"/>
        <v>0</v>
      </c>
      <c r="O926" s="675"/>
      <c r="P926" s="675"/>
      <c r="Q926" s="675"/>
      <c r="R926" s="675"/>
      <c r="S926" s="675"/>
      <c r="T926" s="675"/>
      <c r="U926" s="675"/>
      <c r="V926" s="675"/>
      <c r="W926" s="675"/>
      <c r="X926" s="675"/>
      <c r="Y926" s="675"/>
      <c r="Z926" s="675"/>
      <c r="AA926" s="675"/>
      <c r="AB926" s="675"/>
      <c r="AC926" s="675"/>
      <c r="AD926" s="675"/>
      <c r="AE926" s="675"/>
      <c r="AF926" s="675"/>
      <c r="AG926" s="675"/>
      <c r="AH926" s="675"/>
      <c r="AI926" s="675"/>
      <c r="AJ926" s="675"/>
      <c r="AK926" s="658"/>
    </row>
    <row r="927" spans="1:37" ht="15" customHeight="1">
      <c r="A927" s="5"/>
      <c r="B927" s="313"/>
      <c r="C927" s="835"/>
      <c r="D927" s="725" t="s">
        <v>755</v>
      </c>
      <c r="E927" s="131"/>
      <c r="F927" s="75"/>
      <c r="G927" s="111"/>
      <c r="H927" s="78"/>
      <c r="I927" s="79"/>
      <c r="J927" s="52"/>
      <c r="K927" s="156"/>
      <c r="L927" s="383"/>
      <c r="M927" s="542"/>
      <c r="N927" s="701">
        <f t="shared" si="28"/>
        <v>0</v>
      </c>
      <c r="O927" s="675"/>
      <c r="P927" s="675"/>
      <c r="Q927" s="675"/>
      <c r="R927" s="675"/>
      <c r="S927" s="675"/>
      <c r="T927" s="675"/>
      <c r="U927" s="675"/>
      <c r="V927" s="675"/>
      <c r="W927" s="675"/>
      <c r="X927" s="675"/>
      <c r="Y927" s="675"/>
      <c r="Z927" s="675"/>
      <c r="AA927" s="675"/>
      <c r="AB927" s="675"/>
      <c r="AC927" s="675"/>
      <c r="AD927" s="675"/>
      <c r="AE927" s="675"/>
      <c r="AF927" s="675"/>
      <c r="AG927" s="675"/>
      <c r="AH927" s="675"/>
      <c r="AI927" s="675"/>
      <c r="AJ927" s="675"/>
      <c r="AK927" s="658"/>
    </row>
    <row r="928" spans="1:37" ht="15" customHeight="1">
      <c r="A928" s="5"/>
      <c r="B928" s="313"/>
      <c r="C928" s="835"/>
      <c r="D928" s="725" t="s">
        <v>756</v>
      </c>
      <c r="E928" s="131"/>
      <c r="F928" s="75"/>
      <c r="G928" s="111"/>
      <c r="H928" s="78"/>
      <c r="I928" s="79"/>
      <c r="J928" s="52"/>
      <c r="K928" s="156"/>
      <c r="L928" s="383"/>
      <c r="M928" s="542"/>
      <c r="N928" s="701">
        <f t="shared" si="28"/>
        <v>0</v>
      </c>
      <c r="O928" s="675"/>
      <c r="P928" s="675"/>
      <c r="Q928" s="675"/>
      <c r="R928" s="675"/>
      <c r="S928" s="675"/>
      <c r="T928" s="675"/>
      <c r="U928" s="675"/>
      <c r="V928" s="675"/>
      <c r="W928" s="675"/>
      <c r="X928" s="675"/>
      <c r="Y928" s="675"/>
      <c r="Z928" s="675"/>
      <c r="AA928" s="675"/>
      <c r="AB928" s="675"/>
      <c r="AC928" s="675"/>
      <c r="AD928" s="675"/>
      <c r="AE928" s="675"/>
      <c r="AF928" s="675"/>
      <c r="AG928" s="675"/>
      <c r="AH928" s="675"/>
      <c r="AI928" s="675"/>
      <c r="AJ928" s="675"/>
      <c r="AK928" s="658"/>
    </row>
    <row r="929" spans="1:37" ht="15" customHeight="1">
      <c r="A929" s="5"/>
      <c r="B929" s="313"/>
      <c r="C929" s="835"/>
      <c r="D929" s="725" t="s">
        <v>757</v>
      </c>
      <c r="E929" s="131"/>
      <c r="F929" s="75"/>
      <c r="G929" s="111"/>
      <c r="H929" s="78"/>
      <c r="I929" s="79"/>
      <c r="J929" s="52"/>
      <c r="K929" s="156"/>
      <c r="L929" s="383"/>
      <c r="M929" s="542"/>
      <c r="N929" s="701">
        <f t="shared" si="28"/>
        <v>0</v>
      </c>
      <c r="O929" s="675"/>
      <c r="P929" s="675"/>
      <c r="Q929" s="675"/>
      <c r="R929" s="675"/>
      <c r="S929" s="675"/>
      <c r="T929" s="675"/>
      <c r="U929" s="675"/>
      <c r="V929" s="675"/>
      <c r="W929" s="675"/>
      <c r="X929" s="675"/>
      <c r="Y929" s="675"/>
      <c r="Z929" s="675"/>
      <c r="AA929" s="675"/>
      <c r="AB929" s="675"/>
      <c r="AC929" s="675"/>
      <c r="AD929" s="675"/>
      <c r="AE929" s="675"/>
      <c r="AF929" s="675"/>
      <c r="AG929" s="675"/>
      <c r="AH929" s="675"/>
      <c r="AI929" s="675"/>
      <c r="AJ929" s="675"/>
      <c r="AK929" s="658"/>
    </row>
    <row r="930" spans="1:37" ht="15" customHeight="1">
      <c r="A930" s="5"/>
      <c r="B930" s="313"/>
      <c r="C930" s="835"/>
      <c r="D930" s="725" t="s">
        <v>758</v>
      </c>
      <c r="E930" s="131"/>
      <c r="F930" s="75"/>
      <c r="G930" s="111"/>
      <c r="H930" s="78"/>
      <c r="I930" s="79"/>
      <c r="J930" s="52"/>
      <c r="K930" s="156"/>
      <c r="L930" s="383"/>
      <c r="M930" s="542"/>
      <c r="N930" s="701">
        <f t="shared" si="28"/>
        <v>0</v>
      </c>
      <c r="O930" s="675"/>
      <c r="P930" s="675"/>
      <c r="Q930" s="675"/>
      <c r="R930" s="675"/>
      <c r="S930" s="675"/>
      <c r="T930" s="675"/>
      <c r="U930" s="675"/>
      <c r="V930" s="675"/>
      <c r="W930" s="675"/>
      <c r="X930" s="675"/>
      <c r="Y930" s="675"/>
      <c r="Z930" s="675"/>
      <c r="AA930" s="675"/>
      <c r="AB930" s="675"/>
      <c r="AC930" s="675"/>
      <c r="AD930" s="675"/>
      <c r="AE930" s="675"/>
      <c r="AF930" s="675"/>
      <c r="AG930" s="675"/>
      <c r="AH930" s="675"/>
      <c r="AI930" s="675"/>
      <c r="AJ930" s="675"/>
      <c r="AK930" s="658"/>
    </row>
    <row r="931" spans="1:37" ht="15" customHeight="1">
      <c r="A931" s="5"/>
      <c r="B931" s="313"/>
      <c r="C931" s="835"/>
      <c r="D931" s="725" t="s">
        <v>759</v>
      </c>
      <c r="E931" s="131"/>
      <c r="F931" s="75"/>
      <c r="G931" s="111"/>
      <c r="H931" s="78"/>
      <c r="I931" s="79"/>
      <c r="J931" s="52"/>
      <c r="K931" s="156"/>
      <c r="L931" s="383"/>
      <c r="M931" s="542"/>
      <c r="N931" s="701">
        <f t="shared" si="28"/>
        <v>0</v>
      </c>
      <c r="O931" s="675"/>
      <c r="P931" s="675"/>
      <c r="Q931" s="675"/>
      <c r="R931" s="675"/>
      <c r="S931" s="675"/>
      <c r="T931" s="675"/>
      <c r="U931" s="675"/>
      <c r="V931" s="675"/>
      <c r="W931" s="675"/>
      <c r="X931" s="675"/>
      <c r="Y931" s="675"/>
      <c r="Z931" s="675"/>
      <c r="AA931" s="675"/>
      <c r="AB931" s="675"/>
      <c r="AC931" s="675"/>
      <c r="AD931" s="675"/>
      <c r="AE931" s="675"/>
      <c r="AF931" s="675"/>
      <c r="AG931" s="675"/>
      <c r="AH931" s="675"/>
      <c r="AI931" s="675"/>
      <c r="AJ931" s="675"/>
      <c r="AK931" s="658"/>
    </row>
    <row r="932" spans="1:37" ht="15" customHeight="1">
      <c r="A932" s="5"/>
      <c r="B932" s="313"/>
      <c r="C932" s="835"/>
      <c r="D932" s="725" t="s">
        <v>760</v>
      </c>
      <c r="E932" s="131"/>
      <c r="F932" s="75"/>
      <c r="G932" s="111"/>
      <c r="H932" s="78"/>
      <c r="I932" s="79"/>
      <c r="J932" s="52"/>
      <c r="K932" s="156"/>
      <c r="L932" s="383"/>
      <c r="M932" s="542"/>
      <c r="N932" s="701">
        <f t="shared" si="28"/>
        <v>0</v>
      </c>
      <c r="O932" s="675"/>
      <c r="P932" s="675"/>
      <c r="Q932" s="675"/>
      <c r="R932" s="675"/>
      <c r="S932" s="675"/>
      <c r="T932" s="675"/>
      <c r="U932" s="675"/>
      <c r="V932" s="675"/>
      <c r="W932" s="675"/>
      <c r="X932" s="675"/>
      <c r="Y932" s="675"/>
      <c r="Z932" s="675"/>
      <c r="AA932" s="675"/>
      <c r="AB932" s="675"/>
      <c r="AC932" s="675"/>
      <c r="AD932" s="675"/>
      <c r="AE932" s="675"/>
      <c r="AF932" s="675"/>
      <c r="AG932" s="675"/>
      <c r="AH932" s="675"/>
      <c r="AI932" s="675"/>
      <c r="AJ932" s="675"/>
      <c r="AK932" s="658"/>
    </row>
    <row r="933" spans="1:37" ht="15" customHeight="1">
      <c r="A933" s="5"/>
      <c r="B933" s="313"/>
      <c r="C933" s="835"/>
      <c r="D933" s="725" t="s">
        <v>761</v>
      </c>
      <c r="E933" s="131"/>
      <c r="F933" s="75"/>
      <c r="G933" s="111"/>
      <c r="H933" s="78"/>
      <c r="I933" s="79"/>
      <c r="J933" s="52"/>
      <c r="K933" s="156"/>
      <c r="L933" s="383"/>
      <c r="M933" s="542"/>
      <c r="N933" s="701">
        <f t="shared" ref="N933:N964" si="29">SUM(O933:AJ933)-I933</f>
        <v>0</v>
      </c>
      <c r="O933" s="675"/>
      <c r="P933" s="675"/>
      <c r="Q933" s="675"/>
      <c r="R933" s="675"/>
      <c r="S933" s="675"/>
      <c r="T933" s="675"/>
      <c r="U933" s="675"/>
      <c r="V933" s="675"/>
      <c r="W933" s="675"/>
      <c r="X933" s="675"/>
      <c r="Y933" s="675"/>
      <c r="Z933" s="675"/>
      <c r="AA933" s="675"/>
      <c r="AB933" s="675"/>
      <c r="AC933" s="675"/>
      <c r="AD933" s="675"/>
      <c r="AE933" s="675"/>
      <c r="AF933" s="675"/>
      <c r="AG933" s="675"/>
      <c r="AH933" s="675"/>
      <c r="AI933" s="675"/>
      <c r="AJ933" s="675"/>
      <c r="AK933" s="658"/>
    </row>
    <row r="934" spans="1:37" ht="15" customHeight="1">
      <c r="A934" s="5"/>
      <c r="B934" s="313"/>
      <c r="C934" s="835"/>
      <c r="D934" s="725" t="s">
        <v>762</v>
      </c>
      <c r="E934" s="131"/>
      <c r="F934" s="75"/>
      <c r="G934" s="111"/>
      <c r="H934" s="78"/>
      <c r="I934" s="79"/>
      <c r="J934" s="52"/>
      <c r="K934" s="156"/>
      <c r="L934" s="383"/>
      <c r="M934" s="542"/>
      <c r="N934" s="701">
        <f t="shared" si="29"/>
        <v>0</v>
      </c>
      <c r="O934" s="675"/>
      <c r="P934" s="675"/>
      <c r="Q934" s="675"/>
      <c r="R934" s="675"/>
      <c r="S934" s="675"/>
      <c r="T934" s="675"/>
      <c r="U934" s="675"/>
      <c r="V934" s="675"/>
      <c r="W934" s="675"/>
      <c r="X934" s="675"/>
      <c r="Y934" s="675"/>
      <c r="Z934" s="675"/>
      <c r="AA934" s="675"/>
      <c r="AB934" s="675"/>
      <c r="AC934" s="675"/>
      <c r="AD934" s="675"/>
      <c r="AE934" s="675"/>
      <c r="AF934" s="675"/>
      <c r="AG934" s="675"/>
      <c r="AH934" s="675"/>
      <c r="AI934" s="675"/>
      <c r="AJ934" s="675"/>
      <c r="AK934" s="658"/>
    </row>
    <row r="935" spans="1:37" ht="15" customHeight="1">
      <c r="A935" s="5"/>
      <c r="B935" s="313"/>
      <c r="C935" s="835"/>
      <c r="D935" s="725" t="s">
        <v>763</v>
      </c>
      <c r="E935" s="131"/>
      <c r="F935" s="75"/>
      <c r="G935" s="111"/>
      <c r="H935" s="78"/>
      <c r="I935" s="79"/>
      <c r="J935" s="52"/>
      <c r="K935" s="156"/>
      <c r="L935" s="383"/>
      <c r="M935" s="542"/>
      <c r="N935" s="701">
        <f t="shared" si="29"/>
        <v>0</v>
      </c>
      <c r="O935" s="675"/>
      <c r="P935" s="675"/>
      <c r="Q935" s="675"/>
      <c r="R935" s="675"/>
      <c r="S935" s="675"/>
      <c r="T935" s="675"/>
      <c r="U935" s="675"/>
      <c r="V935" s="675"/>
      <c r="W935" s="675"/>
      <c r="X935" s="675"/>
      <c r="Y935" s="675"/>
      <c r="Z935" s="675"/>
      <c r="AA935" s="675"/>
      <c r="AB935" s="675"/>
      <c r="AC935" s="675"/>
      <c r="AD935" s="675"/>
      <c r="AE935" s="675"/>
      <c r="AF935" s="675"/>
      <c r="AG935" s="675"/>
      <c r="AH935" s="675"/>
      <c r="AI935" s="675"/>
      <c r="AJ935" s="675"/>
      <c r="AK935" s="658"/>
    </row>
    <row r="936" spans="1:37" ht="15" customHeight="1">
      <c r="A936" s="5"/>
      <c r="B936" s="313"/>
      <c r="C936" s="835"/>
      <c r="D936" s="725" t="s">
        <v>764</v>
      </c>
      <c r="E936" s="131"/>
      <c r="F936" s="75"/>
      <c r="G936" s="111"/>
      <c r="H936" s="78"/>
      <c r="I936" s="79"/>
      <c r="J936" s="52"/>
      <c r="K936" s="156"/>
      <c r="L936" s="383"/>
      <c r="M936" s="542"/>
      <c r="N936" s="701">
        <f t="shared" si="29"/>
        <v>0</v>
      </c>
      <c r="O936" s="675"/>
      <c r="P936" s="675"/>
      <c r="Q936" s="675"/>
      <c r="R936" s="675"/>
      <c r="S936" s="675"/>
      <c r="T936" s="675"/>
      <c r="U936" s="675"/>
      <c r="V936" s="675"/>
      <c r="W936" s="675"/>
      <c r="X936" s="675"/>
      <c r="Y936" s="675"/>
      <c r="Z936" s="675"/>
      <c r="AA936" s="675"/>
      <c r="AB936" s="675"/>
      <c r="AC936" s="675"/>
      <c r="AD936" s="675"/>
      <c r="AE936" s="675"/>
      <c r="AF936" s="675"/>
      <c r="AG936" s="675"/>
      <c r="AH936" s="675"/>
      <c r="AI936" s="675"/>
      <c r="AJ936" s="675"/>
      <c r="AK936" s="658"/>
    </row>
    <row r="937" spans="1:37" ht="15" customHeight="1">
      <c r="A937" s="5"/>
      <c r="B937" s="313"/>
      <c r="C937" s="835"/>
      <c r="D937" s="725" t="s">
        <v>765</v>
      </c>
      <c r="E937" s="131"/>
      <c r="F937" s="75"/>
      <c r="G937" s="111"/>
      <c r="H937" s="78"/>
      <c r="I937" s="79"/>
      <c r="J937" s="52"/>
      <c r="K937" s="156"/>
      <c r="L937" s="383"/>
      <c r="M937" s="542"/>
      <c r="N937" s="701">
        <f t="shared" si="29"/>
        <v>0</v>
      </c>
      <c r="O937" s="675"/>
      <c r="P937" s="675"/>
      <c r="Q937" s="675"/>
      <c r="R937" s="675"/>
      <c r="S937" s="675"/>
      <c r="T937" s="675"/>
      <c r="U937" s="675"/>
      <c r="V937" s="675"/>
      <c r="W937" s="675"/>
      <c r="X937" s="675"/>
      <c r="Y937" s="675"/>
      <c r="Z937" s="675"/>
      <c r="AA937" s="675"/>
      <c r="AB937" s="675"/>
      <c r="AC937" s="675"/>
      <c r="AD937" s="675"/>
      <c r="AE937" s="675"/>
      <c r="AF937" s="675"/>
      <c r="AG937" s="675"/>
      <c r="AH937" s="675"/>
      <c r="AI937" s="675"/>
      <c r="AJ937" s="675"/>
      <c r="AK937" s="658"/>
    </row>
    <row r="938" spans="1:37" ht="15" customHeight="1">
      <c r="A938" s="5"/>
      <c r="B938" s="313"/>
      <c r="C938" s="835"/>
      <c r="D938" s="725" t="s">
        <v>766</v>
      </c>
      <c r="E938" s="131"/>
      <c r="F938" s="75"/>
      <c r="G938" s="111"/>
      <c r="H938" s="78"/>
      <c r="I938" s="79"/>
      <c r="J938" s="52"/>
      <c r="K938" s="156"/>
      <c r="L938" s="383"/>
      <c r="M938" s="542"/>
      <c r="N938" s="701">
        <f t="shared" si="29"/>
        <v>0</v>
      </c>
      <c r="O938" s="675"/>
      <c r="P938" s="675"/>
      <c r="Q938" s="675"/>
      <c r="R938" s="675"/>
      <c r="S938" s="675"/>
      <c r="T938" s="675"/>
      <c r="U938" s="675"/>
      <c r="V938" s="675"/>
      <c r="W938" s="675"/>
      <c r="X938" s="675"/>
      <c r="Y938" s="675"/>
      <c r="Z938" s="675"/>
      <c r="AA938" s="675"/>
      <c r="AB938" s="675"/>
      <c r="AC938" s="675"/>
      <c r="AD938" s="675"/>
      <c r="AE938" s="675"/>
      <c r="AF938" s="675"/>
      <c r="AG938" s="675"/>
      <c r="AH938" s="675"/>
      <c r="AI938" s="675"/>
      <c r="AJ938" s="675"/>
      <c r="AK938" s="658"/>
    </row>
    <row r="939" spans="1:37" ht="15" customHeight="1">
      <c r="A939" s="5"/>
      <c r="B939" s="313"/>
      <c r="C939" s="835"/>
      <c r="D939" s="725" t="s">
        <v>767</v>
      </c>
      <c r="E939" s="131"/>
      <c r="F939" s="75"/>
      <c r="G939" s="111"/>
      <c r="H939" s="78"/>
      <c r="I939" s="79"/>
      <c r="J939" s="52"/>
      <c r="K939" s="156"/>
      <c r="L939" s="383"/>
      <c r="M939" s="542"/>
      <c r="N939" s="701">
        <f t="shared" si="29"/>
        <v>0</v>
      </c>
      <c r="O939" s="675"/>
      <c r="P939" s="675"/>
      <c r="Q939" s="675"/>
      <c r="R939" s="675"/>
      <c r="S939" s="675"/>
      <c r="T939" s="675"/>
      <c r="U939" s="675"/>
      <c r="V939" s="675"/>
      <c r="W939" s="675"/>
      <c r="X939" s="675"/>
      <c r="Y939" s="675"/>
      <c r="Z939" s="675"/>
      <c r="AA939" s="675"/>
      <c r="AB939" s="675"/>
      <c r="AC939" s="675"/>
      <c r="AD939" s="675"/>
      <c r="AE939" s="675"/>
      <c r="AF939" s="675"/>
      <c r="AG939" s="675"/>
      <c r="AH939" s="675"/>
      <c r="AI939" s="675"/>
      <c r="AJ939" s="675"/>
      <c r="AK939" s="658"/>
    </row>
    <row r="940" spans="1:37" ht="15" customHeight="1">
      <c r="A940" s="5"/>
      <c r="B940" s="313"/>
      <c r="C940" s="835"/>
      <c r="D940" s="725" t="s">
        <v>768</v>
      </c>
      <c r="E940" s="131"/>
      <c r="F940" s="75"/>
      <c r="G940" s="111"/>
      <c r="H940" s="78"/>
      <c r="I940" s="79"/>
      <c r="J940" s="52"/>
      <c r="K940" s="156"/>
      <c r="L940" s="383"/>
      <c r="M940" s="542"/>
      <c r="N940" s="701">
        <f t="shared" si="29"/>
        <v>0</v>
      </c>
      <c r="O940" s="675"/>
      <c r="P940" s="675"/>
      <c r="Q940" s="675"/>
      <c r="R940" s="675"/>
      <c r="S940" s="675"/>
      <c r="T940" s="675"/>
      <c r="U940" s="675"/>
      <c r="V940" s="675"/>
      <c r="W940" s="675"/>
      <c r="X940" s="675"/>
      <c r="Y940" s="675"/>
      <c r="Z940" s="675"/>
      <c r="AA940" s="675"/>
      <c r="AB940" s="675"/>
      <c r="AC940" s="675"/>
      <c r="AD940" s="675"/>
      <c r="AE940" s="675"/>
      <c r="AF940" s="675"/>
      <c r="AG940" s="675"/>
      <c r="AH940" s="675"/>
      <c r="AI940" s="675"/>
      <c r="AJ940" s="675"/>
      <c r="AK940" s="658"/>
    </row>
    <row r="941" spans="1:37" ht="15" customHeight="1">
      <c r="A941" s="5"/>
      <c r="B941" s="313"/>
      <c r="C941" s="835"/>
      <c r="D941" s="725" t="s">
        <v>769</v>
      </c>
      <c r="E941" s="131"/>
      <c r="F941" s="75"/>
      <c r="G941" s="111"/>
      <c r="H941" s="78"/>
      <c r="I941" s="79"/>
      <c r="J941" s="52"/>
      <c r="K941" s="156"/>
      <c r="L941" s="383"/>
      <c r="M941" s="542"/>
      <c r="N941" s="701">
        <f t="shared" si="29"/>
        <v>0</v>
      </c>
      <c r="O941" s="675"/>
      <c r="P941" s="675"/>
      <c r="Q941" s="675"/>
      <c r="R941" s="675"/>
      <c r="S941" s="675"/>
      <c r="T941" s="675"/>
      <c r="U941" s="675"/>
      <c r="V941" s="675"/>
      <c r="W941" s="675"/>
      <c r="X941" s="675"/>
      <c r="Y941" s="675"/>
      <c r="Z941" s="675"/>
      <c r="AA941" s="675"/>
      <c r="AB941" s="675"/>
      <c r="AC941" s="675"/>
      <c r="AD941" s="675"/>
      <c r="AE941" s="675"/>
      <c r="AF941" s="675"/>
      <c r="AG941" s="675"/>
      <c r="AH941" s="675"/>
      <c r="AI941" s="675"/>
      <c r="AJ941" s="675"/>
      <c r="AK941" s="658"/>
    </row>
    <row r="942" spans="1:37" ht="15" customHeight="1">
      <c r="A942" s="5"/>
      <c r="B942" s="313"/>
      <c r="C942" s="835"/>
      <c r="D942" s="725" t="s">
        <v>770</v>
      </c>
      <c r="E942" s="131"/>
      <c r="F942" s="75"/>
      <c r="G942" s="111"/>
      <c r="H942" s="78"/>
      <c r="I942" s="79"/>
      <c r="J942" s="52"/>
      <c r="K942" s="156"/>
      <c r="L942" s="383"/>
      <c r="M942" s="542"/>
      <c r="N942" s="701">
        <f t="shared" si="29"/>
        <v>0</v>
      </c>
      <c r="O942" s="675"/>
      <c r="P942" s="675"/>
      <c r="Q942" s="675"/>
      <c r="R942" s="675"/>
      <c r="S942" s="675"/>
      <c r="T942" s="675"/>
      <c r="U942" s="675"/>
      <c r="V942" s="675"/>
      <c r="W942" s="675"/>
      <c r="X942" s="675"/>
      <c r="Y942" s="675"/>
      <c r="Z942" s="675"/>
      <c r="AA942" s="675"/>
      <c r="AB942" s="675"/>
      <c r="AC942" s="675"/>
      <c r="AD942" s="675"/>
      <c r="AE942" s="675"/>
      <c r="AF942" s="675"/>
      <c r="AG942" s="675"/>
      <c r="AH942" s="675"/>
      <c r="AI942" s="675"/>
      <c r="AJ942" s="675"/>
      <c r="AK942" s="658"/>
    </row>
    <row r="943" spans="1:37" ht="15" customHeight="1">
      <c r="A943" s="5"/>
      <c r="B943" s="313"/>
      <c r="C943" s="835"/>
      <c r="D943" s="725" t="s">
        <v>771</v>
      </c>
      <c r="E943" s="131"/>
      <c r="F943" s="75"/>
      <c r="G943" s="111"/>
      <c r="H943" s="78"/>
      <c r="I943" s="79"/>
      <c r="J943" s="52"/>
      <c r="K943" s="156"/>
      <c r="L943" s="383"/>
      <c r="M943" s="542"/>
      <c r="N943" s="701">
        <f t="shared" si="29"/>
        <v>0</v>
      </c>
      <c r="O943" s="675"/>
      <c r="P943" s="675"/>
      <c r="Q943" s="675"/>
      <c r="R943" s="675"/>
      <c r="S943" s="675"/>
      <c r="T943" s="675"/>
      <c r="U943" s="675"/>
      <c r="V943" s="675"/>
      <c r="W943" s="675"/>
      <c r="X943" s="675"/>
      <c r="Y943" s="675"/>
      <c r="Z943" s="675"/>
      <c r="AA943" s="675"/>
      <c r="AB943" s="675"/>
      <c r="AC943" s="675"/>
      <c r="AD943" s="675"/>
      <c r="AE943" s="675"/>
      <c r="AF943" s="675"/>
      <c r="AG943" s="675"/>
      <c r="AH943" s="675"/>
      <c r="AI943" s="675"/>
      <c r="AJ943" s="675"/>
      <c r="AK943" s="658"/>
    </row>
    <row r="944" spans="1:37" ht="15" customHeight="1">
      <c r="A944" s="5"/>
      <c r="B944" s="313"/>
      <c r="C944" s="835"/>
      <c r="D944" s="725"/>
      <c r="E944" s="131"/>
      <c r="F944" s="75"/>
      <c r="G944" s="111"/>
      <c r="H944" s="78"/>
      <c r="I944" s="79"/>
      <c r="J944" s="52"/>
      <c r="K944" s="156"/>
      <c r="L944" s="383"/>
      <c r="M944" s="542"/>
      <c r="N944" s="701">
        <f t="shared" si="29"/>
        <v>0</v>
      </c>
      <c r="O944" s="675"/>
      <c r="P944" s="675"/>
      <c r="Q944" s="675"/>
      <c r="R944" s="675"/>
      <c r="S944" s="675"/>
      <c r="T944" s="675"/>
      <c r="U944" s="675"/>
      <c r="V944" s="675"/>
      <c r="W944" s="675"/>
      <c r="X944" s="675"/>
      <c r="Y944" s="675"/>
      <c r="Z944" s="675"/>
      <c r="AA944" s="675"/>
      <c r="AB944" s="675"/>
      <c r="AC944" s="675"/>
      <c r="AD944" s="675"/>
      <c r="AE944" s="675"/>
      <c r="AF944" s="675"/>
      <c r="AG944" s="675"/>
      <c r="AH944" s="675"/>
      <c r="AI944" s="675"/>
      <c r="AJ944" s="675"/>
      <c r="AK944" s="658"/>
    </row>
    <row r="945" spans="1:37" ht="15" customHeight="1">
      <c r="A945" s="5"/>
      <c r="B945" s="313"/>
      <c r="C945" s="835"/>
      <c r="D945" s="725" t="s">
        <v>772</v>
      </c>
      <c r="E945" s="131"/>
      <c r="F945" s="75"/>
      <c r="G945" s="111"/>
      <c r="H945" s="78"/>
      <c r="I945" s="79"/>
      <c r="J945" s="52"/>
      <c r="K945" s="156"/>
      <c r="L945" s="383"/>
      <c r="M945" s="542"/>
      <c r="N945" s="701">
        <f t="shared" si="29"/>
        <v>0</v>
      </c>
      <c r="O945" s="675"/>
      <c r="P945" s="675"/>
      <c r="Q945" s="675"/>
      <c r="R945" s="675"/>
      <c r="S945" s="675"/>
      <c r="T945" s="675"/>
      <c r="U945" s="675"/>
      <c r="V945" s="675"/>
      <c r="W945" s="675"/>
      <c r="X945" s="675"/>
      <c r="Y945" s="675"/>
      <c r="Z945" s="675"/>
      <c r="AA945" s="675"/>
      <c r="AB945" s="675"/>
      <c r="AC945" s="675"/>
      <c r="AD945" s="675"/>
      <c r="AE945" s="675"/>
      <c r="AF945" s="675"/>
      <c r="AG945" s="675"/>
      <c r="AH945" s="675"/>
      <c r="AI945" s="675"/>
      <c r="AJ945" s="675"/>
      <c r="AK945" s="658"/>
    </row>
    <row r="946" spans="1:37" ht="15" customHeight="1">
      <c r="A946" s="5"/>
      <c r="B946" s="313"/>
      <c r="C946" s="835"/>
      <c r="D946" s="725"/>
      <c r="E946" s="131"/>
      <c r="F946" s="75"/>
      <c r="G946" s="111"/>
      <c r="H946" s="78"/>
      <c r="I946" s="79"/>
      <c r="J946" s="52"/>
      <c r="K946" s="156"/>
      <c r="L946" s="383"/>
      <c r="M946" s="542"/>
      <c r="N946" s="701">
        <f t="shared" si="29"/>
        <v>0</v>
      </c>
      <c r="O946" s="675"/>
      <c r="P946" s="675"/>
      <c r="Q946" s="675"/>
      <c r="R946" s="675"/>
      <c r="S946" s="675"/>
      <c r="T946" s="675"/>
      <c r="U946" s="675"/>
      <c r="V946" s="675"/>
      <c r="W946" s="675"/>
      <c r="X946" s="675"/>
      <c r="Y946" s="675"/>
      <c r="Z946" s="675"/>
      <c r="AA946" s="675"/>
      <c r="AB946" s="675"/>
      <c r="AC946" s="675"/>
      <c r="AD946" s="675"/>
      <c r="AE946" s="675"/>
      <c r="AF946" s="675"/>
      <c r="AG946" s="675"/>
      <c r="AH946" s="675"/>
      <c r="AI946" s="675"/>
      <c r="AJ946" s="675"/>
      <c r="AK946" s="658"/>
    </row>
    <row r="947" spans="1:37" ht="15" customHeight="1">
      <c r="A947" s="5"/>
      <c r="B947" s="313"/>
      <c r="C947" s="835"/>
      <c r="D947" s="725" t="s">
        <v>773</v>
      </c>
      <c r="E947" s="131"/>
      <c r="F947" s="75"/>
      <c r="G947" s="111"/>
      <c r="H947" s="78"/>
      <c r="I947" s="79"/>
      <c r="J947" s="52"/>
      <c r="K947" s="156"/>
      <c r="L947" s="383"/>
      <c r="M947" s="542"/>
      <c r="N947" s="701">
        <f t="shared" si="29"/>
        <v>0</v>
      </c>
      <c r="O947" s="675"/>
      <c r="P947" s="675"/>
      <c r="Q947" s="675"/>
      <c r="R947" s="675"/>
      <c r="S947" s="675"/>
      <c r="T947" s="675"/>
      <c r="U947" s="675"/>
      <c r="V947" s="675"/>
      <c r="W947" s="675"/>
      <c r="X947" s="675"/>
      <c r="Y947" s="675"/>
      <c r="Z947" s="675"/>
      <c r="AA947" s="675"/>
      <c r="AB947" s="675"/>
      <c r="AC947" s="675"/>
      <c r="AD947" s="675"/>
      <c r="AE947" s="675"/>
      <c r="AF947" s="675"/>
      <c r="AG947" s="675"/>
      <c r="AH947" s="675"/>
      <c r="AI947" s="675"/>
      <c r="AJ947" s="675"/>
      <c r="AK947" s="658"/>
    </row>
    <row r="948" spans="1:37" ht="15" customHeight="1">
      <c r="A948" s="5"/>
      <c r="B948" s="313"/>
      <c r="C948" s="835"/>
      <c r="D948" s="725" t="s">
        <v>774</v>
      </c>
      <c r="E948" s="131"/>
      <c r="F948" s="75"/>
      <c r="G948" s="111"/>
      <c r="H948" s="78"/>
      <c r="I948" s="79"/>
      <c r="J948" s="52"/>
      <c r="K948" s="156"/>
      <c r="L948" s="383"/>
      <c r="M948" s="542"/>
      <c r="N948" s="701">
        <f t="shared" si="29"/>
        <v>0</v>
      </c>
      <c r="O948" s="675"/>
      <c r="P948" s="675"/>
      <c r="Q948" s="675"/>
      <c r="R948" s="675"/>
      <c r="S948" s="675"/>
      <c r="T948" s="675"/>
      <c r="U948" s="675"/>
      <c r="V948" s="675"/>
      <c r="W948" s="675"/>
      <c r="X948" s="675"/>
      <c r="Y948" s="675"/>
      <c r="Z948" s="675"/>
      <c r="AA948" s="675"/>
      <c r="AB948" s="675"/>
      <c r="AC948" s="675"/>
      <c r="AD948" s="675"/>
      <c r="AE948" s="675"/>
      <c r="AF948" s="675"/>
      <c r="AG948" s="675"/>
      <c r="AH948" s="675"/>
      <c r="AI948" s="675"/>
      <c r="AJ948" s="675"/>
      <c r="AK948" s="658"/>
    </row>
    <row r="949" spans="1:37" ht="15" customHeight="1">
      <c r="A949" s="5"/>
      <c r="B949" s="313"/>
      <c r="C949" s="835"/>
      <c r="D949" s="725" t="s">
        <v>775</v>
      </c>
      <c r="E949" s="131"/>
      <c r="F949" s="75"/>
      <c r="G949" s="111"/>
      <c r="H949" s="78"/>
      <c r="I949" s="79"/>
      <c r="J949" s="52"/>
      <c r="K949" s="156"/>
      <c r="L949" s="383"/>
      <c r="M949" s="542"/>
      <c r="N949" s="701">
        <f t="shared" si="29"/>
        <v>0</v>
      </c>
      <c r="O949" s="675"/>
      <c r="P949" s="675"/>
      <c r="Q949" s="675"/>
      <c r="R949" s="675"/>
      <c r="S949" s="675"/>
      <c r="T949" s="675"/>
      <c r="U949" s="675"/>
      <c r="V949" s="675"/>
      <c r="W949" s="675"/>
      <c r="X949" s="675"/>
      <c r="Y949" s="675"/>
      <c r="Z949" s="675"/>
      <c r="AA949" s="675"/>
      <c r="AB949" s="675"/>
      <c r="AC949" s="675"/>
      <c r="AD949" s="675"/>
      <c r="AE949" s="675"/>
      <c r="AF949" s="675"/>
      <c r="AG949" s="675"/>
      <c r="AH949" s="675"/>
      <c r="AI949" s="675"/>
      <c r="AJ949" s="675"/>
      <c r="AK949" s="658"/>
    </row>
    <row r="950" spans="1:37" ht="15" customHeight="1">
      <c r="A950" s="5"/>
      <c r="B950" s="313"/>
      <c r="C950" s="835"/>
      <c r="D950" s="725" t="s">
        <v>776</v>
      </c>
      <c r="E950" s="131"/>
      <c r="F950" s="75"/>
      <c r="G950" s="111"/>
      <c r="H950" s="78"/>
      <c r="I950" s="79"/>
      <c r="J950" s="52"/>
      <c r="K950" s="156"/>
      <c r="L950" s="383"/>
      <c r="M950" s="542"/>
      <c r="N950" s="701">
        <f t="shared" si="29"/>
        <v>0</v>
      </c>
      <c r="O950" s="675"/>
      <c r="P950" s="675"/>
      <c r="Q950" s="675"/>
      <c r="R950" s="675"/>
      <c r="S950" s="675"/>
      <c r="T950" s="675"/>
      <c r="U950" s="675"/>
      <c r="V950" s="675"/>
      <c r="W950" s="675"/>
      <c r="X950" s="675"/>
      <c r="Y950" s="675"/>
      <c r="Z950" s="675"/>
      <c r="AA950" s="675"/>
      <c r="AB950" s="675"/>
      <c r="AC950" s="675"/>
      <c r="AD950" s="675"/>
      <c r="AE950" s="675"/>
      <c r="AF950" s="675"/>
      <c r="AG950" s="675"/>
      <c r="AH950" s="675"/>
      <c r="AI950" s="675"/>
      <c r="AJ950" s="675"/>
      <c r="AK950" s="658"/>
    </row>
    <row r="951" spans="1:37" ht="15" customHeight="1">
      <c r="A951" s="5"/>
      <c r="B951" s="313"/>
      <c r="C951" s="835"/>
      <c r="D951" s="725" t="s">
        <v>777</v>
      </c>
      <c r="E951" s="131"/>
      <c r="F951" s="75"/>
      <c r="G951" s="111"/>
      <c r="H951" s="78"/>
      <c r="I951" s="79"/>
      <c r="J951" s="52"/>
      <c r="K951" s="156"/>
      <c r="L951" s="383"/>
      <c r="M951" s="542"/>
      <c r="N951" s="701">
        <f t="shared" si="29"/>
        <v>0</v>
      </c>
      <c r="O951" s="675"/>
      <c r="P951" s="675"/>
      <c r="Q951" s="675"/>
      <c r="R951" s="675"/>
      <c r="S951" s="675"/>
      <c r="T951" s="675"/>
      <c r="U951" s="675"/>
      <c r="V951" s="675"/>
      <c r="W951" s="675"/>
      <c r="X951" s="675"/>
      <c r="Y951" s="675"/>
      <c r="Z951" s="675"/>
      <c r="AA951" s="675"/>
      <c r="AB951" s="675"/>
      <c r="AC951" s="675"/>
      <c r="AD951" s="675"/>
      <c r="AE951" s="675"/>
      <c r="AF951" s="675"/>
      <c r="AG951" s="675"/>
      <c r="AH951" s="675"/>
      <c r="AI951" s="675"/>
      <c r="AJ951" s="675"/>
      <c r="AK951" s="658"/>
    </row>
    <row r="952" spans="1:37" ht="15" customHeight="1">
      <c r="A952" s="5"/>
      <c r="B952" s="313"/>
      <c r="C952" s="835"/>
      <c r="D952" s="725" t="s">
        <v>778</v>
      </c>
      <c r="E952" s="131"/>
      <c r="F952" s="75"/>
      <c r="G952" s="111"/>
      <c r="H952" s="78"/>
      <c r="I952" s="79"/>
      <c r="J952" s="52"/>
      <c r="K952" s="156"/>
      <c r="L952" s="383"/>
      <c r="M952" s="542"/>
      <c r="N952" s="701">
        <f t="shared" si="29"/>
        <v>0</v>
      </c>
      <c r="O952" s="675"/>
      <c r="P952" s="675"/>
      <c r="Q952" s="675"/>
      <c r="R952" s="675"/>
      <c r="S952" s="675"/>
      <c r="T952" s="675"/>
      <c r="U952" s="675"/>
      <c r="V952" s="675"/>
      <c r="W952" s="675"/>
      <c r="X952" s="675"/>
      <c r="Y952" s="675"/>
      <c r="Z952" s="675"/>
      <c r="AA952" s="675"/>
      <c r="AB952" s="675"/>
      <c r="AC952" s="675"/>
      <c r="AD952" s="675"/>
      <c r="AE952" s="675"/>
      <c r="AF952" s="675"/>
      <c r="AG952" s="675"/>
      <c r="AH952" s="675"/>
      <c r="AI952" s="675"/>
      <c r="AJ952" s="675"/>
      <c r="AK952" s="658"/>
    </row>
    <row r="953" spans="1:37" ht="15" customHeight="1">
      <c r="A953" s="5"/>
      <c r="B953" s="313"/>
      <c r="C953" s="835"/>
      <c r="D953" s="725" t="s">
        <v>779</v>
      </c>
      <c r="E953" s="131"/>
      <c r="F953" s="75"/>
      <c r="G953" s="111"/>
      <c r="H953" s="78"/>
      <c r="I953" s="79"/>
      <c r="J953" s="52"/>
      <c r="K953" s="156"/>
      <c r="L953" s="383"/>
      <c r="M953" s="542"/>
      <c r="N953" s="701">
        <f t="shared" si="29"/>
        <v>0</v>
      </c>
      <c r="O953" s="675"/>
      <c r="P953" s="675"/>
      <c r="Q953" s="675"/>
      <c r="R953" s="675"/>
      <c r="S953" s="675"/>
      <c r="T953" s="675"/>
      <c r="U953" s="675"/>
      <c r="V953" s="675"/>
      <c r="W953" s="675"/>
      <c r="X953" s="675"/>
      <c r="Y953" s="675"/>
      <c r="Z953" s="675"/>
      <c r="AA953" s="675"/>
      <c r="AB953" s="675"/>
      <c r="AC953" s="675"/>
      <c r="AD953" s="675"/>
      <c r="AE953" s="675"/>
      <c r="AF953" s="675"/>
      <c r="AG953" s="675"/>
      <c r="AH953" s="675"/>
      <c r="AI953" s="675"/>
      <c r="AJ953" s="675"/>
      <c r="AK953" s="658"/>
    </row>
    <row r="954" spans="1:37" ht="15" customHeight="1">
      <c r="A954" s="5"/>
      <c r="B954" s="313"/>
      <c r="C954" s="835"/>
      <c r="D954" s="725" t="s">
        <v>780</v>
      </c>
      <c r="E954" s="131"/>
      <c r="F954" s="75"/>
      <c r="G954" s="111"/>
      <c r="H954" s="78"/>
      <c r="I954" s="79"/>
      <c r="J954" s="52"/>
      <c r="K954" s="156"/>
      <c r="L954" s="383"/>
      <c r="M954" s="542"/>
      <c r="N954" s="701">
        <f t="shared" si="29"/>
        <v>0</v>
      </c>
      <c r="O954" s="675"/>
      <c r="P954" s="675"/>
      <c r="Q954" s="675"/>
      <c r="R954" s="675"/>
      <c r="S954" s="675"/>
      <c r="T954" s="675"/>
      <c r="U954" s="675"/>
      <c r="V954" s="675"/>
      <c r="W954" s="675"/>
      <c r="X954" s="675"/>
      <c r="Y954" s="675"/>
      <c r="Z954" s="675"/>
      <c r="AA954" s="675"/>
      <c r="AB954" s="675"/>
      <c r="AC954" s="675"/>
      <c r="AD954" s="675"/>
      <c r="AE954" s="675"/>
      <c r="AF954" s="675"/>
      <c r="AG954" s="675"/>
      <c r="AH954" s="675"/>
      <c r="AI954" s="675"/>
      <c r="AJ954" s="675"/>
      <c r="AK954" s="658"/>
    </row>
    <row r="955" spans="1:37" ht="15" customHeight="1">
      <c r="A955" s="5"/>
      <c r="B955" s="313"/>
      <c r="C955" s="835"/>
      <c r="D955" s="725" t="s">
        <v>781</v>
      </c>
      <c r="E955" s="131"/>
      <c r="F955" s="75"/>
      <c r="G955" s="111"/>
      <c r="H955" s="78"/>
      <c r="I955" s="79"/>
      <c r="J955" s="52"/>
      <c r="K955" s="156"/>
      <c r="L955" s="383"/>
      <c r="M955" s="542"/>
      <c r="N955" s="701">
        <f t="shared" si="29"/>
        <v>0</v>
      </c>
      <c r="O955" s="675"/>
      <c r="P955" s="675"/>
      <c r="Q955" s="675"/>
      <c r="R955" s="675"/>
      <c r="S955" s="675"/>
      <c r="T955" s="675"/>
      <c r="U955" s="675"/>
      <c r="V955" s="675"/>
      <c r="W955" s="675"/>
      <c r="X955" s="675"/>
      <c r="Y955" s="675"/>
      <c r="Z955" s="675"/>
      <c r="AA955" s="675"/>
      <c r="AB955" s="675"/>
      <c r="AC955" s="675"/>
      <c r="AD955" s="675"/>
      <c r="AE955" s="675"/>
      <c r="AF955" s="675"/>
      <c r="AG955" s="675"/>
      <c r="AH955" s="675"/>
      <c r="AI955" s="675"/>
      <c r="AJ955" s="675"/>
      <c r="AK955" s="658"/>
    </row>
    <row r="956" spans="1:37" ht="15" customHeight="1">
      <c r="A956" s="5"/>
      <c r="B956" s="313"/>
      <c r="C956" s="835"/>
      <c r="D956" s="725" t="s">
        <v>782</v>
      </c>
      <c r="E956" s="131"/>
      <c r="F956" s="75"/>
      <c r="G956" s="111"/>
      <c r="H956" s="78"/>
      <c r="I956" s="79"/>
      <c r="J956" s="52"/>
      <c r="K956" s="156"/>
      <c r="L956" s="383"/>
      <c r="M956" s="542"/>
      <c r="N956" s="701">
        <f t="shared" si="29"/>
        <v>0</v>
      </c>
      <c r="O956" s="675"/>
      <c r="P956" s="675"/>
      <c r="Q956" s="675"/>
      <c r="R956" s="675"/>
      <c r="S956" s="675"/>
      <c r="T956" s="675"/>
      <c r="U956" s="675"/>
      <c r="V956" s="675"/>
      <c r="W956" s="675"/>
      <c r="X956" s="675"/>
      <c r="Y956" s="675"/>
      <c r="Z956" s="675"/>
      <c r="AA956" s="675"/>
      <c r="AB956" s="675"/>
      <c r="AC956" s="675"/>
      <c r="AD956" s="675"/>
      <c r="AE956" s="675"/>
      <c r="AF956" s="675"/>
      <c r="AG956" s="675"/>
      <c r="AH956" s="675"/>
      <c r="AI956" s="675"/>
      <c r="AJ956" s="675"/>
      <c r="AK956" s="658"/>
    </row>
    <row r="957" spans="1:37" ht="15" customHeight="1">
      <c r="A957" s="5"/>
      <c r="B957" s="313"/>
      <c r="C957" s="835"/>
      <c r="D957" s="725" t="s">
        <v>783</v>
      </c>
      <c r="E957" s="131"/>
      <c r="F957" s="75"/>
      <c r="G957" s="111"/>
      <c r="H957" s="78"/>
      <c r="I957" s="79"/>
      <c r="J957" s="52"/>
      <c r="K957" s="156"/>
      <c r="L957" s="383"/>
      <c r="M957" s="542"/>
      <c r="N957" s="701">
        <f t="shared" si="29"/>
        <v>0</v>
      </c>
      <c r="O957" s="675"/>
      <c r="P957" s="675"/>
      <c r="Q957" s="675"/>
      <c r="R957" s="675"/>
      <c r="S957" s="675"/>
      <c r="T957" s="675"/>
      <c r="U957" s="675"/>
      <c r="V957" s="675"/>
      <c r="W957" s="675"/>
      <c r="X957" s="675"/>
      <c r="Y957" s="675"/>
      <c r="Z957" s="675"/>
      <c r="AA957" s="675"/>
      <c r="AB957" s="675"/>
      <c r="AC957" s="675"/>
      <c r="AD957" s="675"/>
      <c r="AE957" s="675"/>
      <c r="AF957" s="675"/>
      <c r="AG957" s="675"/>
      <c r="AH957" s="675"/>
      <c r="AI957" s="675"/>
      <c r="AJ957" s="675"/>
      <c r="AK957" s="658"/>
    </row>
    <row r="958" spans="1:37" ht="15" customHeight="1">
      <c r="A958" s="5"/>
      <c r="B958" s="313"/>
      <c r="C958" s="835"/>
      <c r="D958" s="725" t="s">
        <v>784</v>
      </c>
      <c r="E958" s="131"/>
      <c r="F958" s="75"/>
      <c r="G958" s="111"/>
      <c r="H958" s="78"/>
      <c r="I958" s="79"/>
      <c r="J958" s="52"/>
      <c r="K958" s="156"/>
      <c r="L958" s="383"/>
      <c r="M958" s="542"/>
      <c r="N958" s="701">
        <f t="shared" si="29"/>
        <v>0</v>
      </c>
      <c r="O958" s="675"/>
      <c r="P958" s="675"/>
      <c r="Q958" s="675"/>
      <c r="R958" s="675"/>
      <c r="S958" s="675"/>
      <c r="T958" s="675"/>
      <c r="U958" s="675"/>
      <c r="V958" s="675"/>
      <c r="W958" s="675"/>
      <c r="X958" s="675"/>
      <c r="Y958" s="675"/>
      <c r="Z958" s="675"/>
      <c r="AA958" s="675"/>
      <c r="AB958" s="675"/>
      <c r="AC958" s="675"/>
      <c r="AD958" s="675"/>
      <c r="AE958" s="675"/>
      <c r="AF958" s="675"/>
      <c r="AG958" s="675"/>
      <c r="AH958" s="675"/>
      <c r="AI958" s="675"/>
      <c r="AJ958" s="675"/>
      <c r="AK958" s="658"/>
    </row>
    <row r="959" spans="1:37" ht="15" customHeight="1">
      <c r="A959" s="5"/>
      <c r="B959" s="313"/>
      <c r="C959" s="835"/>
      <c r="D959" s="725" t="s">
        <v>785</v>
      </c>
      <c r="E959" s="131"/>
      <c r="F959" s="75"/>
      <c r="G959" s="111"/>
      <c r="H959" s="78"/>
      <c r="I959" s="79"/>
      <c r="J959" s="52"/>
      <c r="K959" s="156"/>
      <c r="L959" s="383"/>
      <c r="M959" s="542"/>
      <c r="N959" s="701">
        <f t="shared" si="29"/>
        <v>0</v>
      </c>
      <c r="O959" s="675"/>
      <c r="P959" s="675"/>
      <c r="Q959" s="675"/>
      <c r="R959" s="675"/>
      <c r="S959" s="675"/>
      <c r="T959" s="675"/>
      <c r="U959" s="675"/>
      <c r="V959" s="675"/>
      <c r="W959" s="675"/>
      <c r="X959" s="675"/>
      <c r="Y959" s="675"/>
      <c r="Z959" s="675"/>
      <c r="AA959" s="675"/>
      <c r="AB959" s="675"/>
      <c r="AC959" s="675"/>
      <c r="AD959" s="675"/>
      <c r="AE959" s="675"/>
      <c r="AF959" s="675"/>
      <c r="AG959" s="675"/>
      <c r="AH959" s="675"/>
      <c r="AI959" s="675"/>
      <c r="AJ959" s="675"/>
      <c r="AK959" s="658"/>
    </row>
    <row r="960" spans="1:37" ht="15" customHeight="1">
      <c r="A960" s="5"/>
      <c r="B960" s="313"/>
      <c r="C960" s="835"/>
      <c r="D960" s="725" t="s">
        <v>786</v>
      </c>
      <c r="E960" s="131"/>
      <c r="F960" s="75"/>
      <c r="G960" s="111"/>
      <c r="H960" s="78"/>
      <c r="I960" s="79"/>
      <c r="J960" s="52"/>
      <c r="K960" s="156"/>
      <c r="L960" s="383"/>
      <c r="M960" s="542"/>
      <c r="N960" s="701">
        <f t="shared" si="29"/>
        <v>0</v>
      </c>
      <c r="O960" s="675"/>
      <c r="P960" s="675"/>
      <c r="Q960" s="675"/>
      <c r="R960" s="675"/>
      <c r="S960" s="675"/>
      <c r="T960" s="675"/>
      <c r="U960" s="675"/>
      <c r="V960" s="675"/>
      <c r="W960" s="675"/>
      <c r="X960" s="675"/>
      <c r="Y960" s="675"/>
      <c r="Z960" s="675"/>
      <c r="AA960" s="675"/>
      <c r="AB960" s="675"/>
      <c r="AC960" s="675"/>
      <c r="AD960" s="675"/>
      <c r="AE960" s="675"/>
      <c r="AF960" s="675"/>
      <c r="AG960" s="675"/>
      <c r="AH960" s="675"/>
      <c r="AI960" s="675"/>
      <c r="AJ960" s="675"/>
      <c r="AK960" s="658"/>
    </row>
    <row r="961" spans="1:37" ht="15" customHeight="1">
      <c r="A961" s="5"/>
      <c r="B961" s="313"/>
      <c r="C961" s="835"/>
      <c r="D961" s="725" t="s">
        <v>787</v>
      </c>
      <c r="E961" s="131"/>
      <c r="F961" s="75"/>
      <c r="G961" s="111"/>
      <c r="H961" s="78"/>
      <c r="I961" s="79"/>
      <c r="J961" s="52"/>
      <c r="K961" s="156"/>
      <c r="L961" s="383"/>
      <c r="M961" s="542"/>
      <c r="N961" s="701">
        <f t="shared" si="29"/>
        <v>0</v>
      </c>
      <c r="O961" s="675"/>
      <c r="P961" s="675"/>
      <c r="Q961" s="675"/>
      <c r="R961" s="675"/>
      <c r="S961" s="675"/>
      <c r="T961" s="675"/>
      <c r="U961" s="675"/>
      <c r="V961" s="675"/>
      <c r="W961" s="675"/>
      <c r="X961" s="675"/>
      <c r="Y961" s="675"/>
      <c r="Z961" s="675"/>
      <c r="AA961" s="675"/>
      <c r="AB961" s="675"/>
      <c r="AC961" s="675"/>
      <c r="AD961" s="675"/>
      <c r="AE961" s="675"/>
      <c r="AF961" s="675"/>
      <c r="AG961" s="675"/>
      <c r="AH961" s="675"/>
      <c r="AI961" s="675"/>
      <c r="AJ961" s="675"/>
      <c r="AK961" s="658"/>
    </row>
    <row r="962" spans="1:37" ht="15" customHeight="1">
      <c r="A962" s="5"/>
      <c r="B962" s="313"/>
      <c r="C962" s="835"/>
      <c r="D962" s="725" t="s">
        <v>788</v>
      </c>
      <c r="E962" s="131"/>
      <c r="F962" s="75"/>
      <c r="G962" s="111"/>
      <c r="H962" s="78"/>
      <c r="I962" s="79"/>
      <c r="J962" s="52"/>
      <c r="K962" s="156"/>
      <c r="L962" s="383"/>
      <c r="M962" s="542"/>
      <c r="N962" s="701">
        <f t="shared" si="29"/>
        <v>0</v>
      </c>
      <c r="O962" s="675"/>
      <c r="P962" s="675"/>
      <c r="Q962" s="675"/>
      <c r="R962" s="675"/>
      <c r="S962" s="675"/>
      <c r="T962" s="675"/>
      <c r="U962" s="675"/>
      <c r="V962" s="675"/>
      <c r="W962" s="675"/>
      <c r="X962" s="675"/>
      <c r="Y962" s="675"/>
      <c r="Z962" s="675"/>
      <c r="AA962" s="675"/>
      <c r="AB962" s="675"/>
      <c r="AC962" s="675"/>
      <c r="AD962" s="675"/>
      <c r="AE962" s="675"/>
      <c r="AF962" s="675"/>
      <c r="AG962" s="675"/>
      <c r="AH962" s="675"/>
      <c r="AI962" s="675"/>
      <c r="AJ962" s="675"/>
      <c r="AK962" s="658"/>
    </row>
    <row r="963" spans="1:37" ht="15" customHeight="1">
      <c r="A963" s="5"/>
      <c r="B963" s="313"/>
      <c r="C963" s="835"/>
      <c r="D963" s="725" t="s">
        <v>789</v>
      </c>
      <c r="E963" s="131"/>
      <c r="F963" s="75"/>
      <c r="G963" s="111"/>
      <c r="H963" s="78"/>
      <c r="I963" s="79"/>
      <c r="J963" s="52"/>
      <c r="K963" s="156"/>
      <c r="L963" s="383"/>
      <c r="M963" s="542"/>
      <c r="N963" s="701">
        <f t="shared" si="29"/>
        <v>0</v>
      </c>
      <c r="O963" s="675"/>
      <c r="P963" s="675"/>
      <c r="Q963" s="675"/>
      <c r="R963" s="675"/>
      <c r="S963" s="675"/>
      <c r="T963" s="675"/>
      <c r="U963" s="675"/>
      <c r="V963" s="675"/>
      <c r="W963" s="675"/>
      <c r="X963" s="675"/>
      <c r="Y963" s="675"/>
      <c r="Z963" s="675"/>
      <c r="AA963" s="675"/>
      <c r="AB963" s="675"/>
      <c r="AC963" s="675"/>
      <c r="AD963" s="675"/>
      <c r="AE963" s="675"/>
      <c r="AF963" s="675"/>
      <c r="AG963" s="675"/>
      <c r="AH963" s="675"/>
      <c r="AI963" s="675"/>
      <c r="AJ963" s="675"/>
      <c r="AK963" s="658"/>
    </row>
    <row r="964" spans="1:37" ht="15" customHeight="1">
      <c r="A964" s="5"/>
      <c r="B964" s="313"/>
      <c r="C964" s="835"/>
      <c r="D964" s="725" t="s">
        <v>790</v>
      </c>
      <c r="E964" s="131"/>
      <c r="F964" s="75"/>
      <c r="G964" s="111"/>
      <c r="H964" s="78"/>
      <c r="I964" s="79"/>
      <c r="J964" s="52"/>
      <c r="K964" s="156"/>
      <c r="L964" s="383"/>
      <c r="M964" s="542"/>
      <c r="N964" s="701">
        <f t="shared" si="29"/>
        <v>0</v>
      </c>
      <c r="O964" s="675"/>
      <c r="P964" s="675"/>
      <c r="Q964" s="675"/>
      <c r="R964" s="675"/>
      <c r="S964" s="675"/>
      <c r="T964" s="675"/>
      <c r="U964" s="675"/>
      <c r="V964" s="675"/>
      <c r="W964" s="675"/>
      <c r="X964" s="675"/>
      <c r="Y964" s="675"/>
      <c r="Z964" s="675"/>
      <c r="AA964" s="675"/>
      <c r="AB964" s="675"/>
      <c r="AC964" s="675"/>
      <c r="AD964" s="675"/>
      <c r="AE964" s="675"/>
      <c r="AF964" s="675"/>
      <c r="AG964" s="675"/>
      <c r="AH964" s="675"/>
      <c r="AI964" s="675"/>
      <c r="AJ964" s="675"/>
      <c r="AK964" s="658"/>
    </row>
    <row r="965" spans="1:37" ht="15" customHeight="1">
      <c r="A965" s="5"/>
      <c r="B965" s="313"/>
      <c r="C965" s="835"/>
      <c r="D965" s="725" t="s">
        <v>791</v>
      </c>
      <c r="E965" s="131"/>
      <c r="F965" s="75"/>
      <c r="G965" s="111"/>
      <c r="H965" s="78"/>
      <c r="I965" s="79"/>
      <c r="J965" s="52"/>
      <c r="K965" s="156"/>
      <c r="L965" s="383"/>
      <c r="M965" s="542"/>
      <c r="N965" s="701">
        <f t="shared" ref="N965:N984" si="30">SUM(O965:AJ965)-I965</f>
        <v>0</v>
      </c>
      <c r="O965" s="675"/>
      <c r="P965" s="675"/>
      <c r="Q965" s="675"/>
      <c r="R965" s="675"/>
      <c r="S965" s="675"/>
      <c r="T965" s="675"/>
      <c r="U965" s="675"/>
      <c r="V965" s="675"/>
      <c r="W965" s="675"/>
      <c r="X965" s="675"/>
      <c r="Y965" s="675"/>
      <c r="Z965" s="675"/>
      <c r="AA965" s="675"/>
      <c r="AB965" s="675"/>
      <c r="AC965" s="675"/>
      <c r="AD965" s="675"/>
      <c r="AE965" s="675"/>
      <c r="AF965" s="675"/>
      <c r="AG965" s="675"/>
      <c r="AH965" s="675"/>
      <c r="AI965" s="675"/>
      <c r="AJ965" s="675"/>
      <c r="AK965" s="658"/>
    </row>
    <row r="966" spans="1:37" ht="15" customHeight="1">
      <c r="A966" s="5"/>
      <c r="B966" s="313"/>
      <c r="C966" s="835"/>
      <c r="D966" s="725" t="s">
        <v>792</v>
      </c>
      <c r="E966" s="131"/>
      <c r="F966" s="75"/>
      <c r="G966" s="111"/>
      <c r="H966" s="78"/>
      <c r="I966" s="79"/>
      <c r="J966" s="52"/>
      <c r="K966" s="156"/>
      <c r="L966" s="383"/>
      <c r="M966" s="542"/>
      <c r="N966" s="701">
        <f t="shared" si="30"/>
        <v>0</v>
      </c>
      <c r="O966" s="675"/>
      <c r="P966" s="675"/>
      <c r="Q966" s="675"/>
      <c r="R966" s="675"/>
      <c r="S966" s="675"/>
      <c r="T966" s="675"/>
      <c r="U966" s="675"/>
      <c r="V966" s="675"/>
      <c r="W966" s="675"/>
      <c r="X966" s="675"/>
      <c r="Y966" s="675"/>
      <c r="Z966" s="675"/>
      <c r="AA966" s="675"/>
      <c r="AB966" s="675"/>
      <c r="AC966" s="675"/>
      <c r="AD966" s="675"/>
      <c r="AE966" s="675"/>
      <c r="AF966" s="675"/>
      <c r="AG966" s="675"/>
      <c r="AH966" s="675"/>
      <c r="AI966" s="675"/>
      <c r="AJ966" s="675"/>
      <c r="AK966" s="658"/>
    </row>
    <row r="967" spans="1:37" ht="15" customHeight="1">
      <c r="A967" s="5"/>
      <c r="B967" s="313"/>
      <c r="C967" s="835"/>
      <c r="D967" s="725" t="s">
        <v>793</v>
      </c>
      <c r="E967" s="131"/>
      <c r="F967" s="75"/>
      <c r="G967" s="111"/>
      <c r="H967" s="78"/>
      <c r="I967" s="79"/>
      <c r="J967" s="52"/>
      <c r="K967" s="156"/>
      <c r="L967" s="383"/>
      <c r="M967" s="542"/>
      <c r="N967" s="701">
        <f t="shared" si="30"/>
        <v>0</v>
      </c>
      <c r="O967" s="675"/>
      <c r="P967" s="675"/>
      <c r="Q967" s="675"/>
      <c r="R967" s="675"/>
      <c r="S967" s="675"/>
      <c r="T967" s="675"/>
      <c r="U967" s="675"/>
      <c r="V967" s="675"/>
      <c r="W967" s="675"/>
      <c r="X967" s="675"/>
      <c r="Y967" s="675"/>
      <c r="Z967" s="675"/>
      <c r="AA967" s="675"/>
      <c r="AB967" s="675"/>
      <c r="AC967" s="675"/>
      <c r="AD967" s="675"/>
      <c r="AE967" s="675"/>
      <c r="AF967" s="675"/>
      <c r="AG967" s="675"/>
      <c r="AH967" s="675"/>
      <c r="AI967" s="675"/>
      <c r="AJ967" s="675"/>
      <c r="AK967" s="658"/>
    </row>
    <row r="968" spans="1:37" ht="15" customHeight="1">
      <c r="A968" s="5"/>
      <c r="B968" s="313"/>
      <c r="C968" s="835"/>
      <c r="D968" s="725" t="s">
        <v>794</v>
      </c>
      <c r="E968" s="131"/>
      <c r="F968" s="75"/>
      <c r="G968" s="111"/>
      <c r="H968" s="78"/>
      <c r="I968" s="79"/>
      <c r="J968" s="52"/>
      <c r="K968" s="156"/>
      <c r="L968" s="383"/>
      <c r="M968" s="542"/>
      <c r="N968" s="701">
        <f t="shared" si="30"/>
        <v>0</v>
      </c>
      <c r="O968" s="675"/>
      <c r="P968" s="675"/>
      <c r="Q968" s="675"/>
      <c r="R968" s="675"/>
      <c r="S968" s="675"/>
      <c r="T968" s="675"/>
      <c r="U968" s="675"/>
      <c r="V968" s="675"/>
      <c r="W968" s="675"/>
      <c r="X968" s="675"/>
      <c r="Y968" s="675"/>
      <c r="Z968" s="675"/>
      <c r="AA968" s="675"/>
      <c r="AB968" s="675"/>
      <c r="AC968" s="675"/>
      <c r="AD968" s="675"/>
      <c r="AE968" s="675"/>
      <c r="AF968" s="675"/>
      <c r="AG968" s="675"/>
      <c r="AH968" s="675"/>
      <c r="AI968" s="675"/>
      <c r="AJ968" s="675"/>
      <c r="AK968" s="658"/>
    </row>
    <row r="969" spans="1:37" ht="15" customHeight="1">
      <c r="A969" s="5"/>
      <c r="B969" s="313"/>
      <c r="C969" s="835"/>
      <c r="D969" s="725" t="s">
        <v>795</v>
      </c>
      <c r="E969" s="131"/>
      <c r="F969" s="75"/>
      <c r="G969" s="111"/>
      <c r="H969" s="78"/>
      <c r="I969" s="79"/>
      <c r="J969" s="52"/>
      <c r="K969" s="156"/>
      <c r="L969" s="383"/>
      <c r="M969" s="542"/>
      <c r="N969" s="701">
        <f t="shared" si="30"/>
        <v>0</v>
      </c>
      <c r="O969" s="675"/>
      <c r="P969" s="675"/>
      <c r="Q969" s="675"/>
      <c r="R969" s="675"/>
      <c r="S969" s="675"/>
      <c r="T969" s="675"/>
      <c r="U969" s="675"/>
      <c r="V969" s="675"/>
      <c r="W969" s="675"/>
      <c r="X969" s="675"/>
      <c r="Y969" s="675"/>
      <c r="Z969" s="675"/>
      <c r="AA969" s="675"/>
      <c r="AB969" s="675"/>
      <c r="AC969" s="675"/>
      <c r="AD969" s="675"/>
      <c r="AE969" s="675"/>
      <c r="AF969" s="675"/>
      <c r="AG969" s="675"/>
      <c r="AH969" s="675"/>
      <c r="AI969" s="675"/>
      <c r="AJ969" s="675"/>
      <c r="AK969" s="658"/>
    </row>
    <row r="970" spans="1:37" ht="15" customHeight="1">
      <c r="A970" s="5"/>
      <c r="B970" s="313"/>
      <c r="C970" s="835"/>
      <c r="D970" s="725" t="s">
        <v>796</v>
      </c>
      <c r="E970" s="131"/>
      <c r="F970" s="75"/>
      <c r="G970" s="111"/>
      <c r="H970" s="78"/>
      <c r="I970" s="79"/>
      <c r="J970" s="52"/>
      <c r="K970" s="156"/>
      <c r="L970" s="383"/>
      <c r="M970" s="542"/>
      <c r="N970" s="701">
        <f t="shared" si="30"/>
        <v>0</v>
      </c>
      <c r="O970" s="675"/>
      <c r="P970" s="675"/>
      <c r="Q970" s="675"/>
      <c r="R970" s="675"/>
      <c r="S970" s="675"/>
      <c r="T970" s="675"/>
      <c r="U970" s="675"/>
      <c r="V970" s="675"/>
      <c r="W970" s="675"/>
      <c r="X970" s="675"/>
      <c r="Y970" s="675"/>
      <c r="Z970" s="675"/>
      <c r="AA970" s="675"/>
      <c r="AB970" s="675"/>
      <c r="AC970" s="675"/>
      <c r="AD970" s="675"/>
      <c r="AE970" s="675"/>
      <c r="AF970" s="675"/>
      <c r="AG970" s="675"/>
      <c r="AH970" s="675"/>
      <c r="AI970" s="675"/>
      <c r="AJ970" s="675"/>
      <c r="AK970" s="658"/>
    </row>
    <row r="971" spans="1:37" ht="15" customHeight="1">
      <c r="A971" s="5"/>
      <c r="B971" s="313"/>
      <c r="C971" s="835"/>
      <c r="D971" s="725" t="s">
        <v>797</v>
      </c>
      <c r="E971" s="131"/>
      <c r="F971" s="75"/>
      <c r="G971" s="111"/>
      <c r="H971" s="78"/>
      <c r="I971" s="79"/>
      <c r="J971" s="52"/>
      <c r="K971" s="156"/>
      <c r="L971" s="383"/>
      <c r="M971" s="542"/>
      <c r="N971" s="701">
        <f t="shared" si="30"/>
        <v>0</v>
      </c>
      <c r="O971" s="675"/>
      <c r="P971" s="675"/>
      <c r="Q971" s="675"/>
      <c r="R971" s="675"/>
      <c r="S971" s="675"/>
      <c r="T971" s="675"/>
      <c r="U971" s="675"/>
      <c r="V971" s="675"/>
      <c r="W971" s="675"/>
      <c r="X971" s="675"/>
      <c r="Y971" s="675"/>
      <c r="Z971" s="675"/>
      <c r="AA971" s="675"/>
      <c r="AB971" s="675"/>
      <c r="AC971" s="675"/>
      <c r="AD971" s="675"/>
      <c r="AE971" s="675"/>
      <c r="AF971" s="675"/>
      <c r="AG971" s="675"/>
      <c r="AH971" s="675"/>
      <c r="AI971" s="675"/>
      <c r="AJ971" s="675"/>
      <c r="AK971" s="658"/>
    </row>
    <row r="972" spans="1:37" ht="15" customHeight="1">
      <c r="A972" s="5"/>
      <c r="B972" s="313"/>
      <c r="C972" s="835"/>
      <c r="D972" s="725" t="s">
        <v>798</v>
      </c>
      <c r="E972" s="131"/>
      <c r="F972" s="75"/>
      <c r="G972" s="111"/>
      <c r="H972" s="78"/>
      <c r="I972" s="79"/>
      <c r="J972" s="52"/>
      <c r="K972" s="156"/>
      <c r="L972" s="383"/>
      <c r="M972" s="542"/>
      <c r="N972" s="701">
        <f t="shared" si="30"/>
        <v>0</v>
      </c>
      <c r="O972" s="675"/>
      <c r="P972" s="675"/>
      <c r="Q972" s="675"/>
      <c r="R972" s="675"/>
      <c r="S972" s="675"/>
      <c r="T972" s="675"/>
      <c r="U972" s="675"/>
      <c r="V972" s="675"/>
      <c r="W972" s="675"/>
      <c r="X972" s="675"/>
      <c r="Y972" s="675"/>
      <c r="Z972" s="675"/>
      <c r="AA972" s="675"/>
      <c r="AB972" s="675"/>
      <c r="AC972" s="675"/>
      <c r="AD972" s="675"/>
      <c r="AE972" s="675"/>
      <c r="AF972" s="675"/>
      <c r="AG972" s="675"/>
      <c r="AH972" s="675"/>
      <c r="AI972" s="675"/>
      <c r="AJ972" s="675"/>
      <c r="AK972" s="658"/>
    </row>
    <row r="973" spans="1:37" ht="15" customHeight="1">
      <c r="A973" s="5"/>
      <c r="B973" s="313"/>
      <c r="C973" s="835"/>
      <c r="D973" s="725" t="s">
        <v>799</v>
      </c>
      <c r="E973" s="131"/>
      <c r="F973" s="75"/>
      <c r="G973" s="111"/>
      <c r="H973" s="78"/>
      <c r="I973" s="79"/>
      <c r="J973" s="52"/>
      <c r="K973" s="156"/>
      <c r="L973" s="383"/>
      <c r="M973" s="542"/>
      <c r="N973" s="701">
        <f t="shared" si="30"/>
        <v>0</v>
      </c>
      <c r="O973" s="675"/>
      <c r="P973" s="675"/>
      <c r="Q973" s="675"/>
      <c r="R973" s="675"/>
      <c r="S973" s="675"/>
      <c r="T973" s="675"/>
      <c r="U973" s="675"/>
      <c r="V973" s="675"/>
      <c r="W973" s="675"/>
      <c r="X973" s="675"/>
      <c r="Y973" s="675"/>
      <c r="Z973" s="675"/>
      <c r="AA973" s="675"/>
      <c r="AB973" s="675"/>
      <c r="AC973" s="675"/>
      <c r="AD973" s="675"/>
      <c r="AE973" s="675"/>
      <c r="AF973" s="675"/>
      <c r="AG973" s="675"/>
      <c r="AH973" s="675"/>
      <c r="AI973" s="675"/>
      <c r="AJ973" s="675"/>
      <c r="AK973" s="658"/>
    </row>
    <row r="974" spans="1:37" ht="15" customHeight="1">
      <c r="A974" s="5"/>
      <c r="B974" s="313"/>
      <c r="C974" s="835"/>
      <c r="D974" s="725" t="s">
        <v>800</v>
      </c>
      <c r="E974" s="131"/>
      <c r="F974" s="75"/>
      <c r="G974" s="111"/>
      <c r="H974" s="78"/>
      <c r="I974" s="79"/>
      <c r="J974" s="52"/>
      <c r="K974" s="156"/>
      <c r="L974" s="383"/>
      <c r="M974" s="542"/>
      <c r="N974" s="701">
        <f t="shared" si="30"/>
        <v>0</v>
      </c>
      <c r="O974" s="675"/>
      <c r="P974" s="675"/>
      <c r="Q974" s="675"/>
      <c r="R974" s="675"/>
      <c r="S974" s="675"/>
      <c r="T974" s="675"/>
      <c r="U974" s="675"/>
      <c r="V974" s="675"/>
      <c r="W974" s="675"/>
      <c r="X974" s="675"/>
      <c r="Y974" s="675"/>
      <c r="Z974" s="675"/>
      <c r="AA974" s="675"/>
      <c r="AB974" s="675"/>
      <c r="AC974" s="675"/>
      <c r="AD974" s="675"/>
      <c r="AE974" s="675"/>
      <c r="AF974" s="675"/>
      <c r="AG974" s="675"/>
      <c r="AH974" s="675"/>
      <c r="AI974" s="675"/>
      <c r="AJ974" s="675"/>
      <c r="AK974" s="658"/>
    </row>
    <row r="975" spans="1:37" ht="15" customHeight="1">
      <c r="A975" s="5"/>
      <c r="B975" s="313"/>
      <c r="C975" s="835"/>
      <c r="D975" s="725" t="s">
        <v>801</v>
      </c>
      <c r="E975" s="131"/>
      <c r="F975" s="75"/>
      <c r="G975" s="111"/>
      <c r="H975" s="78"/>
      <c r="I975" s="79"/>
      <c r="J975" s="52"/>
      <c r="K975" s="156"/>
      <c r="L975" s="383"/>
      <c r="M975" s="542"/>
      <c r="N975" s="701">
        <f t="shared" si="30"/>
        <v>0</v>
      </c>
      <c r="O975" s="675"/>
      <c r="P975" s="675"/>
      <c r="Q975" s="675"/>
      <c r="R975" s="675"/>
      <c r="S975" s="675"/>
      <c r="T975" s="675"/>
      <c r="U975" s="675"/>
      <c r="V975" s="675"/>
      <c r="W975" s="675"/>
      <c r="X975" s="675"/>
      <c r="Y975" s="675"/>
      <c r="Z975" s="675"/>
      <c r="AA975" s="675"/>
      <c r="AB975" s="675"/>
      <c r="AC975" s="675"/>
      <c r="AD975" s="675"/>
      <c r="AE975" s="675"/>
      <c r="AF975" s="675"/>
      <c r="AG975" s="675"/>
      <c r="AH975" s="675"/>
      <c r="AI975" s="675"/>
      <c r="AJ975" s="675"/>
      <c r="AK975" s="658"/>
    </row>
    <row r="976" spans="1:37" ht="15" customHeight="1">
      <c r="A976" s="5"/>
      <c r="B976" s="313"/>
      <c r="C976" s="835"/>
      <c r="D976" s="725" t="s">
        <v>802</v>
      </c>
      <c r="E976" s="131"/>
      <c r="F976" s="75"/>
      <c r="G976" s="111"/>
      <c r="H976" s="78"/>
      <c r="I976" s="79"/>
      <c r="J976" s="52"/>
      <c r="K976" s="156"/>
      <c r="L976" s="383"/>
      <c r="M976" s="542"/>
      <c r="N976" s="701">
        <f t="shared" si="30"/>
        <v>0</v>
      </c>
      <c r="O976" s="675"/>
      <c r="P976" s="675"/>
      <c r="Q976" s="675"/>
      <c r="R976" s="675"/>
      <c r="S976" s="675"/>
      <c r="T976" s="675"/>
      <c r="U976" s="675"/>
      <c r="V976" s="675"/>
      <c r="W976" s="675"/>
      <c r="X976" s="675"/>
      <c r="Y976" s="675"/>
      <c r="Z976" s="675"/>
      <c r="AA976" s="675"/>
      <c r="AB976" s="675"/>
      <c r="AC976" s="675"/>
      <c r="AD976" s="675"/>
      <c r="AE976" s="675"/>
      <c r="AF976" s="675"/>
      <c r="AG976" s="675"/>
      <c r="AH976" s="675"/>
      <c r="AI976" s="675"/>
      <c r="AJ976" s="675"/>
      <c r="AK976" s="658"/>
    </row>
    <row r="977" spans="1:37" ht="15" customHeight="1">
      <c r="A977" s="5"/>
      <c r="B977" s="313"/>
      <c r="C977" s="835"/>
      <c r="D977" s="725" t="s">
        <v>803</v>
      </c>
      <c r="E977" s="131"/>
      <c r="F977" s="75"/>
      <c r="G977" s="111"/>
      <c r="H977" s="78"/>
      <c r="I977" s="79"/>
      <c r="J977" s="52"/>
      <c r="K977" s="156"/>
      <c r="L977" s="383"/>
      <c r="M977" s="542"/>
      <c r="N977" s="701">
        <f t="shared" si="30"/>
        <v>0</v>
      </c>
      <c r="O977" s="675"/>
      <c r="P977" s="675"/>
      <c r="Q977" s="675"/>
      <c r="R977" s="675"/>
      <c r="S977" s="675"/>
      <c r="T977" s="675"/>
      <c r="U977" s="675"/>
      <c r="V977" s="675"/>
      <c r="W977" s="675"/>
      <c r="X977" s="675"/>
      <c r="Y977" s="675"/>
      <c r="Z977" s="675"/>
      <c r="AA977" s="675"/>
      <c r="AB977" s="675"/>
      <c r="AC977" s="675"/>
      <c r="AD977" s="675"/>
      <c r="AE977" s="675"/>
      <c r="AF977" s="675"/>
      <c r="AG977" s="675"/>
      <c r="AH977" s="675"/>
      <c r="AI977" s="675"/>
      <c r="AJ977" s="675"/>
      <c r="AK977" s="658"/>
    </row>
    <row r="978" spans="1:37" ht="15" customHeight="1">
      <c r="A978" s="5"/>
      <c r="B978" s="313"/>
      <c r="C978" s="835"/>
      <c r="D978" s="17"/>
      <c r="E978" s="67" t="s">
        <v>27</v>
      </c>
      <c r="F978" s="253">
        <v>900000</v>
      </c>
      <c r="G978" s="64">
        <v>6</v>
      </c>
      <c r="H978" s="64">
        <f>F978*G978+147000</f>
        <v>5547000</v>
      </c>
      <c r="I978" s="72"/>
      <c r="J978" s="52"/>
      <c r="K978" s="156"/>
      <c r="L978" s="383"/>
      <c r="M978" s="542"/>
      <c r="N978" s="701">
        <f t="shared" si="30"/>
        <v>0</v>
      </c>
      <c r="O978" s="675"/>
      <c r="P978" s="675"/>
      <c r="Q978" s="675"/>
      <c r="R978" s="675"/>
      <c r="S978" s="675"/>
      <c r="T978" s="675"/>
      <c r="U978" s="675"/>
      <c r="V978" s="675"/>
      <c r="W978" s="675"/>
      <c r="X978" s="675"/>
      <c r="Y978" s="675"/>
      <c r="Z978" s="675"/>
      <c r="AA978" s="675"/>
      <c r="AB978" s="675"/>
      <c r="AC978" s="675"/>
      <c r="AD978" s="675"/>
      <c r="AE978" s="675"/>
      <c r="AF978" s="675"/>
      <c r="AG978" s="675"/>
      <c r="AH978" s="675"/>
      <c r="AI978" s="675"/>
      <c r="AJ978" s="675"/>
      <c r="AK978" s="658"/>
    </row>
    <row r="979" spans="1:37" ht="15" customHeight="1">
      <c r="A979" s="5"/>
      <c r="B979" s="313"/>
      <c r="C979" s="835"/>
      <c r="D979" s="138" t="s">
        <v>168</v>
      </c>
      <c r="E979" s="120"/>
      <c r="F979" s="91"/>
      <c r="G979" s="121"/>
      <c r="H979" s="64"/>
      <c r="I979" s="94"/>
      <c r="J979" s="52"/>
      <c r="K979" s="156"/>
      <c r="L979" s="383"/>
      <c r="M979" s="542"/>
      <c r="N979" s="701">
        <f t="shared" si="30"/>
        <v>0</v>
      </c>
      <c r="O979" s="675"/>
      <c r="P979" s="675"/>
      <c r="Q979" s="675"/>
      <c r="R979" s="675"/>
      <c r="S979" s="675"/>
      <c r="T979" s="675"/>
      <c r="U979" s="675"/>
      <c r="V979" s="675"/>
      <c r="W979" s="675"/>
      <c r="X979" s="675"/>
      <c r="Y979" s="675"/>
      <c r="Z979" s="675"/>
      <c r="AA979" s="675"/>
      <c r="AB979" s="675"/>
      <c r="AC979" s="675"/>
      <c r="AD979" s="675"/>
      <c r="AE979" s="675"/>
      <c r="AF979" s="675"/>
      <c r="AG979" s="675"/>
      <c r="AH979" s="675"/>
      <c r="AI979" s="675"/>
      <c r="AJ979" s="675"/>
      <c r="AK979" s="658"/>
    </row>
    <row r="980" spans="1:37" ht="15" customHeight="1">
      <c r="A980" s="5"/>
      <c r="B980" s="313"/>
      <c r="C980" s="835"/>
      <c r="D980" s="260"/>
      <c r="E980" s="81" t="s">
        <v>348</v>
      </c>
      <c r="F980" s="253">
        <v>2500000</v>
      </c>
      <c r="G980" s="92">
        <v>7.0000000000000007E-2</v>
      </c>
      <c r="H980" s="64">
        <f>F980*G980+44100</f>
        <v>219100.00000000003</v>
      </c>
      <c r="I980" s="72"/>
      <c r="J980" s="52"/>
      <c r="K980" s="156"/>
      <c r="L980" s="383"/>
      <c r="M980" s="542"/>
      <c r="N980" s="701">
        <f t="shared" si="30"/>
        <v>0</v>
      </c>
      <c r="O980" s="675"/>
      <c r="P980" s="675"/>
      <c r="Q980" s="675"/>
      <c r="R980" s="675"/>
      <c r="S980" s="675"/>
      <c r="T980" s="675"/>
      <c r="U980" s="675"/>
      <c r="V980" s="675"/>
      <c r="W980" s="675"/>
      <c r="X980" s="675"/>
      <c r="Y980" s="675"/>
      <c r="Z980" s="675"/>
      <c r="AA980" s="675"/>
      <c r="AB980" s="675"/>
      <c r="AC980" s="675"/>
      <c r="AD980" s="675"/>
      <c r="AE980" s="675"/>
      <c r="AF980" s="675"/>
      <c r="AG980" s="675"/>
      <c r="AH980" s="675"/>
      <c r="AI980" s="675"/>
      <c r="AJ980" s="675"/>
      <c r="AK980" s="658"/>
    </row>
    <row r="981" spans="1:37" ht="15" customHeight="1">
      <c r="A981" s="5"/>
      <c r="B981" s="313"/>
      <c r="C981" s="833" t="s">
        <v>941</v>
      </c>
      <c r="D981" s="80" t="s">
        <v>169</v>
      </c>
      <c r="E981" s="131"/>
      <c r="F981" s="132"/>
      <c r="G981" s="111"/>
      <c r="H981" s="75"/>
      <c r="I981" s="126"/>
      <c r="J981" s="52"/>
      <c r="K981" s="156"/>
      <c r="L981" s="383"/>
      <c r="M981" s="542"/>
      <c r="N981" s="701">
        <f t="shared" si="30"/>
        <v>0</v>
      </c>
      <c r="O981" s="675"/>
      <c r="P981" s="675"/>
      <c r="Q981" s="675"/>
      <c r="R981" s="675"/>
      <c r="S981" s="675"/>
      <c r="T981" s="675"/>
      <c r="U981" s="675"/>
      <c r="V981" s="675"/>
      <c r="W981" s="675"/>
      <c r="X981" s="675"/>
      <c r="Y981" s="675"/>
      <c r="Z981" s="675"/>
      <c r="AA981" s="675"/>
      <c r="AB981" s="675"/>
      <c r="AC981" s="675"/>
      <c r="AD981" s="675"/>
      <c r="AE981" s="675"/>
      <c r="AF981" s="675"/>
      <c r="AG981" s="675"/>
      <c r="AH981" s="675"/>
      <c r="AI981" s="675"/>
      <c r="AJ981" s="675"/>
      <c r="AK981" s="658"/>
    </row>
    <row r="982" spans="1:37" ht="15" customHeight="1">
      <c r="A982" s="5"/>
      <c r="B982" s="313"/>
      <c r="C982" s="835"/>
      <c r="D982" s="17"/>
      <c r="E982" s="81" t="s">
        <v>27</v>
      </c>
      <c r="F982" s="253">
        <f>205000+1.2</f>
        <v>205001.2</v>
      </c>
      <c r="G982" s="64">
        <v>6</v>
      </c>
      <c r="H982" s="64">
        <f>F982*G982+151410</f>
        <v>1381417.2000000002</v>
      </c>
      <c r="I982" s="72"/>
      <c r="J982" s="52"/>
      <c r="K982" s="156"/>
      <c r="L982" s="383"/>
      <c r="M982" s="542"/>
      <c r="N982" s="701">
        <f t="shared" si="30"/>
        <v>0</v>
      </c>
      <c r="O982" s="675"/>
      <c r="P982" s="675"/>
      <c r="Q982" s="675"/>
      <c r="R982" s="675"/>
      <c r="S982" s="675"/>
      <c r="T982" s="675"/>
      <c r="U982" s="675"/>
      <c r="V982" s="675"/>
      <c r="W982" s="675"/>
      <c r="X982" s="675"/>
      <c r="Y982" s="675"/>
      <c r="Z982" s="675"/>
      <c r="AA982" s="675"/>
      <c r="AB982" s="675"/>
      <c r="AC982" s="675"/>
      <c r="AD982" s="675"/>
      <c r="AE982" s="675"/>
      <c r="AF982" s="675"/>
      <c r="AG982" s="675"/>
      <c r="AH982" s="675"/>
      <c r="AI982" s="675"/>
      <c r="AJ982" s="675"/>
      <c r="AK982" s="658"/>
    </row>
    <row r="983" spans="1:37" ht="15" customHeight="1">
      <c r="A983" s="5"/>
      <c r="B983" s="313"/>
      <c r="C983" s="833" t="s">
        <v>942</v>
      </c>
      <c r="D983" s="80" t="s">
        <v>852</v>
      </c>
      <c r="E983" s="131"/>
      <c r="F983" s="132"/>
      <c r="G983" s="111"/>
      <c r="H983" s="75"/>
      <c r="I983" s="126"/>
      <c r="J983" s="52"/>
      <c r="K983" s="156"/>
      <c r="L983" s="383"/>
      <c r="M983" s="542"/>
      <c r="N983" s="701">
        <f t="shared" si="30"/>
        <v>0</v>
      </c>
      <c r="O983" s="675"/>
      <c r="P983" s="675"/>
      <c r="Q983" s="675"/>
      <c r="R983" s="675"/>
      <c r="S983" s="675"/>
      <c r="T983" s="675"/>
      <c r="U983" s="675"/>
      <c r="V983" s="675"/>
      <c r="W983" s="675"/>
      <c r="X983" s="675"/>
      <c r="Y983" s="675"/>
      <c r="Z983" s="675"/>
      <c r="AA983" s="675"/>
      <c r="AB983" s="675"/>
      <c r="AC983" s="675"/>
      <c r="AD983" s="675"/>
      <c r="AE983" s="675"/>
      <c r="AF983" s="675"/>
      <c r="AG983" s="675"/>
      <c r="AH983" s="675"/>
      <c r="AI983" s="675"/>
      <c r="AJ983" s="675"/>
      <c r="AK983" s="658"/>
    </row>
    <row r="984" spans="1:37" ht="15" customHeight="1">
      <c r="A984" s="5"/>
      <c r="B984" s="313"/>
      <c r="C984" s="835"/>
      <c r="D984" s="17"/>
      <c r="E984" s="81" t="s">
        <v>27</v>
      </c>
      <c r="F984" s="253">
        <v>45</v>
      </c>
      <c r="G984" s="64">
        <v>7</v>
      </c>
      <c r="H984" s="64">
        <f>F984*G984+151410</f>
        <v>151725</v>
      </c>
      <c r="I984" s="72"/>
      <c r="J984" s="52"/>
      <c r="K984" s="156"/>
      <c r="L984" s="383"/>
      <c r="M984" s="542"/>
      <c r="N984" s="701">
        <f t="shared" si="30"/>
        <v>0</v>
      </c>
      <c r="O984" s="675"/>
      <c r="P984" s="675"/>
      <c r="Q984" s="675"/>
      <c r="R984" s="675"/>
      <c r="S984" s="675"/>
      <c r="T984" s="675"/>
      <c r="U984" s="675"/>
      <c r="V984" s="675"/>
      <c r="W984" s="675"/>
      <c r="X984" s="675"/>
      <c r="Y984" s="675"/>
      <c r="Z984" s="675"/>
      <c r="AA984" s="675"/>
      <c r="AB984" s="675"/>
      <c r="AC984" s="675"/>
      <c r="AD984" s="675"/>
      <c r="AE984" s="675"/>
      <c r="AF984" s="675"/>
      <c r="AG984" s="675"/>
      <c r="AH984" s="675"/>
      <c r="AI984" s="675"/>
      <c r="AJ984" s="675"/>
      <c r="AK984" s="658"/>
    </row>
    <row r="985" spans="1:37" ht="15" customHeight="1">
      <c r="A985" s="5"/>
      <c r="B985" s="313"/>
      <c r="C985" s="835"/>
      <c r="D985" s="17"/>
      <c r="E985" s="131"/>
      <c r="F985" s="800"/>
      <c r="G985" s="111"/>
      <c r="H985" s="75"/>
      <c r="I985" s="126"/>
      <c r="J985" s="52"/>
      <c r="K985" s="156"/>
      <c r="L985" s="383"/>
      <c r="M985" s="542"/>
      <c r="N985" s="701"/>
      <c r="O985" s="675"/>
      <c r="P985" s="675"/>
      <c r="Q985" s="675"/>
      <c r="R985" s="675"/>
      <c r="S985" s="675"/>
      <c r="T985" s="675"/>
      <c r="U985" s="675"/>
      <c r="V985" s="675"/>
      <c r="W985" s="675"/>
      <c r="X985" s="675"/>
      <c r="Y985" s="675"/>
      <c r="Z985" s="675"/>
      <c r="AA985" s="675"/>
      <c r="AB985" s="675"/>
      <c r="AC985" s="675"/>
      <c r="AD985" s="675"/>
      <c r="AE985" s="675"/>
      <c r="AF985" s="675"/>
      <c r="AG985" s="675"/>
      <c r="AH985" s="675"/>
      <c r="AI985" s="675"/>
      <c r="AJ985" s="675"/>
      <c r="AK985" s="658"/>
    </row>
    <row r="986" spans="1:37" ht="15" customHeight="1">
      <c r="A986" s="5"/>
      <c r="B986" s="313"/>
      <c r="C986" s="833" t="s">
        <v>943</v>
      </c>
      <c r="D986" s="80" t="s">
        <v>170</v>
      </c>
      <c r="E986" s="131"/>
      <c r="F986" s="132"/>
      <c r="G986" s="111"/>
      <c r="H986" s="75"/>
      <c r="I986" s="126"/>
      <c r="J986" s="52"/>
      <c r="K986" s="156"/>
      <c r="L986" s="383"/>
      <c r="M986" s="542"/>
      <c r="N986" s="701">
        <f t="shared" ref="N986:N994" si="31">SUM(O986:AJ986)-I986</f>
        <v>0</v>
      </c>
      <c r="O986" s="675"/>
      <c r="P986" s="675"/>
      <c r="Q986" s="675"/>
      <c r="R986" s="675"/>
      <c r="S986" s="675"/>
      <c r="T986" s="675"/>
      <c r="U986" s="675"/>
      <c r="V986" s="675"/>
      <c r="W986" s="675"/>
      <c r="X986" s="675"/>
      <c r="Y986" s="675"/>
      <c r="Z986" s="675"/>
      <c r="AA986" s="675"/>
      <c r="AB986" s="675"/>
      <c r="AC986" s="675"/>
      <c r="AD986" s="675"/>
      <c r="AE986" s="675"/>
      <c r="AF986" s="675"/>
      <c r="AG986" s="675"/>
      <c r="AH986" s="675"/>
      <c r="AI986" s="675"/>
      <c r="AJ986" s="675"/>
      <c r="AK986" s="658"/>
    </row>
    <row r="987" spans="1:37" ht="14">
      <c r="A987" s="5"/>
      <c r="B987" s="313"/>
      <c r="C987" s="833"/>
      <c r="D987" s="277" t="s">
        <v>523</v>
      </c>
      <c r="E987" s="131"/>
      <c r="F987" s="75"/>
      <c r="G987" s="111"/>
      <c r="H987" s="78"/>
      <c r="I987" s="79"/>
      <c r="J987" s="52"/>
      <c r="K987" s="156"/>
      <c r="L987" s="383"/>
      <c r="M987" s="542"/>
      <c r="N987" s="701">
        <f t="shared" si="31"/>
        <v>0</v>
      </c>
      <c r="O987" s="675"/>
      <c r="P987" s="675"/>
      <c r="Q987" s="675"/>
      <c r="R987" s="675"/>
      <c r="S987" s="675"/>
      <c r="T987" s="675"/>
      <c r="U987" s="675"/>
      <c r="V987" s="675"/>
      <c r="W987" s="675"/>
      <c r="X987" s="675"/>
      <c r="Y987" s="675"/>
      <c r="Z987" s="675"/>
      <c r="AA987" s="675"/>
      <c r="AB987" s="675"/>
      <c r="AC987" s="675"/>
      <c r="AD987" s="675"/>
      <c r="AE987" s="675"/>
      <c r="AF987" s="675"/>
      <c r="AG987" s="675"/>
      <c r="AH987" s="675"/>
      <c r="AI987" s="675"/>
      <c r="AJ987" s="675"/>
      <c r="AK987" s="658"/>
    </row>
    <row r="988" spans="1:37" ht="14">
      <c r="A988" s="5"/>
      <c r="B988" s="313"/>
      <c r="C988" s="833"/>
      <c r="D988" s="278"/>
      <c r="E988" s="81" t="s">
        <v>16</v>
      </c>
      <c r="F988" s="253">
        <v>30</v>
      </c>
      <c r="G988" s="64">
        <f>30*300</f>
        <v>9000</v>
      </c>
      <c r="H988" s="64">
        <f>F988*G988</f>
        <v>270000</v>
      </c>
      <c r="I988" s="72"/>
      <c r="J988" s="52"/>
      <c r="K988" s="156"/>
      <c r="L988" s="383"/>
      <c r="M988" s="542"/>
      <c r="N988" s="701">
        <f t="shared" si="31"/>
        <v>0</v>
      </c>
      <c r="O988" s="675"/>
      <c r="P988" s="675"/>
      <c r="Q988" s="675"/>
      <c r="R988" s="675"/>
      <c r="S988" s="675"/>
      <c r="T988" s="675"/>
      <c r="U988" s="675"/>
      <c r="V988" s="675"/>
      <c r="W988" s="675"/>
      <c r="X988" s="675"/>
      <c r="Y988" s="675"/>
      <c r="Z988" s="675"/>
      <c r="AA988" s="675"/>
      <c r="AB988" s="675"/>
      <c r="AC988" s="675"/>
      <c r="AD988" s="675"/>
      <c r="AE988" s="675"/>
      <c r="AF988" s="675"/>
      <c r="AG988" s="675"/>
      <c r="AH988" s="675"/>
      <c r="AI988" s="675"/>
      <c r="AJ988" s="675"/>
      <c r="AK988" s="658"/>
    </row>
    <row r="989" spans="1:37" ht="15" customHeight="1">
      <c r="A989" s="5"/>
      <c r="B989" s="313"/>
      <c r="C989" s="835" t="s">
        <v>944</v>
      </c>
      <c r="D989" s="138" t="s">
        <v>133</v>
      </c>
      <c r="E989" s="120"/>
      <c r="F989" s="91"/>
      <c r="G989" s="121"/>
      <c r="H989" s="64"/>
      <c r="I989" s="94"/>
      <c r="J989" s="52"/>
      <c r="K989" s="156"/>
      <c r="L989" s="383"/>
      <c r="M989" s="542"/>
      <c r="N989" s="701">
        <f t="shared" si="31"/>
        <v>0</v>
      </c>
      <c r="O989" s="675"/>
      <c r="P989" s="675"/>
      <c r="Q989" s="675"/>
      <c r="R989" s="675"/>
      <c r="S989" s="675"/>
      <c r="T989" s="675"/>
      <c r="U989" s="675"/>
      <c r="V989" s="675"/>
      <c r="W989" s="675"/>
      <c r="X989" s="675"/>
      <c r="Y989" s="675"/>
      <c r="Z989" s="675"/>
      <c r="AA989" s="675"/>
      <c r="AB989" s="675"/>
      <c r="AC989" s="675"/>
      <c r="AD989" s="675"/>
      <c r="AE989" s="675"/>
      <c r="AF989" s="675"/>
      <c r="AG989" s="675"/>
      <c r="AH989" s="675"/>
      <c r="AI989" s="675"/>
      <c r="AJ989" s="675"/>
      <c r="AK989" s="658"/>
    </row>
    <row r="990" spans="1:37" s="543" customFormat="1" ht="15" customHeight="1">
      <c r="A990" s="532"/>
      <c r="B990" s="533"/>
      <c r="C990" s="847"/>
      <c r="D990" s="544" t="s">
        <v>171</v>
      </c>
      <c r="E990" s="545" t="s">
        <v>60</v>
      </c>
      <c r="F990" s="531"/>
      <c r="G990" s="537"/>
      <c r="H990" s="537"/>
      <c r="I990" s="546"/>
      <c r="J990" s="547"/>
      <c r="K990" s="540"/>
      <c r="L990" s="541"/>
      <c r="M990" s="542"/>
      <c r="N990" s="701">
        <f t="shared" si="31"/>
        <v>0</v>
      </c>
      <c r="O990" s="687"/>
      <c r="P990" s="687"/>
      <c r="Q990" s="687"/>
      <c r="R990" s="687"/>
      <c r="S990" s="687"/>
      <c r="T990" s="687"/>
      <c r="U990" s="687"/>
      <c r="V990" s="687"/>
      <c r="W990" s="687"/>
      <c r="X990" s="687"/>
      <c r="Y990" s="687"/>
      <c r="Z990" s="687"/>
      <c r="AA990" s="687"/>
      <c r="AB990" s="687"/>
      <c r="AC990" s="687"/>
      <c r="AD990" s="687"/>
      <c r="AE990" s="687"/>
      <c r="AF990" s="687"/>
      <c r="AG990" s="687"/>
      <c r="AH990" s="687"/>
      <c r="AI990" s="687"/>
      <c r="AJ990" s="687"/>
      <c r="AK990" s="658"/>
    </row>
    <row r="991" spans="1:37" ht="15" customHeight="1">
      <c r="A991" s="5"/>
      <c r="B991" s="313"/>
      <c r="C991" s="835"/>
      <c r="D991" s="19" t="s">
        <v>491</v>
      </c>
      <c r="E991" s="81" t="s">
        <v>60</v>
      </c>
      <c r="F991" s="124">
        <v>150000</v>
      </c>
      <c r="G991" s="64">
        <v>2</v>
      </c>
      <c r="H991" s="64">
        <f>G991*F991</f>
        <v>300000</v>
      </c>
      <c r="I991" s="72"/>
      <c r="J991" s="52"/>
      <c r="K991" s="156"/>
      <c r="L991" s="383"/>
      <c r="M991" s="542"/>
      <c r="N991" s="701">
        <f t="shared" si="31"/>
        <v>0</v>
      </c>
      <c r="O991" s="675"/>
      <c r="P991" s="675"/>
      <c r="Q991" s="675"/>
      <c r="R991" s="675"/>
      <c r="S991" s="675"/>
      <c r="T991" s="675"/>
      <c r="U991" s="675"/>
      <c r="V991" s="675"/>
      <c r="W991" s="675"/>
      <c r="X991" s="675"/>
      <c r="Y991" s="675"/>
      <c r="Z991" s="675"/>
      <c r="AA991" s="675"/>
      <c r="AB991" s="675"/>
      <c r="AC991" s="675"/>
      <c r="AD991" s="675"/>
      <c r="AE991" s="675"/>
      <c r="AF991" s="675"/>
      <c r="AG991" s="675"/>
      <c r="AH991" s="675"/>
      <c r="AI991" s="675"/>
      <c r="AJ991" s="675"/>
      <c r="AK991" s="658"/>
    </row>
    <row r="992" spans="1:37" ht="15" customHeight="1">
      <c r="A992" s="5"/>
      <c r="B992" s="313"/>
      <c r="C992" s="835"/>
      <c r="D992" s="19" t="s">
        <v>439</v>
      </c>
      <c r="E992" s="81" t="s">
        <v>60</v>
      </c>
      <c r="F992" s="124">
        <v>230000</v>
      </c>
      <c r="G992" s="64">
        <v>2</v>
      </c>
      <c r="H992" s="64">
        <f>F992*G992+25200</f>
        <v>485200</v>
      </c>
      <c r="I992" s="72"/>
      <c r="J992" s="52"/>
      <c r="K992" s="156"/>
      <c r="L992" s="383"/>
      <c r="M992" s="542"/>
      <c r="N992" s="701">
        <f t="shared" si="31"/>
        <v>0</v>
      </c>
      <c r="O992" s="675"/>
      <c r="P992" s="675"/>
      <c r="Q992" s="675"/>
      <c r="R992" s="675"/>
      <c r="S992" s="675"/>
      <c r="T992" s="675"/>
      <c r="U992" s="675"/>
      <c r="V992" s="675"/>
      <c r="W992" s="675"/>
      <c r="X992" s="675"/>
      <c r="Y992" s="675"/>
      <c r="Z992" s="675"/>
      <c r="AA992" s="675"/>
      <c r="AB992" s="675"/>
      <c r="AC992" s="675"/>
      <c r="AD992" s="675"/>
      <c r="AE992" s="675"/>
      <c r="AF992" s="675"/>
      <c r="AG992" s="675"/>
      <c r="AH992" s="675"/>
      <c r="AI992" s="675"/>
      <c r="AJ992" s="675"/>
      <c r="AK992" s="658"/>
    </row>
    <row r="993" spans="1:37" ht="15" customHeight="1">
      <c r="A993" s="5"/>
      <c r="B993" s="313"/>
      <c r="C993" s="835"/>
      <c r="D993" s="103" t="s">
        <v>172</v>
      </c>
      <c r="E993" s="67" t="s">
        <v>16</v>
      </c>
      <c r="F993" s="253">
        <v>500000</v>
      </c>
      <c r="G993" s="64">
        <v>1</v>
      </c>
      <c r="H993" s="64">
        <f>F993*G993+31500</f>
        <v>531500</v>
      </c>
      <c r="I993" s="72"/>
      <c r="J993" s="52"/>
      <c r="K993" s="156"/>
      <c r="L993" s="383"/>
      <c r="M993" s="542"/>
      <c r="N993" s="701">
        <f t="shared" si="31"/>
        <v>0</v>
      </c>
      <c r="O993" s="675"/>
      <c r="P993" s="675"/>
      <c r="Q993" s="675"/>
      <c r="R993" s="675"/>
      <c r="S993" s="675"/>
      <c r="T993" s="675"/>
      <c r="U993" s="675"/>
      <c r="V993" s="675"/>
      <c r="W993" s="675"/>
      <c r="X993" s="675"/>
      <c r="Y993" s="675"/>
      <c r="Z993" s="675"/>
      <c r="AA993" s="675"/>
      <c r="AB993" s="675"/>
      <c r="AC993" s="675"/>
      <c r="AD993" s="675"/>
      <c r="AE993" s="675"/>
      <c r="AF993" s="675"/>
      <c r="AG993" s="675"/>
      <c r="AH993" s="675"/>
      <c r="AI993" s="675"/>
      <c r="AJ993" s="675"/>
      <c r="AK993" s="658"/>
    </row>
    <row r="994" spans="1:37" s="48" customFormat="1" ht="15" customHeight="1">
      <c r="A994" s="45"/>
      <c r="B994" s="314"/>
      <c r="C994" s="836"/>
      <c r="D994" s="73"/>
      <c r="E994" s="71"/>
      <c r="F994" s="906" t="s">
        <v>173</v>
      </c>
      <c r="G994" s="906"/>
      <c r="H994" s="191"/>
      <c r="I994" s="651">
        <f>SUM(H867:H993)</f>
        <v>14439197.199999999</v>
      </c>
      <c r="J994" s="294">
        <v>64</v>
      </c>
      <c r="K994" s="158"/>
      <c r="L994" s="386"/>
      <c r="M994" s="593"/>
      <c r="N994" s="701">
        <f t="shared" si="31"/>
        <v>-14439197.199999999</v>
      </c>
      <c r="O994" s="676"/>
      <c r="P994" s="676"/>
      <c r="Q994" s="676"/>
      <c r="R994" s="676"/>
      <c r="S994" s="676"/>
      <c r="T994" s="676"/>
      <c r="U994" s="676"/>
      <c r="V994" s="676"/>
      <c r="W994" s="676"/>
      <c r="X994" s="676"/>
      <c r="Y994" s="676"/>
      <c r="Z994" s="676"/>
      <c r="AA994" s="676"/>
      <c r="AB994" s="676"/>
      <c r="AC994" s="676"/>
      <c r="AD994" s="676"/>
      <c r="AE994" s="676"/>
      <c r="AF994" s="676"/>
      <c r="AG994" s="676"/>
      <c r="AH994" s="676"/>
      <c r="AI994" s="676"/>
      <c r="AJ994" s="676"/>
      <c r="AK994" s="658"/>
    </row>
    <row r="995" spans="1:37" s="53" customFormat="1" ht="30" customHeight="1">
      <c r="A995" s="5"/>
      <c r="B995" s="309"/>
      <c r="C995" s="832"/>
      <c r="D995" s="49"/>
      <c r="E995" s="9"/>
      <c r="F995" s="8"/>
      <c r="G995" s="8"/>
      <c r="H995" s="50"/>
      <c r="I995" s="51"/>
      <c r="J995" s="51"/>
      <c r="K995" s="156"/>
      <c r="L995" s="383"/>
      <c r="M995" s="542"/>
      <c r="N995" s="701"/>
      <c r="O995" s="677"/>
      <c r="P995" s="677"/>
      <c r="Q995" s="677"/>
      <c r="R995" s="677"/>
      <c r="S995" s="677"/>
      <c r="T995" s="677"/>
      <c r="U995" s="677"/>
      <c r="V995" s="677"/>
      <c r="W995" s="677"/>
      <c r="X995" s="677"/>
      <c r="Y995" s="677"/>
      <c r="Z995" s="677"/>
      <c r="AA995" s="677"/>
      <c r="AB995" s="677"/>
      <c r="AC995" s="677"/>
      <c r="AD995" s="677"/>
      <c r="AE995" s="677"/>
      <c r="AF995" s="677"/>
      <c r="AG995" s="677"/>
      <c r="AH995" s="677"/>
      <c r="AI995" s="677"/>
      <c r="AJ995" s="677"/>
      <c r="AK995" s="658"/>
    </row>
    <row r="996" spans="1:37" s="48" customFormat="1" ht="15" customHeight="1">
      <c r="A996" s="45"/>
      <c r="B996" s="312"/>
      <c r="C996" s="834"/>
      <c r="D996" s="33" t="s">
        <v>174</v>
      </c>
      <c r="E996" s="56" t="s">
        <v>13</v>
      </c>
      <c r="F996" s="57" t="s">
        <v>14</v>
      </c>
      <c r="G996" s="860" t="s">
        <v>15</v>
      </c>
      <c r="H996" s="192" t="s">
        <v>8</v>
      </c>
      <c r="I996" s="59"/>
      <c r="J996" s="292"/>
      <c r="K996" s="158"/>
      <c r="L996" s="386"/>
      <c r="M996" s="593"/>
      <c r="N996" s="701"/>
      <c r="O996" s="676"/>
      <c r="P996" s="676"/>
      <c r="Q996" s="676"/>
      <c r="R996" s="676"/>
      <c r="S996" s="676"/>
      <c r="T996" s="676"/>
      <c r="U996" s="676"/>
      <c r="V996" s="676"/>
      <c r="W996" s="676"/>
      <c r="X996" s="676"/>
      <c r="Y996" s="676"/>
      <c r="Z996" s="676"/>
      <c r="AA996" s="676"/>
      <c r="AB996" s="676"/>
      <c r="AC996" s="676"/>
      <c r="AD996" s="676"/>
      <c r="AE996" s="676"/>
      <c r="AF996" s="676"/>
      <c r="AG996" s="676"/>
      <c r="AH996" s="676"/>
      <c r="AI996" s="676"/>
      <c r="AJ996" s="676"/>
      <c r="AK996" s="658"/>
    </row>
    <row r="997" spans="1:37" s="543" customFormat="1" ht="15" customHeight="1">
      <c r="A997" s="532"/>
      <c r="B997" s="533"/>
      <c r="C997" s="835" t="s">
        <v>945</v>
      </c>
      <c r="D997" s="534" t="s">
        <v>470</v>
      </c>
      <c r="E997" s="559" t="s">
        <v>16</v>
      </c>
      <c r="F997" s="531">
        <v>250000</v>
      </c>
      <c r="G997" s="536">
        <v>1</v>
      </c>
      <c r="H997" s="537">
        <f>F997</f>
        <v>250000</v>
      </c>
      <c r="I997" s="538"/>
      <c r="J997" s="539"/>
      <c r="K997" s="540"/>
      <c r="L997" s="541"/>
      <c r="M997" s="542"/>
      <c r="N997" s="701"/>
      <c r="O997" s="687"/>
      <c r="P997" s="687"/>
      <c r="Q997" s="687"/>
      <c r="R997" s="687"/>
      <c r="S997" s="687"/>
      <c r="T997" s="687"/>
      <c r="U997" s="687"/>
      <c r="V997" s="687"/>
      <c r="W997" s="687"/>
      <c r="X997" s="687"/>
      <c r="Y997" s="687"/>
      <c r="Z997" s="687"/>
      <c r="AA997" s="687"/>
      <c r="AB997" s="687"/>
      <c r="AC997" s="687"/>
      <c r="AD997" s="687"/>
      <c r="AE997" s="687"/>
      <c r="AF997" s="687"/>
      <c r="AG997" s="687"/>
      <c r="AH997" s="687"/>
      <c r="AI997" s="687"/>
      <c r="AJ997" s="687"/>
      <c r="AK997" s="658"/>
    </row>
    <row r="998" spans="1:37" ht="15" customHeight="1">
      <c r="A998" s="5"/>
      <c r="B998" s="313"/>
      <c r="C998" s="837"/>
      <c r="D998" s="70" t="s">
        <v>284</v>
      </c>
      <c r="E998" s="67" t="s">
        <v>16</v>
      </c>
      <c r="F998" s="65"/>
      <c r="G998" s="65">
        <v>1</v>
      </c>
      <c r="H998" s="64">
        <f>F998*G998</f>
        <v>0</v>
      </c>
      <c r="I998" s="123"/>
      <c r="J998" s="297"/>
      <c r="K998" s="156"/>
      <c r="L998" s="383"/>
      <c r="M998" s="542"/>
      <c r="N998" s="701"/>
      <c r="O998" s="675"/>
      <c r="P998" s="675"/>
      <c r="Q998" s="675"/>
      <c r="R998" s="675"/>
      <c r="S998" s="675"/>
      <c r="T998" s="675"/>
      <c r="U998" s="675"/>
      <c r="V998" s="675"/>
      <c r="W998" s="675"/>
      <c r="X998" s="675"/>
      <c r="Y998" s="675"/>
      <c r="Z998" s="675"/>
      <c r="AA998" s="675"/>
      <c r="AB998" s="675"/>
      <c r="AC998" s="675"/>
      <c r="AD998" s="675"/>
      <c r="AE998" s="675"/>
      <c r="AF998" s="675"/>
      <c r="AG998" s="675"/>
      <c r="AH998" s="675"/>
      <c r="AI998" s="675"/>
      <c r="AJ998" s="675"/>
      <c r="AK998" s="658"/>
    </row>
    <row r="999" spans="1:37" s="48" customFormat="1" ht="15" customHeight="1">
      <c r="A999" s="45"/>
      <c r="B999" s="314"/>
      <c r="C999" s="836"/>
      <c r="D999" s="73"/>
      <c r="E999" s="71"/>
      <c r="F999" s="906" t="s">
        <v>175</v>
      </c>
      <c r="G999" s="906"/>
      <c r="H999" s="191"/>
      <c r="I999" s="472">
        <f>SUM(H997:H998)</f>
        <v>250000</v>
      </c>
      <c r="J999" s="294">
        <v>4</v>
      </c>
      <c r="K999" s="158"/>
      <c r="L999" s="386"/>
      <c r="M999" s="593"/>
      <c r="N999" s="701"/>
      <c r="O999" s="676"/>
      <c r="P999" s="676"/>
      <c r="Q999" s="676"/>
      <c r="R999" s="676"/>
      <c r="S999" s="676"/>
      <c r="T999" s="676"/>
      <c r="U999" s="676"/>
      <c r="V999" s="676"/>
      <c r="W999" s="676"/>
      <c r="X999" s="676"/>
      <c r="Y999" s="676"/>
      <c r="Z999" s="676"/>
      <c r="AA999" s="676"/>
      <c r="AB999" s="676"/>
      <c r="AC999" s="676"/>
      <c r="AD999" s="676"/>
      <c r="AE999" s="676"/>
      <c r="AF999" s="676"/>
      <c r="AG999" s="676"/>
      <c r="AH999" s="676"/>
      <c r="AI999" s="676"/>
      <c r="AJ999" s="676"/>
      <c r="AK999" s="658"/>
    </row>
    <row r="1000" spans="1:37" s="53" customFormat="1" ht="30" customHeight="1">
      <c r="A1000" s="5"/>
      <c r="B1000" s="309"/>
      <c r="C1000" s="832"/>
      <c r="D1000" s="49"/>
      <c r="E1000" s="9"/>
      <c r="F1000" s="8"/>
      <c r="G1000" s="8"/>
      <c r="H1000" s="50"/>
      <c r="I1000" s="51"/>
      <c r="J1000" s="51"/>
      <c r="K1000" s="156"/>
      <c r="L1000" s="383"/>
      <c r="M1000" s="542"/>
      <c r="N1000" s="701"/>
      <c r="O1000" s="677"/>
      <c r="P1000" s="677"/>
      <c r="Q1000" s="677"/>
      <c r="R1000" s="677"/>
      <c r="S1000" s="677"/>
      <c r="T1000" s="677"/>
      <c r="U1000" s="677"/>
      <c r="V1000" s="677"/>
      <c r="W1000" s="677"/>
      <c r="X1000" s="677"/>
      <c r="Y1000" s="677"/>
      <c r="Z1000" s="677"/>
      <c r="AA1000" s="677"/>
      <c r="AB1000" s="677"/>
      <c r="AC1000" s="677"/>
      <c r="AD1000" s="677"/>
      <c r="AE1000" s="677"/>
      <c r="AF1000" s="677"/>
      <c r="AG1000" s="677"/>
      <c r="AH1000" s="677"/>
      <c r="AI1000" s="677"/>
      <c r="AJ1000" s="677"/>
      <c r="AK1000" s="658"/>
    </row>
    <row r="1001" spans="1:37" s="48" customFormat="1" ht="15" customHeight="1">
      <c r="A1001" s="45"/>
      <c r="B1001" s="312"/>
      <c r="C1001" s="834"/>
      <c r="D1001" s="33" t="s">
        <v>176</v>
      </c>
      <c r="E1001" s="56" t="s">
        <v>13</v>
      </c>
      <c r="F1001" s="57" t="s">
        <v>14</v>
      </c>
      <c r="G1001" s="860" t="s">
        <v>15</v>
      </c>
      <c r="H1001" s="192" t="s">
        <v>8</v>
      </c>
      <c r="I1001" s="59"/>
      <c r="J1001" s="292"/>
      <c r="K1001" s="158"/>
      <c r="L1001" s="386"/>
      <c r="M1001" s="593"/>
      <c r="N1001" s="701"/>
      <c r="O1001" s="676"/>
      <c r="P1001" s="676"/>
      <c r="Q1001" s="676"/>
      <c r="R1001" s="676"/>
      <c r="S1001" s="676"/>
      <c r="T1001" s="676"/>
      <c r="U1001" s="676"/>
      <c r="V1001" s="676"/>
      <c r="W1001" s="676"/>
      <c r="X1001" s="676"/>
      <c r="Y1001" s="676"/>
      <c r="Z1001" s="676"/>
      <c r="AA1001" s="676"/>
      <c r="AB1001" s="676"/>
      <c r="AC1001" s="676"/>
      <c r="AD1001" s="676"/>
      <c r="AE1001" s="676"/>
      <c r="AF1001" s="676"/>
      <c r="AG1001" s="676"/>
      <c r="AH1001" s="676"/>
      <c r="AI1001" s="676"/>
      <c r="AJ1001" s="676"/>
      <c r="AK1001" s="658"/>
    </row>
    <row r="1002" spans="1:37" s="104" customFormat="1" ht="15" customHeight="1">
      <c r="B1002" s="313"/>
      <c r="C1002" s="835" t="s">
        <v>946</v>
      </c>
      <c r="D1002" s="105" t="s">
        <v>177</v>
      </c>
      <c r="E1002" s="120"/>
      <c r="F1002" s="529"/>
      <c r="G1002" s="121"/>
      <c r="H1002" s="64"/>
      <c r="I1002" s="134"/>
      <c r="J1002" s="296"/>
      <c r="K1002" s="156"/>
      <c r="L1002" s="383"/>
      <c r="M1002" s="542"/>
      <c r="N1002" s="701">
        <f t="shared" ref="N1002:N1031" si="32">SUM(O1002:AJ1002)-H1002</f>
        <v>0</v>
      </c>
      <c r="O1002" s="688"/>
      <c r="P1002" s="688"/>
      <c r="Q1002" s="688"/>
      <c r="R1002" s="688"/>
      <c r="S1002" s="688"/>
      <c r="T1002" s="688"/>
      <c r="U1002" s="688"/>
      <c r="V1002" s="688"/>
      <c r="W1002" s="688"/>
      <c r="X1002" s="688"/>
      <c r="Y1002" s="688"/>
      <c r="Z1002" s="688"/>
      <c r="AA1002" s="688"/>
      <c r="AB1002" s="688"/>
      <c r="AC1002" s="688"/>
      <c r="AD1002" s="688"/>
      <c r="AE1002" s="688"/>
      <c r="AF1002" s="688"/>
      <c r="AG1002" s="688"/>
      <c r="AH1002" s="688"/>
      <c r="AI1002" s="688"/>
      <c r="AJ1002" s="688"/>
      <c r="AK1002" s="658"/>
    </row>
    <row r="1003" spans="1:37" ht="15" customHeight="1">
      <c r="A1003" s="5"/>
      <c r="B1003" s="313"/>
      <c r="C1003" s="837"/>
      <c r="D1003" s="17" t="s">
        <v>315</v>
      </c>
      <c r="E1003" s="243" t="s">
        <v>27</v>
      </c>
      <c r="F1003" s="531">
        <v>65000</v>
      </c>
      <c r="G1003" s="64">
        <v>14</v>
      </c>
      <c r="H1003" s="64">
        <f>+F1003*G1003</f>
        <v>910000</v>
      </c>
      <c r="I1003" s="72">
        <f t="shared" ref="I1003:I1009" si="33">SUM(H1003)</f>
        <v>910000</v>
      </c>
      <c r="J1003" s="52"/>
      <c r="K1003" s="156"/>
      <c r="L1003" s="383"/>
      <c r="M1003" s="542"/>
      <c r="N1003" s="701">
        <f t="shared" si="32"/>
        <v>-910000</v>
      </c>
      <c r="O1003" s="675"/>
      <c r="P1003" s="675"/>
      <c r="Q1003" s="675"/>
      <c r="R1003" s="675"/>
      <c r="S1003" s="675"/>
      <c r="T1003" s="675"/>
      <c r="U1003" s="675"/>
      <c r="V1003" s="675"/>
      <c r="W1003" s="675"/>
      <c r="X1003" s="675"/>
      <c r="Y1003" s="675"/>
      <c r="Z1003" s="675"/>
      <c r="AA1003" s="675"/>
      <c r="AB1003" s="675"/>
      <c r="AC1003" s="675"/>
      <c r="AD1003" s="675"/>
      <c r="AE1003" s="675"/>
      <c r="AF1003" s="675"/>
      <c r="AG1003" s="675"/>
      <c r="AH1003" s="675"/>
      <c r="AI1003" s="675"/>
      <c r="AJ1003" s="675"/>
      <c r="AK1003" s="658"/>
    </row>
    <row r="1004" spans="1:37" ht="15" customHeight="1">
      <c r="A1004" s="5"/>
      <c r="B1004" s="313"/>
      <c r="C1004" s="837"/>
      <c r="D1004" s="17" t="s">
        <v>178</v>
      </c>
      <c r="E1004" s="243" t="s">
        <v>27</v>
      </c>
      <c r="F1004" s="531">
        <v>70000</v>
      </c>
      <c r="G1004" s="64">
        <v>6</v>
      </c>
      <c r="H1004" s="64">
        <f>+F1004*G1004</f>
        <v>420000</v>
      </c>
      <c r="I1004" s="72">
        <f t="shared" si="33"/>
        <v>420000</v>
      </c>
      <c r="J1004" s="52"/>
      <c r="K1004" s="156"/>
      <c r="L1004" s="383"/>
      <c r="M1004" s="542"/>
      <c r="N1004" s="701">
        <f t="shared" si="32"/>
        <v>-420000</v>
      </c>
      <c r="O1004" s="675"/>
      <c r="P1004" s="675"/>
      <c r="Q1004" s="675"/>
      <c r="R1004" s="675"/>
      <c r="S1004" s="675"/>
      <c r="T1004" s="675"/>
      <c r="U1004" s="675"/>
      <c r="V1004" s="675"/>
      <c r="W1004" s="675"/>
      <c r="X1004" s="675"/>
      <c r="Y1004" s="675"/>
      <c r="Z1004" s="675"/>
      <c r="AA1004" s="675"/>
      <c r="AB1004" s="675"/>
      <c r="AC1004" s="675"/>
      <c r="AD1004" s="675"/>
      <c r="AE1004" s="675"/>
      <c r="AF1004" s="675"/>
      <c r="AG1004" s="675"/>
      <c r="AH1004" s="675"/>
      <c r="AI1004" s="675"/>
      <c r="AJ1004" s="675"/>
      <c r="AK1004" s="658"/>
    </row>
    <row r="1005" spans="1:37" ht="15" customHeight="1">
      <c r="A1005" s="5"/>
      <c r="B1005" s="313"/>
      <c r="C1005" s="837"/>
      <c r="D1005" s="17" t="s">
        <v>179</v>
      </c>
      <c r="E1005" s="243" t="s">
        <v>27</v>
      </c>
      <c r="F1005" s="531">
        <v>60000</v>
      </c>
      <c r="G1005" s="64">
        <v>14</v>
      </c>
      <c r="H1005" s="64">
        <f>+F1005*G1005</f>
        <v>840000</v>
      </c>
      <c r="I1005" s="72">
        <f t="shared" si="33"/>
        <v>840000</v>
      </c>
      <c r="J1005" s="52"/>
      <c r="K1005" s="156"/>
      <c r="L1005" s="383"/>
      <c r="M1005" s="542"/>
      <c r="N1005" s="701">
        <f t="shared" si="32"/>
        <v>-840000</v>
      </c>
      <c r="O1005" s="694"/>
      <c r="P1005" s="694"/>
      <c r="Q1005" s="675"/>
      <c r="R1005" s="675"/>
      <c r="S1005" s="675"/>
      <c r="T1005" s="675"/>
      <c r="U1005" s="675"/>
      <c r="V1005" s="675"/>
      <c r="W1005" s="675"/>
      <c r="X1005" s="675"/>
      <c r="Y1005" s="675"/>
      <c r="Z1005" s="675"/>
      <c r="AA1005" s="675"/>
      <c r="AB1005" s="675"/>
      <c r="AC1005" s="675"/>
      <c r="AD1005" s="675"/>
      <c r="AE1005" s="675"/>
      <c r="AF1005" s="675"/>
      <c r="AG1005" s="675"/>
      <c r="AH1005" s="675"/>
      <c r="AI1005" s="675"/>
      <c r="AJ1005" s="675"/>
      <c r="AK1005" s="658"/>
    </row>
    <row r="1006" spans="1:37" ht="15" customHeight="1">
      <c r="A1006" s="5"/>
      <c r="B1006" s="313"/>
      <c r="C1006" s="837"/>
      <c r="D1006" s="17" t="s">
        <v>180</v>
      </c>
      <c r="E1006" s="243" t="s">
        <v>27</v>
      </c>
      <c r="F1006" s="531">
        <v>90000</v>
      </c>
      <c r="G1006" s="64">
        <v>8</v>
      </c>
      <c r="H1006" s="64">
        <f>+G1006*F1006</f>
        <v>720000</v>
      </c>
      <c r="I1006" s="72">
        <f t="shared" si="33"/>
        <v>720000</v>
      </c>
      <c r="J1006" s="52"/>
      <c r="K1006" s="156"/>
      <c r="L1006" s="383"/>
      <c r="M1006" s="542"/>
      <c r="N1006" s="701">
        <f t="shared" si="32"/>
        <v>-720000</v>
      </c>
      <c r="O1006" s="675"/>
      <c r="P1006" s="675"/>
      <c r="Q1006" s="675"/>
      <c r="R1006" s="675"/>
      <c r="S1006" s="675"/>
      <c r="T1006" s="675"/>
      <c r="U1006" s="675"/>
      <c r="V1006" s="675"/>
      <c r="W1006" s="675"/>
      <c r="X1006" s="675"/>
      <c r="Y1006" s="675"/>
      <c r="Z1006" s="675"/>
      <c r="AA1006" s="675"/>
      <c r="AB1006" s="675"/>
      <c r="AC1006" s="675"/>
      <c r="AD1006" s="675"/>
      <c r="AE1006" s="675"/>
      <c r="AF1006" s="675"/>
      <c r="AG1006" s="675"/>
      <c r="AH1006" s="675"/>
      <c r="AI1006" s="675"/>
      <c r="AJ1006" s="675"/>
      <c r="AK1006" s="658"/>
    </row>
    <row r="1007" spans="1:37" ht="15" customHeight="1">
      <c r="A1007" s="5"/>
      <c r="B1007" s="313"/>
      <c r="C1007" s="837"/>
      <c r="D1007" s="17" t="s">
        <v>811</v>
      </c>
      <c r="E1007" s="81" t="s">
        <v>27</v>
      </c>
      <c r="F1007" s="531">
        <v>100000</v>
      </c>
      <c r="G1007" s="64">
        <v>8</v>
      </c>
      <c r="H1007" s="64">
        <f>+G1007*F1007</f>
        <v>800000</v>
      </c>
      <c r="I1007" s="72">
        <f t="shared" si="33"/>
        <v>800000</v>
      </c>
      <c r="J1007" s="52"/>
      <c r="K1007" s="156"/>
      <c r="L1007" s="383"/>
      <c r="M1007" s="542"/>
      <c r="N1007" s="701">
        <f t="shared" si="32"/>
        <v>-800000</v>
      </c>
      <c r="O1007" s="675"/>
      <c r="P1007" s="675"/>
      <c r="Q1007" s="675"/>
      <c r="R1007" s="675"/>
      <c r="S1007" s="675"/>
      <c r="T1007" s="675"/>
      <c r="U1007" s="675"/>
      <c r="V1007" s="675"/>
      <c r="W1007" s="675"/>
      <c r="X1007" s="675"/>
      <c r="Y1007" s="675"/>
      <c r="Z1007" s="675"/>
      <c r="AA1007" s="675"/>
      <c r="AB1007" s="675"/>
      <c r="AC1007" s="675"/>
      <c r="AD1007" s="675"/>
      <c r="AE1007" s="675"/>
      <c r="AF1007" s="675"/>
      <c r="AG1007" s="675"/>
      <c r="AH1007" s="675"/>
      <c r="AI1007" s="675"/>
      <c r="AJ1007" s="675"/>
      <c r="AK1007" s="658"/>
    </row>
    <row r="1008" spans="1:37" ht="15" customHeight="1">
      <c r="A1008" s="5"/>
      <c r="B1008" s="313"/>
      <c r="C1008" s="837"/>
      <c r="D1008" s="70" t="s">
        <v>181</v>
      </c>
      <c r="E1008" s="243" t="s">
        <v>27</v>
      </c>
      <c r="F1008" s="531">
        <v>30000</v>
      </c>
      <c r="G1008" s="279">
        <v>10</v>
      </c>
      <c r="H1008" s="64">
        <f>+F1008*G1008</f>
        <v>300000</v>
      </c>
      <c r="I1008" s="72">
        <f t="shared" si="33"/>
        <v>300000</v>
      </c>
      <c r="J1008" s="52"/>
      <c r="K1008" s="156"/>
      <c r="L1008" s="383"/>
      <c r="M1008" s="542"/>
      <c r="N1008" s="701">
        <f t="shared" si="32"/>
        <v>-300000</v>
      </c>
      <c r="O1008" s="675"/>
      <c r="P1008" s="675"/>
      <c r="Q1008" s="675"/>
      <c r="R1008" s="675"/>
      <c r="S1008" s="675"/>
      <c r="T1008" s="675"/>
      <c r="U1008" s="675"/>
      <c r="V1008" s="675"/>
      <c r="W1008" s="675"/>
      <c r="X1008" s="675"/>
      <c r="Y1008" s="675"/>
      <c r="Z1008" s="675"/>
      <c r="AA1008" s="675"/>
      <c r="AB1008" s="675"/>
      <c r="AC1008" s="675"/>
      <c r="AD1008" s="675"/>
      <c r="AE1008" s="675"/>
      <c r="AF1008" s="675"/>
      <c r="AG1008" s="675"/>
      <c r="AH1008" s="675"/>
      <c r="AI1008" s="675"/>
      <c r="AJ1008" s="675"/>
      <c r="AK1008" s="658"/>
    </row>
    <row r="1009" spans="1:37" ht="15" customHeight="1">
      <c r="A1009" s="5"/>
      <c r="B1009" s="313"/>
      <c r="C1009" s="837"/>
      <c r="D1009" s="70" t="s">
        <v>182</v>
      </c>
      <c r="E1009" s="243" t="s">
        <v>27</v>
      </c>
      <c r="F1009" s="531">
        <v>50000</v>
      </c>
      <c r="G1009" s="279">
        <v>8</v>
      </c>
      <c r="H1009" s="64">
        <f>+F1009*G1009</f>
        <v>400000</v>
      </c>
      <c r="I1009" s="72">
        <f t="shared" si="33"/>
        <v>400000</v>
      </c>
      <c r="J1009" s="52"/>
      <c r="K1009" s="156"/>
      <c r="L1009" s="383"/>
      <c r="M1009" s="542"/>
      <c r="N1009" s="701">
        <f t="shared" si="32"/>
        <v>-400000</v>
      </c>
      <c r="O1009" s="675"/>
      <c r="P1009" s="675"/>
      <c r="Q1009" s="675"/>
      <c r="R1009" s="675"/>
      <c r="S1009" s="675"/>
      <c r="T1009" s="675"/>
      <c r="U1009" s="675"/>
      <c r="V1009" s="675"/>
      <c r="W1009" s="675"/>
      <c r="X1009" s="675"/>
      <c r="Y1009" s="675"/>
      <c r="Z1009" s="675"/>
      <c r="AA1009" s="675"/>
      <c r="AB1009" s="675"/>
      <c r="AC1009" s="675"/>
      <c r="AD1009" s="675"/>
      <c r="AE1009" s="675"/>
      <c r="AF1009" s="675"/>
      <c r="AG1009" s="675"/>
      <c r="AH1009" s="675"/>
      <c r="AI1009" s="675"/>
      <c r="AJ1009" s="675"/>
      <c r="AK1009" s="658"/>
    </row>
    <row r="1010" spans="1:37" s="104" customFormat="1" ht="15" customHeight="1">
      <c r="B1010" s="313"/>
      <c r="C1010" s="835" t="s">
        <v>947</v>
      </c>
      <c r="D1010" s="105" t="s">
        <v>183</v>
      </c>
      <c r="E1010" s="120"/>
      <c r="F1010" s="531"/>
      <c r="G1010" s="726"/>
      <c r="H1010" s="537"/>
      <c r="I1010" s="109"/>
      <c r="J1010" s="296"/>
      <c r="K1010" s="156"/>
      <c r="L1010" s="383"/>
      <c r="M1010" s="542"/>
      <c r="N1010" s="701">
        <f t="shared" si="32"/>
        <v>0</v>
      </c>
      <c r="O1010" s="688"/>
      <c r="P1010" s="688"/>
      <c r="Q1010" s="688"/>
      <c r="R1010" s="688"/>
      <c r="S1010" s="688"/>
      <c r="T1010" s="688"/>
      <c r="U1010" s="688"/>
      <c r="V1010" s="688"/>
      <c r="W1010" s="688"/>
      <c r="X1010" s="688"/>
      <c r="Y1010" s="688"/>
      <c r="Z1010" s="688"/>
      <c r="AA1010" s="688"/>
      <c r="AB1010" s="688"/>
      <c r="AC1010" s="688"/>
      <c r="AD1010" s="688"/>
      <c r="AE1010" s="688"/>
      <c r="AF1010" s="688"/>
      <c r="AG1010" s="688"/>
      <c r="AH1010" s="688"/>
      <c r="AI1010" s="688"/>
      <c r="AJ1010" s="688"/>
      <c r="AK1010" s="658"/>
    </row>
    <row r="1011" spans="1:37" ht="15" customHeight="1">
      <c r="A1011" s="5"/>
      <c r="B1011" s="313"/>
      <c r="C1011" s="837"/>
      <c r="D1011" s="17" t="s">
        <v>447</v>
      </c>
      <c r="E1011" s="243" t="s">
        <v>27</v>
      </c>
      <c r="F1011" s="531">
        <v>160000</v>
      </c>
      <c r="G1011" s="280">
        <v>6.5</v>
      </c>
      <c r="H1011" s="755">
        <f>+F1011*G1011+176400</f>
        <v>1216400</v>
      </c>
      <c r="I1011" s="79"/>
      <c r="J1011" s="52"/>
      <c r="K1011" s="156"/>
      <c r="L1011" s="383"/>
      <c r="M1011" s="542"/>
      <c r="N1011" s="701">
        <f t="shared" si="32"/>
        <v>-1216400</v>
      </c>
      <c r="O1011" s="675"/>
      <c r="P1011" s="675"/>
      <c r="Q1011" s="675"/>
      <c r="R1011" s="675"/>
      <c r="S1011" s="675"/>
      <c r="T1011" s="675"/>
      <c r="U1011" s="675"/>
      <c r="V1011" s="675"/>
      <c r="W1011" s="675"/>
      <c r="X1011" s="675"/>
      <c r="Y1011" s="675"/>
      <c r="Z1011" s="675"/>
      <c r="AA1011" s="675"/>
      <c r="AB1011" s="675"/>
      <c r="AC1011" s="675"/>
      <c r="AD1011" s="675"/>
      <c r="AE1011" s="675"/>
      <c r="AF1011" s="675"/>
      <c r="AG1011" s="675"/>
      <c r="AH1011" s="675"/>
      <c r="AI1011" s="675"/>
      <c r="AJ1011" s="675"/>
      <c r="AK1011" s="658"/>
    </row>
    <row r="1012" spans="1:37" ht="15" customHeight="1">
      <c r="A1012" s="5"/>
      <c r="B1012" s="313"/>
      <c r="C1012" s="837"/>
      <c r="D1012" s="17" t="s">
        <v>471</v>
      </c>
      <c r="E1012" s="243"/>
      <c r="F1012" s="531"/>
      <c r="G1012" s="280"/>
      <c r="H1012" s="755"/>
      <c r="I1012" s="79"/>
      <c r="J1012" s="52"/>
      <c r="K1012" s="156"/>
      <c r="L1012" s="383"/>
      <c r="M1012" s="542"/>
      <c r="N1012" s="701">
        <f t="shared" si="32"/>
        <v>0</v>
      </c>
      <c r="O1012" s="675"/>
      <c r="P1012" s="675"/>
      <c r="Q1012" s="675"/>
      <c r="R1012" s="675"/>
      <c r="S1012" s="675"/>
      <c r="T1012" s="675"/>
      <c r="U1012" s="675"/>
      <c r="V1012" s="675"/>
      <c r="W1012" s="675"/>
      <c r="X1012" s="675"/>
      <c r="Y1012" s="675"/>
      <c r="Z1012" s="675"/>
      <c r="AA1012" s="675"/>
      <c r="AB1012" s="675"/>
      <c r="AC1012" s="675"/>
      <c r="AD1012" s="675"/>
      <c r="AE1012" s="675"/>
      <c r="AF1012" s="675"/>
      <c r="AG1012" s="675"/>
      <c r="AH1012" s="675"/>
      <c r="AI1012" s="675"/>
      <c r="AJ1012" s="675"/>
      <c r="AK1012" s="658"/>
    </row>
    <row r="1013" spans="1:37" ht="15" customHeight="1">
      <c r="A1013" s="5"/>
      <c r="B1013" s="313"/>
      <c r="C1013" s="837"/>
      <c r="D1013" s="17" t="s">
        <v>314</v>
      </c>
      <c r="E1013" s="243" t="s">
        <v>27</v>
      </c>
      <c r="F1013" s="253">
        <v>160000</v>
      </c>
      <c r="G1013" s="280">
        <v>6.5</v>
      </c>
      <c r="H1013" s="755">
        <f>+G1013*F1013+189050</f>
        <v>1229050</v>
      </c>
      <c r="I1013" s="79"/>
      <c r="J1013" s="52"/>
      <c r="K1013" s="156"/>
      <c r="L1013" s="383"/>
      <c r="M1013" s="542"/>
      <c r="N1013" s="701">
        <f t="shared" si="32"/>
        <v>-1229050</v>
      </c>
      <c r="O1013" s="675"/>
      <c r="P1013" s="675"/>
      <c r="Q1013" s="675"/>
      <c r="R1013" s="675"/>
      <c r="S1013" s="675"/>
      <c r="T1013" s="675"/>
      <c r="U1013" s="675"/>
      <c r="V1013" s="675"/>
      <c r="W1013" s="675"/>
      <c r="X1013" s="675"/>
      <c r="Y1013" s="675"/>
      <c r="Z1013" s="675"/>
      <c r="AA1013" s="675"/>
      <c r="AB1013" s="675"/>
      <c r="AC1013" s="675"/>
      <c r="AD1013" s="675"/>
      <c r="AE1013" s="675"/>
      <c r="AF1013" s="675"/>
      <c r="AG1013" s="675"/>
      <c r="AH1013" s="675"/>
      <c r="AI1013" s="675"/>
      <c r="AJ1013" s="675"/>
      <c r="AK1013" s="658"/>
    </row>
    <row r="1014" spans="1:37" ht="15" customHeight="1">
      <c r="A1014" s="5"/>
      <c r="B1014" s="313"/>
      <c r="C1014" s="837"/>
      <c r="D1014" s="17" t="s">
        <v>448</v>
      </c>
      <c r="E1014" s="243"/>
      <c r="F1014" s="253">
        <f>F1012</f>
        <v>0</v>
      </c>
      <c r="G1014" s="280"/>
      <c r="H1014" s="755"/>
      <c r="I1014" s="79"/>
      <c r="J1014" s="52"/>
      <c r="K1014" s="156"/>
      <c r="L1014" s="383"/>
      <c r="M1014" s="542"/>
      <c r="N1014" s="701">
        <f t="shared" si="32"/>
        <v>0</v>
      </c>
      <c r="O1014" s="675"/>
      <c r="P1014" s="675"/>
      <c r="Q1014" s="675"/>
      <c r="R1014" s="675"/>
      <c r="S1014" s="675"/>
      <c r="T1014" s="675"/>
      <c r="U1014" s="675"/>
      <c r="V1014" s="675"/>
      <c r="W1014" s="675"/>
      <c r="X1014" s="675"/>
      <c r="Y1014" s="675"/>
      <c r="Z1014" s="675"/>
      <c r="AA1014" s="675"/>
      <c r="AB1014" s="675"/>
      <c r="AC1014" s="675"/>
      <c r="AD1014" s="675"/>
      <c r="AE1014" s="675"/>
      <c r="AF1014" s="675"/>
      <c r="AG1014" s="675"/>
      <c r="AH1014" s="675"/>
      <c r="AI1014" s="675"/>
      <c r="AJ1014" s="675"/>
      <c r="AK1014" s="658"/>
    </row>
    <row r="1015" spans="1:37" ht="15" customHeight="1">
      <c r="A1015" s="5"/>
      <c r="B1015" s="313"/>
      <c r="C1015" s="837"/>
      <c r="D1015" s="17" t="s">
        <v>330</v>
      </c>
      <c r="E1015" s="243" t="s">
        <v>27</v>
      </c>
      <c r="F1015" s="253">
        <v>160000</v>
      </c>
      <c r="G1015" s="280">
        <v>6.5</v>
      </c>
      <c r="H1015" s="755">
        <f>+G1015*F1015+181125</f>
        <v>1221125</v>
      </c>
      <c r="I1015" s="79"/>
      <c r="J1015" s="52"/>
      <c r="K1015" s="156"/>
      <c r="L1015" s="383"/>
      <c r="M1015" s="542"/>
      <c r="N1015" s="701">
        <f t="shared" si="32"/>
        <v>-1221125</v>
      </c>
      <c r="O1015" s="675"/>
      <c r="P1015" s="675"/>
      <c r="Q1015" s="675"/>
      <c r="R1015" s="675"/>
      <c r="S1015" s="675"/>
      <c r="T1015" s="675"/>
      <c r="U1015" s="675"/>
      <c r="V1015" s="675"/>
      <c r="W1015" s="675"/>
      <c r="X1015" s="675"/>
      <c r="Y1015" s="675"/>
      <c r="Z1015" s="675"/>
      <c r="AA1015" s="675"/>
      <c r="AB1015" s="675"/>
      <c r="AC1015" s="675"/>
      <c r="AD1015" s="675"/>
      <c r="AE1015" s="675"/>
      <c r="AF1015" s="675"/>
      <c r="AG1015" s="675"/>
      <c r="AH1015" s="675"/>
      <c r="AI1015" s="675"/>
      <c r="AJ1015" s="675"/>
      <c r="AK1015" s="658"/>
    </row>
    <row r="1016" spans="1:37" ht="15" customHeight="1">
      <c r="A1016" s="5"/>
      <c r="B1016" s="313"/>
      <c r="C1016" s="837"/>
      <c r="D1016" s="17" t="s">
        <v>184</v>
      </c>
      <c r="E1016" s="243" t="s">
        <v>27</v>
      </c>
      <c r="F1016" s="253">
        <v>180000</v>
      </c>
      <c r="G1016" s="280">
        <v>6.5</v>
      </c>
      <c r="H1016" s="755">
        <f>+G1016*F1016+181125</f>
        <v>1351125</v>
      </c>
      <c r="I1016" s="79"/>
      <c r="J1016" s="52"/>
      <c r="K1016" s="156"/>
      <c r="L1016" s="383"/>
      <c r="M1016" s="542"/>
      <c r="N1016" s="701">
        <f t="shared" si="32"/>
        <v>-1351125</v>
      </c>
      <c r="O1016" s="675"/>
      <c r="P1016" s="675"/>
      <c r="Q1016" s="675"/>
      <c r="R1016" s="675"/>
      <c r="S1016" s="675"/>
      <c r="T1016" s="675"/>
      <c r="U1016" s="675"/>
      <c r="V1016" s="675"/>
      <c r="W1016" s="675"/>
      <c r="X1016" s="675"/>
      <c r="Y1016" s="675"/>
      <c r="Z1016" s="675"/>
      <c r="AA1016" s="675"/>
      <c r="AB1016" s="675"/>
      <c r="AC1016" s="675"/>
      <c r="AD1016" s="675"/>
      <c r="AE1016" s="675"/>
      <c r="AF1016" s="675"/>
      <c r="AG1016" s="675"/>
      <c r="AH1016" s="675"/>
      <c r="AI1016" s="675"/>
      <c r="AJ1016" s="675"/>
      <c r="AK1016" s="658"/>
    </row>
    <row r="1017" spans="1:37" s="543" customFormat="1" ht="15" customHeight="1">
      <c r="A1017" s="532"/>
      <c r="B1017" s="533"/>
      <c r="C1017" s="839"/>
      <c r="D1017" s="556" t="s">
        <v>185</v>
      </c>
      <c r="E1017" s="545" t="s">
        <v>27</v>
      </c>
      <c r="F1017" s="531">
        <v>360000</v>
      </c>
      <c r="G1017" s="755">
        <v>6</v>
      </c>
      <c r="H1017" s="755">
        <f>+F1017*G1017</f>
        <v>2160000</v>
      </c>
      <c r="I1017" s="624"/>
      <c r="J1017" s="547"/>
      <c r="K1017" s="540"/>
      <c r="L1017" s="541"/>
      <c r="M1017" s="542"/>
      <c r="N1017" s="701">
        <f t="shared" si="32"/>
        <v>-2160000</v>
      </c>
      <c r="O1017" s="687"/>
      <c r="P1017" s="687"/>
      <c r="Q1017" s="687"/>
      <c r="R1017" s="687"/>
      <c r="S1017" s="687"/>
      <c r="T1017" s="687"/>
      <c r="U1017" s="687"/>
      <c r="V1017" s="687"/>
      <c r="W1017" s="687"/>
      <c r="X1017" s="687"/>
      <c r="Y1017" s="687"/>
      <c r="Z1017" s="687"/>
      <c r="AA1017" s="687"/>
      <c r="AB1017" s="687"/>
      <c r="AC1017" s="687"/>
      <c r="AD1017" s="687"/>
      <c r="AE1017" s="687"/>
      <c r="AF1017" s="687"/>
      <c r="AG1017" s="687"/>
      <c r="AH1017" s="687"/>
      <c r="AI1017" s="687"/>
      <c r="AJ1017" s="687"/>
      <c r="AK1017" s="750"/>
    </row>
    <row r="1018" spans="1:37" s="543" customFormat="1" ht="15" customHeight="1">
      <c r="A1018" s="532"/>
      <c r="B1018" s="533"/>
      <c r="C1018" s="839"/>
      <c r="D1018" s="556" t="s">
        <v>472</v>
      </c>
      <c r="E1018" s="545" t="s">
        <v>27</v>
      </c>
      <c r="F1018" s="531">
        <v>180000</v>
      </c>
      <c r="G1018" s="755">
        <v>6</v>
      </c>
      <c r="H1018" s="755">
        <f>+G1018*F1018</f>
        <v>1080000</v>
      </c>
      <c r="I1018" s="546">
        <f>SUM(H1011:H1018)</f>
        <v>8257700</v>
      </c>
      <c r="J1018" s="547">
        <f>SUM(G1003:G1018)</f>
        <v>106</v>
      </c>
      <c r="K1018" s="540"/>
      <c r="L1018" s="541"/>
      <c r="M1018" s="542"/>
      <c r="N1018" s="701">
        <f t="shared" si="32"/>
        <v>-1080000</v>
      </c>
      <c r="O1018" s="687"/>
      <c r="P1018" s="687"/>
      <c r="Q1018" s="687"/>
      <c r="R1018" s="687"/>
      <c r="S1018" s="687"/>
      <c r="T1018" s="687"/>
      <c r="U1018" s="687"/>
      <c r="V1018" s="687"/>
      <c r="W1018" s="687"/>
      <c r="X1018" s="687"/>
      <c r="Y1018" s="687"/>
      <c r="Z1018" s="687"/>
      <c r="AA1018" s="687"/>
      <c r="AB1018" s="687"/>
      <c r="AC1018" s="687"/>
      <c r="AD1018" s="687"/>
      <c r="AE1018" s="687"/>
      <c r="AF1018" s="687"/>
      <c r="AG1018" s="687"/>
      <c r="AH1018" s="687"/>
      <c r="AI1018" s="687"/>
      <c r="AJ1018" s="687"/>
      <c r="AK1018" s="750"/>
    </row>
    <row r="1019" spans="1:37" s="104" customFormat="1" ht="15" customHeight="1">
      <c r="B1019" s="313"/>
      <c r="C1019" s="848"/>
      <c r="D1019" s="174" t="s">
        <v>186</v>
      </c>
      <c r="E1019" s="120"/>
      <c r="F1019" s="91"/>
      <c r="G1019" s="121"/>
      <c r="H1019" s="64"/>
      <c r="I1019" s="134"/>
      <c r="J1019" s="296"/>
      <c r="K1019" s="156"/>
      <c r="L1019" s="383"/>
      <c r="M1019" s="542"/>
      <c r="N1019" s="701">
        <f t="shared" si="32"/>
        <v>0</v>
      </c>
      <c r="O1019" s="688"/>
      <c r="P1019" s="688"/>
      <c r="Q1019" s="688"/>
      <c r="R1019" s="688"/>
      <c r="S1019" s="688"/>
      <c r="T1019" s="688"/>
      <c r="U1019" s="688"/>
      <c r="V1019" s="675"/>
      <c r="W1019" s="688"/>
      <c r="X1019" s="688"/>
      <c r="Y1019" s="688"/>
      <c r="Z1019" s="688"/>
      <c r="AA1019" s="688"/>
      <c r="AB1019" s="688"/>
      <c r="AC1019" s="688"/>
      <c r="AD1019" s="688"/>
      <c r="AE1019" s="688"/>
      <c r="AF1019" s="688"/>
      <c r="AG1019" s="688"/>
      <c r="AH1019" s="688"/>
      <c r="AI1019" s="688"/>
      <c r="AJ1019" s="688"/>
      <c r="AK1019" s="658"/>
    </row>
    <row r="1020" spans="1:37" ht="15" customHeight="1">
      <c r="A1020" s="5"/>
      <c r="B1020" s="313"/>
      <c r="C1020" s="837"/>
      <c r="D1020" s="175" t="s">
        <v>187</v>
      </c>
      <c r="E1020" s="81" t="s">
        <v>188</v>
      </c>
      <c r="F1020" s="124">
        <v>0</v>
      </c>
      <c r="G1020" s="64">
        <v>0</v>
      </c>
      <c r="H1020" s="64">
        <f>+G1020*F1020</f>
        <v>0</v>
      </c>
      <c r="I1020" s="72">
        <f>H1020</f>
        <v>0</v>
      </c>
      <c r="J1020" s="52"/>
      <c r="K1020" s="156"/>
      <c r="L1020" s="383"/>
      <c r="M1020" s="542"/>
      <c r="N1020" s="701">
        <f t="shared" si="32"/>
        <v>0</v>
      </c>
      <c r="O1020" s="675"/>
      <c r="P1020" s="675"/>
      <c r="Q1020" s="675"/>
      <c r="R1020" s="675"/>
      <c r="S1020" s="675"/>
      <c r="T1020" s="675"/>
      <c r="U1020" s="675"/>
      <c r="V1020" s="675"/>
      <c r="W1020" s="675"/>
      <c r="X1020" s="675"/>
      <c r="Y1020" s="675"/>
      <c r="Z1020" s="675"/>
      <c r="AA1020" s="675"/>
      <c r="AB1020" s="675"/>
      <c r="AC1020" s="675"/>
      <c r="AD1020" s="675"/>
      <c r="AE1020" s="675"/>
      <c r="AF1020" s="675"/>
      <c r="AG1020" s="675"/>
      <c r="AH1020" s="675"/>
      <c r="AI1020" s="675"/>
      <c r="AJ1020" s="675"/>
      <c r="AK1020" s="658"/>
    </row>
    <row r="1021" spans="1:37" s="53" customFormat="1" ht="15" customHeight="1">
      <c r="A1021" s="5"/>
      <c r="B1021" s="313"/>
      <c r="C1021" s="837"/>
      <c r="D1021" s="175" t="s">
        <v>189</v>
      </c>
      <c r="E1021" s="81" t="s">
        <v>188</v>
      </c>
      <c r="F1021" s="124">
        <v>0</v>
      </c>
      <c r="G1021" s="64">
        <v>0</v>
      </c>
      <c r="H1021" s="64">
        <f>+G1021*F1021</f>
        <v>0</v>
      </c>
      <c r="I1021" s="72">
        <f>H1021</f>
        <v>0</v>
      </c>
      <c r="J1021" s="52"/>
      <c r="K1021" s="156"/>
      <c r="L1021" s="383"/>
      <c r="M1021" s="542"/>
      <c r="N1021" s="701">
        <f t="shared" si="32"/>
        <v>0</v>
      </c>
      <c r="O1021" s="677"/>
      <c r="P1021" s="677"/>
      <c r="Q1021" s="677"/>
      <c r="R1021" s="677"/>
      <c r="S1021" s="677"/>
      <c r="T1021" s="677"/>
      <c r="U1021" s="677"/>
      <c r="V1021" s="677"/>
      <c r="W1021" s="677"/>
      <c r="X1021" s="677"/>
      <c r="Y1021" s="677"/>
      <c r="Z1021" s="677"/>
      <c r="AA1021" s="677"/>
      <c r="AB1021" s="677"/>
      <c r="AC1021" s="677"/>
      <c r="AD1021" s="677"/>
      <c r="AE1021" s="677"/>
      <c r="AF1021" s="677"/>
      <c r="AG1021" s="677"/>
      <c r="AH1021" s="677"/>
      <c r="AI1021" s="677"/>
      <c r="AJ1021" s="677"/>
      <c r="AK1021" s="658"/>
    </row>
    <row r="1022" spans="1:37" s="104" customFormat="1" ht="15" customHeight="1">
      <c r="B1022" s="313"/>
      <c r="C1022" s="848"/>
      <c r="D1022" s="105" t="s">
        <v>190</v>
      </c>
      <c r="E1022" s="120"/>
      <c r="F1022" s="91"/>
      <c r="G1022" s="121"/>
      <c r="H1022" s="64"/>
      <c r="I1022" s="134"/>
      <c r="J1022" s="296"/>
      <c r="K1022" s="156"/>
      <c r="L1022" s="383"/>
      <c r="M1022" s="542"/>
      <c r="N1022" s="701">
        <f t="shared" si="32"/>
        <v>0</v>
      </c>
      <c r="O1022" s="688"/>
      <c r="P1022" s="688"/>
      <c r="Q1022" s="688"/>
      <c r="R1022" s="688"/>
      <c r="S1022" s="688"/>
      <c r="T1022" s="688"/>
      <c r="U1022" s="688"/>
      <c r="V1022" s="688"/>
      <c r="W1022" s="688"/>
      <c r="X1022" s="688"/>
      <c r="Y1022" s="688"/>
      <c r="Z1022" s="688"/>
      <c r="AA1022" s="688"/>
      <c r="AB1022" s="688"/>
      <c r="AC1022" s="688"/>
      <c r="AD1022" s="688"/>
      <c r="AE1022" s="688"/>
      <c r="AF1022" s="688"/>
      <c r="AG1022" s="688"/>
      <c r="AH1022" s="688"/>
      <c r="AI1022" s="688"/>
      <c r="AJ1022" s="688"/>
      <c r="AK1022" s="658"/>
    </row>
    <row r="1023" spans="1:37" ht="15" customHeight="1">
      <c r="A1023" s="5"/>
      <c r="B1023" s="313"/>
      <c r="C1023" s="837"/>
      <c r="D1023" s="17" t="s">
        <v>191</v>
      </c>
      <c r="E1023" s="67" t="s">
        <v>16</v>
      </c>
      <c r="F1023" s="124"/>
      <c r="G1023" s="64"/>
      <c r="H1023" s="64"/>
      <c r="I1023" s="72"/>
      <c r="J1023" s="52"/>
      <c r="K1023" s="156"/>
      <c r="L1023" s="383"/>
      <c r="M1023" s="542"/>
      <c r="N1023" s="701">
        <f t="shared" si="32"/>
        <v>0</v>
      </c>
      <c r="O1023" s="675"/>
      <c r="P1023" s="675"/>
      <c r="Q1023" s="675"/>
      <c r="R1023" s="675"/>
      <c r="S1023" s="675"/>
      <c r="T1023" s="675"/>
      <c r="U1023" s="675"/>
      <c r="V1023" s="675"/>
      <c r="W1023" s="675"/>
      <c r="X1023" s="675"/>
      <c r="Y1023" s="675"/>
      <c r="Z1023" s="675"/>
      <c r="AA1023" s="675"/>
      <c r="AB1023" s="675"/>
      <c r="AC1023" s="675"/>
      <c r="AD1023" s="675"/>
      <c r="AE1023" s="675"/>
      <c r="AF1023" s="675"/>
      <c r="AG1023" s="675"/>
      <c r="AH1023" s="675"/>
      <c r="AI1023" s="675"/>
      <c r="AJ1023" s="675"/>
      <c r="AK1023" s="658"/>
    </row>
    <row r="1024" spans="1:37" ht="15" customHeight="1">
      <c r="A1024" s="5"/>
      <c r="B1024" s="313"/>
      <c r="C1024" s="837"/>
      <c r="D1024" s="17" t="s">
        <v>192</v>
      </c>
      <c r="E1024" s="81" t="s">
        <v>188</v>
      </c>
      <c r="F1024" s="124"/>
      <c r="G1024" s="64"/>
      <c r="H1024" s="64"/>
      <c r="I1024" s="72"/>
      <c r="J1024" s="52"/>
      <c r="K1024" s="156"/>
      <c r="L1024" s="383"/>
      <c r="M1024" s="542"/>
      <c r="N1024" s="701">
        <f t="shared" si="32"/>
        <v>0</v>
      </c>
      <c r="O1024" s="675"/>
      <c r="P1024" s="675"/>
      <c r="Q1024" s="675"/>
      <c r="R1024" s="675"/>
      <c r="S1024" s="675"/>
      <c r="T1024" s="675"/>
      <c r="U1024" s="675"/>
      <c r="V1024" s="675"/>
      <c r="W1024" s="675"/>
      <c r="X1024" s="675"/>
      <c r="Y1024" s="675"/>
      <c r="Z1024" s="675"/>
      <c r="AA1024" s="675"/>
      <c r="AB1024" s="675"/>
      <c r="AC1024" s="675"/>
      <c r="AD1024" s="675"/>
      <c r="AE1024" s="675"/>
      <c r="AF1024" s="675"/>
      <c r="AG1024" s="675"/>
      <c r="AH1024" s="675"/>
      <c r="AI1024" s="675"/>
      <c r="AJ1024" s="675"/>
      <c r="AK1024" s="658"/>
    </row>
    <row r="1025" spans="1:37" s="104" customFormat="1" ht="15" customHeight="1">
      <c r="B1025" s="313"/>
      <c r="C1025" s="835" t="s">
        <v>948</v>
      </c>
      <c r="D1025" s="105" t="s">
        <v>193</v>
      </c>
      <c r="E1025" s="120"/>
      <c r="F1025" s="91"/>
      <c r="G1025" s="121"/>
      <c r="H1025" s="64"/>
      <c r="I1025" s="134"/>
      <c r="J1025" s="296"/>
      <c r="K1025" s="156"/>
      <c r="L1025" s="383"/>
      <c r="M1025" s="542"/>
      <c r="N1025" s="701">
        <f t="shared" si="32"/>
        <v>0</v>
      </c>
      <c r="O1025" s="688"/>
      <c r="P1025" s="688"/>
      <c r="Q1025" s="688"/>
      <c r="R1025" s="688"/>
      <c r="S1025" s="688"/>
      <c r="T1025" s="688"/>
      <c r="U1025" s="688"/>
      <c r="V1025" s="688"/>
      <c r="W1025" s="688"/>
      <c r="X1025" s="688"/>
      <c r="Y1025" s="688"/>
      <c r="Z1025" s="688"/>
      <c r="AA1025" s="688"/>
      <c r="AB1025" s="688"/>
      <c r="AC1025" s="688"/>
      <c r="AD1025" s="688"/>
      <c r="AE1025" s="688"/>
      <c r="AF1025" s="688"/>
      <c r="AG1025" s="688"/>
      <c r="AH1025" s="688"/>
      <c r="AI1025" s="688"/>
      <c r="AJ1025" s="688"/>
      <c r="AK1025" s="658"/>
    </row>
    <row r="1026" spans="1:37" ht="15" customHeight="1">
      <c r="A1026" s="5"/>
      <c r="B1026" s="313"/>
      <c r="C1026" s="837"/>
      <c r="D1026" s="17" t="s">
        <v>521</v>
      </c>
      <c r="E1026" s="245" t="s">
        <v>60</v>
      </c>
      <c r="F1026" s="253">
        <v>22500</v>
      </c>
      <c r="G1026" s="279">
        <v>18</v>
      </c>
      <c r="H1026" s="279">
        <f>+G1026*F1026+27720</f>
        <v>432720</v>
      </c>
      <c r="I1026" s="72">
        <f>H1026</f>
        <v>432720</v>
      </c>
      <c r="J1026" s="52"/>
      <c r="K1026" s="156"/>
      <c r="L1026" s="383"/>
      <c r="M1026" s="542"/>
      <c r="N1026" s="701">
        <f t="shared" si="32"/>
        <v>-432720</v>
      </c>
      <c r="O1026" s="675"/>
      <c r="P1026" s="675"/>
      <c r="Q1026" s="675"/>
      <c r="R1026" s="675"/>
      <c r="S1026" s="675"/>
      <c r="T1026" s="675"/>
      <c r="U1026" s="675"/>
      <c r="V1026" s="675"/>
      <c r="W1026" s="675"/>
      <c r="X1026" s="675"/>
      <c r="Y1026" s="675"/>
      <c r="Z1026" s="675"/>
      <c r="AA1026" s="675"/>
      <c r="AB1026" s="675"/>
      <c r="AC1026" s="675"/>
      <c r="AD1026" s="675"/>
      <c r="AE1026" s="675"/>
      <c r="AF1026" s="675"/>
      <c r="AG1026" s="675"/>
      <c r="AH1026" s="675"/>
      <c r="AI1026" s="675"/>
      <c r="AJ1026" s="675"/>
      <c r="AK1026" s="658"/>
    </row>
    <row r="1027" spans="1:37" ht="15" customHeight="1">
      <c r="A1027" s="5"/>
      <c r="B1027" s="313"/>
      <c r="C1027" s="837"/>
      <c r="D1027" s="17" t="s">
        <v>522</v>
      </c>
      <c r="E1027" s="245" t="s">
        <v>60</v>
      </c>
      <c r="F1027" s="253">
        <v>8000</v>
      </c>
      <c r="G1027" s="279">
        <v>20</v>
      </c>
      <c r="H1027" s="279">
        <f>+G1027*F1027+6468</f>
        <v>166468</v>
      </c>
      <c r="I1027" s="72">
        <f>H1027</f>
        <v>166468</v>
      </c>
      <c r="J1027" s="52"/>
      <c r="K1027" s="156"/>
      <c r="L1027" s="383"/>
      <c r="M1027" s="542"/>
      <c r="N1027" s="701">
        <f t="shared" si="32"/>
        <v>-166468</v>
      </c>
      <c r="O1027" s="675"/>
      <c r="P1027" s="675"/>
      <c r="Q1027" s="675"/>
      <c r="R1027" s="675"/>
      <c r="S1027" s="675"/>
      <c r="T1027" s="675"/>
      <c r="U1027" s="675"/>
      <c r="V1027" s="675"/>
      <c r="W1027" s="675"/>
      <c r="X1027" s="675"/>
      <c r="Y1027" s="675"/>
      <c r="Z1027" s="675"/>
      <c r="AA1027" s="675"/>
      <c r="AB1027" s="675"/>
      <c r="AC1027" s="675"/>
      <c r="AD1027" s="675"/>
      <c r="AE1027" s="675"/>
      <c r="AF1027" s="675"/>
      <c r="AG1027" s="675"/>
      <c r="AH1027" s="675"/>
      <c r="AI1027" s="675"/>
      <c r="AJ1027" s="675"/>
      <c r="AK1027" s="658"/>
    </row>
    <row r="1028" spans="1:37" s="104" customFormat="1" ht="15" customHeight="1">
      <c r="B1028" s="313"/>
      <c r="C1028" s="848"/>
      <c r="D1028" s="105" t="s">
        <v>133</v>
      </c>
      <c r="E1028" s="120"/>
      <c r="F1028" s="91"/>
      <c r="G1028" s="121"/>
      <c r="H1028" s="64"/>
      <c r="I1028" s="134"/>
      <c r="J1028" s="296"/>
      <c r="K1028" s="156"/>
      <c r="L1028" s="383"/>
      <c r="M1028" s="542"/>
      <c r="N1028" s="701">
        <f t="shared" si="32"/>
        <v>0</v>
      </c>
      <c r="O1028" s="688"/>
      <c r="P1028" s="688"/>
      <c r="Q1028" s="688"/>
      <c r="R1028" s="688"/>
      <c r="S1028" s="688"/>
      <c r="T1028" s="688"/>
      <c r="U1028" s="688"/>
      <c r="V1028" s="688"/>
      <c r="W1028" s="688"/>
      <c r="X1028" s="688"/>
      <c r="Y1028" s="688"/>
      <c r="Z1028" s="688"/>
      <c r="AA1028" s="688"/>
      <c r="AB1028" s="688"/>
      <c r="AC1028" s="688"/>
      <c r="AD1028" s="688"/>
      <c r="AE1028" s="688"/>
      <c r="AF1028" s="688"/>
      <c r="AG1028" s="688"/>
      <c r="AH1028" s="688"/>
      <c r="AI1028" s="688"/>
      <c r="AJ1028" s="688"/>
      <c r="AK1028" s="658"/>
    </row>
    <row r="1029" spans="1:37" ht="15" customHeight="1">
      <c r="A1029" s="5"/>
      <c r="B1029" s="313"/>
      <c r="C1029" s="837"/>
      <c r="D1029" s="17" t="s">
        <v>194</v>
      </c>
      <c r="E1029" s="67" t="s">
        <v>16</v>
      </c>
      <c r="F1029" s="124"/>
      <c r="G1029" s="64"/>
      <c r="H1029" s="64"/>
      <c r="I1029" s="79"/>
      <c r="J1029" s="52"/>
      <c r="K1029" s="156"/>
      <c r="L1029" s="383"/>
      <c r="M1029" s="542"/>
      <c r="N1029" s="701">
        <f t="shared" si="32"/>
        <v>0</v>
      </c>
      <c r="O1029" s="675"/>
      <c r="P1029" s="675"/>
      <c r="Q1029" s="675"/>
      <c r="R1029" s="675"/>
      <c r="S1029" s="675"/>
      <c r="T1029" s="675"/>
      <c r="U1029" s="675"/>
      <c r="V1029" s="675"/>
      <c r="W1029" s="675"/>
      <c r="X1029" s="675"/>
      <c r="Y1029" s="675"/>
      <c r="Z1029" s="675"/>
      <c r="AA1029" s="675"/>
      <c r="AB1029" s="675"/>
      <c r="AC1029" s="675"/>
      <c r="AD1029" s="675"/>
      <c r="AE1029" s="675"/>
      <c r="AF1029" s="675"/>
      <c r="AG1029" s="675"/>
      <c r="AH1029" s="675"/>
      <c r="AI1029" s="675"/>
      <c r="AJ1029" s="675"/>
      <c r="AK1029" s="658"/>
    </row>
    <row r="1030" spans="1:37" ht="15" customHeight="1">
      <c r="A1030" s="5"/>
      <c r="B1030" s="313"/>
      <c r="C1030" s="837"/>
      <c r="D1030" s="119" t="s">
        <v>195</v>
      </c>
      <c r="E1030" s="67" t="s">
        <v>16</v>
      </c>
      <c r="F1030" s="124"/>
      <c r="G1030" s="64"/>
      <c r="H1030" s="62"/>
      <c r="I1030" s="72"/>
      <c r="J1030" s="52">
        <v>35</v>
      </c>
      <c r="K1030" s="156"/>
      <c r="L1030" s="383"/>
      <c r="M1030" s="542"/>
      <c r="N1030" s="701">
        <f t="shared" si="32"/>
        <v>0</v>
      </c>
      <c r="O1030" s="675"/>
      <c r="P1030" s="675"/>
      <c r="Q1030" s="675"/>
      <c r="R1030" s="675"/>
      <c r="S1030" s="675"/>
      <c r="T1030" s="675"/>
      <c r="U1030" s="675"/>
      <c r="V1030" s="675"/>
      <c r="W1030" s="675"/>
      <c r="X1030" s="675"/>
      <c r="Y1030" s="675"/>
      <c r="Z1030" s="675"/>
      <c r="AA1030" s="675"/>
      <c r="AB1030" s="675"/>
      <c r="AC1030" s="675"/>
      <c r="AD1030" s="675"/>
      <c r="AE1030" s="675"/>
      <c r="AF1030" s="675"/>
      <c r="AG1030" s="675"/>
      <c r="AH1030" s="675"/>
      <c r="AI1030" s="675"/>
      <c r="AJ1030" s="675"/>
      <c r="AK1030" s="658"/>
    </row>
    <row r="1031" spans="1:37" s="48" customFormat="1" ht="15" customHeight="1">
      <c r="A1031" s="45"/>
      <c r="B1031" s="314"/>
      <c r="C1031" s="836"/>
      <c r="D1031" s="73"/>
      <c r="E1031" s="71"/>
      <c r="F1031" s="906" t="s">
        <v>196</v>
      </c>
      <c r="G1031" s="906"/>
      <c r="H1031" s="191"/>
      <c r="I1031" s="472">
        <f>SUM(I1002:I1030)</f>
        <v>13246888</v>
      </c>
      <c r="J1031" s="294"/>
      <c r="K1031" s="158"/>
      <c r="L1031" s="386"/>
      <c r="M1031" s="593"/>
      <c r="N1031" s="701">
        <f t="shared" si="32"/>
        <v>0</v>
      </c>
      <c r="O1031" s="676"/>
      <c r="P1031" s="676"/>
      <c r="Q1031" s="676"/>
      <c r="R1031" s="676"/>
      <c r="S1031" s="676"/>
      <c r="T1031" s="676"/>
      <c r="U1031" s="676"/>
      <c r="V1031" s="676"/>
      <c r="W1031" s="676"/>
      <c r="X1031" s="676"/>
      <c r="Y1031" s="676"/>
      <c r="Z1031" s="676"/>
      <c r="AA1031" s="676"/>
      <c r="AB1031" s="676"/>
      <c r="AC1031" s="676"/>
      <c r="AD1031" s="676"/>
      <c r="AE1031" s="676"/>
      <c r="AF1031" s="676"/>
      <c r="AG1031" s="676"/>
      <c r="AH1031" s="676"/>
      <c r="AI1031" s="676"/>
      <c r="AJ1031" s="676"/>
      <c r="AK1031" s="658"/>
    </row>
    <row r="1032" spans="1:37" s="53" customFormat="1" ht="30" customHeight="1">
      <c r="A1032" s="5"/>
      <c r="B1032" s="309"/>
      <c r="C1032" s="832"/>
      <c r="D1032" s="49"/>
      <c r="E1032" s="9"/>
      <c r="F1032" s="8"/>
      <c r="G1032" s="8"/>
      <c r="H1032" s="50"/>
      <c r="I1032" s="51"/>
      <c r="J1032" s="51"/>
      <c r="K1032" s="156"/>
      <c r="L1032" s="383"/>
      <c r="M1032" s="542"/>
      <c r="N1032" s="701"/>
      <c r="O1032" s="677"/>
      <c r="P1032" s="677"/>
      <c r="Q1032" s="677"/>
      <c r="R1032" s="677"/>
      <c r="S1032" s="677"/>
      <c r="T1032" s="677"/>
      <c r="U1032" s="677"/>
      <c r="V1032" s="677"/>
      <c r="W1032" s="677"/>
      <c r="X1032" s="677"/>
      <c r="Y1032" s="677"/>
      <c r="Z1032" s="677"/>
      <c r="AA1032" s="677"/>
      <c r="AB1032" s="677"/>
      <c r="AC1032" s="677"/>
      <c r="AD1032" s="677"/>
      <c r="AE1032" s="677"/>
      <c r="AF1032" s="677"/>
      <c r="AG1032" s="677"/>
      <c r="AH1032" s="677"/>
      <c r="AI1032" s="677"/>
      <c r="AJ1032" s="677"/>
      <c r="AK1032" s="658"/>
    </row>
    <row r="1033" spans="1:37" s="48" customFormat="1" ht="15" customHeight="1">
      <c r="A1033" s="45"/>
      <c r="B1033" s="312"/>
      <c r="C1033" s="834"/>
      <c r="D1033" s="33" t="s">
        <v>197</v>
      </c>
      <c r="E1033" s="56" t="s">
        <v>13</v>
      </c>
      <c r="F1033" s="57" t="s">
        <v>14</v>
      </c>
      <c r="G1033" s="860" t="s">
        <v>15</v>
      </c>
      <c r="H1033" s="192" t="s">
        <v>8</v>
      </c>
      <c r="I1033" s="861" t="s">
        <v>967</v>
      </c>
      <c r="J1033" s="292"/>
      <c r="K1033" s="158"/>
      <c r="L1033" s="386"/>
      <c r="M1033" s="593"/>
      <c r="N1033" s="701"/>
      <c r="O1033" s="676"/>
      <c r="P1033" s="676"/>
      <c r="Q1033" s="676"/>
      <c r="R1033" s="676"/>
      <c r="S1033" s="676"/>
      <c r="T1033" s="676"/>
      <c r="U1033" s="676"/>
      <c r="V1033" s="676"/>
      <c r="W1033" s="676"/>
      <c r="X1033" s="676"/>
      <c r="Y1033" s="676"/>
      <c r="Z1033" s="676"/>
      <c r="AA1033" s="676"/>
      <c r="AB1033" s="676"/>
      <c r="AC1033" s="676"/>
      <c r="AD1033" s="676"/>
      <c r="AE1033" s="676"/>
      <c r="AF1033" s="676"/>
      <c r="AG1033" s="676"/>
      <c r="AH1033" s="676"/>
      <c r="AI1033" s="676"/>
      <c r="AJ1033" s="676"/>
      <c r="AK1033" s="658"/>
    </row>
    <row r="1034" spans="1:37" ht="15" customHeight="1">
      <c r="A1034" s="5"/>
      <c r="B1034" s="313"/>
      <c r="C1034" s="835" t="s">
        <v>940</v>
      </c>
      <c r="D1034" s="105" t="s">
        <v>198</v>
      </c>
      <c r="E1034" s="54"/>
      <c r="F1034" s="54"/>
      <c r="G1034" s="121"/>
      <c r="H1034" s="137"/>
      <c r="I1034" s="865"/>
      <c r="J1034" s="52"/>
      <c r="K1034" s="156"/>
      <c r="L1034" s="383"/>
      <c r="M1034" s="542"/>
      <c r="N1034" s="701"/>
      <c r="O1034" s="675"/>
      <c r="P1034" s="675"/>
      <c r="Q1034" s="675"/>
      <c r="R1034" s="675"/>
      <c r="S1034" s="675"/>
      <c r="T1034" s="675"/>
      <c r="U1034" s="675"/>
      <c r="V1034" s="675"/>
      <c r="W1034" s="675"/>
      <c r="X1034" s="675"/>
      <c r="Y1034" s="675"/>
      <c r="Z1034" s="675"/>
      <c r="AA1034" s="675"/>
      <c r="AB1034" s="675"/>
      <c r="AC1034" s="675"/>
      <c r="AD1034" s="675"/>
      <c r="AE1034" s="675"/>
      <c r="AF1034" s="675"/>
      <c r="AG1034" s="675"/>
      <c r="AH1034" s="675"/>
      <c r="AI1034" s="675"/>
      <c r="AJ1034" s="675"/>
      <c r="AK1034" s="658"/>
    </row>
    <row r="1035" spans="1:37" ht="15" customHeight="1">
      <c r="A1035" s="5"/>
      <c r="B1035" s="313"/>
      <c r="C1035" s="835"/>
      <c r="D1035" s="471" t="s">
        <v>524</v>
      </c>
      <c r="E1035" s="281" t="s">
        <v>27</v>
      </c>
      <c r="F1035" s="282">
        <v>250000</v>
      </c>
      <c r="G1035" s="283">
        <v>6</v>
      </c>
      <c r="H1035" s="758">
        <f>G1035*F1035</f>
        <v>1500000</v>
      </c>
      <c r="I1035" s="862">
        <f>H1035-O1035-P1035-Q1035-R1035-S1035-T1035-U1035-W1035-V1035-Y1035-Z1035-AA1035-AB1035-AC1035-AD1035-AE1035-AF1035-AG1035-AH1035-AI1035-AJ1035-X1035</f>
        <v>1500000</v>
      </c>
      <c r="J1035" s="52"/>
      <c r="K1035" s="156"/>
      <c r="L1035" s="383"/>
      <c r="M1035" s="542"/>
      <c r="N1035" s="701"/>
      <c r="O1035" s="675"/>
      <c r="P1035" s="675"/>
      <c r="Q1035" s="675"/>
      <c r="R1035" s="675"/>
      <c r="S1035" s="675"/>
      <c r="T1035" s="675"/>
      <c r="U1035" s="675"/>
      <c r="V1035" s="675"/>
      <c r="W1035" s="675"/>
      <c r="X1035" s="675"/>
      <c r="Y1035" s="675"/>
      <c r="Z1035" s="675"/>
      <c r="AA1035" s="675"/>
      <c r="AB1035" s="675"/>
      <c r="AC1035" s="675"/>
      <c r="AD1035" s="675"/>
      <c r="AE1035" s="675"/>
      <c r="AF1035" s="675"/>
      <c r="AG1035" s="675"/>
      <c r="AH1035" s="675"/>
      <c r="AI1035" s="675"/>
      <c r="AJ1035" s="675"/>
      <c r="AK1035" s="658"/>
    </row>
    <row r="1036" spans="1:37" ht="15" customHeight="1">
      <c r="A1036" s="5"/>
      <c r="B1036" s="313"/>
      <c r="C1036" s="835" t="s">
        <v>940</v>
      </c>
      <c r="D1036" s="66" t="s">
        <v>199</v>
      </c>
      <c r="E1036" s="281" t="s">
        <v>27</v>
      </c>
      <c r="F1036" s="282">
        <v>55000</v>
      </c>
      <c r="G1036" s="283">
        <v>6</v>
      </c>
      <c r="H1036" s="283">
        <f>+F1036*G1036</f>
        <v>330000</v>
      </c>
      <c r="I1036" s="862">
        <f t="shared" ref="I1036:I1038" si="34">H1036-O1036-P1036-Q1036-R1036-S1036-T1036-U1036-W1036-V1036-Y1036-Z1036-AA1036-AB1036-AC1036-AD1036-AE1036-AF1036-AG1036-AH1036-AI1036-AJ1036-X1036</f>
        <v>330000</v>
      </c>
      <c r="J1036" s="52"/>
      <c r="K1036" s="156"/>
      <c r="L1036" s="383"/>
      <c r="M1036" s="542"/>
      <c r="N1036" s="701"/>
      <c r="O1036" s="675"/>
      <c r="P1036" s="675"/>
      <c r="Q1036" s="675"/>
      <c r="R1036" s="675"/>
      <c r="S1036" s="675"/>
      <c r="T1036" s="675"/>
      <c r="U1036" s="675"/>
      <c r="V1036" s="675"/>
      <c r="W1036" s="675"/>
      <c r="X1036" s="675"/>
      <c r="Y1036" s="675"/>
      <c r="Z1036" s="675"/>
      <c r="AA1036" s="675"/>
      <c r="AB1036" s="675"/>
      <c r="AC1036" s="675"/>
      <c r="AD1036" s="675"/>
      <c r="AE1036" s="675"/>
      <c r="AF1036" s="675"/>
      <c r="AG1036" s="675"/>
      <c r="AH1036" s="675"/>
      <c r="AI1036" s="675"/>
      <c r="AJ1036" s="675"/>
      <c r="AK1036" s="658"/>
    </row>
    <row r="1037" spans="1:37" ht="15" customHeight="1">
      <c r="A1037" s="5"/>
      <c r="B1037" s="313"/>
      <c r="C1037" s="835" t="s">
        <v>946</v>
      </c>
      <c r="D1037" s="138" t="s">
        <v>200</v>
      </c>
      <c r="E1037" s="281" t="s">
        <v>27</v>
      </c>
      <c r="F1037" s="283">
        <v>250000</v>
      </c>
      <c r="G1037" s="283">
        <v>1</v>
      </c>
      <c r="H1037" s="283">
        <f>F1037*1</f>
        <v>250000</v>
      </c>
      <c r="I1037" s="862">
        <f t="shared" si="34"/>
        <v>250000</v>
      </c>
      <c r="J1037" s="52"/>
      <c r="K1037" s="156"/>
      <c r="L1037" s="383"/>
      <c r="M1037" s="542"/>
      <c r="N1037" s="701"/>
      <c r="O1037" s="675"/>
      <c r="P1037" s="675"/>
      <c r="Q1037" s="675"/>
      <c r="R1037" s="675"/>
      <c r="S1037" s="675"/>
      <c r="T1037" s="675"/>
      <c r="U1037" s="675"/>
      <c r="V1037" s="675"/>
      <c r="W1037" s="675"/>
      <c r="X1037" s="675"/>
      <c r="Y1037" s="675"/>
      <c r="Z1037" s="675"/>
      <c r="AA1037" s="675"/>
      <c r="AB1037" s="675"/>
      <c r="AC1037" s="675"/>
      <c r="AD1037" s="675"/>
      <c r="AE1037" s="675"/>
      <c r="AF1037" s="675"/>
      <c r="AG1037" s="675"/>
      <c r="AH1037" s="675"/>
      <c r="AI1037" s="675"/>
      <c r="AJ1037" s="675"/>
      <c r="AK1037" s="658"/>
    </row>
    <row r="1038" spans="1:37" ht="15" customHeight="1">
      <c r="A1038" s="5"/>
      <c r="B1038" s="313"/>
      <c r="C1038" s="835"/>
      <c r="D1038" s="103"/>
      <c r="E1038" s="61"/>
      <c r="F1038" s="261"/>
      <c r="G1038" s="62"/>
      <c r="H1038" s="62">
        <f>+F1038*G1038</f>
        <v>0</v>
      </c>
      <c r="I1038" s="862">
        <f t="shared" si="34"/>
        <v>0</v>
      </c>
      <c r="J1038" s="52">
        <v>15</v>
      </c>
      <c r="K1038" s="156"/>
      <c r="L1038" s="383"/>
      <c r="M1038" s="542"/>
      <c r="N1038" s="701">
        <f>SUM(O1038:AJ1038)-H1038</f>
        <v>0</v>
      </c>
      <c r="O1038" s="675"/>
      <c r="P1038" s="675"/>
      <c r="Q1038" s="675"/>
      <c r="R1038" s="675"/>
      <c r="S1038" s="675"/>
      <c r="T1038" s="675"/>
      <c r="U1038" s="675"/>
      <c r="V1038" s="675"/>
      <c r="W1038" s="675"/>
      <c r="X1038" s="675"/>
      <c r="Y1038" s="675"/>
      <c r="Z1038" s="675"/>
      <c r="AA1038" s="675"/>
      <c r="AB1038" s="675"/>
      <c r="AC1038" s="675"/>
      <c r="AD1038" s="675"/>
      <c r="AE1038" s="675"/>
      <c r="AF1038" s="675"/>
      <c r="AG1038" s="675"/>
      <c r="AH1038" s="675"/>
      <c r="AI1038" s="675"/>
      <c r="AJ1038" s="675"/>
      <c r="AK1038" s="658"/>
    </row>
    <row r="1039" spans="1:37" s="48" customFormat="1" ht="12" customHeight="1">
      <c r="A1039" s="45"/>
      <c r="B1039" s="314"/>
      <c r="C1039" s="836"/>
      <c r="D1039" s="73"/>
      <c r="E1039" s="71"/>
      <c r="F1039" s="906" t="s">
        <v>202</v>
      </c>
      <c r="G1039" s="906"/>
      <c r="H1039" s="191"/>
      <c r="I1039" s="472">
        <f>SUM(H1035:H1038)</f>
        <v>2080000</v>
      </c>
      <c r="J1039" s="294"/>
      <c r="K1039" s="158"/>
      <c r="L1039" s="386"/>
      <c r="M1039" s="593"/>
      <c r="N1039" s="701">
        <f>SUM(O1039:AJ1039)-I1039</f>
        <v>-2080000</v>
      </c>
      <c r="O1039" s="676"/>
      <c r="P1039" s="676"/>
      <c r="Q1039" s="676"/>
      <c r="R1039" s="676"/>
      <c r="S1039" s="676"/>
      <c r="T1039" s="676"/>
      <c r="U1039" s="676"/>
      <c r="V1039" s="676"/>
      <c r="W1039" s="676"/>
      <c r="X1039" s="676"/>
      <c r="Y1039" s="676"/>
      <c r="Z1039" s="676"/>
      <c r="AA1039" s="676"/>
      <c r="AB1039" s="676"/>
      <c r="AC1039" s="676"/>
      <c r="AD1039" s="676"/>
      <c r="AE1039" s="676"/>
      <c r="AF1039" s="676"/>
      <c r="AG1039" s="676"/>
      <c r="AH1039" s="676"/>
      <c r="AI1039" s="676"/>
      <c r="AJ1039" s="676"/>
      <c r="AK1039" s="658"/>
    </row>
    <row r="1040" spans="1:37" s="53" customFormat="1" ht="30" customHeight="1">
      <c r="A1040" s="5"/>
      <c r="B1040" s="309"/>
      <c r="C1040" s="832"/>
      <c r="D1040" s="49"/>
      <c r="E1040" s="9"/>
      <c r="F1040" s="8"/>
      <c r="G1040" s="8"/>
      <c r="H1040" s="50"/>
      <c r="I1040" s="51"/>
      <c r="J1040" s="51"/>
      <c r="K1040" s="156"/>
      <c r="L1040" s="383"/>
      <c r="M1040" s="542"/>
      <c r="N1040" s="701">
        <f>SUM(O1040:AJ1040)-H1040</f>
        <v>0</v>
      </c>
      <c r="O1040" s="677"/>
      <c r="P1040" s="677"/>
      <c r="Q1040" s="677"/>
      <c r="R1040" s="677"/>
      <c r="S1040" s="677"/>
      <c r="T1040" s="677"/>
      <c r="U1040" s="677"/>
      <c r="V1040" s="677"/>
      <c r="W1040" s="677"/>
      <c r="X1040" s="677"/>
      <c r="Y1040" s="677"/>
      <c r="Z1040" s="677"/>
      <c r="AA1040" s="677"/>
      <c r="AB1040" s="677"/>
      <c r="AC1040" s="677"/>
      <c r="AD1040" s="677"/>
      <c r="AE1040" s="677"/>
      <c r="AF1040" s="677"/>
      <c r="AG1040" s="677"/>
      <c r="AH1040" s="677"/>
      <c r="AI1040" s="677"/>
      <c r="AJ1040" s="677"/>
      <c r="AK1040" s="658"/>
    </row>
    <row r="1041" spans="1:37" s="48" customFormat="1" ht="15" customHeight="1">
      <c r="A1041" s="45"/>
      <c r="B1041" s="312"/>
      <c r="C1041" s="834"/>
      <c r="D1041" s="33" t="s">
        <v>203</v>
      </c>
      <c r="E1041" s="56" t="s">
        <v>13</v>
      </c>
      <c r="F1041" s="57" t="s">
        <v>14</v>
      </c>
      <c r="G1041" s="860" t="s">
        <v>15</v>
      </c>
      <c r="H1041" s="192" t="s">
        <v>8</v>
      </c>
      <c r="I1041" s="59" t="s">
        <v>967</v>
      </c>
      <c r="J1041" s="292"/>
      <c r="K1041" s="158"/>
      <c r="L1041" s="386"/>
      <c r="M1041" s="593"/>
      <c r="N1041" s="701"/>
      <c r="O1041" s="676"/>
      <c r="P1041" s="676"/>
      <c r="Q1041" s="676"/>
      <c r="R1041" s="676"/>
      <c r="S1041" s="676"/>
      <c r="T1041" s="676"/>
      <c r="U1041" s="676"/>
      <c r="V1041" s="676"/>
      <c r="W1041" s="676"/>
      <c r="X1041" s="676"/>
      <c r="Y1041" s="676"/>
      <c r="Z1041" s="676"/>
      <c r="AA1041" s="676"/>
      <c r="AB1041" s="676"/>
      <c r="AC1041" s="676"/>
      <c r="AD1041" s="676"/>
      <c r="AE1041" s="676"/>
      <c r="AF1041" s="676"/>
      <c r="AG1041" s="676"/>
      <c r="AH1041" s="676"/>
      <c r="AI1041" s="676"/>
      <c r="AJ1041" s="676"/>
      <c r="AK1041" s="658"/>
    </row>
    <row r="1042" spans="1:37" s="5" customFormat="1" ht="15" customHeight="1">
      <c r="B1042" s="313"/>
      <c r="C1042" s="835" t="s">
        <v>949</v>
      </c>
      <c r="D1042" s="105" t="s">
        <v>204</v>
      </c>
      <c r="E1042" s="139" t="s">
        <v>205</v>
      </c>
      <c r="F1042" s="140"/>
      <c r="G1042" s="141" t="s">
        <v>206</v>
      </c>
      <c r="H1042" s="85"/>
      <c r="I1042" s="126"/>
      <c r="J1042" s="52"/>
      <c r="K1042" s="156"/>
      <c r="L1042" s="383"/>
      <c r="M1042" s="542"/>
      <c r="N1042" s="701">
        <f t="shared" ref="N1042:N1049" si="35">SUM(O1042:AJ1042)-H1042</f>
        <v>0</v>
      </c>
      <c r="O1042" s="678"/>
      <c r="P1042" s="678"/>
      <c r="Q1042" s="678"/>
      <c r="R1042" s="678"/>
      <c r="S1042" s="678"/>
      <c r="T1042" s="678"/>
      <c r="U1042" s="678"/>
      <c r="V1042" s="678"/>
      <c r="W1042" s="678"/>
      <c r="X1042" s="678"/>
      <c r="Y1042" s="678"/>
      <c r="Z1042" s="678"/>
      <c r="AA1042" s="678"/>
      <c r="AB1042" s="678"/>
      <c r="AC1042" s="678"/>
      <c r="AD1042" s="678"/>
      <c r="AE1042" s="678"/>
      <c r="AF1042" s="678"/>
      <c r="AG1042" s="678"/>
      <c r="AH1042" s="678"/>
      <c r="AI1042" s="678"/>
      <c r="AJ1042" s="678"/>
      <c r="AK1042" s="658"/>
    </row>
    <row r="1043" spans="1:37" ht="15" customHeight="1">
      <c r="A1043" s="5"/>
      <c r="B1043" s="313"/>
      <c r="C1043" s="835"/>
      <c r="D1043" s="96" t="s">
        <v>207</v>
      </c>
      <c r="E1043" s="142">
        <v>65</v>
      </c>
      <c r="F1043" s="531">
        <v>4000</v>
      </c>
      <c r="G1043" s="142">
        <v>30</v>
      </c>
      <c r="H1043" s="64">
        <f>+G1043*F1043*E1043</f>
        <v>7800000</v>
      </c>
      <c r="I1043" s="118"/>
      <c r="J1043" s="52"/>
      <c r="K1043" s="156"/>
      <c r="L1043" s="383"/>
      <c r="M1043" s="542"/>
      <c r="N1043" s="701">
        <f t="shared" si="35"/>
        <v>-7800000</v>
      </c>
      <c r="O1043" s="675"/>
      <c r="P1043" s="675"/>
      <c r="Q1043" s="675"/>
      <c r="R1043" s="675"/>
      <c r="S1043" s="675"/>
      <c r="T1043" s="675"/>
      <c r="U1043" s="675"/>
      <c r="V1043" s="675"/>
      <c r="W1043" s="675"/>
      <c r="X1043" s="675"/>
      <c r="Y1043" s="675"/>
      <c r="Z1043" s="675"/>
      <c r="AA1043" s="675"/>
      <c r="AB1043" s="675"/>
      <c r="AC1043" s="675"/>
      <c r="AD1043" s="675"/>
      <c r="AE1043" s="675"/>
      <c r="AF1043" s="675"/>
      <c r="AG1043" s="675"/>
      <c r="AH1043" s="675"/>
      <c r="AI1043" s="675"/>
      <c r="AJ1043" s="675"/>
      <c r="AK1043" s="658"/>
    </row>
    <row r="1044" spans="1:37" ht="15" customHeight="1">
      <c r="A1044" s="5"/>
      <c r="B1044" s="313"/>
      <c r="C1044" s="835"/>
      <c r="D1044" s="19" t="s">
        <v>285</v>
      </c>
      <c r="E1044" s="143">
        <v>520</v>
      </c>
      <c r="F1044" s="531">
        <v>4000</v>
      </c>
      <c r="G1044" s="144">
        <v>1</v>
      </c>
      <c r="H1044" s="64">
        <f>+G1044*F1044*E1044</f>
        <v>2080000</v>
      </c>
      <c r="I1044" s="72">
        <f>SUM(H1043:H1046)</f>
        <v>11530000</v>
      </c>
      <c r="J1044" s="52">
        <v>8.3333333333333339</v>
      </c>
      <c r="K1044" s="156"/>
      <c r="L1044" s="383"/>
      <c r="M1044" s="542"/>
      <c r="N1044" s="701">
        <f t="shared" si="35"/>
        <v>-2080000</v>
      </c>
      <c r="O1044" s="675"/>
      <c r="P1044" s="675"/>
      <c r="Q1044" s="675"/>
      <c r="R1044" s="675"/>
      <c r="S1044" s="675"/>
      <c r="T1044" s="675"/>
      <c r="U1044" s="675"/>
      <c r="V1044" s="675"/>
      <c r="W1044" s="675"/>
      <c r="X1044" s="675"/>
      <c r="Y1044" s="675"/>
      <c r="Z1044" s="675"/>
      <c r="AA1044" s="675"/>
      <c r="AB1044" s="675"/>
      <c r="AC1044" s="675"/>
      <c r="AD1044" s="675"/>
      <c r="AE1044" s="675"/>
      <c r="AF1044" s="675"/>
      <c r="AG1044" s="675"/>
      <c r="AH1044" s="675"/>
      <c r="AI1044" s="675"/>
      <c r="AJ1044" s="675"/>
      <c r="AK1044" s="658"/>
    </row>
    <row r="1045" spans="1:37" s="104" customFormat="1" ht="15" customHeight="1">
      <c r="B1045" s="313"/>
      <c r="C1045" s="848"/>
      <c r="D1045" s="105" t="s">
        <v>812</v>
      </c>
      <c r="E1045" s="106">
        <v>12</v>
      </c>
      <c r="F1045" s="759">
        <v>2500</v>
      </c>
      <c r="G1045" s="759">
        <v>40</v>
      </c>
      <c r="H1045" s="64">
        <f>+G1045*F1045*E1045</f>
        <v>1200000</v>
      </c>
      <c r="I1045" s="126"/>
      <c r="J1045" s="52"/>
      <c r="K1045" s="156"/>
      <c r="L1045" s="383"/>
      <c r="M1045" s="542"/>
      <c r="N1045" s="701">
        <f t="shared" si="35"/>
        <v>-1200000</v>
      </c>
      <c r="O1045" s="688"/>
      <c r="P1045" s="688"/>
      <c r="Q1045" s="688"/>
      <c r="R1045" s="688"/>
      <c r="S1045" s="688"/>
      <c r="T1045" s="688"/>
      <c r="U1045" s="688"/>
      <c r="V1045" s="688"/>
      <c r="W1045" s="688"/>
      <c r="X1045" s="688"/>
      <c r="Y1045" s="688"/>
      <c r="Z1045" s="688"/>
      <c r="AA1045" s="688"/>
      <c r="AB1045" s="688"/>
      <c r="AC1045" s="688"/>
      <c r="AD1045" s="688"/>
      <c r="AE1045" s="688"/>
      <c r="AF1045" s="688"/>
      <c r="AG1045" s="688"/>
      <c r="AH1045" s="688"/>
      <c r="AI1045" s="688"/>
      <c r="AJ1045" s="688"/>
      <c r="AK1045" s="658"/>
    </row>
    <row r="1046" spans="1:37" s="104" customFormat="1" ht="15" customHeight="1">
      <c r="B1046" s="313"/>
      <c r="C1046" s="835" t="s">
        <v>949</v>
      </c>
      <c r="D1046" s="105" t="s">
        <v>133</v>
      </c>
      <c r="E1046" s="120">
        <v>1</v>
      </c>
      <c r="F1046" s="91">
        <v>30000</v>
      </c>
      <c r="G1046" s="121">
        <v>15</v>
      </c>
      <c r="H1046" s="64">
        <f>+G1046*F1046*E1046</f>
        <v>450000</v>
      </c>
      <c r="I1046" s="134"/>
      <c r="J1046" s="296"/>
      <c r="K1046" s="156"/>
      <c r="L1046" s="383"/>
      <c r="M1046" s="542"/>
      <c r="N1046" s="701">
        <f t="shared" si="35"/>
        <v>-450000</v>
      </c>
      <c r="O1046" s="688"/>
      <c r="P1046" s="688"/>
      <c r="Q1046" s="688"/>
      <c r="R1046" s="688"/>
      <c r="S1046" s="688"/>
      <c r="T1046" s="688"/>
      <c r="U1046" s="688"/>
      <c r="V1046" s="688"/>
      <c r="W1046" s="688"/>
      <c r="X1046" s="688"/>
      <c r="Y1046" s="688"/>
      <c r="Z1046" s="688"/>
      <c r="AA1046" s="688"/>
      <c r="AB1046" s="688"/>
      <c r="AC1046" s="688"/>
      <c r="AD1046" s="688"/>
      <c r="AE1046" s="688"/>
      <c r="AF1046" s="688"/>
      <c r="AG1046" s="688"/>
      <c r="AH1046" s="688"/>
      <c r="AI1046" s="688"/>
      <c r="AJ1046" s="688"/>
      <c r="AK1046" s="658"/>
    </row>
    <row r="1047" spans="1:37" ht="15" customHeight="1">
      <c r="A1047" s="5"/>
      <c r="B1047" s="313"/>
      <c r="C1047" s="835" t="s">
        <v>950</v>
      </c>
      <c r="D1047" s="17" t="s">
        <v>345</v>
      </c>
      <c r="E1047" s="67" t="s">
        <v>16</v>
      </c>
      <c r="F1047" s="124">
        <v>120000</v>
      </c>
      <c r="G1047" s="64">
        <v>6</v>
      </c>
      <c r="H1047" s="64">
        <f>+G1047*F1047</f>
        <v>720000</v>
      </c>
      <c r="I1047" s="72"/>
      <c r="J1047" s="52"/>
      <c r="K1047" s="156"/>
      <c r="L1047" s="383"/>
      <c r="M1047" s="542"/>
      <c r="N1047" s="701">
        <f t="shared" si="35"/>
        <v>-720000</v>
      </c>
      <c r="O1047" s="675"/>
      <c r="P1047" s="675"/>
      <c r="Q1047" s="675"/>
      <c r="R1047" s="675"/>
      <c r="S1047" s="675"/>
      <c r="T1047" s="675"/>
      <c r="U1047" s="675"/>
      <c r="V1047" s="675"/>
      <c r="W1047" s="675"/>
      <c r="X1047" s="675"/>
      <c r="Y1047" s="675"/>
      <c r="Z1047" s="675"/>
      <c r="AA1047" s="675"/>
      <c r="AB1047" s="675"/>
      <c r="AC1047" s="675"/>
      <c r="AD1047" s="675"/>
      <c r="AE1047" s="675"/>
      <c r="AF1047" s="675"/>
      <c r="AG1047" s="675"/>
      <c r="AH1047" s="675"/>
      <c r="AI1047" s="675"/>
      <c r="AJ1047" s="675"/>
      <c r="AK1047" s="658"/>
    </row>
    <row r="1048" spans="1:37" ht="15" customHeight="1">
      <c r="A1048" s="5"/>
      <c r="B1048" s="313"/>
      <c r="C1048" s="835" t="s">
        <v>951</v>
      </c>
      <c r="D1048" s="119" t="s">
        <v>346</v>
      </c>
      <c r="E1048" s="67" t="s">
        <v>208</v>
      </c>
      <c r="F1048" s="124">
        <v>20000</v>
      </c>
      <c r="G1048" s="64">
        <v>6</v>
      </c>
      <c r="H1048" s="64">
        <f>F1048*G1048</f>
        <v>120000</v>
      </c>
      <c r="I1048" s="72"/>
      <c r="J1048" s="52"/>
      <c r="K1048" s="156"/>
      <c r="L1048" s="383"/>
      <c r="M1048" s="542"/>
      <c r="N1048" s="701">
        <f t="shared" si="35"/>
        <v>-120000</v>
      </c>
      <c r="O1048" s="675"/>
      <c r="P1048" s="675"/>
      <c r="Q1048" s="675"/>
      <c r="R1048" s="675"/>
      <c r="S1048" s="675"/>
      <c r="T1048" s="675"/>
      <c r="U1048" s="675"/>
      <c r="V1048" s="675"/>
      <c r="W1048" s="675"/>
      <c r="X1048" s="675"/>
      <c r="Y1048" s="675"/>
      <c r="Z1048" s="675"/>
      <c r="AA1048" s="675"/>
      <c r="AB1048" s="675"/>
      <c r="AC1048" s="675"/>
      <c r="AD1048" s="675"/>
      <c r="AE1048" s="675"/>
      <c r="AF1048" s="675"/>
      <c r="AG1048" s="675"/>
      <c r="AH1048" s="675"/>
      <c r="AI1048" s="675"/>
      <c r="AJ1048" s="675"/>
      <c r="AK1048" s="658"/>
    </row>
    <row r="1049" spans="1:37" s="48" customFormat="1" ht="15" customHeight="1">
      <c r="A1049" s="45"/>
      <c r="B1049" s="314"/>
      <c r="C1049" s="836"/>
      <c r="D1049" s="73"/>
      <c r="E1049" s="71"/>
      <c r="F1049" s="906" t="s">
        <v>209</v>
      </c>
      <c r="G1049" s="906"/>
      <c r="H1049" s="191"/>
      <c r="I1049" s="472">
        <f>SUM(H1042:H1048)</f>
        <v>12370000</v>
      </c>
      <c r="J1049" s="294">
        <f>SUM(G1046:G1048)</f>
        <v>27</v>
      </c>
      <c r="K1049" s="158"/>
      <c r="L1049" s="386"/>
      <c r="M1049" s="593"/>
      <c r="N1049" s="701">
        <f t="shared" si="35"/>
        <v>0</v>
      </c>
      <c r="O1049" s="676"/>
      <c r="P1049" s="676"/>
      <c r="Q1049" s="676"/>
      <c r="R1049" s="676"/>
      <c r="S1049" s="676"/>
      <c r="T1049" s="676"/>
      <c r="U1049" s="676"/>
      <c r="V1049" s="676"/>
      <c r="W1049" s="676"/>
      <c r="X1049" s="676"/>
      <c r="Y1049" s="676"/>
      <c r="Z1049" s="676"/>
      <c r="AA1049" s="676"/>
      <c r="AB1049" s="676"/>
      <c r="AC1049" s="676"/>
      <c r="AD1049" s="676"/>
      <c r="AE1049" s="676"/>
      <c r="AF1049" s="676"/>
      <c r="AG1049" s="676"/>
      <c r="AH1049" s="676"/>
      <c r="AI1049" s="676"/>
      <c r="AJ1049" s="676"/>
      <c r="AK1049" s="658"/>
    </row>
    <row r="1050" spans="1:37" s="53" customFormat="1" ht="30" customHeight="1">
      <c r="A1050" s="5"/>
      <c r="B1050" s="309"/>
      <c r="C1050" s="832"/>
      <c r="D1050" s="49"/>
      <c r="E1050" s="9"/>
      <c r="F1050" s="8"/>
      <c r="G1050" s="8"/>
      <c r="H1050" s="50"/>
      <c r="I1050" s="51"/>
      <c r="J1050" s="51"/>
      <c r="K1050" s="156"/>
      <c r="L1050" s="383"/>
      <c r="M1050" s="542"/>
      <c r="N1050" s="701"/>
      <c r="O1050" s="677"/>
      <c r="P1050" s="677"/>
      <c r="Q1050" s="677"/>
      <c r="R1050" s="677"/>
      <c r="S1050" s="677"/>
      <c r="T1050" s="677"/>
      <c r="U1050" s="677"/>
      <c r="V1050" s="677"/>
      <c r="W1050" s="677"/>
      <c r="X1050" s="677"/>
      <c r="Y1050" s="677"/>
      <c r="Z1050" s="677"/>
      <c r="AA1050" s="677"/>
      <c r="AB1050" s="677"/>
      <c r="AC1050" s="677"/>
      <c r="AD1050" s="677"/>
      <c r="AE1050" s="677"/>
      <c r="AF1050" s="677"/>
      <c r="AG1050" s="677"/>
      <c r="AH1050" s="677"/>
      <c r="AI1050" s="677"/>
      <c r="AJ1050" s="677"/>
      <c r="AK1050" s="658"/>
    </row>
    <row r="1051" spans="1:37" s="48" customFormat="1" ht="15" customHeight="1">
      <c r="A1051" s="45"/>
      <c r="B1051" s="312"/>
      <c r="C1051" s="834"/>
      <c r="D1051" s="33" t="s">
        <v>344</v>
      </c>
      <c r="E1051" s="56" t="s">
        <v>13</v>
      </c>
      <c r="F1051" s="57" t="s">
        <v>14</v>
      </c>
      <c r="G1051" s="860" t="s">
        <v>15</v>
      </c>
      <c r="H1051" s="192" t="s">
        <v>8</v>
      </c>
      <c r="I1051" s="861" t="s">
        <v>967</v>
      </c>
      <c r="J1051" s="292"/>
      <c r="K1051" s="158"/>
      <c r="L1051" s="386"/>
      <c r="M1051" s="593"/>
      <c r="N1051" s="701"/>
      <c r="O1051" s="676"/>
      <c r="P1051" s="676"/>
      <c r="Q1051" s="676"/>
      <c r="R1051" s="676"/>
      <c r="S1051" s="676"/>
      <c r="T1051" s="676"/>
      <c r="U1051" s="676"/>
      <c r="V1051" s="676"/>
      <c r="W1051" s="676"/>
      <c r="X1051" s="676"/>
      <c r="Y1051" s="676"/>
      <c r="Z1051" s="676"/>
      <c r="AA1051" s="676"/>
      <c r="AB1051" s="676"/>
      <c r="AC1051" s="676"/>
      <c r="AD1051" s="676"/>
      <c r="AE1051" s="676"/>
      <c r="AF1051" s="676"/>
      <c r="AG1051" s="676"/>
      <c r="AH1051" s="676"/>
      <c r="AI1051" s="676"/>
      <c r="AJ1051" s="676"/>
      <c r="AK1051" s="658"/>
    </row>
    <row r="1052" spans="1:37" ht="15" customHeight="1">
      <c r="A1052" s="5"/>
      <c r="B1052" s="313"/>
      <c r="C1052" s="835" t="s">
        <v>952</v>
      </c>
      <c r="D1052" s="66" t="s">
        <v>804</v>
      </c>
      <c r="E1052" s="146" t="s">
        <v>210</v>
      </c>
      <c r="F1052" s="576">
        <v>250000</v>
      </c>
      <c r="G1052" s="64">
        <v>4</v>
      </c>
      <c r="H1052" s="652">
        <f>+G1052*F1052</f>
        <v>1000000</v>
      </c>
      <c r="I1052" s="862">
        <f>O1052-P1052-H1052-Q1052-R1052-S1052-T1052-U1052-V1052-W1052-X1052-Y1052-Z1052-AA1052-AB1052-AC1052-AD1052-AE1052-AF1052-AG1052-AH1052-AI1052-AJ1052</f>
        <v>-1000000</v>
      </c>
      <c r="J1052" s="52"/>
      <c r="K1052" s="156"/>
      <c r="L1052" s="383"/>
      <c r="M1052" s="542"/>
      <c r="N1052" s="701">
        <f t="shared" ref="N1052:N1063" si="36">SUM(O1052:AJ1052)-H1052</f>
        <v>-1000000</v>
      </c>
      <c r="O1052" s="675"/>
      <c r="P1052" s="675"/>
      <c r="Q1052" s="675"/>
      <c r="R1052" s="675"/>
      <c r="S1052" s="675"/>
      <c r="T1052" s="675"/>
      <c r="U1052" s="675"/>
      <c r="V1052" s="675"/>
      <c r="W1052" s="675"/>
      <c r="X1052" s="675"/>
      <c r="Y1052" s="675"/>
      <c r="Z1052" s="675"/>
      <c r="AA1052" s="675"/>
      <c r="AB1052" s="675"/>
      <c r="AC1052" s="675"/>
      <c r="AD1052" s="675"/>
      <c r="AE1052" s="675"/>
      <c r="AF1052" s="675"/>
      <c r="AG1052" s="675"/>
      <c r="AH1052" s="675"/>
      <c r="AI1052" s="675"/>
      <c r="AJ1052" s="675"/>
      <c r="AK1052" s="658"/>
    </row>
    <row r="1053" spans="1:37" ht="15" customHeight="1">
      <c r="A1053" s="5"/>
      <c r="B1053" s="313"/>
      <c r="C1053" s="835" t="s">
        <v>953</v>
      </c>
      <c r="D1053" s="60" t="s">
        <v>211</v>
      </c>
      <c r="E1053" s="147" t="s">
        <v>210</v>
      </c>
      <c r="F1053" s="576">
        <v>220000</v>
      </c>
      <c r="G1053" s="64">
        <v>5</v>
      </c>
      <c r="H1053" s="537">
        <f>F1053*G1053</f>
        <v>1100000</v>
      </c>
      <c r="I1053" s="862">
        <f t="shared" ref="I1053:I1061" si="37">H1053-Q1053-R1053-S1053-T1053-U1053-V1053-W1053-X1053-Y1053-Z1053-AA1053-AB1053-AC1053-AD1053-AE1053-AF1053-AG1053-AH1053-AI1053-AJ1053</f>
        <v>1100000</v>
      </c>
      <c r="J1053" s="52"/>
      <c r="K1053" s="156"/>
      <c r="L1053" s="383"/>
      <c r="M1053" s="542"/>
      <c r="N1053" s="701">
        <f t="shared" si="36"/>
        <v>-1100000</v>
      </c>
      <c r="O1053" s="675"/>
      <c r="P1053" s="675"/>
      <c r="R1053" s="675"/>
      <c r="S1053" s="675"/>
      <c r="T1053" s="675"/>
      <c r="U1053" s="675"/>
      <c r="V1053" s="675"/>
      <c r="W1053" s="675"/>
      <c r="X1053" s="675"/>
      <c r="Y1053" s="675"/>
      <c r="Z1053" s="675"/>
      <c r="AA1053" s="675"/>
      <c r="AB1053" s="675"/>
      <c r="AC1053" s="675"/>
      <c r="AD1053" s="675"/>
      <c r="AE1053" s="675"/>
      <c r="AF1053" s="675"/>
      <c r="AG1053" s="675"/>
      <c r="AH1053" s="675"/>
      <c r="AI1053" s="675"/>
      <c r="AJ1053" s="675"/>
      <c r="AK1053" s="658"/>
    </row>
    <row r="1054" spans="1:37" ht="15" customHeight="1">
      <c r="A1054" s="5"/>
      <c r="B1054" s="313"/>
      <c r="C1054" s="835" t="s">
        <v>953</v>
      </c>
      <c r="D1054" s="60" t="s">
        <v>810</v>
      </c>
      <c r="E1054" s="147" t="s">
        <v>210</v>
      </c>
      <c r="F1054" s="576">
        <v>150000</v>
      </c>
      <c r="G1054" s="64">
        <v>5</v>
      </c>
      <c r="H1054" s="537">
        <f>F1054*G1054</f>
        <v>750000</v>
      </c>
      <c r="I1054" s="862">
        <f t="shared" si="37"/>
        <v>750000</v>
      </c>
      <c r="J1054" s="52"/>
      <c r="K1054" s="156"/>
      <c r="L1054" s="383"/>
      <c r="M1054" s="542"/>
      <c r="N1054" s="701">
        <f t="shared" si="36"/>
        <v>-750000</v>
      </c>
      <c r="O1054" s="675"/>
      <c r="P1054" s="675"/>
      <c r="Q1054" s="675"/>
      <c r="R1054" s="675"/>
      <c r="S1054" s="675"/>
      <c r="T1054" s="675"/>
      <c r="U1054" s="675"/>
      <c r="V1054" s="675"/>
      <c r="W1054" s="675"/>
      <c r="X1054" s="675"/>
      <c r="Y1054" s="675"/>
      <c r="Z1054" s="675"/>
      <c r="AA1054" s="675"/>
      <c r="AB1054" s="675"/>
      <c r="AC1054" s="675"/>
      <c r="AD1054" s="675"/>
      <c r="AE1054" s="675"/>
      <c r="AF1054" s="675"/>
      <c r="AG1054" s="675"/>
      <c r="AH1054" s="675"/>
      <c r="AI1054" s="675"/>
      <c r="AJ1054" s="675"/>
      <c r="AK1054" s="658"/>
    </row>
    <row r="1055" spans="1:37" ht="15" customHeight="1">
      <c r="A1055" s="5"/>
      <c r="B1055" s="313"/>
      <c r="C1055" s="835" t="s">
        <v>954</v>
      </c>
      <c r="D1055" s="60" t="s">
        <v>848</v>
      </c>
      <c r="E1055" s="147" t="s">
        <v>210</v>
      </c>
      <c r="F1055" s="576">
        <v>150000</v>
      </c>
      <c r="G1055" s="64">
        <v>5</v>
      </c>
      <c r="H1055" s="537">
        <f>F1055*G1055</f>
        <v>750000</v>
      </c>
      <c r="I1055" s="862">
        <f t="shared" si="37"/>
        <v>750000</v>
      </c>
      <c r="J1055" s="52"/>
      <c r="K1055" s="156"/>
      <c r="L1055" s="383"/>
      <c r="M1055" s="542"/>
      <c r="N1055" s="701">
        <f t="shared" si="36"/>
        <v>-750000</v>
      </c>
      <c r="O1055" s="675"/>
      <c r="P1055" s="675"/>
      <c r="Q1055" s="675"/>
      <c r="R1055" s="675"/>
      <c r="S1055" s="675"/>
      <c r="T1055" s="675"/>
      <c r="U1055" s="675"/>
      <c r="V1055" s="675"/>
      <c r="W1055" s="675"/>
      <c r="X1055" s="675"/>
      <c r="Y1055" s="675"/>
      <c r="Z1055" s="675"/>
      <c r="AA1055" s="675"/>
      <c r="AB1055" s="675"/>
      <c r="AC1055" s="675"/>
      <c r="AD1055" s="675"/>
      <c r="AE1055" s="675"/>
      <c r="AF1055" s="675"/>
      <c r="AG1055" s="675"/>
      <c r="AH1055" s="675"/>
      <c r="AI1055" s="675"/>
      <c r="AJ1055" s="675"/>
      <c r="AK1055" s="658"/>
    </row>
    <row r="1056" spans="1:37" ht="15" customHeight="1">
      <c r="A1056" s="5"/>
      <c r="B1056" s="313"/>
      <c r="C1056" s="835" t="s">
        <v>955</v>
      </c>
      <c r="D1056" s="66" t="s">
        <v>212</v>
      </c>
      <c r="E1056" s="146" t="s">
        <v>210</v>
      </c>
      <c r="F1056" s="576">
        <v>30000</v>
      </c>
      <c r="G1056" s="64">
        <v>5</v>
      </c>
      <c r="H1056" s="64">
        <f>F1056*G1056</f>
        <v>150000</v>
      </c>
      <c r="I1056" s="862">
        <f t="shared" si="37"/>
        <v>150000</v>
      </c>
      <c r="J1056" s="52"/>
      <c r="K1056" s="156"/>
      <c r="L1056" s="383"/>
      <c r="M1056" s="542"/>
      <c r="N1056" s="701">
        <f t="shared" si="36"/>
        <v>-150000</v>
      </c>
      <c r="O1056" s="675"/>
      <c r="P1056" s="675"/>
      <c r="Q1056" s="675"/>
      <c r="R1056" s="675"/>
      <c r="S1056" s="675"/>
      <c r="T1056" s="675"/>
      <c r="U1056" s="675"/>
      <c r="V1056" s="675"/>
      <c r="W1056" s="675"/>
      <c r="X1056" s="675"/>
      <c r="Y1056" s="675"/>
      <c r="Z1056" s="675"/>
      <c r="AA1056" s="675"/>
      <c r="AB1056" s="675"/>
      <c r="AC1056" s="675"/>
      <c r="AD1056" s="675"/>
      <c r="AE1056" s="675"/>
      <c r="AF1056" s="675"/>
      <c r="AG1056" s="675"/>
      <c r="AH1056" s="675"/>
      <c r="AI1056" s="675"/>
      <c r="AJ1056" s="675"/>
      <c r="AK1056" s="658"/>
    </row>
    <row r="1057" spans="1:37" ht="15" customHeight="1">
      <c r="A1057" s="5"/>
      <c r="B1057" s="313"/>
      <c r="C1057" s="835" t="s">
        <v>956</v>
      </c>
      <c r="D1057" s="66" t="s">
        <v>213</v>
      </c>
      <c r="E1057" s="146" t="s">
        <v>210</v>
      </c>
      <c r="F1057" s="576">
        <v>40000</v>
      </c>
      <c r="G1057" s="64">
        <v>5</v>
      </c>
      <c r="H1057" s="64">
        <f>F1057*G1057+117600</f>
        <v>317600</v>
      </c>
      <c r="I1057" s="862">
        <f t="shared" si="37"/>
        <v>317600</v>
      </c>
      <c r="J1057" s="52"/>
      <c r="K1057" s="156"/>
      <c r="L1057" s="383"/>
      <c r="M1057" s="542"/>
      <c r="N1057" s="701">
        <f t="shared" si="36"/>
        <v>-317600</v>
      </c>
      <c r="O1057" s="675"/>
      <c r="P1057" s="675"/>
      <c r="Q1057" s="675"/>
      <c r="R1057" s="675"/>
      <c r="S1057" s="675"/>
      <c r="T1057" s="675"/>
      <c r="U1057" s="675"/>
      <c r="V1057" s="675"/>
      <c r="W1057" s="675"/>
      <c r="X1057" s="675"/>
      <c r="Y1057" s="675"/>
      <c r="Z1057" s="675"/>
      <c r="AA1057" s="675"/>
      <c r="AB1057" s="675"/>
      <c r="AC1057" s="675"/>
      <c r="AD1057" s="675"/>
      <c r="AE1057" s="675"/>
      <c r="AF1057" s="675"/>
      <c r="AG1057" s="675"/>
      <c r="AH1057" s="675"/>
      <c r="AI1057" s="675"/>
      <c r="AJ1057" s="675"/>
      <c r="AK1057" s="658"/>
    </row>
    <row r="1058" spans="1:37" ht="15" customHeight="1">
      <c r="A1058" s="5"/>
      <c r="B1058" s="313"/>
      <c r="C1058" s="835" t="s">
        <v>957</v>
      </c>
      <c r="D1058" s="66" t="s">
        <v>214</v>
      </c>
      <c r="E1058" s="146" t="s">
        <v>210</v>
      </c>
      <c r="F1058" s="576">
        <v>10000</v>
      </c>
      <c r="G1058" s="64">
        <v>5</v>
      </c>
      <c r="H1058" s="64">
        <f>F1058*G1058+25200</f>
        <v>75200</v>
      </c>
      <c r="I1058" s="862">
        <f t="shared" si="37"/>
        <v>75200</v>
      </c>
      <c r="J1058" s="52"/>
      <c r="K1058" s="156"/>
      <c r="L1058" s="383"/>
      <c r="M1058" s="542"/>
      <c r="N1058" s="701">
        <f t="shared" si="36"/>
        <v>-75200</v>
      </c>
      <c r="O1058" s="675"/>
      <c r="P1058" s="675"/>
      <c r="Q1058" s="675"/>
      <c r="R1058" s="675"/>
      <c r="S1058" s="675"/>
      <c r="T1058" s="675"/>
      <c r="U1058" s="675"/>
      <c r="V1058" s="675"/>
      <c r="W1058" s="675"/>
      <c r="X1058" s="675"/>
      <c r="Y1058" s="675"/>
      <c r="Z1058" s="675"/>
      <c r="AA1058" s="675"/>
      <c r="AB1058" s="675"/>
      <c r="AC1058" s="675"/>
      <c r="AD1058" s="675"/>
      <c r="AE1058" s="675"/>
      <c r="AF1058" s="675"/>
      <c r="AG1058" s="675"/>
      <c r="AH1058" s="675"/>
      <c r="AI1058" s="675"/>
      <c r="AJ1058" s="675"/>
      <c r="AK1058" s="658"/>
    </row>
    <row r="1059" spans="1:37" s="53" customFormat="1" ht="15" customHeight="1">
      <c r="B1059" s="315"/>
      <c r="C1059" s="835" t="s">
        <v>958</v>
      </c>
      <c r="D1059" s="122" t="s">
        <v>806</v>
      </c>
      <c r="E1059" s="301" t="s">
        <v>16</v>
      </c>
      <c r="F1059" s="577">
        <v>200000</v>
      </c>
      <c r="G1059" s="65">
        <v>6</v>
      </c>
      <c r="H1059" s="65">
        <f>F1059*G1059</f>
        <v>1200000</v>
      </c>
      <c r="I1059" s="862">
        <f t="shared" si="37"/>
        <v>1200000</v>
      </c>
      <c r="J1059" s="170"/>
      <c r="K1059" s="302"/>
      <c r="L1059" s="393"/>
      <c r="M1059" s="603"/>
      <c r="N1059" s="701">
        <f t="shared" si="36"/>
        <v>-1200000</v>
      </c>
      <c r="O1059" s="677"/>
      <c r="P1059" s="677"/>
      <c r="Q1059" s="677"/>
      <c r="R1059" s="677"/>
      <c r="S1059" s="677"/>
      <c r="T1059" s="675"/>
      <c r="U1059" s="677"/>
      <c r="V1059" s="677"/>
      <c r="W1059" s="677"/>
      <c r="X1059" s="677"/>
      <c r="Y1059" s="677"/>
      <c r="Z1059" s="677"/>
      <c r="AA1059" s="677"/>
      <c r="AB1059" s="677"/>
      <c r="AC1059" s="677"/>
      <c r="AD1059" s="677"/>
      <c r="AE1059" s="677"/>
      <c r="AF1059" s="677"/>
      <c r="AG1059" s="677"/>
      <c r="AH1059" s="677"/>
      <c r="AI1059" s="677"/>
      <c r="AJ1059" s="677"/>
      <c r="AK1059" s="658"/>
    </row>
    <row r="1060" spans="1:37" s="53" customFormat="1" ht="15" customHeight="1">
      <c r="B1060" s="315"/>
      <c r="C1060" s="835" t="s">
        <v>959</v>
      </c>
      <c r="D1060" s="122" t="s">
        <v>805</v>
      </c>
      <c r="E1060" s="301" t="s">
        <v>16</v>
      </c>
      <c r="F1060" s="577">
        <v>120000</v>
      </c>
      <c r="G1060" s="65">
        <v>5</v>
      </c>
      <c r="H1060" s="65">
        <f>F1060*G1060</f>
        <v>600000</v>
      </c>
      <c r="I1060" s="862">
        <f t="shared" si="37"/>
        <v>600000</v>
      </c>
      <c r="J1060" s="170"/>
      <c r="K1060" s="302"/>
      <c r="L1060" s="393"/>
      <c r="M1060" s="603"/>
      <c r="N1060" s="701">
        <f t="shared" si="36"/>
        <v>-600000</v>
      </c>
      <c r="O1060" s="677"/>
      <c r="P1060" s="677"/>
      <c r="Q1060" s="677"/>
      <c r="R1060" s="677"/>
      <c r="S1060" s="677"/>
      <c r="T1060" s="675"/>
      <c r="U1060" s="677"/>
      <c r="V1060" s="677"/>
      <c r="W1060" s="677"/>
      <c r="X1060" s="677"/>
      <c r="Y1060" s="677"/>
      <c r="Z1060" s="677"/>
      <c r="AA1060" s="677"/>
      <c r="AB1060" s="677"/>
      <c r="AC1060" s="677"/>
      <c r="AD1060" s="677"/>
      <c r="AE1060" s="677"/>
      <c r="AF1060" s="677"/>
      <c r="AG1060" s="677"/>
      <c r="AH1060" s="677"/>
      <c r="AI1060" s="677"/>
      <c r="AJ1060" s="677"/>
      <c r="AK1060" s="658"/>
    </row>
    <row r="1061" spans="1:37" s="53" customFormat="1" ht="15" customHeight="1">
      <c r="B1061" s="315"/>
      <c r="C1061" s="835" t="s">
        <v>960</v>
      </c>
      <c r="D1061" s="299" t="s">
        <v>455</v>
      </c>
      <c r="E1061" s="301" t="s">
        <v>16</v>
      </c>
      <c r="F1061" s="577">
        <v>1500000</v>
      </c>
      <c r="G1061" s="65">
        <v>0</v>
      </c>
      <c r="H1061" s="653">
        <v>0</v>
      </c>
      <c r="I1061" s="862">
        <f t="shared" si="37"/>
        <v>0</v>
      </c>
      <c r="J1061" s="170"/>
      <c r="K1061" s="302"/>
      <c r="L1061" s="393"/>
      <c r="M1061" s="603"/>
      <c r="N1061" s="701">
        <f t="shared" si="36"/>
        <v>0</v>
      </c>
      <c r="O1061" s="677"/>
      <c r="P1061" s="677"/>
      <c r="Q1061" s="677"/>
      <c r="R1061" s="677"/>
      <c r="S1061" s="677"/>
      <c r="T1061" s="675"/>
      <c r="U1061" s="677"/>
      <c r="V1061" s="677"/>
      <c r="W1061" s="677"/>
      <c r="X1061" s="677"/>
      <c r="Y1061" s="677"/>
      <c r="Z1061" s="677"/>
      <c r="AA1061" s="677"/>
      <c r="AB1061" s="677"/>
      <c r="AC1061" s="677"/>
      <c r="AD1061" s="677"/>
      <c r="AE1061" s="677"/>
      <c r="AF1061" s="677"/>
      <c r="AG1061" s="677"/>
      <c r="AH1061" s="677"/>
      <c r="AI1061" s="677"/>
      <c r="AJ1061" s="677"/>
      <c r="AK1061" s="658"/>
    </row>
    <row r="1062" spans="1:37" s="48" customFormat="1" ht="15" customHeight="1">
      <c r="A1062" s="45"/>
      <c r="B1062" s="314"/>
      <c r="C1062" s="836"/>
      <c r="D1062" s="73"/>
      <c r="E1062" s="71"/>
      <c r="F1062" s="906" t="s">
        <v>215</v>
      </c>
      <c r="G1062" s="906"/>
      <c r="H1062" s="191"/>
      <c r="I1062" s="472">
        <f>SUM(H1052:H1061)</f>
        <v>5942800</v>
      </c>
      <c r="J1062" s="294">
        <f>SUM(G1052:G1061)</f>
        <v>45</v>
      </c>
      <c r="K1062" s="158"/>
      <c r="L1062" s="386"/>
      <c r="M1062" s="593"/>
      <c r="N1062" s="701">
        <f t="shared" si="36"/>
        <v>0</v>
      </c>
      <c r="O1062" s="676"/>
      <c r="P1062" s="676"/>
      <c r="Q1062" s="676"/>
      <c r="R1062" s="676"/>
      <c r="S1062" s="676"/>
      <c r="T1062" s="676"/>
      <c r="U1062" s="676"/>
      <c r="V1062" s="676"/>
      <c r="W1062" s="676"/>
      <c r="X1062" s="676"/>
      <c r="Y1062" s="676"/>
      <c r="Z1062" s="676"/>
      <c r="AA1062" s="676"/>
      <c r="AB1062" s="676"/>
      <c r="AC1062" s="676"/>
      <c r="AD1062" s="676"/>
      <c r="AE1062" s="676"/>
      <c r="AF1062" s="676"/>
      <c r="AG1062" s="676"/>
      <c r="AH1062" s="676"/>
      <c r="AI1062" s="676"/>
      <c r="AJ1062" s="676"/>
      <c r="AK1062" s="658"/>
    </row>
    <row r="1063" spans="1:37" s="53" customFormat="1" ht="30" customHeight="1">
      <c r="A1063" s="5"/>
      <c r="B1063" s="309"/>
      <c r="C1063" s="832"/>
      <c r="D1063" s="49"/>
      <c r="E1063" s="9"/>
      <c r="F1063" s="8"/>
      <c r="G1063" s="8"/>
      <c r="H1063" s="50"/>
      <c r="I1063" s="51"/>
      <c r="J1063" s="51"/>
      <c r="K1063" s="156"/>
      <c r="L1063" s="383"/>
      <c r="M1063" s="542"/>
      <c r="N1063" s="701">
        <f t="shared" si="36"/>
        <v>0</v>
      </c>
      <c r="O1063" s="677"/>
      <c r="P1063" s="677"/>
      <c r="Q1063" s="677"/>
      <c r="R1063" s="677"/>
      <c r="S1063" s="677"/>
      <c r="T1063" s="677"/>
      <c r="U1063" s="677"/>
      <c r="V1063" s="677"/>
      <c r="W1063" s="677"/>
      <c r="X1063" s="677"/>
      <c r="Y1063" s="677"/>
      <c r="Z1063" s="677"/>
      <c r="AA1063" s="677"/>
      <c r="AB1063" s="677"/>
      <c r="AC1063" s="677"/>
      <c r="AD1063" s="677"/>
      <c r="AE1063" s="677"/>
      <c r="AF1063" s="677"/>
      <c r="AG1063" s="677"/>
      <c r="AH1063" s="677"/>
      <c r="AI1063" s="677"/>
      <c r="AJ1063" s="677"/>
      <c r="AK1063" s="658"/>
    </row>
    <row r="1064" spans="1:37" s="48" customFormat="1" ht="15" customHeight="1">
      <c r="A1064" s="45"/>
      <c r="B1064" s="312"/>
      <c r="C1064" s="834"/>
      <c r="D1064" s="284" t="s">
        <v>216</v>
      </c>
      <c r="E1064" s="263" t="s">
        <v>13</v>
      </c>
      <c r="F1064" s="264" t="s">
        <v>14</v>
      </c>
      <c r="G1064" s="265" t="s">
        <v>15</v>
      </c>
      <c r="H1064" s="266" t="s">
        <v>8</v>
      </c>
      <c r="I1064" s="863" t="s">
        <v>967</v>
      </c>
      <c r="J1064" s="292"/>
      <c r="K1064" s="158"/>
      <c r="L1064" s="386"/>
      <c r="M1064" s="593"/>
      <c r="N1064" s="701"/>
      <c r="O1064" s="676"/>
      <c r="P1064" s="676"/>
      <c r="Q1064" s="676"/>
      <c r="R1064" s="676"/>
      <c r="S1064" s="676"/>
      <c r="T1064" s="676"/>
      <c r="U1064" s="676"/>
      <c r="V1064" s="676"/>
      <c r="W1064" s="676"/>
      <c r="X1064" s="676"/>
      <c r="Y1064" s="676"/>
      <c r="Z1064" s="676"/>
      <c r="AA1064" s="676"/>
      <c r="AB1064" s="676"/>
      <c r="AC1064" s="676"/>
      <c r="AD1064" s="676"/>
      <c r="AE1064" s="676"/>
      <c r="AF1064" s="676"/>
      <c r="AG1064" s="676"/>
      <c r="AH1064" s="676"/>
      <c r="AI1064" s="676"/>
      <c r="AJ1064" s="676"/>
      <c r="AK1064" s="658"/>
    </row>
    <row r="1065" spans="1:37" s="104" customFormat="1" ht="15" customHeight="1">
      <c r="B1065" s="313"/>
      <c r="C1065" s="835" t="s">
        <v>961</v>
      </c>
      <c r="D1065" s="268" t="s">
        <v>440</v>
      </c>
      <c r="E1065" s="269"/>
      <c r="F1065" s="270"/>
      <c r="G1065" s="270"/>
      <c r="H1065" s="269"/>
      <c r="I1065" s="270"/>
      <c r="J1065" s="145"/>
      <c r="K1065" s="156"/>
      <c r="L1065" s="383"/>
      <c r="M1065" s="542"/>
      <c r="N1065" s="701">
        <f t="shared" ref="N1065:N1071" si="38">SUM(O1065:AJ1065)-H1065</f>
        <v>0</v>
      </c>
      <c r="O1065" s="688"/>
      <c r="P1065" s="688"/>
      <c r="Q1065" s="688"/>
      <c r="R1065" s="688"/>
      <c r="S1065" s="688"/>
      <c r="T1065" s="688"/>
      <c r="U1065" s="688"/>
      <c r="V1065" s="688"/>
      <c r="W1065" s="688"/>
      <c r="X1065" s="688"/>
      <c r="Y1065" s="688"/>
      <c r="Z1065" s="688"/>
      <c r="AA1065" s="688"/>
      <c r="AB1065" s="688"/>
      <c r="AC1065" s="688"/>
      <c r="AD1065" s="688"/>
      <c r="AE1065" s="688"/>
      <c r="AF1065" s="688"/>
      <c r="AG1065" s="688"/>
      <c r="AH1065" s="688"/>
      <c r="AI1065" s="688"/>
      <c r="AJ1065" s="688"/>
      <c r="AK1065" s="658"/>
    </row>
    <row r="1066" spans="1:37" s="543" customFormat="1" ht="15" customHeight="1">
      <c r="A1066" s="532"/>
      <c r="B1066" s="533"/>
      <c r="C1066" s="835"/>
      <c r="D1066" s="574" t="s">
        <v>201</v>
      </c>
      <c r="E1066" s="772" t="s">
        <v>16</v>
      </c>
      <c r="F1066" s="773">
        <v>3500000</v>
      </c>
      <c r="G1066" s="774">
        <v>1</v>
      </c>
      <c r="H1066" s="575">
        <f>F1066*G1066:G1066+105000</f>
        <v>3605000</v>
      </c>
      <c r="I1066" s="864">
        <f>H1066-O1066-P1066-Q1066-R1066-S1066-T1066-U1066-V1066-W1066-X1066-Y1066-Z1066-AA1066-AB1066-AC1066-AD1066-AE1066-AF1066-AG1066-AH1066-AI1066-AJ1066</f>
        <v>3605000</v>
      </c>
      <c r="J1066" s="547"/>
      <c r="K1066" s="540"/>
      <c r="L1066" s="541"/>
      <c r="M1066" s="542"/>
      <c r="N1066" s="753">
        <f t="shared" si="38"/>
        <v>-3605000</v>
      </c>
      <c r="O1066" s="687"/>
      <c r="P1066" s="687"/>
      <c r="Q1066" s="687"/>
      <c r="R1066" s="687"/>
      <c r="S1066" s="687"/>
      <c r="T1066" s="687"/>
      <c r="U1066" s="687"/>
      <c r="V1066" s="687"/>
      <c r="W1066" s="687"/>
      <c r="X1066" s="687"/>
      <c r="Y1066" s="687"/>
      <c r="Z1066" s="687"/>
      <c r="AA1066" s="687"/>
      <c r="AB1066" s="687"/>
      <c r="AC1066" s="687"/>
      <c r="AD1066" s="687"/>
      <c r="AE1066" s="687"/>
      <c r="AF1066" s="687"/>
      <c r="AG1066" s="687"/>
      <c r="AH1066" s="687"/>
      <c r="AI1066" s="687"/>
      <c r="AJ1066" s="687"/>
      <c r="AK1066" s="750"/>
    </row>
    <row r="1067" spans="1:37" s="543" customFormat="1" ht="15" customHeight="1">
      <c r="A1067" s="532"/>
      <c r="B1067" s="533"/>
      <c r="C1067" s="835"/>
      <c r="D1067" s="776" t="s">
        <v>511</v>
      </c>
      <c r="E1067" s="777"/>
      <c r="F1067" s="778"/>
      <c r="G1067" s="774"/>
      <c r="H1067" s="575">
        <f>+H1066/2</f>
        <v>1802500</v>
      </c>
      <c r="I1067" s="864">
        <f>H1067-O1067-P1067-Q1067-R1067-S1067-T1067-U1067-V1067-W1067-X1067-Y1067-Z1067-AA1067-AB1067-AC1067-AD1067-AE1067-AF1067-AG1067-AH1067-AI1067-AJ1067</f>
        <v>1802500</v>
      </c>
      <c r="J1067" s="547"/>
      <c r="K1067" s="540"/>
      <c r="L1067" s="541"/>
      <c r="M1067" s="542"/>
      <c r="N1067" s="753">
        <f t="shared" si="38"/>
        <v>-1802500</v>
      </c>
      <c r="O1067" s="687"/>
      <c r="P1067" s="687"/>
      <c r="Q1067" s="687"/>
      <c r="R1067" s="687"/>
      <c r="S1067" s="687"/>
      <c r="T1067" s="687"/>
      <c r="U1067" s="687"/>
      <c r="W1067" s="687"/>
      <c r="X1067" s="687"/>
      <c r="Y1067" s="687"/>
      <c r="Z1067" s="687"/>
      <c r="AA1067" s="687"/>
      <c r="AB1067" s="687"/>
      <c r="AC1067" s="687"/>
      <c r="AD1067" s="687"/>
      <c r="AE1067" s="687"/>
      <c r="AF1067" s="687"/>
      <c r="AG1067" s="687"/>
      <c r="AH1067" s="687"/>
      <c r="AI1067" s="687"/>
      <c r="AJ1067" s="687"/>
      <c r="AK1067" s="750"/>
    </row>
    <row r="1068" spans="1:37" s="532" customFormat="1" ht="15" customHeight="1">
      <c r="B1068" s="533"/>
      <c r="C1068" s="835"/>
      <c r="D1068" s="779" t="s">
        <v>217</v>
      </c>
      <c r="E1068" s="756" t="s">
        <v>16</v>
      </c>
      <c r="F1068" s="757">
        <v>180000</v>
      </c>
      <c r="G1068" s="537">
        <v>1</v>
      </c>
      <c r="H1068" s="537">
        <f>F1068*G1068+5250</f>
        <v>185250</v>
      </c>
      <c r="I1068" s="864">
        <f>H1068-O1068-P1068-Q1068-R1068-S1068-T1068-U1068-V1068-W1068-X1068-Y1068-Z1068-AA1068-AB1068-AC1068-AD1068-AE1068-AF1068-AG1068-AH1068-AI1068-AJ1068</f>
        <v>185250</v>
      </c>
      <c r="J1068" s="547"/>
      <c r="K1068" s="540"/>
      <c r="L1068" s="541"/>
      <c r="M1068" s="542"/>
      <c r="N1068" s="753">
        <f t="shared" si="38"/>
        <v>-185250</v>
      </c>
      <c r="O1068" s="690"/>
      <c r="P1068" s="690"/>
      <c r="Q1068" s="690"/>
      <c r="R1068" s="690"/>
      <c r="S1068" s="690"/>
      <c r="T1068" s="690"/>
      <c r="U1068" s="690"/>
      <c r="V1068" s="690"/>
      <c r="W1068" s="690"/>
      <c r="X1068" s="690"/>
      <c r="Y1068" s="690"/>
      <c r="Z1068" s="690"/>
      <c r="AA1068" s="690"/>
      <c r="AB1068" s="690"/>
      <c r="AC1068" s="690"/>
      <c r="AD1068" s="690"/>
      <c r="AE1068" s="690"/>
      <c r="AF1068" s="690"/>
      <c r="AG1068" s="690"/>
      <c r="AH1068" s="690"/>
      <c r="AI1068" s="690"/>
      <c r="AJ1068" s="690"/>
      <c r="AK1068" s="750"/>
    </row>
    <row r="1069" spans="1:37" s="532" customFormat="1" ht="15" customHeight="1">
      <c r="B1069" s="533"/>
      <c r="C1069" s="835" t="s">
        <v>962</v>
      </c>
      <c r="D1069" s="779" t="s">
        <v>518</v>
      </c>
      <c r="E1069" s="780" t="s">
        <v>16</v>
      </c>
      <c r="F1069" s="537"/>
      <c r="G1069" s="781"/>
      <c r="H1069" s="537">
        <f>+'PROTOCOLO COVID'!D10</f>
        <v>1495000</v>
      </c>
      <c r="I1069" s="864">
        <f>H1069-O1069-P1069-Q1069-R1069-S1069-T1069-U1069-V1069-W1069-X1069-Y1069-Z1069-AA1069-AB1069-AC1069-AD1069-AE1069-AF1069-AG1069-AH1069-AI1069-AJ1069</f>
        <v>1495000</v>
      </c>
      <c r="J1069" s="547"/>
      <c r="K1069" s="540"/>
      <c r="L1069" s="541"/>
      <c r="M1069" s="542"/>
      <c r="N1069" s="753">
        <f t="shared" si="38"/>
        <v>-1495000</v>
      </c>
      <c r="O1069" s="690"/>
      <c r="P1069" s="690"/>
      <c r="Q1069" s="690"/>
      <c r="R1069" s="690"/>
      <c r="S1069" s="690"/>
      <c r="T1069" s="690"/>
      <c r="U1069" s="690"/>
      <c r="V1069" s="690"/>
      <c r="W1069" s="690"/>
      <c r="X1069" s="690"/>
      <c r="Y1069" s="690"/>
      <c r="Z1069" s="690"/>
      <c r="AA1069" s="690"/>
      <c r="AB1069" s="690"/>
      <c r="AC1069" s="690"/>
      <c r="AD1069" s="690"/>
      <c r="AE1069" s="690"/>
      <c r="AF1069" s="690"/>
      <c r="AG1069" s="690"/>
      <c r="AH1069" s="690"/>
      <c r="AI1069" s="690"/>
      <c r="AJ1069" s="690"/>
      <c r="AK1069" s="750"/>
    </row>
    <row r="1070" spans="1:37" s="48" customFormat="1" ht="15" customHeight="1">
      <c r="A1070" s="45"/>
      <c r="B1070" s="314"/>
      <c r="C1070" s="836"/>
      <c r="D1070" s="73"/>
      <c r="E1070" s="71"/>
      <c r="F1070" s="906" t="s">
        <v>218</v>
      </c>
      <c r="G1070" s="906"/>
      <c r="H1070" s="191"/>
      <c r="I1070" s="472">
        <f>SUM(H1066:H1069)</f>
        <v>7087750</v>
      </c>
      <c r="J1070" s="294">
        <v>6</v>
      </c>
      <c r="K1070" s="158"/>
      <c r="L1070" s="386"/>
      <c r="M1070" s="593"/>
      <c r="N1070" s="701">
        <f t="shared" si="38"/>
        <v>0</v>
      </c>
      <c r="O1070" s="676"/>
      <c r="P1070" s="676"/>
      <c r="Q1070" s="676"/>
      <c r="R1070" s="676"/>
      <c r="S1070" s="676"/>
      <c r="T1070" s="676"/>
      <c r="U1070" s="676"/>
      <c r="V1070" s="676"/>
      <c r="W1070" s="676"/>
      <c r="X1070" s="676"/>
      <c r="Y1070" s="676"/>
      <c r="Z1070" s="676"/>
      <c r="AA1070" s="676"/>
      <c r="AB1070" s="676"/>
      <c r="AC1070" s="676"/>
      <c r="AD1070" s="676"/>
      <c r="AE1070" s="676"/>
      <c r="AF1070" s="676"/>
      <c r="AG1070" s="676"/>
      <c r="AH1070" s="676"/>
      <c r="AI1070" s="676"/>
      <c r="AJ1070" s="676"/>
      <c r="AK1070" s="658"/>
    </row>
    <row r="1071" spans="1:37" s="53" customFormat="1" ht="30" customHeight="1">
      <c r="A1071" s="5"/>
      <c r="B1071" s="309"/>
      <c r="C1071" s="832"/>
      <c r="D1071" s="49"/>
      <c r="E1071" s="9"/>
      <c r="F1071" s="8"/>
      <c r="G1071" s="8"/>
      <c r="H1071" s="50"/>
      <c r="I1071" s="51"/>
      <c r="J1071" s="51"/>
      <c r="K1071" s="156"/>
      <c r="L1071" s="383"/>
      <c r="M1071" s="542"/>
      <c r="N1071" s="701">
        <f t="shared" si="38"/>
        <v>0</v>
      </c>
      <c r="O1071" s="677"/>
      <c r="P1071" s="677"/>
      <c r="Q1071" s="677"/>
      <c r="R1071" s="677"/>
      <c r="S1071" s="677"/>
      <c r="T1071" s="677"/>
      <c r="U1071" s="677"/>
      <c r="V1071" s="677"/>
      <c r="W1071" s="677"/>
      <c r="X1071" s="677"/>
      <c r="Y1071" s="677"/>
      <c r="Z1071" s="677"/>
      <c r="AA1071" s="677"/>
      <c r="AB1071" s="677"/>
      <c r="AC1071" s="677"/>
      <c r="AD1071" s="677"/>
      <c r="AE1071" s="677"/>
      <c r="AF1071" s="677"/>
      <c r="AG1071" s="677"/>
      <c r="AH1071" s="677"/>
      <c r="AI1071" s="677"/>
      <c r="AJ1071" s="677"/>
      <c r="AK1071" s="658"/>
    </row>
    <row r="1072" spans="1:37" s="48" customFormat="1" ht="15" customHeight="1">
      <c r="A1072" s="45"/>
      <c r="B1072" s="312"/>
      <c r="C1072" s="834"/>
      <c r="D1072" s="33" t="s">
        <v>219</v>
      </c>
      <c r="E1072" s="56" t="s">
        <v>13</v>
      </c>
      <c r="F1072" s="57" t="s">
        <v>14</v>
      </c>
      <c r="G1072" s="860" t="s">
        <v>15</v>
      </c>
      <c r="H1072" s="192" t="s">
        <v>8</v>
      </c>
      <c r="I1072" s="861" t="s">
        <v>967</v>
      </c>
      <c r="J1072" s="292"/>
      <c r="K1072" s="158"/>
      <c r="L1072" s="386"/>
      <c r="M1072" s="593"/>
      <c r="N1072" s="701"/>
      <c r="O1072" s="676"/>
      <c r="P1072" s="676"/>
      <c r="Q1072" s="676"/>
      <c r="R1072" s="676"/>
      <c r="S1072" s="676"/>
      <c r="T1072" s="676"/>
      <c r="U1072" s="676"/>
      <c r="V1072" s="676"/>
      <c r="W1072" s="676"/>
      <c r="X1072" s="676"/>
      <c r="Y1072" s="676"/>
      <c r="Z1072" s="676"/>
      <c r="AA1072" s="676"/>
      <c r="AB1072" s="676"/>
      <c r="AC1072" s="676"/>
      <c r="AD1072" s="676"/>
      <c r="AE1072" s="676"/>
      <c r="AF1072" s="676"/>
      <c r="AG1072" s="676"/>
      <c r="AH1072" s="676"/>
      <c r="AI1072" s="676"/>
      <c r="AJ1072" s="676"/>
      <c r="AK1072" s="658"/>
    </row>
    <row r="1073" spans="1:37" ht="15" customHeight="1">
      <c r="A1073" s="5"/>
      <c r="B1073" s="313"/>
      <c r="C1073" s="851" t="s">
        <v>963</v>
      </c>
      <c r="D1073" s="66" t="s">
        <v>328</v>
      </c>
      <c r="E1073" s="67" t="s">
        <v>27</v>
      </c>
      <c r="F1073" s="253">
        <v>25000</v>
      </c>
      <c r="G1073" s="527">
        <v>30</v>
      </c>
      <c r="H1073" s="64">
        <f>G1073*F1073</f>
        <v>750000</v>
      </c>
      <c r="I1073" s="862">
        <f>H1073-O1073-P1073-Q1073-R1073-S1073-T1073-U1073-V1073-W1073-X1073-Y1073-Z1073-AA1073-AB1073-AC1073-AD1073-AE1073-AF1073-AG1073-AH1073-AI1073-AJ1073</f>
        <v>750000</v>
      </c>
      <c r="J1073" s="52"/>
      <c r="K1073" s="156"/>
      <c r="L1073" s="383"/>
      <c r="M1073" s="542"/>
      <c r="N1073" s="701">
        <f>SUM(O1073:AJ1073)-H1073</f>
        <v>-750000</v>
      </c>
      <c r="O1073" s="675"/>
      <c r="P1073" s="675"/>
      <c r="Q1073" s="675"/>
      <c r="R1073" s="675"/>
      <c r="S1073" s="675"/>
      <c r="T1073" s="675"/>
      <c r="U1073" s="675"/>
      <c r="V1073" s="675"/>
      <c r="W1073" s="675"/>
      <c r="X1073" s="675"/>
      <c r="Y1073" s="675"/>
      <c r="Z1073" s="675"/>
      <c r="AA1073" s="675"/>
      <c r="AB1073" s="675"/>
      <c r="AC1073" s="675"/>
      <c r="AD1073" s="675"/>
      <c r="AE1073" s="675"/>
      <c r="AF1073" s="675"/>
      <c r="AG1073" s="675"/>
      <c r="AH1073" s="675"/>
      <c r="AI1073" s="675"/>
      <c r="AJ1073" s="675"/>
      <c r="AK1073" s="658"/>
    </row>
    <row r="1074" spans="1:37" ht="15" customHeight="1">
      <c r="A1074" s="5"/>
      <c r="B1074" s="313"/>
      <c r="C1074" s="851" t="s">
        <v>964</v>
      </c>
      <c r="D1074" s="66" t="s">
        <v>441</v>
      </c>
      <c r="E1074" s="67" t="s">
        <v>329</v>
      </c>
      <c r="F1074" s="124">
        <v>8500</v>
      </c>
      <c r="G1074" s="64">
        <v>55</v>
      </c>
      <c r="H1074" s="64">
        <f>F1074*G1074</f>
        <v>467500</v>
      </c>
      <c r="I1074" s="862">
        <f>H1074-O1074-P1074-Q1074-R1074-S1074-T1074-U1074-V1074-W1074-X1074-Y1074-Z1074-AA1074-AB1074-AC1074-AD1074-AE1074-AF1074-AG1074-AH1074-AI1074-AJ1074</f>
        <v>467500</v>
      </c>
      <c r="J1074" s="52"/>
      <c r="K1074" s="156"/>
      <c r="L1074" s="383"/>
      <c r="M1074" s="542"/>
      <c r="N1074" s="701">
        <f>SUM(O1074:AJ1074)-H1074</f>
        <v>-467500</v>
      </c>
      <c r="O1074" s="675"/>
      <c r="P1074" s="675"/>
      <c r="Q1074" s="675"/>
      <c r="R1074" s="675"/>
      <c r="S1074" s="675"/>
      <c r="T1074" s="675"/>
      <c r="U1074" s="675"/>
      <c r="V1074" s="675"/>
      <c r="W1074" s="675"/>
      <c r="X1074" s="675"/>
      <c r="Y1074" s="675"/>
      <c r="Z1074" s="675"/>
      <c r="AA1074" s="675"/>
      <c r="AB1074" s="675"/>
      <c r="AC1074" s="675"/>
      <c r="AD1074" s="675"/>
      <c r="AE1074" s="675"/>
      <c r="AF1074" s="675"/>
      <c r="AG1074" s="675"/>
      <c r="AH1074" s="675"/>
      <c r="AI1074" s="675"/>
      <c r="AJ1074" s="675"/>
      <c r="AK1074" s="658"/>
    </row>
    <row r="1075" spans="1:37" ht="15" customHeight="1">
      <c r="A1075" s="5"/>
      <c r="B1075" s="313"/>
      <c r="C1075" s="851" t="s">
        <v>965</v>
      </c>
      <c r="D1075" s="66" t="s">
        <v>839</v>
      </c>
      <c r="E1075" s="67" t="s">
        <v>329</v>
      </c>
      <c r="F1075" s="124">
        <v>15000</v>
      </c>
      <c r="G1075" s="64">
        <v>30</v>
      </c>
      <c r="H1075" s="64">
        <f>F1075*G1075</f>
        <v>450000</v>
      </c>
      <c r="I1075" s="862">
        <f>H1075-O1075-P1075-Q1075-R1075-S1075-T1075-U1075-V1075-W1075-X1075-Y1075-Z1075-AA1075-AB1075-AC1075-AD1075-AE1075-AF1075-AG1075-AH1075-AI1075-AJ1075</f>
        <v>450000</v>
      </c>
      <c r="J1075" s="52"/>
      <c r="K1075" s="156"/>
      <c r="L1075" s="383"/>
      <c r="M1075" s="542"/>
      <c r="N1075" s="701">
        <f>SUM(O1075:AJ1075)-H1075</f>
        <v>-450000</v>
      </c>
      <c r="O1075" s="675"/>
      <c r="P1075" s="675"/>
      <c r="Q1075" s="675"/>
      <c r="R1075" s="675"/>
      <c r="S1075" s="675"/>
      <c r="T1075" s="675"/>
      <c r="U1075" s="675"/>
      <c r="V1075" s="675"/>
      <c r="W1075" s="675"/>
      <c r="X1075" s="675"/>
      <c r="Y1075" s="675"/>
      <c r="Z1075" s="675"/>
      <c r="AA1075" s="675"/>
      <c r="AB1075" s="675"/>
      <c r="AC1075" s="675"/>
      <c r="AD1075" s="675"/>
      <c r="AE1075" s="675"/>
      <c r="AF1075" s="675"/>
      <c r="AG1075" s="675"/>
      <c r="AH1075" s="675"/>
      <c r="AI1075" s="675"/>
      <c r="AJ1075" s="675"/>
      <c r="AK1075" s="658"/>
    </row>
    <row r="1076" spans="1:37" ht="15" customHeight="1">
      <c r="A1076" s="5"/>
      <c r="B1076" s="313"/>
      <c r="C1076" s="851" t="s">
        <v>966</v>
      </c>
      <c r="D1076" s="105" t="s">
        <v>220</v>
      </c>
      <c r="E1076" s="259" t="s">
        <v>16</v>
      </c>
      <c r="F1076" s="257">
        <v>10000</v>
      </c>
      <c r="G1076" s="90">
        <v>5</v>
      </c>
      <c r="H1076" s="64">
        <f>F1076*G1076</f>
        <v>50000</v>
      </c>
      <c r="I1076" s="862">
        <f>H1076-O1076-P1076-Q1076-R1076-S1076-T1076-U1076-V1076-W1076-X1076-Y1076-Z1076-AA1076-AB1076-AC1076-AD1076-AE1076-AF1076-AG1076-AH1076-AI1076-AJ1076</f>
        <v>50000</v>
      </c>
      <c r="J1076" s="52"/>
      <c r="K1076" s="156"/>
      <c r="L1076" s="383"/>
      <c r="M1076" s="542"/>
      <c r="N1076" s="701">
        <f>SUM(O1076:AJ1076)-H1076</f>
        <v>-50000</v>
      </c>
      <c r="O1076" s="675"/>
      <c r="P1076" s="675"/>
      <c r="Q1076" s="675"/>
      <c r="R1076" s="675"/>
      <c r="S1076" s="675"/>
      <c r="T1076" s="675"/>
      <c r="U1076" s="675"/>
      <c r="V1076" s="675"/>
      <c r="W1076" s="675"/>
      <c r="X1076" s="675"/>
      <c r="Y1076" s="675"/>
      <c r="Z1076" s="675"/>
      <c r="AA1076" s="675"/>
      <c r="AB1076" s="675"/>
      <c r="AC1076" s="675"/>
      <c r="AD1076" s="675"/>
      <c r="AE1076" s="675"/>
      <c r="AF1076" s="675"/>
      <c r="AG1076" s="675"/>
      <c r="AH1076" s="675"/>
      <c r="AI1076" s="675"/>
      <c r="AJ1076" s="675"/>
      <c r="AK1076" s="658"/>
    </row>
    <row r="1077" spans="1:37" ht="15" customHeight="1">
      <c r="A1077" s="5"/>
      <c r="B1077" s="313"/>
      <c r="C1077" s="835"/>
      <c r="D1077" s="258"/>
      <c r="E1077" s="259"/>
      <c r="F1077" s="257"/>
      <c r="G1077" s="90"/>
      <c r="H1077" s="62"/>
      <c r="I1077" s="862">
        <f>H1077-O1077-P1077-Q1077-R1077-S1077-T1077-U1077-V1077-W1077-X1077-Y1077-Z1077-AA1077-AB1077-AC1077-AD1077-AE1077-AF1077-AG1077-AH1077-AI1077-AJ1077</f>
        <v>0</v>
      </c>
      <c r="J1077" s="52"/>
      <c r="K1077" s="156"/>
      <c r="L1077" s="383"/>
      <c r="M1077" s="542"/>
      <c r="N1077" s="701"/>
      <c r="O1077" s="675"/>
      <c r="P1077" s="675"/>
      <c r="Q1077" s="675"/>
      <c r="R1077" s="675"/>
      <c r="S1077" s="675"/>
      <c r="T1077" s="675"/>
      <c r="U1077" s="675"/>
      <c r="V1077" s="675"/>
      <c r="W1077" s="675"/>
      <c r="X1077" s="675"/>
      <c r="Y1077" s="675"/>
      <c r="Z1077" s="675"/>
      <c r="AA1077" s="675"/>
      <c r="AB1077" s="675"/>
      <c r="AC1077" s="675"/>
      <c r="AD1077" s="675"/>
      <c r="AE1077" s="675"/>
      <c r="AF1077" s="675"/>
      <c r="AG1077" s="675"/>
      <c r="AH1077" s="675"/>
      <c r="AI1077" s="675"/>
      <c r="AJ1077" s="675"/>
      <c r="AK1077" s="658"/>
    </row>
    <row r="1078" spans="1:37" s="48" customFormat="1" ht="15" customHeight="1">
      <c r="A1078" s="45"/>
      <c r="B1078" s="314"/>
      <c r="C1078" s="836"/>
      <c r="D1078" s="73"/>
      <c r="E1078" s="71"/>
      <c r="F1078" s="906" t="s">
        <v>221</v>
      </c>
      <c r="G1078" s="906"/>
      <c r="H1078" s="191"/>
      <c r="I1078" s="472">
        <f>SUM(H1073:H1076)</f>
        <v>1717500</v>
      </c>
      <c r="J1078" s="294">
        <v>10</v>
      </c>
      <c r="K1078" s="158"/>
      <c r="L1078" s="386"/>
      <c r="M1078" s="593"/>
      <c r="N1078" s="701"/>
      <c r="O1078" s="676"/>
      <c r="P1078" s="676"/>
      <c r="Q1078" s="676"/>
      <c r="R1078" s="676"/>
      <c r="S1078" s="676"/>
      <c r="T1078" s="676"/>
      <c r="U1078" s="676"/>
      <c r="V1078" s="676"/>
      <c r="W1078" s="676"/>
      <c r="X1078" s="676"/>
      <c r="Y1078" s="676"/>
      <c r="Z1078" s="676"/>
      <c r="AA1078" s="676"/>
      <c r="AB1078" s="676"/>
      <c r="AC1078" s="676"/>
      <c r="AD1078" s="676"/>
      <c r="AE1078" s="676"/>
      <c r="AF1078" s="676"/>
      <c r="AG1078" s="676"/>
      <c r="AH1078" s="676"/>
      <c r="AI1078" s="676"/>
      <c r="AJ1078" s="676"/>
      <c r="AK1078" s="658"/>
    </row>
    <row r="1079" spans="1:37" ht="15.75" customHeight="1" thickBot="1">
      <c r="A1079" s="5"/>
      <c r="B1079" s="320"/>
      <c r="C1079" s="854"/>
      <c r="D1079" s="148"/>
      <c r="E1079" s="149"/>
      <c r="F1079" s="148"/>
      <c r="G1079" s="148"/>
      <c r="H1079" s="148"/>
      <c r="I1079" s="150"/>
      <c r="J1079" s="150"/>
      <c r="K1079" s="159"/>
      <c r="L1079" s="394"/>
      <c r="M1079" s="604"/>
      <c r="N1079" s="701"/>
      <c r="O1079" s="675"/>
      <c r="P1079" s="675"/>
      <c r="Q1079" s="675"/>
      <c r="R1079" s="675"/>
      <c r="S1079" s="675"/>
      <c r="T1079" s="675"/>
      <c r="U1079" s="675"/>
      <c r="V1079" s="675"/>
      <c r="W1079" s="675"/>
      <c r="X1079" s="675"/>
      <c r="Y1079" s="675"/>
      <c r="Z1079" s="675"/>
      <c r="AA1079" s="675"/>
      <c r="AB1079" s="675"/>
      <c r="AC1079" s="675"/>
      <c r="AD1079" s="675"/>
      <c r="AE1079" s="675"/>
      <c r="AF1079" s="675"/>
      <c r="AG1079" s="675"/>
      <c r="AH1079" s="675"/>
      <c r="AI1079" s="675"/>
      <c r="AJ1079" s="675"/>
      <c r="AK1079" s="658"/>
    </row>
    <row r="1080" spans="1:37" ht="23" customHeight="1" thickTop="1" thickBot="1">
      <c r="A1080" s="532"/>
      <c r="B1080" s="640"/>
      <c r="C1080" s="855"/>
      <c r="D1080" s="641"/>
      <c r="E1080" s="639"/>
      <c r="F1080" s="641"/>
      <c r="G1080" s="641"/>
      <c r="H1080" s="1"/>
      <c r="I1080" s="1"/>
      <c r="J1080" s="586">
        <f>SUM(J3:J1078)</f>
        <v>2635.7482333333332</v>
      </c>
      <c r="K1080" s="155"/>
      <c r="L1080" s="395"/>
      <c r="M1080" s="605"/>
      <c r="N1080" s="701"/>
      <c r="AK1080" s="658"/>
    </row>
    <row r="1081" spans="1:37" ht="17" thickBot="1">
      <c r="A1081" s="543"/>
      <c r="B1081" s="642"/>
      <c r="C1081" s="856"/>
      <c r="D1081" s="643"/>
      <c r="E1081" s="644"/>
      <c r="F1081" s="643"/>
      <c r="G1081" s="645"/>
      <c r="H1081" s="307" t="s">
        <v>8</v>
      </c>
      <c r="I1081" s="307">
        <f>SUM(I1078+I1070+I1062+I1049+I1039+I1031+I999+I994+I864+I815+I804+I772+I765+I755+I750+I720+I714+I709+I700+I682+I672+I622+I30+I23+I17)</f>
        <v>179969869.13973367</v>
      </c>
      <c r="J1081" s="587">
        <f>+J1080*108.66</f>
        <v>286400.40303399996</v>
      </c>
      <c r="L1081" s="395"/>
      <c r="M1081" s="605"/>
      <c r="N1081" s="701">
        <f>SUM(O1081:AJ1081)-I1081</f>
        <v>-179969869.13973367</v>
      </c>
      <c r="O1081" s="795"/>
      <c r="P1081" s="795"/>
      <c r="Q1081" s="795"/>
      <c r="R1081" s="795"/>
      <c r="S1081" s="795"/>
      <c r="T1081" s="795"/>
      <c r="U1081" s="795"/>
      <c r="V1081" s="795"/>
      <c r="W1081" s="795"/>
      <c r="X1081" s="795"/>
      <c r="Y1081" s="795"/>
      <c r="Z1081" s="795"/>
      <c r="AA1081" s="795"/>
      <c r="AB1081" s="795"/>
      <c r="AC1081" s="795"/>
      <c r="AD1081" s="795"/>
      <c r="AE1081" s="795"/>
      <c r="AF1081" s="795"/>
      <c r="AG1081" s="795"/>
      <c r="AH1081" s="795"/>
      <c r="AI1081" s="795"/>
      <c r="AJ1081" s="795"/>
      <c r="AK1081" s="658"/>
    </row>
    <row r="1082" spans="1:37" hidden="1">
      <c r="A1082" s="532"/>
      <c r="B1082" s="640"/>
      <c r="C1082" s="855"/>
      <c r="D1082" s="641"/>
      <c r="E1082" s="639"/>
      <c r="F1082" s="641"/>
      <c r="G1082" s="641"/>
      <c r="J1082" s="4">
        <f>+J1081/I1081</f>
        <v>1.5913797370804921E-3</v>
      </c>
      <c r="L1082" s="395"/>
      <c r="M1082" s="605"/>
      <c r="N1082" s="701"/>
      <c r="AK1082" s="658"/>
    </row>
    <row r="1083" spans="1:37" ht="14" hidden="1">
      <c r="A1083" s="543"/>
      <c r="B1083" s="642"/>
      <c r="C1083" s="856"/>
      <c r="D1083" s="643"/>
      <c r="E1083" s="644"/>
      <c r="F1083" s="643"/>
      <c r="G1083" s="645"/>
      <c r="I1083" s="287">
        <f>+I1081*1.2%</f>
        <v>2159638.4296768042</v>
      </c>
      <c r="J1083" s="287"/>
      <c r="L1083" s="395"/>
      <c r="M1083" s="605"/>
      <c r="N1083" s="701"/>
      <c r="AK1083" s="658"/>
    </row>
    <row r="1084" spans="1:37" hidden="1">
      <c r="A1084" s="532"/>
      <c r="B1084" s="640"/>
      <c r="C1084" s="855"/>
      <c r="D1084" s="641"/>
      <c r="E1084" s="639"/>
      <c r="F1084" s="641"/>
      <c r="G1084" s="641"/>
      <c r="I1084" s="287">
        <f>+I1081*1%</f>
        <v>1799698.6913973368</v>
      </c>
      <c r="J1084" s="287"/>
      <c r="L1084" s="395"/>
      <c r="M1084" s="605"/>
      <c r="N1084" s="701"/>
      <c r="AK1084" s="658"/>
    </row>
    <row r="1085" spans="1:37" ht="14" hidden="1">
      <c r="A1085" s="543"/>
      <c r="B1085" s="642"/>
      <c r="C1085" s="856"/>
      <c r="D1085" s="643"/>
      <c r="E1085" s="644"/>
      <c r="F1085" s="643"/>
      <c r="G1085" s="645"/>
      <c r="I1085" s="4" t="e">
        <f>+H1081*0.75/100</f>
        <v>#VALUE!</v>
      </c>
      <c r="L1085" s="395"/>
      <c r="M1085" s="605"/>
      <c r="N1085" s="701"/>
      <c r="AK1085" s="658"/>
    </row>
    <row r="1086" spans="1:37" hidden="1">
      <c r="A1086" s="532"/>
      <c r="B1086" s="640"/>
      <c r="C1086" s="855"/>
      <c r="D1086" s="641"/>
      <c r="E1086" s="639"/>
      <c r="F1086" s="641"/>
      <c r="G1086" s="641"/>
      <c r="L1086" s="395"/>
      <c r="M1086" s="605"/>
      <c r="N1086" s="701"/>
      <c r="AK1086" s="658"/>
    </row>
    <row r="1087" spans="1:37" ht="16">
      <c r="A1087" s="543"/>
      <c r="B1087" s="642"/>
      <c r="C1087" s="856"/>
      <c r="D1087" s="643"/>
      <c r="E1087" s="644"/>
      <c r="F1087" s="798" t="s">
        <v>814</v>
      </c>
      <c r="G1087" s="798"/>
      <c r="H1087" s="801">
        <v>135.75</v>
      </c>
      <c r="I1087" s="802">
        <f>+I1081/H1087</f>
        <v>1325744.8923737288</v>
      </c>
      <c r="J1087" s="646"/>
      <c r="K1087" s="650"/>
      <c r="L1087" s="605"/>
      <c r="M1087" s="605"/>
      <c r="N1087" s="701"/>
      <c r="O1087" s="796"/>
      <c r="P1087" s="904"/>
      <c r="Q1087" s="904"/>
      <c r="R1087" s="904"/>
      <c r="S1087" s="904"/>
      <c r="T1087" s="904"/>
      <c r="U1087" s="904"/>
      <c r="V1087" s="904"/>
      <c r="W1087" s="904"/>
      <c r="X1087" s="904"/>
      <c r="Y1087" s="904"/>
      <c r="Z1087" s="904"/>
      <c r="AA1087" s="904"/>
      <c r="AB1087" s="904"/>
      <c r="AC1087" s="904"/>
      <c r="AD1087" s="904"/>
      <c r="AE1087" s="904"/>
      <c r="AF1087" s="904"/>
      <c r="AG1087" s="904"/>
      <c r="AH1087" s="904"/>
      <c r="AI1087" s="904"/>
      <c r="AJ1087" s="904"/>
      <c r="AK1087" s="658"/>
    </row>
    <row r="1088" spans="1:37" ht="14">
      <c r="A1088" s="532"/>
      <c r="B1088" s="640"/>
      <c r="C1088" s="855"/>
      <c r="D1088" s="641"/>
      <c r="E1088" s="639"/>
      <c r="F1088" s="798" t="s">
        <v>815</v>
      </c>
      <c r="G1088" s="798"/>
      <c r="H1088" s="801">
        <v>304</v>
      </c>
      <c r="I1088" s="803">
        <f>+I1081/H1088</f>
        <v>592006.14848596603</v>
      </c>
      <c r="J1088" s="1"/>
      <c r="K1088" s="1"/>
      <c r="L1088" s="1"/>
      <c r="M1088" s="1"/>
      <c r="N1088" s="1"/>
      <c r="O1088" s="657"/>
      <c r="P1088" s="657"/>
      <c r="Q1088" s="657"/>
      <c r="R1088" s="657"/>
      <c r="S1088" s="657"/>
      <c r="T1088" s="657"/>
      <c r="U1088" s="657"/>
      <c r="V1088" s="657"/>
      <c r="W1088" s="657"/>
      <c r="X1088" s="657"/>
      <c r="Y1088" s="657"/>
      <c r="Z1088" s="657"/>
      <c r="AA1088" s="657"/>
      <c r="AB1088" s="657"/>
      <c r="AC1088" s="657"/>
      <c r="AD1088" s="657"/>
      <c r="AE1088" s="657"/>
      <c r="AF1088" s="657"/>
      <c r="AG1088" s="657"/>
      <c r="AH1088" s="657"/>
      <c r="AI1088" s="657"/>
      <c r="AJ1088" s="657"/>
    </row>
    <row r="1089" spans="1:37">
      <c r="A1089" s="543"/>
      <c r="B1089" s="642"/>
      <c r="C1089" s="856"/>
      <c r="D1089" s="643"/>
      <c r="E1089" s="644"/>
      <c r="F1089" s="798" t="s">
        <v>816</v>
      </c>
      <c r="G1089" s="798"/>
      <c r="H1089" s="801">
        <v>317</v>
      </c>
      <c r="I1089" s="803">
        <f>+I1081/H1089</f>
        <v>567728.29381619452</v>
      </c>
      <c r="J1089" s="1"/>
      <c r="K1089" s="1"/>
      <c r="L1089" s="1"/>
      <c r="M1089" s="1"/>
      <c r="N1089" s="1"/>
      <c r="AF1089" s="658"/>
    </row>
    <row r="1090" spans="1:37">
      <c r="A1090" s="532"/>
      <c r="B1090" s="640"/>
      <c r="C1090" s="855"/>
      <c r="D1090" s="641"/>
      <c r="E1090" s="639"/>
      <c r="F1090" s="641"/>
      <c r="G1090" s="528"/>
      <c r="H1090" s="607"/>
      <c r="I1090" s="701"/>
      <c r="J1090" s="1"/>
      <c r="K1090" s="1"/>
      <c r="L1090" s="1"/>
      <c r="M1090" s="1"/>
      <c r="N1090" s="1"/>
      <c r="AF1090" s="658"/>
    </row>
    <row r="1091" spans="1:37">
      <c r="A1091" s="543"/>
      <c r="B1091" s="642"/>
      <c r="C1091" s="856"/>
      <c r="D1091" s="643"/>
      <c r="E1091" s="644"/>
      <c r="F1091" s="643"/>
      <c r="G1091" s="607"/>
      <c r="H1091" s="606" t="s">
        <v>8</v>
      </c>
      <c r="I1091" s="701"/>
      <c r="J1091" s="1"/>
      <c r="K1091" s="1"/>
      <c r="L1091" s="1"/>
      <c r="M1091" s="1"/>
      <c r="N1091" s="1"/>
      <c r="AF1091" s="658"/>
    </row>
    <row r="1092" spans="1:37" s="53" customFormat="1">
      <c r="A1092" s="532"/>
      <c r="B1092" s="640"/>
      <c r="C1092" s="855"/>
      <c r="D1092" s="641"/>
      <c r="E1092" s="639"/>
      <c r="F1092" s="641"/>
      <c r="G1092" s="641"/>
      <c r="H1092" s="646"/>
      <c r="I1092" s="647"/>
      <c r="J1092" s="647"/>
      <c r="K1092" s="607"/>
      <c r="L1092" s="607"/>
      <c r="M1092" s="606" t="s">
        <v>508</v>
      </c>
      <c r="N1092" s="701"/>
      <c r="AK1092" s="658"/>
    </row>
    <row r="1093" spans="1:37" ht="14">
      <c r="A1093" s="543"/>
      <c r="B1093" s="642"/>
      <c r="C1093" s="856"/>
      <c r="D1093" s="643"/>
      <c r="E1093" s="644"/>
      <c r="F1093" s="643"/>
      <c r="G1093" s="645"/>
      <c r="H1093" s="646"/>
      <c r="I1093" s="647"/>
      <c r="J1093" s="647"/>
      <c r="K1093" s="607"/>
      <c r="L1093" s="607"/>
      <c r="M1093" s="606" t="s">
        <v>8</v>
      </c>
      <c r="N1093" s="701">
        <f t="shared" ref="N1093:N1124" si="39">SUM(O1093:AJ1093)-H1093</f>
        <v>0</v>
      </c>
      <c r="AK1093" s="658"/>
    </row>
    <row r="1094" spans="1:37" hidden="1">
      <c r="A1094" s="532"/>
      <c r="B1094" s="640"/>
      <c r="C1094" s="855"/>
      <c r="D1094" s="641"/>
      <c r="E1094" s="639"/>
      <c r="F1094" s="641"/>
      <c r="G1094" s="641"/>
      <c r="H1094" s="646"/>
      <c r="I1094" s="647"/>
      <c r="J1094" s="647"/>
      <c r="K1094" s="607"/>
      <c r="L1094" s="607"/>
      <c r="M1094" s="608"/>
      <c r="N1094" s="701">
        <f t="shared" si="39"/>
        <v>0</v>
      </c>
      <c r="AK1094" s="658"/>
    </row>
    <row r="1095" spans="1:37" ht="14" hidden="1">
      <c r="A1095" s="543"/>
      <c r="B1095" s="642"/>
      <c r="C1095" s="856"/>
      <c r="D1095" s="643"/>
      <c r="E1095" s="644"/>
      <c r="F1095" s="643"/>
      <c r="G1095" s="645"/>
      <c r="H1095" s="648" t="s">
        <v>454</v>
      </c>
      <c r="I1095" s="606">
        <f>I1081/150</f>
        <v>1199799.1275982244</v>
      </c>
      <c r="J1095" s="649"/>
      <c r="K1095" s="606"/>
      <c r="L1095" s="649"/>
      <c r="M1095" s="606">
        <f>SUM(M532:M1088)</f>
        <v>0</v>
      </c>
      <c r="N1095" s="701" t="e">
        <f t="shared" si="39"/>
        <v>#VALUE!</v>
      </c>
      <c r="AK1095" s="658"/>
    </row>
    <row r="1096" spans="1:37" hidden="1">
      <c r="A1096" s="532"/>
      <c r="B1096" s="640"/>
      <c r="C1096" s="855"/>
      <c r="D1096" s="641"/>
      <c r="E1096" s="639"/>
      <c r="F1096" s="641"/>
      <c r="G1096" s="641"/>
      <c r="H1096" s="646" t="s">
        <v>512</v>
      </c>
      <c r="I1096" s="647"/>
      <c r="J1096" s="647"/>
      <c r="K1096" s="607"/>
      <c r="L1096" s="607"/>
      <c r="M1096" s="608"/>
      <c r="N1096" s="701" t="e">
        <f t="shared" si="39"/>
        <v>#VALUE!</v>
      </c>
      <c r="AK1096" s="658"/>
    </row>
    <row r="1097" spans="1:37" ht="14" hidden="1">
      <c r="A1097" s="543"/>
      <c r="B1097" s="642"/>
      <c r="C1097" s="856"/>
      <c r="D1097" s="643"/>
      <c r="E1097" s="644"/>
      <c r="F1097" s="643"/>
      <c r="G1097" s="645"/>
      <c r="H1097" s="646"/>
      <c r="I1097" s="647"/>
      <c r="J1097" s="647"/>
      <c r="K1097" s="607"/>
      <c r="L1097" s="607"/>
      <c r="M1097" s="606" t="s">
        <v>8</v>
      </c>
      <c r="N1097" s="701">
        <f t="shared" si="39"/>
        <v>0</v>
      </c>
      <c r="AK1097" s="658"/>
    </row>
    <row r="1098" spans="1:37" hidden="1">
      <c r="A1098" s="532"/>
      <c r="B1098" s="640"/>
      <c r="C1098" s="855"/>
      <c r="D1098" s="641"/>
      <c r="E1098" s="639"/>
      <c r="F1098" s="641"/>
      <c r="G1098" s="641"/>
      <c r="H1098" s="643"/>
      <c r="I1098" s="647"/>
      <c r="J1098" s="647"/>
      <c r="K1098" s="607"/>
      <c r="L1098" s="607"/>
      <c r="M1098" s="606" t="s">
        <v>508</v>
      </c>
      <c r="N1098" s="701">
        <f t="shared" si="39"/>
        <v>0</v>
      </c>
      <c r="AK1098" s="658"/>
    </row>
    <row r="1099" spans="1:37" ht="14" hidden="1">
      <c r="A1099" s="543"/>
      <c r="B1099" s="642"/>
      <c r="C1099" s="856"/>
      <c r="D1099" s="643"/>
      <c r="E1099" s="644"/>
      <c r="F1099" s="643"/>
      <c r="G1099" s="645"/>
      <c r="H1099" s="643"/>
      <c r="I1099" s="646"/>
      <c r="J1099" s="646"/>
      <c r="K1099" s="650"/>
      <c r="L1099" s="650"/>
      <c r="M1099" s="606" t="s">
        <v>8</v>
      </c>
      <c r="N1099" s="701">
        <f t="shared" si="39"/>
        <v>0</v>
      </c>
      <c r="AK1099" s="658"/>
    </row>
    <row r="1100" spans="1:37" hidden="1">
      <c r="A1100" s="532"/>
      <c r="B1100" s="640"/>
      <c r="C1100" s="855"/>
      <c r="D1100" s="641"/>
      <c r="E1100" s="639"/>
      <c r="F1100" s="641"/>
      <c r="G1100" s="641"/>
      <c r="H1100" s="543"/>
      <c r="I1100" s="543"/>
      <c r="J1100" s="543"/>
      <c r="K1100" s="543"/>
      <c r="L1100" s="650"/>
      <c r="N1100" s="701">
        <f t="shared" si="39"/>
        <v>0</v>
      </c>
      <c r="AK1100" s="658"/>
    </row>
    <row r="1101" spans="1:37" ht="14" hidden="1">
      <c r="A1101" s="543"/>
      <c r="B1101" s="642"/>
      <c r="C1101" s="856"/>
      <c r="D1101" s="643"/>
      <c r="E1101" s="644"/>
      <c r="F1101" s="643"/>
      <c r="G1101" s="645"/>
      <c r="H1101" s="543"/>
      <c r="I1101" s="543"/>
      <c r="J1101" s="543"/>
      <c r="K1101" s="543"/>
      <c r="L1101" s="650"/>
      <c r="N1101" s="701">
        <f t="shared" si="39"/>
        <v>0</v>
      </c>
      <c r="AK1101" s="658"/>
    </row>
    <row r="1102" spans="1:37" hidden="1">
      <c r="A1102" s="532"/>
      <c r="B1102" s="640"/>
      <c r="C1102" s="855"/>
      <c r="D1102" s="641"/>
      <c r="E1102" s="639"/>
      <c r="F1102" s="641"/>
      <c r="G1102" s="641"/>
      <c r="H1102" s="648" t="s">
        <v>454</v>
      </c>
      <c r="I1102" s="606">
        <f>I1081/160</f>
        <v>1124811.6821233355</v>
      </c>
      <c r="J1102" s="649"/>
      <c r="K1102" s="606"/>
      <c r="L1102" s="649"/>
      <c r="M1102" s="606">
        <f>+M1095</f>
        <v>0</v>
      </c>
      <c r="N1102" s="701" t="e">
        <f t="shared" si="39"/>
        <v>#VALUE!</v>
      </c>
      <c r="AK1102" s="658"/>
    </row>
    <row r="1103" spans="1:37" ht="14" hidden="1">
      <c r="A1103" s="543"/>
      <c r="B1103" s="642"/>
      <c r="C1103" s="856"/>
      <c r="D1103" s="643"/>
      <c r="E1103" s="644"/>
      <c r="F1103" s="643"/>
      <c r="G1103" s="645"/>
      <c r="H1103" s="646" t="s">
        <v>510</v>
      </c>
      <c r="I1103" s="647"/>
      <c r="J1103" s="647"/>
      <c r="K1103" s="607"/>
      <c r="L1103" s="607"/>
      <c r="M1103" s="608"/>
      <c r="N1103" s="701" t="e">
        <f t="shared" si="39"/>
        <v>#VALUE!</v>
      </c>
      <c r="AK1103" s="658"/>
    </row>
    <row r="1104" spans="1:37" hidden="1">
      <c r="A1104" s="532"/>
      <c r="B1104" s="640"/>
      <c r="C1104" s="855"/>
      <c r="D1104" s="641"/>
      <c r="E1104" s="639"/>
      <c r="F1104" s="641"/>
      <c r="G1104" s="641"/>
      <c r="H1104" s="646"/>
      <c r="I1104" s="647"/>
      <c r="J1104" s="647"/>
      <c r="K1104" s="607"/>
      <c r="L1104" s="607"/>
      <c r="M1104" s="606" t="s">
        <v>8</v>
      </c>
      <c r="N1104" s="701">
        <f t="shared" si="39"/>
        <v>0</v>
      </c>
      <c r="AK1104" s="658"/>
    </row>
    <row r="1105" spans="1:37" ht="14" hidden="1">
      <c r="A1105" s="543"/>
      <c r="B1105" s="642"/>
      <c r="C1105" s="856"/>
      <c r="D1105" s="643"/>
      <c r="E1105" s="644"/>
      <c r="F1105" s="643"/>
      <c r="G1105" s="645"/>
      <c r="H1105" s="643"/>
      <c r="I1105" s="647"/>
      <c r="J1105" s="647"/>
      <c r="K1105" s="607"/>
      <c r="L1105" s="607"/>
      <c r="M1105" s="606" t="s">
        <v>508</v>
      </c>
      <c r="N1105" s="701">
        <f t="shared" si="39"/>
        <v>0</v>
      </c>
      <c r="AK1105" s="658"/>
    </row>
    <row r="1106" spans="1:37" hidden="1">
      <c r="A1106" s="532"/>
      <c r="B1106" s="640"/>
      <c r="C1106" s="855"/>
      <c r="D1106" s="641"/>
      <c r="E1106" s="639"/>
      <c r="F1106" s="641"/>
      <c r="G1106" s="641"/>
      <c r="H1106" s="643"/>
      <c r="I1106" s="646"/>
      <c r="J1106" s="646"/>
      <c r="K1106" s="650"/>
      <c r="L1106" s="650"/>
      <c r="M1106" s="606" t="s">
        <v>8</v>
      </c>
      <c r="N1106" s="701">
        <f t="shared" si="39"/>
        <v>0</v>
      </c>
      <c r="AK1106" s="658"/>
    </row>
    <row r="1107" spans="1:37" ht="14" hidden="1">
      <c r="A1107" s="543"/>
      <c r="B1107" s="642"/>
      <c r="C1107" s="856"/>
      <c r="D1107" s="643"/>
      <c r="E1107" s="644"/>
      <c r="F1107" s="643"/>
      <c r="G1107" s="645"/>
      <c r="H1107" s="543"/>
      <c r="I1107" s="543"/>
      <c r="J1107" s="543"/>
      <c r="K1107" s="543"/>
      <c r="L1107" s="650"/>
      <c r="N1107" s="701">
        <f t="shared" si="39"/>
        <v>0</v>
      </c>
      <c r="AK1107" s="658"/>
    </row>
    <row r="1108" spans="1:37" hidden="1">
      <c r="A1108" s="532"/>
      <c r="B1108" s="640"/>
      <c r="C1108" s="855"/>
      <c r="D1108" s="641"/>
      <c r="E1108" s="639"/>
      <c r="F1108" s="641"/>
      <c r="G1108" s="641"/>
      <c r="H1108" s="543"/>
      <c r="I1108" s="543"/>
      <c r="J1108" s="543"/>
      <c r="K1108" s="543"/>
      <c r="L1108" s="650"/>
      <c r="N1108" s="701">
        <f t="shared" si="39"/>
        <v>0</v>
      </c>
      <c r="AK1108" s="658"/>
    </row>
    <row r="1109" spans="1:37" ht="14" hidden="1">
      <c r="A1109" s="543"/>
      <c r="B1109" s="642"/>
      <c r="C1109" s="856"/>
      <c r="D1109" s="643"/>
      <c r="E1109" s="644"/>
      <c r="F1109" s="643"/>
      <c r="G1109" s="645"/>
      <c r="H1109" s="543"/>
      <c r="I1109" s="543"/>
      <c r="J1109" s="543"/>
      <c r="K1109" s="543"/>
      <c r="L1109" s="650"/>
      <c r="N1109" s="701">
        <f t="shared" si="39"/>
        <v>0</v>
      </c>
      <c r="AK1109" s="658"/>
    </row>
    <row r="1110" spans="1:37" hidden="1">
      <c r="A1110" s="532"/>
      <c r="B1110" s="640"/>
      <c r="C1110" s="855"/>
      <c r="D1110" s="641"/>
      <c r="E1110" s="639"/>
      <c r="F1110" s="641"/>
      <c r="G1110" s="641"/>
      <c r="H1110" s="543"/>
      <c r="I1110" s="543"/>
      <c r="J1110" s="543"/>
      <c r="K1110" s="543"/>
      <c r="L1110" s="650"/>
      <c r="N1110" s="701">
        <f t="shared" si="39"/>
        <v>0</v>
      </c>
      <c r="AK1110" s="658"/>
    </row>
    <row r="1111" spans="1:37" ht="14" hidden="1">
      <c r="A1111" s="543"/>
      <c r="B1111" s="642"/>
      <c r="C1111" s="856"/>
      <c r="D1111" s="643"/>
      <c r="E1111" s="644"/>
      <c r="F1111" s="643"/>
      <c r="G1111" s="645"/>
      <c r="H1111" s="543"/>
      <c r="I1111" s="543"/>
      <c r="J1111" s="543"/>
      <c r="K1111" s="543"/>
      <c r="L1111" s="650"/>
      <c r="N1111" s="701">
        <f t="shared" si="39"/>
        <v>0</v>
      </c>
      <c r="AK1111" s="658"/>
    </row>
    <row r="1112" spans="1:37">
      <c r="A1112" s="532"/>
      <c r="B1112" s="640"/>
      <c r="C1112" s="855"/>
      <c r="D1112" s="641"/>
      <c r="E1112" s="639"/>
      <c r="F1112" s="641"/>
      <c r="G1112" s="641"/>
      <c r="H1112" s="543"/>
      <c r="I1112" s="543"/>
      <c r="J1112" s="543"/>
      <c r="K1112" s="543"/>
      <c r="L1112" s="650"/>
      <c r="N1112" s="701">
        <f t="shared" si="39"/>
        <v>0</v>
      </c>
      <c r="AK1112" s="658"/>
    </row>
    <row r="1113" spans="1:37" ht="14">
      <c r="A1113" s="543"/>
      <c r="B1113" s="642"/>
      <c r="C1113" s="856"/>
      <c r="D1113" s="643"/>
      <c r="E1113" s="644"/>
      <c r="F1113" s="643"/>
      <c r="G1113" s="645"/>
      <c r="H1113" s="543"/>
      <c r="I1113" s="543"/>
      <c r="J1113" s="543"/>
      <c r="K1113" s="543"/>
      <c r="L1113" s="650"/>
      <c r="N1113" s="701">
        <f t="shared" si="39"/>
        <v>0</v>
      </c>
      <c r="AK1113" s="658"/>
    </row>
    <row r="1114" spans="1:37">
      <c r="A1114" s="532"/>
      <c r="B1114" s="640"/>
      <c r="C1114" s="855"/>
      <c r="D1114" s="641"/>
      <c r="E1114" s="639"/>
      <c r="F1114" s="641"/>
      <c r="G1114" s="641"/>
      <c r="H1114" s="543"/>
      <c r="I1114" s="543"/>
      <c r="J1114" s="543"/>
      <c r="K1114" s="543"/>
      <c r="L1114" s="650"/>
      <c r="N1114" s="701">
        <f t="shared" si="39"/>
        <v>0</v>
      </c>
      <c r="AK1114" s="658"/>
    </row>
    <row r="1115" spans="1:37" ht="14">
      <c r="A1115" s="543"/>
      <c r="B1115" s="642"/>
      <c r="C1115" s="856"/>
      <c r="D1115" s="643"/>
      <c r="E1115" s="644"/>
      <c r="F1115" s="643"/>
      <c r="G1115" s="645"/>
      <c r="H1115" s="543"/>
      <c r="I1115" s="543"/>
      <c r="J1115" s="543"/>
      <c r="K1115" s="543"/>
      <c r="L1115" s="650"/>
      <c r="N1115" s="701">
        <f t="shared" si="39"/>
        <v>0</v>
      </c>
      <c r="AK1115" s="658"/>
    </row>
    <row r="1116" spans="1:37">
      <c r="A1116" s="532"/>
      <c r="B1116" s="640"/>
      <c r="C1116" s="855"/>
      <c r="D1116" s="641"/>
      <c r="E1116" s="639"/>
      <c r="F1116" s="641"/>
      <c r="G1116" s="641"/>
      <c r="H1116" s="543"/>
      <c r="I1116" s="543"/>
      <c r="J1116" s="543"/>
      <c r="K1116" s="543"/>
      <c r="L1116" s="650"/>
      <c r="N1116" s="701">
        <f t="shared" si="39"/>
        <v>0</v>
      </c>
      <c r="AK1116" s="658"/>
    </row>
    <row r="1117" spans="1:37" ht="14">
      <c r="A1117" s="543"/>
      <c r="B1117" s="642"/>
      <c r="C1117" s="856"/>
      <c r="D1117" s="643"/>
      <c r="E1117" s="644"/>
      <c r="F1117" s="643"/>
      <c r="G1117" s="645"/>
      <c r="H1117" s="543"/>
      <c r="I1117" s="543"/>
      <c r="J1117" s="543"/>
      <c r="K1117" s="543"/>
      <c r="L1117" s="650"/>
      <c r="N1117" s="701">
        <f t="shared" si="39"/>
        <v>0</v>
      </c>
      <c r="AK1117" s="658"/>
    </row>
    <row r="1118" spans="1:37">
      <c r="A1118" s="532"/>
      <c r="B1118" s="640"/>
      <c r="C1118" s="855"/>
      <c r="D1118" s="641"/>
      <c r="E1118" s="639"/>
      <c r="F1118" s="641"/>
      <c r="G1118" s="641"/>
      <c r="H1118" s="543"/>
      <c r="I1118" s="543"/>
      <c r="J1118" s="543"/>
      <c r="K1118" s="543"/>
      <c r="L1118" s="650"/>
      <c r="N1118" s="701">
        <f t="shared" si="39"/>
        <v>0</v>
      </c>
      <c r="AK1118" s="658"/>
    </row>
    <row r="1119" spans="1:37">
      <c r="A1119" s="543"/>
      <c r="B1119" s="543"/>
      <c r="C1119" s="857"/>
      <c r="D1119" s="543"/>
      <c r="E1119" s="543"/>
      <c r="F1119" s="543"/>
      <c r="G1119" s="543"/>
      <c r="H1119" s="543"/>
      <c r="I1119" s="543"/>
      <c r="J1119" s="543"/>
      <c r="K1119" s="543"/>
      <c r="L1119" s="650"/>
      <c r="N1119" s="701">
        <f t="shared" si="39"/>
        <v>0</v>
      </c>
      <c r="AK1119" s="658"/>
    </row>
    <row r="1120" spans="1:37">
      <c r="B1120" s="1"/>
      <c r="C1120" s="858"/>
      <c r="D1120" s="1"/>
      <c r="E1120" s="1"/>
      <c r="F1120" s="1"/>
      <c r="G1120" s="543"/>
      <c r="H1120" s="543"/>
      <c r="I1120" s="543"/>
      <c r="J1120" s="543"/>
      <c r="K1120" s="543"/>
      <c r="L1120" s="650"/>
      <c r="N1120" s="701">
        <f t="shared" si="39"/>
        <v>0</v>
      </c>
      <c r="AK1120" s="658"/>
    </row>
    <row r="1121" spans="2:37">
      <c r="B1121" s="1"/>
      <c r="C1121" s="858"/>
      <c r="D1121" s="1"/>
      <c r="E1121" s="1"/>
      <c r="F1121" s="1"/>
      <c r="G1121" s="1"/>
      <c r="H1121" s="1"/>
      <c r="I1121" s="1"/>
      <c r="J1121" s="1"/>
      <c r="K1121" s="1"/>
      <c r="L1121" s="430"/>
      <c r="N1121" s="701">
        <f t="shared" si="39"/>
        <v>0</v>
      </c>
      <c r="AK1121" s="658"/>
    </row>
    <row r="1122" spans="2:37">
      <c r="B1122" s="1"/>
      <c r="C1122" s="858"/>
      <c r="D1122" s="1"/>
      <c r="E1122" s="1"/>
      <c r="F1122" s="1"/>
      <c r="G1122" s="1"/>
      <c r="H1122" s="1"/>
      <c r="I1122" s="1"/>
      <c r="J1122" s="1"/>
      <c r="K1122" s="1"/>
      <c r="L1122" s="430"/>
      <c r="N1122" s="701">
        <f t="shared" si="39"/>
        <v>0</v>
      </c>
      <c r="AK1122" s="658"/>
    </row>
    <row r="1123" spans="2:37">
      <c r="B1123" s="1"/>
      <c r="C1123" s="858"/>
      <c r="D1123" s="1"/>
      <c r="E1123" s="1"/>
      <c r="F1123" s="1"/>
      <c r="G1123" s="1"/>
      <c r="H1123" s="1"/>
      <c r="I1123" s="1"/>
      <c r="J1123" s="1"/>
      <c r="K1123" s="1"/>
      <c r="L1123" s="430"/>
      <c r="N1123" s="701">
        <f t="shared" si="39"/>
        <v>0</v>
      </c>
      <c r="AK1123" s="658"/>
    </row>
    <row r="1124" spans="2:37">
      <c r="B1124" s="1"/>
      <c r="C1124" s="858"/>
      <c r="D1124" s="1"/>
      <c r="E1124" s="1"/>
      <c r="F1124" s="1"/>
      <c r="G1124" s="1"/>
      <c r="H1124" s="1"/>
      <c r="I1124" s="1"/>
      <c r="J1124" s="1"/>
      <c r="K1124" s="1"/>
      <c r="L1124" s="430"/>
      <c r="N1124" s="701">
        <f t="shared" si="39"/>
        <v>0</v>
      </c>
      <c r="AK1124" s="658"/>
    </row>
    <row r="1125" spans="2:37">
      <c r="B1125" s="1"/>
      <c r="C1125" s="858"/>
      <c r="D1125" s="1"/>
      <c r="E1125" s="1"/>
      <c r="F1125" s="1"/>
      <c r="G1125" s="1"/>
      <c r="H1125" s="1"/>
      <c r="I1125" s="1"/>
      <c r="J1125" s="1"/>
      <c r="K1125" s="1"/>
      <c r="L1125" s="430"/>
      <c r="N1125" s="701">
        <f t="shared" ref="N1125:N1141" si="40">SUM(O1125:AJ1125)-H1125</f>
        <v>0</v>
      </c>
      <c r="AK1125" s="658"/>
    </row>
    <row r="1126" spans="2:37">
      <c r="B1126" s="1"/>
      <c r="C1126" s="858"/>
      <c r="D1126" s="1"/>
      <c r="E1126" s="1"/>
      <c r="F1126" s="1"/>
      <c r="G1126" s="1"/>
      <c r="H1126" s="1"/>
      <c r="I1126" s="1"/>
      <c r="J1126" s="1"/>
      <c r="K1126" s="1"/>
      <c r="L1126" s="430"/>
      <c r="N1126" s="701">
        <f t="shared" si="40"/>
        <v>0</v>
      </c>
      <c r="AK1126" s="658"/>
    </row>
    <row r="1127" spans="2:37">
      <c r="B1127" s="1"/>
      <c r="C1127" s="858"/>
      <c r="D1127" s="1"/>
      <c r="E1127" s="1"/>
      <c r="F1127" s="1"/>
      <c r="G1127" s="1"/>
      <c r="H1127" s="1"/>
      <c r="I1127" s="1"/>
      <c r="J1127" s="1"/>
      <c r="K1127" s="1"/>
      <c r="L1127" s="430"/>
      <c r="N1127" s="701">
        <f t="shared" si="40"/>
        <v>0</v>
      </c>
      <c r="AK1127" s="658"/>
    </row>
    <row r="1128" spans="2:37">
      <c r="B1128" s="1"/>
      <c r="C1128" s="858"/>
      <c r="D1128" s="1"/>
      <c r="E1128" s="1"/>
      <c r="F1128" s="1"/>
      <c r="G1128" s="1"/>
      <c r="H1128" s="1"/>
      <c r="I1128" s="1"/>
      <c r="J1128" s="1"/>
      <c r="K1128" s="1"/>
      <c r="L1128" s="430"/>
      <c r="N1128" s="701">
        <f t="shared" si="40"/>
        <v>0</v>
      </c>
      <c r="AK1128" s="658"/>
    </row>
    <row r="1129" spans="2:37">
      <c r="B1129" s="1"/>
      <c r="C1129" s="858"/>
      <c r="D1129" s="1"/>
      <c r="E1129" s="1"/>
      <c r="F1129" s="1"/>
      <c r="G1129" s="1"/>
      <c r="H1129" s="1"/>
      <c r="I1129" s="1"/>
      <c r="J1129" s="1"/>
      <c r="K1129" s="1"/>
      <c r="L1129" s="430"/>
      <c r="N1129" s="701">
        <f t="shared" si="40"/>
        <v>0</v>
      </c>
      <c r="AK1129" s="658"/>
    </row>
    <row r="1130" spans="2:37">
      <c r="B1130" s="1"/>
      <c r="C1130" s="858"/>
      <c r="D1130" s="1"/>
      <c r="E1130" s="1"/>
      <c r="F1130" s="1"/>
      <c r="G1130" s="1"/>
      <c r="H1130" s="1"/>
      <c r="I1130" s="1"/>
      <c r="J1130" s="1"/>
      <c r="K1130" s="1"/>
      <c r="L1130" s="430"/>
      <c r="N1130" s="701">
        <f t="shared" si="40"/>
        <v>0</v>
      </c>
      <c r="AK1130" s="658"/>
    </row>
    <row r="1131" spans="2:37">
      <c r="B1131" s="1"/>
      <c r="C1131" s="858"/>
      <c r="D1131" s="1"/>
      <c r="E1131" s="1"/>
      <c r="F1131" s="1"/>
      <c r="G1131" s="1"/>
      <c r="H1131" s="1"/>
      <c r="I1131" s="1"/>
      <c r="J1131" s="1"/>
      <c r="K1131" s="1"/>
      <c r="L1131" s="430"/>
      <c r="N1131" s="701">
        <f t="shared" si="40"/>
        <v>0</v>
      </c>
      <c r="AK1131" s="658"/>
    </row>
    <row r="1132" spans="2:37">
      <c r="B1132" s="1"/>
      <c r="C1132" s="858"/>
      <c r="D1132" s="1"/>
      <c r="E1132" s="1"/>
      <c r="F1132" s="1"/>
      <c r="G1132" s="1"/>
      <c r="H1132" s="1"/>
      <c r="I1132" s="1"/>
      <c r="J1132" s="1"/>
      <c r="K1132" s="1"/>
      <c r="L1132" s="430"/>
      <c r="N1132" s="701">
        <f t="shared" si="40"/>
        <v>0</v>
      </c>
      <c r="AK1132" s="658"/>
    </row>
    <row r="1133" spans="2:37">
      <c r="B1133" s="1"/>
      <c r="C1133" s="858"/>
      <c r="D1133" s="1"/>
      <c r="E1133" s="1"/>
      <c r="F1133" s="1"/>
      <c r="G1133" s="1"/>
      <c r="H1133" s="1"/>
      <c r="I1133" s="1"/>
      <c r="J1133" s="1"/>
      <c r="K1133" s="1"/>
      <c r="L1133" s="430"/>
      <c r="N1133" s="701">
        <f t="shared" si="40"/>
        <v>0</v>
      </c>
      <c r="AK1133" s="658"/>
    </row>
    <row r="1134" spans="2:37">
      <c r="B1134" s="1"/>
      <c r="C1134" s="858"/>
      <c r="D1134" s="1"/>
      <c r="E1134" s="1"/>
      <c r="F1134" s="1"/>
      <c r="G1134" s="1"/>
      <c r="H1134" s="1"/>
      <c r="I1134" s="1"/>
      <c r="J1134" s="1"/>
      <c r="K1134" s="1"/>
      <c r="L1134" s="430"/>
      <c r="N1134" s="701">
        <f t="shared" si="40"/>
        <v>0</v>
      </c>
      <c r="AK1134" s="658"/>
    </row>
    <row r="1135" spans="2:37">
      <c r="B1135" s="1"/>
      <c r="C1135" s="858"/>
      <c r="D1135" s="1"/>
      <c r="E1135" s="1"/>
      <c r="F1135" s="1"/>
      <c r="G1135" s="1"/>
      <c r="H1135" s="1"/>
      <c r="I1135" s="1"/>
      <c r="J1135" s="1"/>
      <c r="K1135" s="1"/>
      <c r="L1135" s="430"/>
      <c r="N1135" s="701">
        <f t="shared" si="40"/>
        <v>0</v>
      </c>
      <c r="AK1135" s="658"/>
    </row>
    <row r="1136" spans="2:37">
      <c r="B1136" s="1"/>
      <c r="C1136" s="858"/>
      <c r="D1136" s="1"/>
      <c r="E1136" s="1"/>
      <c r="F1136" s="1"/>
      <c r="G1136" s="1"/>
      <c r="H1136" s="1"/>
      <c r="I1136" s="1"/>
      <c r="J1136" s="1"/>
      <c r="K1136" s="1"/>
      <c r="L1136" s="430"/>
      <c r="N1136" s="701">
        <f t="shared" si="40"/>
        <v>0</v>
      </c>
      <c r="AK1136" s="658"/>
    </row>
    <row r="1137" spans="2:37">
      <c r="B1137" s="1"/>
      <c r="C1137" s="858"/>
      <c r="D1137" s="1"/>
      <c r="E1137" s="1"/>
      <c r="F1137" s="1"/>
      <c r="G1137" s="1"/>
      <c r="H1137" s="1"/>
      <c r="I1137" s="1"/>
      <c r="J1137" s="1"/>
      <c r="K1137" s="1"/>
      <c r="L1137" s="430"/>
      <c r="N1137" s="701">
        <f t="shared" si="40"/>
        <v>0</v>
      </c>
      <c r="AK1137" s="658"/>
    </row>
    <row r="1138" spans="2:37">
      <c r="B1138" s="1"/>
      <c r="C1138" s="858"/>
      <c r="D1138" s="1"/>
      <c r="E1138" s="1"/>
      <c r="F1138" s="1"/>
      <c r="G1138" s="1"/>
      <c r="H1138" s="1"/>
      <c r="I1138" s="1"/>
      <c r="J1138" s="1"/>
      <c r="K1138" s="1"/>
      <c r="L1138" s="430"/>
      <c r="N1138" s="701">
        <f t="shared" si="40"/>
        <v>0</v>
      </c>
      <c r="AK1138" s="658"/>
    </row>
    <row r="1139" spans="2:37">
      <c r="B1139" s="1"/>
      <c r="C1139" s="858"/>
      <c r="D1139" s="1"/>
      <c r="E1139" s="1"/>
      <c r="F1139" s="1"/>
      <c r="G1139" s="1"/>
      <c r="H1139" s="1"/>
      <c r="I1139" s="1"/>
      <c r="J1139" s="1"/>
      <c r="K1139" s="1"/>
      <c r="L1139" s="430"/>
      <c r="N1139" s="701">
        <f t="shared" si="40"/>
        <v>0</v>
      </c>
      <c r="AK1139" s="658"/>
    </row>
    <row r="1140" spans="2:37">
      <c r="B1140" s="1"/>
      <c r="C1140" s="858"/>
      <c r="D1140" s="1"/>
      <c r="E1140" s="1"/>
      <c r="F1140" s="1"/>
      <c r="G1140" s="1"/>
      <c r="H1140" s="1"/>
      <c r="I1140" s="1"/>
      <c r="J1140" s="1"/>
      <c r="K1140" s="1"/>
      <c r="L1140" s="430"/>
      <c r="N1140" s="701">
        <f t="shared" si="40"/>
        <v>0</v>
      </c>
      <c r="AK1140" s="658"/>
    </row>
    <row r="1141" spans="2:37">
      <c r="B1141" s="1"/>
      <c r="C1141" s="858"/>
      <c r="D1141" s="1"/>
      <c r="E1141" s="1"/>
      <c r="F1141" s="1"/>
      <c r="G1141" s="1"/>
      <c r="H1141" s="1"/>
      <c r="I1141" s="1"/>
      <c r="J1141" s="1"/>
      <c r="K1141" s="1"/>
      <c r="L1141" s="430"/>
      <c r="N1141" s="701">
        <f t="shared" si="40"/>
        <v>0</v>
      </c>
      <c r="AK1141" s="658"/>
    </row>
    <row r="1142" spans="2:37">
      <c r="B1142" s="1"/>
      <c r="C1142" s="858"/>
      <c r="D1142" s="1"/>
      <c r="E1142" s="1"/>
      <c r="F1142" s="1"/>
      <c r="G1142" s="1"/>
      <c r="H1142" s="1"/>
      <c r="I1142" s="1"/>
      <c r="J1142" s="1"/>
      <c r="K1142" s="1"/>
      <c r="L1142" s="430"/>
      <c r="AK1142" s="658"/>
    </row>
    <row r="1143" spans="2:37">
      <c r="B1143" s="1"/>
      <c r="C1143" s="858"/>
      <c r="D1143" s="1"/>
      <c r="E1143" s="1"/>
      <c r="F1143" s="1"/>
      <c r="G1143" s="1"/>
      <c r="H1143" s="1"/>
      <c r="I1143" s="1"/>
      <c r="J1143" s="1"/>
      <c r="K1143" s="1"/>
      <c r="L1143" s="430"/>
      <c r="AK1143" s="658"/>
    </row>
    <row r="1144" spans="2:37">
      <c r="B1144" s="1"/>
      <c r="C1144" s="858"/>
      <c r="D1144" s="1"/>
      <c r="E1144" s="1"/>
      <c r="F1144" s="1"/>
      <c r="G1144" s="1"/>
      <c r="H1144" s="1"/>
      <c r="I1144" s="1"/>
      <c r="J1144" s="1"/>
      <c r="K1144" s="1"/>
      <c r="L1144" s="430"/>
      <c r="AK1144" s="658"/>
    </row>
    <row r="1145" spans="2:37">
      <c r="B1145" s="1"/>
      <c r="C1145" s="858"/>
      <c r="D1145" s="1"/>
      <c r="E1145" s="1"/>
      <c r="F1145" s="1"/>
      <c r="G1145" s="1"/>
      <c r="H1145" s="1"/>
      <c r="I1145" s="1"/>
      <c r="J1145" s="1"/>
      <c r="K1145" s="1"/>
      <c r="L1145" s="430"/>
      <c r="AK1145" s="658"/>
    </row>
    <row r="1146" spans="2:37">
      <c r="B1146" s="1"/>
      <c r="C1146" s="858"/>
      <c r="D1146" s="1"/>
      <c r="E1146" s="1"/>
      <c r="F1146" s="1"/>
      <c r="G1146" s="1"/>
      <c r="H1146" s="1"/>
      <c r="I1146" s="1"/>
      <c r="J1146" s="1"/>
      <c r="K1146" s="1"/>
      <c r="L1146" s="430"/>
      <c r="AK1146" s="658"/>
    </row>
    <row r="1147" spans="2:37">
      <c r="B1147" s="1"/>
      <c r="C1147" s="858"/>
      <c r="D1147" s="1"/>
      <c r="E1147" s="1"/>
      <c r="F1147" s="1"/>
      <c r="G1147" s="1"/>
      <c r="H1147" s="1"/>
      <c r="I1147" s="1"/>
      <c r="J1147" s="1"/>
      <c r="K1147" s="1"/>
      <c r="L1147" s="430"/>
      <c r="AK1147" s="658"/>
    </row>
    <row r="1148" spans="2:37">
      <c r="B1148" s="1"/>
      <c r="C1148" s="858"/>
      <c r="D1148" s="1"/>
      <c r="E1148" s="1"/>
      <c r="F1148" s="1"/>
      <c r="G1148" s="1"/>
      <c r="H1148" s="1"/>
      <c r="I1148" s="1"/>
      <c r="J1148" s="1"/>
      <c r="K1148" s="1"/>
      <c r="L1148" s="430"/>
      <c r="AK1148" s="658"/>
    </row>
    <row r="1149" spans="2:37">
      <c r="B1149" s="1"/>
      <c r="C1149" s="858"/>
      <c r="D1149" s="1"/>
      <c r="E1149" s="1"/>
      <c r="F1149" s="1"/>
      <c r="G1149" s="1"/>
      <c r="H1149" s="1"/>
      <c r="I1149" s="1"/>
      <c r="J1149" s="1"/>
      <c r="K1149" s="1"/>
      <c r="L1149" s="430"/>
      <c r="AK1149" s="658"/>
    </row>
    <row r="1150" spans="2:37">
      <c r="B1150" s="1"/>
      <c r="C1150" s="858"/>
      <c r="D1150" s="1"/>
      <c r="E1150" s="1"/>
      <c r="F1150" s="1"/>
      <c r="G1150" s="1"/>
      <c r="H1150" s="1"/>
      <c r="I1150" s="1"/>
      <c r="J1150" s="1"/>
      <c r="K1150" s="1"/>
      <c r="L1150" s="430"/>
      <c r="AK1150" s="658"/>
    </row>
    <row r="1151" spans="2:37">
      <c r="B1151" s="1"/>
      <c r="C1151" s="858"/>
      <c r="D1151" s="1"/>
      <c r="E1151" s="1"/>
      <c r="F1151" s="1"/>
      <c r="G1151" s="1"/>
      <c r="H1151" s="1"/>
      <c r="I1151" s="1"/>
      <c r="J1151" s="1"/>
      <c r="K1151" s="1"/>
      <c r="L1151" s="430"/>
      <c r="AK1151" s="658"/>
    </row>
    <row r="1152" spans="2:37">
      <c r="B1152" s="1"/>
      <c r="C1152" s="858"/>
      <c r="D1152" s="1"/>
      <c r="E1152" s="1"/>
      <c r="F1152" s="1"/>
      <c r="G1152" s="1"/>
      <c r="H1152" s="1"/>
      <c r="I1152" s="1"/>
      <c r="J1152" s="1"/>
      <c r="K1152" s="1"/>
      <c r="L1152" s="430"/>
      <c r="AK1152" s="658"/>
    </row>
    <row r="1153" spans="2:37">
      <c r="B1153" s="1"/>
      <c r="C1153" s="858"/>
      <c r="D1153" s="1"/>
      <c r="E1153" s="1"/>
      <c r="F1153" s="1"/>
      <c r="G1153" s="1"/>
      <c r="H1153" s="1"/>
      <c r="I1153" s="1"/>
      <c r="J1153" s="1"/>
      <c r="K1153" s="1"/>
      <c r="L1153" s="430"/>
      <c r="AK1153" s="658"/>
    </row>
    <row r="1154" spans="2:37">
      <c r="B1154" s="1"/>
      <c r="C1154" s="858"/>
      <c r="D1154" s="1"/>
      <c r="E1154" s="1"/>
      <c r="F1154" s="1"/>
      <c r="G1154" s="1"/>
      <c r="H1154" s="1"/>
      <c r="I1154" s="1"/>
      <c r="J1154" s="1"/>
      <c r="K1154" s="1"/>
      <c r="L1154" s="430"/>
      <c r="AK1154" s="658"/>
    </row>
    <row r="1155" spans="2:37">
      <c r="B1155" s="1"/>
      <c r="C1155" s="858"/>
      <c r="D1155" s="1"/>
      <c r="E1155" s="1"/>
      <c r="F1155" s="1"/>
      <c r="G1155" s="1"/>
      <c r="H1155" s="1"/>
      <c r="I1155" s="1"/>
      <c r="J1155" s="1"/>
      <c r="K1155" s="1"/>
      <c r="L1155" s="430"/>
      <c r="AK1155" s="658"/>
    </row>
    <row r="1156" spans="2:37">
      <c r="B1156" s="1"/>
      <c r="C1156" s="858"/>
      <c r="D1156" s="1"/>
      <c r="E1156" s="1"/>
      <c r="F1156" s="1"/>
      <c r="G1156" s="1"/>
      <c r="H1156" s="1"/>
      <c r="I1156" s="1"/>
      <c r="J1156" s="1"/>
      <c r="K1156" s="1"/>
      <c r="L1156" s="430"/>
      <c r="AK1156" s="658"/>
    </row>
    <row r="1157" spans="2:37">
      <c r="B1157" s="1"/>
      <c r="C1157" s="858"/>
      <c r="D1157" s="1"/>
      <c r="E1157" s="1"/>
      <c r="F1157" s="1"/>
      <c r="G1157" s="1"/>
      <c r="H1157" s="1"/>
      <c r="I1157" s="1"/>
      <c r="J1157" s="1"/>
      <c r="K1157" s="1"/>
      <c r="L1157" s="430"/>
      <c r="AK1157" s="658"/>
    </row>
    <row r="1158" spans="2:37">
      <c r="B1158" s="1"/>
      <c r="C1158" s="858"/>
      <c r="D1158" s="1"/>
      <c r="E1158" s="1"/>
      <c r="F1158" s="1"/>
      <c r="G1158" s="1"/>
      <c r="H1158" s="1"/>
      <c r="I1158" s="1"/>
      <c r="J1158" s="1"/>
      <c r="K1158" s="1"/>
      <c r="L1158" s="430"/>
      <c r="AK1158" s="658"/>
    </row>
    <row r="1159" spans="2:37">
      <c r="B1159" s="1"/>
      <c r="C1159" s="858"/>
      <c r="D1159" s="1"/>
      <c r="E1159" s="1"/>
      <c r="F1159" s="1"/>
      <c r="G1159" s="1"/>
      <c r="H1159" s="1"/>
      <c r="I1159" s="1"/>
      <c r="J1159" s="1"/>
      <c r="K1159" s="1"/>
      <c r="L1159" s="430"/>
      <c r="AK1159" s="658"/>
    </row>
    <row r="1160" spans="2:37">
      <c r="B1160" s="1"/>
      <c r="C1160" s="858"/>
      <c r="D1160" s="1"/>
      <c r="E1160" s="1"/>
      <c r="F1160" s="1"/>
      <c r="G1160" s="1"/>
      <c r="H1160" s="1"/>
      <c r="I1160" s="1"/>
      <c r="J1160" s="1"/>
      <c r="K1160" s="1"/>
      <c r="L1160" s="430"/>
      <c r="AK1160" s="658"/>
    </row>
    <row r="1161" spans="2:37">
      <c r="B1161" s="1"/>
      <c r="C1161" s="858"/>
      <c r="D1161" s="1"/>
      <c r="E1161" s="1"/>
      <c r="F1161" s="1"/>
      <c r="G1161" s="1"/>
      <c r="H1161" s="1"/>
      <c r="I1161" s="1"/>
      <c r="J1161" s="1"/>
      <c r="K1161" s="1"/>
      <c r="L1161" s="430"/>
      <c r="AK1161" s="658"/>
    </row>
    <row r="1162" spans="2:37">
      <c r="B1162" s="1"/>
      <c r="C1162" s="858"/>
      <c r="D1162" s="1"/>
      <c r="E1162" s="1"/>
      <c r="F1162" s="1"/>
      <c r="G1162" s="1"/>
      <c r="H1162" s="1"/>
      <c r="I1162" s="1"/>
      <c r="J1162" s="1"/>
      <c r="K1162" s="1"/>
      <c r="L1162" s="430"/>
      <c r="AK1162" s="658"/>
    </row>
    <row r="1163" spans="2:37">
      <c r="B1163" s="1"/>
      <c r="C1163" s="858"/>
      <c r="D1163" s="1"/>
      <c r="E1163" s="1"/>
      <c r="F1163" s="1"/>
      <c r="G1163" s="1"/>
      <c r="H1163" s="1"/>
      <c r="I1163" s="1"/>
      <c r="J1163" s="1"/>
      <c r="K1163" s="1"/>
      <c r="L1163" s="430"/>
      <c r="AK1163" s="658"/>
    </row>
    <row r="1164" spans="2:37">
      <c r="B1164" s="1"/>
      <c r="C1164" s="858"/>
      <c r="D1164" s="1"/>
      <c r="E1164" s="1"/>
      <c r="F1164" s="1"/>
      <c r="G1164" s="1"/>
      <c r="H1164" s="1"/>
      <c r="I1164" s="1"/>
      <c r="J1164" s="1"/>
      <c r="K1164" s="1"/>
      <c r="L1164" s="430"/>
      <c r="AK1164" s="658"/>
    </row>
    <row r="1165" spans="2:37">
      <c r="B1165" s="1"/>
      <c r="C1165" s="858"/>
      <c r="D1165" s="1"/>
      <c r="E1165" s="1"/>
      <c r="F1165" s="1"/>
      <c r="G1165" s="1"/>
      <c r="H1165" s="1"/>
      <c r="I1165" s="1"/>
      <c r="J1165" s="1"/>
      <c r="K1165" s="1"/>
      <c r="L1165" s="430"/>
      <c r="AK1165" s="658"/>
    </row>
    <row r="1166" spans="2:37">
      <c r="B1166" s="1"/>
      <c r="C1166" s="858"/>
      <c r="D1166" s="1"/>
      <c r="E1166" s="1"/>
      <c r="F1166" s="1"/>
      <c r="G1166" s="1"/>
      <c r="H1166" s="1"/>
      <c r="I1166" s="1"/>
      <c r="J1166" s="1"/>
      <c r="K1166" s="1"/>
      <c r="L1166" s="430"/>
      <c r="AK1166" s="658"/>
    </row>
    <row r="1167" spans="2:37">
      <c r="B1167" s="1"/>
      <c r="C1167" s="858"/>
      <c r="D1167" s="1"/>
      <c r="E1167" s="1"/>
      <c r="F1167" s="1"/>
      <c r="G1167" s="1"/>
      <c r="H1167" s="1"/>
      <c r="I1167" s="1"/>
      <c r="J1167" s="1"/>
      <c r="K1167" s="1"/>
      <c r="L1167" s="430"/>
      <c r="AK1167" s="658"/>
    </row>
    <row r="1168" spans="2:37">
      <c r="B1168" s="1"/>
      <c r="C1168" s="858"/>
      <c r="D1168" s="1"/>
      <c r="E1168" s="1"/>
      <c r="F1168" s="1"/>
      <c r="G1168" s="1"/>
      <c r="H1168" s="1"/>
      <c r="I1168" s="1"/>
      <c r="J1168" s="1"/>
      <c r="K1168" s="1"/>
      <c r="L1168" s="430"/>
      <c r="AK1168" s="658"/>
    </row>
    <row r="1169" spans="2:37">
      <c r="B1169" s="1"/>
      <c r="C1169" s="858"/>
      <c r="D1169" s="1"/>
      <c r="E1169" s="1"/>
      <c r="F1169" s="1"/>
      <c r="G1169" s="1"/>
      <c r="H1169" s="1"/>
      <c r="I1169" s="1"/>
      <c r="J1169" s="1"/>
      <c r="K1169" s="1"/>
      <c r="L1169" s="430"/>
      <c r="AK1169" s="658"/>
    </row>
    <row r="1170" spans="2:37">
      <c r="B1170" s="1"/>
      <c r="C1170" s="858"/>
      <c r="D1170" s="1"/>
      <c r="E1170" s="1"/>
      <c r="F1170" s="1"/>
      <c r="G1170" s="1"/>
      <c r="H1170" s="1"/>
      <c r="I1170" s="1"/>
      <c r="J1170" s="1"/>
      <c r="K1170" s="1"/>
      <c r="L1170" s="430"/>
      <c r="AK1170" s="658"/>
    </row>
    <row r="1171" spans="2:37">
      <c r="B1171" s="1"/>
      <c r="C1171" s="858"/>
      <c r="D1171" s="1"/>
      <c r="E1171" s="1"/>
      <c r="F1171" s="1"/>
      <c r="G1171" s="1"/>
      <c r="H1171" s="1"/>
      <c r="I1171" s="1"/>
      <c r="J1171" s="1"/>
      <c r="K1171" s="1"/>
      <c r="L1171" s="430"/>
      <c r="AK1171" s="658"/>
    </row>
    <row r="1172" spans="2:37">
      <c r="B1172" s="1"/>
      <c r="C1172" s="858"/>
      <c r="D1172" s="1"/>
      <c r="E1172" s="1"/>
      <c r="F1172" s="1"/>
      <c r="G1172" s="1"/>
      <c r="H1172" s="1"/>
      <c r="I1172" s="1"/>
      <c r="J1172" s="1"/>
      <c r="K1172" s="1"/>
      <c r="L1172" s="430"/>
      <c r="AK1172" s="658"/>
    </row>
    <row r="1173" spans="2:37">
      <c r="B1173" s="1"/>
      <c r="C1173" s="858"/>
      <c r="D1173" s="1"/>
      <c r="E1173" s="1"/>
      <c r="F1173" s="1"/>
      <c r="G1173" s="1"/>
      <c r="H1173" s="1"/>
      <c r="I1173" s="1"/>
      <c r="J1173" s="1"/>
      <c r="K1173" s="1"/>
      <c r="L1173" s="430"/>
      <c r="AK1173" s="658"/>
    </row>
    <row r="1174" spans="2:37">
      <c r="B1174" s="1"/>
      <c r="C1174" s="858"/>
      <c r="D1174" s="1"/>
      <c r="E1174" s="1"/>
      <c r="F1174" s="1"/>
      <c r="G1174" s="1"/>
      <c r="H1174" s="1"/>
      <c r="I1174" s="1"/>
      <c r="J1174" s="1"/>
      <c r="K1174" s="1"/>
      <c r="L1174" s="430"/>
      <c r="AK1174" s="658"/>
    </row>
    <row r="1175" spans="2:37">
      <c r="B1175" s="1"/>
      <c r="C1175" s="858"/>
      <c r="D1175" s="1"/>
      <c r="E1175" s="1"/>
      <c r="F1175" s="1"/>
      <c r="G1175" s="1"/>
      <c r="H1175" s="1"/>
      <c r="I1175" s="1"/>
      <c r="J1175" s="1"/>
      <c r="K1175" s="1"/>
      <c r="L1175" s="430"/>
      <c r="AK1175" s="658"/>
    </row>
    <row r="1176" spans="2:37">
      <c r="B1176" s="1"/>
      <c r="C1176" s="858"/>
      <c r="D1176" s="1"/>
      <c r="E1176" s="1"/>
      <c r="F1176" s="1"/>
      <c r="G1176" s="1"/>
      <c r="H1176" s="1"/>
      <c r="I1176" s="1"/>
      <c r="J1176" s="1"/>
      <c r="K1176" s="1"/>
      <c r="L1176" s="430"/>
      <c r="AK1176" s="658"/>
    </row>
    <row r="1177" spans="2:37">
      <c r="B1177" s="1"/>
      <c r="C1177" s="858"/>
      <c r="D1177" s="1"/>
      <c r="E1177" s="1"/>
      <c r="F1177" s="1"/>
      <c r="G1177" s="1"/>
      <c r="H1177" s="1"/>
      <c r="I1177" s="1"/>
      <c r="J1177" s="1"/>
      <c r="K1177" s="1"/>
      <c r="L1177" s="430"/>
      <c r="AK1177" s="658"/>
    </row>
    <row r="1178" spans="2:37">
      <c r="B1178" s="1"/>
      <c r="C1178" s="858"/>
      <c r="D1178" s="1"/>
      <c r="E1178" s="1"/>
      <c r="F1178" s="1"/>
      <c r="G1178" s="1"/>
      <c r="H1178" s="1"/>
      <c r="I1178" s="1"/>
      <c r="J1178" s="1"/>
      <c r="K1178" s="1"/>
      <c r="L1178" s="430"/>
      <c r="AK1178" s="658"/>
    </row>
    <row r="1179" spans="2:37">
      <c r="B1179" s="1"/>
      <c r="C1179" s="858"/>
      <c r="D1179" s="1"/>
      <c r="E1179" s="1"/>
      <c r="F1179" s="1"/>
      <c r="G1179" s="1"/>
      <c r="H1179" s="1"/>
      <c r="I1179" s="1"/>
      <c r="J1179" s="1"/>
      <c r="K1179" s="1"/>
      <c r="L1179" s="430"/>
      <c r="AK1179" s="658"/>
    </row>
    <row r="1180" spans="2:37">
      <c r="B1180" s="1"/>
      <c r="C1180" s="858"/>
      <c r="D1180" s="1"/>
      <c r="E1180" s="1"/>
      <c r="F1180" s="1"/>
      <c r="G1180" s="1"/>
      <c r="H1180" s="1"/>
      <c r="I1180" s="1"/>
      <c r="J1180" s="1"/>
      <c r="K1180" s="1"/>
      <c r="L1180" s="430"/>
      <c r="AK1180" s="658"/>
    </row>
    <row r="1181" spans="2:37">
      <c r="B1181" s="1"/>
      <c r="C1181" s="858"/>
      <c r="D1181" s="1"/>
      <c r="E1181" s="1"/>
      <c r="F1181" s="1"/>
      <c r="G1181" s="1"/>
      <c r="H1181" s="1"/>
      <c r="I1181" s="1"/>
      <c r="J1181" s="1"/>
      <c r="K1181" s="1"/>
      <c r="L1181" s="430"/>
      <c r="AK1181" s="658"/>
    </row>
    <row r="1182" spans="2:37">
      <c r="B1182" s="1"/>
      <c r="C1182" s="858"/>
      <c r="D1182" s="1"/>
      <c r="E1182" s="1"/>
      <c r="F1182" s="1"/>
      <c r="G1182" s="1"/>
      <c r="H1182" s="1"/>
      <c r="I1182" s="1"/>
      <c r="J1182" s="1"/>
      <c r="K1182" s="1"/>
      <c r="L1182" s="430"/>
      <c r="AK1182" s="658"/>
    </row>
    <row r="1183" spans="2:37">
      <c r="B1183" s="1"/>
      <c r="C1183" s="858"/>
      <c r="D1183" s="1"/>
      <c r="E1183" s="1"/>
      <c r="F1183" s="1"/>
      <c r="G1183" s="1"/>
      <c r="H1183" s="1"/>
      <c r="I1183" s="1"/>
      <c r="J1183" s="1"/>
      <c r="K1183" s="1"/>
      <c r="L1183" s="430"/>
      <c r="AK1183" s="658"/>
    </row>
    <row r="1184" spans="2:37">
      <c r="B1184" s="1"/>
      <c r="C1184" s="858"/>
      <c r="D1184" s="1"/>
      <c r="E1184" s="1"/>
      <c r="F1184" s="1"/>
      <c r="G1184" s="1"/>
      <c r="H1184" s="1"/>
      <c r="I1184" s="1"/>
      <c r="J1184" s="1"/>
      <c r="K1184" s="1"/>
      <c r="L1184" s="430"/>
      <c r="AK1184" s="658"/>
    </row>
    <row r="1185" spans="2:37">
      <c r="B1185" s="1"/>
      <c r="C1185" s="858"/>
      <c r="D1185" s="1"/>
      <c r="E1185" s="1"/>
      <c r="F1185" s="1"/>
      <c r="G1185" s="1"/>
      <c r="H1185" s="1"/>
      <c r="I1185" s="1"/>
      <c r="J1185" s="1"/>
      <c r="K1185" s="1"/>
      <c r="L1185" s="430"/>
      <c r="AK1185" s="658"/>
    </row>
    <row r="1186" spans="2:37">
      <c r="B1186" s="1"/>
      <c r="C1186" s="858"/>
      <c r="D1186" s="1"/>
      <c r="E1186" s="1"/>
      <c r="F1186" s="1"/>
      <c r="G1186" s="1"/>
      <c r="H1186" s="1"/>
      <c r="I1186" s="1"/>
      <c r="J1186" s="1"/>
      <c r="K1186" s="1"/>
      <c r="L1186" s="430"/>
      <c r="AK1186" s="658"/>
    </row>
    <row r="1187" spans="2:37">
      <c r="B1187" s="1"/>
      <c r="C1187" s="858"/>
      <c r="D1187" s="1"/>
      <c r="E1187" s="1"/>
      <c r="F1187" s="1"/>
      <c r="G1187" s="1"/>
      <c r="H1187" s="1"/>
      <c r="I1187" s="1"/>
      <c r="J1187" s="1"/>
      <c r="K1187" s="1"/>
      <c r="L1187" s="430"/>
      <c r="AK1187" s="658"/>
    </row>
    <row r="1188" spans="2:37">
      <c r="B1188" s="1"/>
      <c r="C1188" s="858"/>
      <c r="D1188" s="1"/>
      <c r="E1188" s="1"/>
      <c r="F1188" s="1"/>
      <c r="G1188" s="1"/>
      <c r="H1188" s="1"/>
      <c r="I1188" s="1"/>
      <c r="J1188" s="1"/>
      <c r="K1188" s="1"/>
      <c r="L1188" s="430"/>
      <c r="AK1188" s="658"/>
    </row>
    <row r="1189" spans="2:37">
      <c r="B1189" s="1"/>
      <c r="C1189" s="858"/>
      <c r="D1189" s="1"/>
      <c r="E1189" s="1"/>
      <c r="F1189" s="1"/>
      <c r="G1189" s="1"/>
      <c r="H1189" s="1"/>
      <c r="I1189" s="1"/>
      <c r="J1189" s="1"/>
      <c r="K1189" s="1"/>
      <c r="L1189" s="430"/>
      <c r="AK1189" s="658"/>
    </row>
    <row r="1190" spans="2:37">
      <c r="B1190" s="1"/>
      <c r="C1190" s="858"/>
      <c r="D1190" s="1"/>
      <c r="E1190" s="1"/>
      <c r="F1190" s="1"/>
      <c r="G1190" s="1"/>
      <c r="H1190" s="1"/>
      <c r="I1190" s="1"/>
      <c r="J1190" s="1"/>
      <c r="K1190" s="1"/>
      <c r="L1190" s="430"/>
      <c r="AK1190" s="658"/>
    </row>
    <row r="1191" spans="2:37">
      <c r="B1191" s="1"/>
      <c r="C1191" s="858"/>
      <c r="D1191" s="1"/>
      <c r="E1191" s="1"/>
      <c r="F1191" s="1"/>
      <c r="G1191" s="1"/>
      <c r="H1191" s="1"/>
      <c r="I1191" s="1"/>
      <c r="J1191" s="1"/>
      <c r="K1191" s="1"/>
      <c r="L1191" s="430"/>
      <c r="AK1191" s="658"/>
    </row>
    <row r="1192" spans="2:37">
      <c r="B1192" s="1"/>
      <c r="C1192" s="858"/>
      <c r="D1192" s="1"/>
      <c r="E1192" s="1"/>
      <c r="F1192" s="1"/>
      <c r="G1192" s="1"/>
      <c r="H1192" s="1"/>
      <c r="I1192" s="1"/>
      <c r="J1192" s="1"/>
      <c r="K1192" s="1"/>
      <c r="L1192" s="430"/>
      <c r="AK1192" s="658"/>
    </row>
    <row r="1193" spans="2:37">
      <c r="B1193" s="1"/>
      <c r="C1193" s="858"/>
      <c r="D1193" s="1"/>
      <c r="E1193" s="1"/>
      <c r="F1193" s="1"/>
      <c r="G1193" s="1"/>
      <c r="H1193" s="1"/>
      <c r="I1193" s="1"/>
      <c r="J1193" s="1"/>
      <c r="K1193" s="1"/>
      <c r="L1193" s="430"/>
      <c r="AK1193" s="658"/>
    </row>
    <row r="1194" spans="2:37">
      <c r="B1194" s="1"/>
      <c r="C1194" s="858"/>
      <c r="D1194" s="1"/>
      <c r="E1194" s="1"/>
      <c r="F1194" s="1"/>
      <c r="G1194" s="1"/>
      <c r="H1194" s="1"/>
      <c r="I1194" s="1"/>
      <c r="J1194" s="1"/>
      <c r="K1194" s="1"/>
      <c r="L1194" s="430"/>
      <c r="AK1194" s="658"/>
    </row>
    <row r="1195" spans="2:37">
      <c r="B1195" s="1"/>
      <c r="C1195" s="858"/>
      <c r="D1195" s="1"/>
      <c r="E1195" s="1"/>
      <c r="F1195" s="1"/>
      <c r="G1195" s="1"/>
      <c r="H1195" s="1"/>
      <c r="I1195" s="1"/>
      <c r="J1195" s="1"/>
      <c r="K1195" s="1"/>
      <c r="L1195" s="430"/>
      <c r="AK1195" s="658"/>
    </row>
    <row r="1196" spans="2:37">
      <c r="B1196" s="1"/>
      <c r="C1196" s="858"/>
      <c r="D1196" s="1"/>
      <c r="E1196" s="1"/>
      <c r="F1196" s="1"/>
      <c r="G1196" s="1"/>
      <c r="H1196" s="1"/>
      <c r="I1196" s="1"/>
      <c r="J1196" s="1"/>
      <c r="K1196" s="1"/>
      <c r="L1196" s="430"/>
      <c r="AK1196" s="658"/>
    </row>
    <row r="1197" spans="2:37">
      <c r="B1197" s="1"/>
      <c r="C1197" s="858"/>
      <c r="D1197" s="1"/>
      <c r="E1197" s="1"/>
      <c r="F1197" s="1"/>
      <c r="G1197" s="1"/>
      <c r="H1197" s="1"/>
      <c r="I1197" s="1"/>
      <c r="J1197" s="1"/>
      <c r="K1197" s="1"/>
      <c r="L1197" s="430"/>
      <c r="AK1197" s="658"/>
    </row>
    <row r="1198" spans="2:37">
      <c r="B1198" s="1"/>
      <c r="C1198" s="858"/>
      <c r="D1198" s="1"/>
      <c r="E1198" s="1"/>
      <c r="F1198" s="1"/>
      <c r="G1198" s="1"/>
      <c r="H1198" s="1"/>
      <c r="I1198" s="1"/>
      <c r="J1198" s="1"/>
      <c r="K1198" s="1"/>
      <c r="L1198" s="430"/>
      <c r="AK1198" s="658"/>
    </row>
    <row r="1199" spans="2:37">
      <c r="B1199" s="1"/>
      <c r="C1199" s="858"/>
      <c r="D1199" s="1"/>
      <c r="E1199" s="1"/>
      <c r="F1199" s="1"/>
      <c r="G1199" s="1"/>
      <c r="H1199" s="1"/>
      <c r="I1199" s="1"/>
      <c r="J1199" s="1"/>
      <c r="K1199" s="1"/>
      <c r="L1199" s="430"/>
      <c r="AK1199" s="658"/>
    </row>
    <row r="1200" spans="2:37">
      <c r="B1200" s="1"/>
      <c r="C1200" s="858"/>
      <c r="D1200" s="1"/>
      <c r="E1200" s="1"/>
      <c r="F1200" s="1"/>
      <c r="G1200" s="1"/>
      <c r="H1200" s="1"/>
      <c r="I1200" s="1"/>
      <c r="J1200" s="1"/>
      <c r="K1200" s="1"/>
      <c r="L1200" s="430"/>
      <c r="AK1200" s="658"/>
    </row>
    <row r="1201" spans="2:37">
      <c r="B1201" s="1"/>
      <c r="C1201" s="858"/>
      <c r="D1201" s="1"/>
      <c r="E1201" s="1"/>
      <c r="F1201" s="1"/>
      <c r="G1201" s="1"/>
      <c r="H1201" s="1"/>
      <c r="I1201" s="1"/>
      <c r="J1201" s="1"/>
      <c r="K1201" s="1"/>
      <c r="L1201" s="430"/>
      <c r="AK1201" s="658"/>
    </row>
    <row r="1202" spans="2:37">
      <c r="B1202" s="1"/>
      <c r="C1202" s="858"/>
      <c r="D1202" s="1"/>
      <c r="E1202" s="1"/>
      <c r="F1202" s="1"/>
      <c r="G1202" s="1"/>
      <c r="H1202" s="1"/>
      <c r="I1202" s="1"/>
      <c r="J1202" s="1"/>
      <c r="K1202" s="1"/>
      <c r="L1202" s="430"/>
      <c r="AK1202" s="658"/>
    </row>
    <row r="1203" spans="2:37">
      <c r="B1203" s="1"/>
      <c r="C1203" s="858"/>
      <c r="D1203" s="1"/>
      <c r="E1203" s="1"/>
      <c r="F1203" s="1"/>
      <c r="G1203" s="1"/>
      <c r="H1203" s="1"/>
      <c r="I1203" s="1"/>
      <c r="J1203" s="1"/>
      <c r="K1203" s="1"/>
      <c r="L1203" s="430"/>
      <c r="AK1203" s="658"/>
    </row>
    <row r="1204" spans="2:37">
      <c r="B1204" s="1"/>
      <c r="C1204" s="858"/>
      <c r="D1204" s="1"/>
      <c r="E1204" s="1"/>
      <c r="F1204" s="1"/>
      <c r="G1204" s="1"/>
      <c r="H1204" s="1"/>
      <c r="I1204" s="1"/>
      <c r="J1204" s="1"/>
      <c r="K1204" s="1"/>
      <c r="L1204" s="430"/>
      <c r="AK1204" s="658"/>
    </row>
    <row r="1205" spans="2:37">
      <c r="B1205" s="1"/>
      <c r="C1205" s="858"/>
      <c r="D1205" s="1"/>
      <c r="E1205" s="1"/>
      <c r="F1205" s="1"/>
      <c r="G1205" s="1"/>
      <c r="H1205" s="1"/>
      <c r="I1205" s="1"/>
      <c r="J1205" s="1"/>
      <c r="K1205" s="1"/>
      <c r="L1205" s="430"/>
      <c r="AK1205" s="658"/>
    </row>
    <row r="1206" spans="2:37">
      <c r="B1206" s="1"/>
      <c r="C1206" s="858"/>
      <c r="D1206" s="1"/>
      <c r="E1206" s="1"/>
      <c r="F1206" s="1"/>
      <c r="G1206" s="1"/>
      <c r="H1206" s="1"/>
      <c r="I1206" s="1"/>
      <c r="J1206" s="1"/>
      <c r="K1206" s="1"/>
      <c r="L1206" s="430"/>
      <c r="AK1206" s="658"/>
    </row>
    <row r="1207" spans="2:37">
      <c r="B1207" s="1"/>
      <c r="C1207" s="858"/>
      <c r="D1207" s="1"/>
      <c r="E1207" s="1"/>
      <c r="F1207" s="1"/>
      <c r="G1207" s="1"/>
      <c r="H1207" s="1"/>
      <c r="I1207" s="1"/>
      <c r="J1207" s="1"/>
      <c r="K1207" s="1"/>
      <c r="L1207" s="430"/>
      <c r="AK1207" s="658"/>
    </row>
    <row r="1208" spans="2:37">
      <c r="B1208" s="1"/>
      <c r="C1208" s="858"/>
      <c r="D1208" s="1"/>
      <c r="E1208" s="1"/>
      <c r="F1208" s="1"/>
      <c r="G1208" s="1"/>
      <c r="H1208" s="1"/>
      <c r="I1208" s="1"/>
      <c r="J1208" s="1"/>
      <c r="K1208" s="1"/>
      <c r="L1208" s="430"/>
      <c r="AK1208" s="658"/>
    </row>
    <row r="1209" spans="2:37">
      <c r="B1209" s="1"/>
      <c r="C1209" s="858"/>
      <c r="D1209" s="1"/>
      <c r="E1209" s="1"/>
      <c r="F1209" s="1"/>
      <c r="G1209" s="1"/>
      <c r="H1209" s="1"/>
      <c r="I1209" s="1"/>
      <c r="J1209" s="1"/>
      <c r="K1209" s="1"/>
      <c r="L1209" s="430"/>
      <c r="AK1209" s="658"/>
    </row>
    <row r="1210" spans="2:37">
      <c r="B1210" s="1"/>
      <c r="C1210" s="858"/>
      <c r="D1210" s="1"/>
      <c r="E1210" s="1"/>
      <c r="F1210" s="1"/>
      <c r="G1210" s="1"/>
      <c r="H1210" s="1"/>
      <c r="I1210" s="1"/>
      <c r="J1210" s="1"/>
      <c r="K1210" s="1"/>
      <c r="L1210" s="430"/>
      <c r="AK1210" s="658"/>
    </row>
    <row r="1211" spans="2:37">
      <c r="B1211" s="1"/>
      <c r="C1211" s="858"/>
      <c r="D1211" s="1"/>
      <c r="E1211" s="1"/>
      <c r="F1211" s="1"/>
      <c r="G1211" s="1"/>
      <c r="H1211" s="1"/>
      <c r="I1211" s="1"/>
      <c r="J1211" s="1"/>
      <c r="K1211" s="1"/>
      <c r="L1211" s="430"/>
      <c r="AK1211" s="658"/>
    </row>
    <row r="1212" spans="2:37">
      <c r="B1212" s="1"/>
      <c r="C1212" s="858"/>
      <c r="D1212" s="1"/>
      <c r="E1212" s="1"/>
      <c r="F1212" s="1"/>
      <c r="G1212" s="1"/>
      <c r="H1212" s="1"/>
      <c r="I1212" s="1"/>
      <c r="J1212" s="1"/>
      <c r="K1212" s="1"/>
      <c r="L1212" s="430"/>
      <c r="AK1212" s="658"/>
    </row>
    <row r="1213" spans="2:37">
      <c r="B1213" s="1"/>
      <c r="C1213" s="858"/>
      <c r="D1213" s="1"/>
      <c r="E1213" s="1"/>
      <c r="F1213" s="1"/>
      <c r="G1213" s="1"/>
      <c r="H1213" s="1"/>
      <c r="I1213" s="1"/>
      <c r="J1213" s="1"/>
      <c r="K1213" s="1"/>
      <c r="L1213" s="430"/>
      <c r="AK1213" s="658"/>
    </row>
    <row r="1214" spans="2:37">
      <c r="B1214" s="1"/>
      <c r="C1214" s="858"/>
      <c r="D1214" s="1"/>
      <c r="E1214" s="1"/>
      <c r="F1214" s="1"/>
      <c r="G1214" s="1"/>
      <c r="H1214" s="1"/>
      <c r="I1214" s="1"/>
      <c r="J1214" s="1"/>
      <c r="K1214" s="1"/>
      <c r="L1214" s="430"/>
      <c r="AK1214" s="658"/>
    </row>
    <row r="1215" spans="2:37">
      <c r="B1215" s="1"/>
      <c r="C1215" s="858"/>
      <c r="D1215" s="1"/>
      <c r="E1215" s="1"/>
      <c r="F1215" s="1"/>
      <c r="G1215" s="1"/>
      <c r="H1215" s="1"/>
      <c r="I1215" s="1"/>
      <c r="J1215" s="1"/>
      <c r="K1215" s="1"/>
      <c r="L1215" s="430"/>
      <c r="AK1215" s="658"/>
    </row>
    <row r="1216" spans="2:37">
      <c r="B1216" s="1"/>
      <c r="C1216" s="858"/>
      <c r="D1216" s="1"/>
      <c r="E1216" s="1"/>
      <c r="F1216" s="1"/>
      <c r="G1216" s="1"/>
      <c r="H1216" s="1"/>
      <c r="I1216" s="1"/>
      <c r="J1216" s="1"/>
      <c r="K1216" s="1"/>
      <c r="L1216" s="430"/>
      <c r="AK1216" s="658"/>
    </row>
    <row r="1217" spans="2:37">
      <c r="B1217" s="1"/>
      <c r="C1217" s="858"/>
      <c r="D1217" s="1"/>
      <c r="E1217" s="1"/>
      <c r="F1217" s="1"/>
      <c r="G1217" s="1"/>
      <c r="H1217" s="1"/>
      <c r="I1217" s="1"/>
      <c r="J1217" s="1"/>
      <c r="K1217" s="1"/>
      <c r="L1217" s="430"/>
      <c r="AK1217" s="658"/>
    </row>
    <row r="1218" spans="2:37">
      <c r="B1218" s="1"/>
      <c r="C1218" s="858"/>
      <c r="D1218" s="1"/>
      <c r="E1218" s="1"/>
      <c r="F1218" s="1"/>
      <c r="G1218" s="1"/>
      <c r="H1218" s="1"/>
      <c r="I1218" s="1"/>
      <c r="J1218" s="1"/>
      <c r="K1218" s="1"/>
      <c r="L1218" s="430"/>
      <c r="AK1218" s="658"/>
    </row>
    <row r="1219" spans="2:37">
      <c r="B1219" s="1"/>
      <c r="C1219" s="858"/>
      <c r="D1219" s="1"/>
      <c r="E1219" s="1"/>
      <c r="F1219" s="1"/>
      <c r="G1219" s="1"/>
      <c r="H1219" s="1"/>
      <c r="I1219" s="1"/>
      <c r="J1219" s="1"/>
      <c r="K1219" s="1"/>
      <c r="L1219" s="430"/>
      <c r="AK1219" s="658"/>
    </row>
    <row r="1220" spans="2:37">
      <c r="B1220" s="1"/>
      <c r="C1220" s="858"/>
      <c r="D1220" s="1"/>
      <c r="E1220" s="1"/>
      <c r="F1220" s="1"/>
      <c r="G1220" s="1"/>
      <c r="H1220" s="1"/>
      <c r="I1220" s="1"/>
      <c r="J1220" s="1"/>
      <c r="K1220" s="1"/>
      <c r="L1220" s="430"/>
      <c r="AK1220" s="658"/>
    </row>
    <row r="1221" spans="2:37">
      <c r="B1221" s="1"/>
      <c r="C1221" s="858"/>
      <c r="D1221" s="1"/>
      <c r="E1221" s="1"/>
      <c r="F1221" s="1"/>
      <c r="G1221" s="1"/>
      <c r="H1221" s="1"/>
      <c r="I1221" s="1"/>
      <c r="J1221" s="1"/>
      <c r="K1221" s="1"/>
      <c r="L1221" s="430"/>
      <c r="AK1221" s="658"/>
    </row>
    <row r="1222" spans="2:37">
      <c r="B1222" s="1"/>
      <c r="C1222" s="858"/>
      <c r="D1222" s="1"/>
      <c r="E1222" s="1"/>
      <c r="F1222" s="1"/>
      <c r="G1222" s="1"/>
      <c r="H1222" s="1"/>
      <c r="I1222" s="1"/>
      <c r="J1222" s="1"/>
      <c r="K1222" s="1"/>
      <c r="L1222" s="430"/>
      <c r="AK1222" s="658"/>
    </row>
    <row r="1223" spans="2:37">
      <c r="B1223" s="1"/>
      <c r="C1223" s="858"/>
      <c r="D1223" s="1"/>
      <c r="E1223" s="1"/>
      <c r="F1223" s="1"/>
      <c r="G1223" s="1"/>
      <c r="H1223" s="1"/>
      <c r="I1223" s="1"/>
      <c r="J1223" s="1"/>
      <c r="K1223" s="1"/>
      <c r="L1223" s="430"/>
      <c r="AK1223" s="658"/>
    </row>
    <row r="1224" spans="2:37">
      <c r="B1224" s="1"/>
      <c r="C1224" s="858"/>
      <c r="D1224" s="1"/>
      <c r="E1224" s="1"/>
      <c r="F1224" s="1"/>
      <c r="G1224" s="1"/>
      <c r="H1224" s="1"/>
      <c r="I1224" s="1"/>
      <c r="J1224" s="1"/>
      <c r="K1224" s="1"/>
      <c r="L1224" s="430"/>
      <c r="AK1224" s="658"/>
    </row>
    <row r="1225" spans="2:37">
      <c r="B1225" s="1"/>
      <c r="C1225" s="858"/>
      <c r="D1225" s="1"/>
      <c r="E1225" s="1"/>
      <c r="F1225" s="1"/>
      <c r="G1225" s="1"/>
      <c r="H1225" s="1"/>
      <c r="I1225" s="1"/>
      <c r="J1225" s="1"/>
      <c r="K1225" s="1"/>
      <c r="L1225" s="430"/>
      <c r="AK1225" s="658"/>
    </row>
    <row r="1226" spans="2:37">
      <c r="B1226" s="1"/>
      <c r="C1226" s="858"/>
      <c r="D1226" s="1"/>
      <c r="E1226" s="1"/>
      <c r="F1226" s="1"/>
      <c r="G1226" s="1"/>
      <c r="H1226" s="1"/>
      <c r="I1226" s="1"/>
      <c r="J1226" s="1"/>
      <c r="K1226" s="1"/>
      <c r="L1226" s="430"/>
      <c r="AK1226" s="658"/>
    </row>
    <row r="1227" spans="2:37">
      <c r="B1227" s="1"/>
      <c r="C1227" s="858"/>
      <c r="D1227" s="1"/>
      <c r="E1227" s="1"/>
      <c r="F1227" s="1"/>
      <c r="G1227" s="1"/>
      <c r="H1227" s="1"/>
      <c r="I1227" s="1"/>
      <c r="J1227" s="1"/>
      <c r="K1227" s="1"/>
      <c r="L1227" s="430"/>
      <c r="AK1227" s="658"/>
    </row>
    <row r="1228" spans="2:37">
      <c r="B1228" s="1"/>
      <c r="C1228" s="858"/>
      <c r="D1228" s="1"/>
      <c r="E1228" s="1"/>
      <c r="F1228" s="1"/>
      <c r="G1228" s="1"/>
      <c r="H1228" s="1"/>
      <c r="I1228" s="1"/>
      <c r="J1228" s="1"/>
      <c r="K1228" s="1"/>
      <c r="L1228" s="430"/>
      <c r="AK1228" s="658"/>
    </row>
    <row r="1229" spans="2:37">
      <c r="B1229" s="1"/>
      <c r="C1229" s="858"/>
      <c r="D1229" s="1"/>
      <c r="E1229" s="1"/>
      <c r="F1229" s="1"/>
      <c r="G1229" s="1"/>
      <c r="H1229" s="1"/>
      <c r="I1229" s="1"/>
      <c r="J1229" s="1"/>
      <c r="K1229" s="1"/>
      <c r="L1229" s="430"/>
      <c r="AK1229" s="658"/>
    </row>
    <row r="1230" spans="2:37">
      <c r="B1230" s="1"/>
      <c r="C1230" s="858"/>
      <c r="D1230" s="1"/>
      <c r="E1230" s="1"/>
      <c r="F1230" s="1"/>
      <c r="G1230" s="1"/>
      <c r="H1230" s="1"/>
      <c r="I1230" s="1"/>
      <c r="J1230" s="1"/>
      <c r="K1230" s="1"/>
      <c r="L1230" s="430"/>
      <c r="AK1230" s="658"/>
    </row>
    <row r="1231" spans="2:37">
      <c r="B1231" s="1"/>
      <c r="C1231" s="858"/>
      <c r="D1231" s="1"/>
      <c r="E1231" s="1"/>
      <c r="F1231" s="1"/>
      <c r="G1231" s="1"/>
      <c r="H1231" s="1"/>
      <c r="I1231" s="1"/>
      <c r="J1231" s="1"/>
      <c r="K1231" s="1"/>
      <c r="L1231" s="430"/>
      <c r="AK1231" s="658"/>
    </row>
    <row r="1232" spans="2:37">
      <c r="B1232" s="1"/>
      <c r="C1232" s="858"/>
      <c r="D1232" s="1"/>
      <c r="E1232" s="1"/>
      <c r="F1232" s="1"/>
      <c r="G1232" s="1"/>
      <c r="H1232" s="1"/>
      <c r="I1232" s="1"/>
      <c r="J1232" s="1"/>
      <c r="K1232" s="1"/>
      <c r="L1232" s="430"/>
      <c r="AK1232" s="658"/>
    </row>
    <row r="1233" spans="2:37">
      <c r="B1233" s="1"/>
      <c r="C1233" s="858"/>
      <c r="D1233" s="1"/>
      <c r="E1233" s="1"/>
      <c r="F1233" s="1"/>
      <c r="G1233" s="1"/>
      <c r="H1233" s="1"/>
      <c r="I1233" s="1"/>
      <c r="J1233" s="1"/>
      <c r="K1233" s="1"/>
      <c r="L1233" s="430"/>
      <c r="AK1233" s="658"/>
    </row>
    <row r="1234" spans="2:37">
      <c r="B1234" s="1"/>
      <c r="C1234" s="858"/>
      <c r="D1234" s="1"/>
      <c r="E1234" s="1"/>
      <c r="F1234" s="1"/>
      <c r="G1234" s="1"/>
      <c r="H1234" s="1"/>
      <c r="I1234" s="1"/>
      <c r="J1234" s="1"/>
      <c r="K1234" s="1"/>
      <c r="L1234" s="430"/>
      <c r="AK1234" s="658"/>
    </row>
    <row r="1235" spans="2:37">
      <c r="B1235" s="1"/>
      <c r="C1235" s="858"/>
      <c r="D1235" s="1"/>
      <c r="E1235" s="1"/>
      <c r="F1235" s="1"/>
      <c r="G1235" s="1"/>
      <c r="H1235" s="1"/>
      <c r="I1235" s="1"/>
      <c r="J1235" s="1"/>
      <c r="K1235" s="1"/>
      <c r="L1235" s="430"/>
      <c r="AK1235" s="658"/>
    </row>
    <row r="1236" spans="2:37">
      <c r="B1236" s="1"/>
      <c r="C1236" s="858"/>
      <c r="D1236" s="1"/>
      <c r="E1236" s="1"/>
      <c r="F1236" s="1"/>
      <c r="G1236" s="1"/>
      <c r="H1236" s="1"/>
      <c r="I1236" s="1"/>
      <c r="J1236" s="1"/>
      <c r="K1236" s="1"/>
      <c r="L1236" s="430"/>
      <c r="AK1236" s="658"/>
    </row>
    <row r="1237" spans="2:37">
      <c r="B1237" s="1"/>
      <c r="C1237" s="858"/>
      <c r="D1237" s="1"/>
      <c r="E1237" s="1"/>
      <c r="F1237" s="1"/>
      <c r="G1237" s="1"/>
      <c r="H1237" s="1"/>
      <c r="I1237" s="1"/>
      <c r="J1237" s="1"/>
      <c r="K1237" s="1"/>
      <c r="L1237" s="430"/>
      <c r="AK1237" s="658"/>
    </row>
    <row r="1238" spans="2:37">
      <c r="B1238" s="1"/>
      <c r="C1238" s="858"/>
      <c r="D1238" s="1"/>
      <c r="E1238" s="1"/>
      <c r="F1238" s="1"/>
      <c r="G1238" s="1"/>
      <c r="H1238" s="1"/>
      <c r="I1238" s="1"/>
      <c r="J1238" s="1"/>
      <c r="K1238" s="1"/>
      <c r="L1238" s="430"/>
      <c r="AK1238" s="658"/>
    </row>
    <row r="1239" spans="2:37">
      <c r="B1239" s="1"/>
      <c r="C1239" s="858"/>
      <c r="D1239" s="1"/>
      <c r="E1239" s="1"/>
      <c r="F1239" s="1"/>
      <c r="G1239" s="1"/>
      <c r="H1239" s="1"/>
      <c r="I1239" s="1"/>
      <c r="J1239" s="1"/>
      <c r="K1239" s="1"/>
      <c r="L1239" s="430"/>
      <c r="AK1239" s="658"/>
    </row>
    <row r="1240" spans="2:37">
      <c r="B1240" s="1"/>
      <c r="C1240" s="858"/>
      <c r="D1240" s="1"/>
      <c r="E1240" s="1"/>
      <c r="F1240" s="1"/>
      <c r="G1240" s="1"/>
      <c r="H1240" s="1"/>
      <c r="I1240" s="1"/>
      <c r="J1240" s="1"/>
      <c r="K1240" s="1"/>
      <c r="L1240" s="430"/>
      <c r="AK1240" s="658"/>
    </row>
    <row r="1241" spans="2:37">
      <c r="B1241" s="1"/>
      <c r="C1241" s="858"/>
      <c r="D1241" s="1"/>
      <c r="E1241" s="1"/>
      <c r="F1241" s="1"/>
      <c r="G1241" s="1"/>
      <c r="H1241" s="1"/>
      <c r="I1241" s="1"/>
      <c r="J1241" s="1"/>
      <c r="K1241" s="1"/>
      <c r="L1241" s="430"/>
      <c r="AK1241" s="658"/>
    </row>
    <row r="1242" spans="2:37">
      <c r="B1242" s="1"/>
      <c r="C1242" s="858"/>
      <c r="D1242" s="1"/>
      <c r="E1242" s="1"/>
      <c r="F1242" s="1"/>
      <c r="G1242" s="1"/>
      <c r="H1242" s="1"/>
      <c r="I1242" s="1"/>
      <c r="J1242" s="1"/>
      <c r="K1242" s="1"/>
      <c r="L1242" s="430"/>
      <c r="AK1242" s="658"/>
    </row>
    <row r="1243" spans="2:37">
      <c r="B1243" s="1"/>
      <c r="C1243" s="858"/>
      <c r="D1243" s="1"/>
      <c r="E1243" s="1"/>
      <c r="F1243" s="1"/>
      <c r="G1243" s="1"/>
      <c r="H1243" s="1"/>
      <c r="I1243" s="1"/>
      <c r="J1243" s="1"/>
      <c r="K1243" s="1"/>
      <c r="L1243" s="430"/>
      <c r="AK1243" s="658"/>
    </row>
    <row r="1244" spans="2:37">
      <c r="B1244" s="1"/>
      <c r="C1244" s="858"/>
      <c r="D1244" s="1"/>
      <c r="E1244" s="1"/>
      <c r="F1244" s="1"/>
      <c r="G1244" s="1"/>
      <c r="H1244" s="1"/>
      <c r="I1244" s="1"/>
      <c r="J1244" s="1"/>
      <c r="K1244" s="1"/>
      <c r="L1244" s="430"/>
      <c r="AK1244" s="658"/>
    </row>
    <row r="1245" spans="2:37">
      <c r="B1245" s="1"/>
      <c r="C1245" s="858"/>
      <c r="D1245" s="1"/>
      <c r="E1245" s="1"/>
      <c r="F1245" s="1"/>
      <c r="G1245" s="1"/>
      <c r="H1245" s="1"/>
      <c r="I1245" s="1"/>
      <c r="J1245" s="1"/>
      <c r="K1245" s="1"/>
      <c r="L1245" s="430"/>
      <c r="AK1245" s="658"/>
    </row>
    <row r="1246" spans="2:37">
      <c r="B1246" s="1"/>
      <c r="C1246" s="858"/>
      <c r="D1246" s="1"/>
      <c r="E1246" s="1"/>
      <c r="F1246" s="1"/>
      <c r="G1246" s="1"/>
      <c r="H1246" s="1"/>
      <c r="I1246" s="1"/>
      <c r="J1246" s="1"/>
      <c r="K1246" s="1"/>
      <c r="L1246" s="430"/>
      <c r="AK1246" s="658"/>
    </row>
    <row r="1247" spans="2:37">
      <c r="B1247" s="1"/>
      <c r="C1247" s="858"/>
      <c r="D1247" s="1"/>
      <c r="E1247" s="1"/>
      <c r="F1247" s="1"/>
      <c r="G1247" s="1"/>
      <c r="H1247" s="1"/>
      <c r="I1247" s="1"/>
      <c r="J1247" s="1"/>
      <c r="K1247" s="1"/>
      <c r="L1247" s="430"/>
      <c r="AK1247" s="658"/>
    </row>
    <row r="1248" spans="2:37">
      <c r="B1248" s="1"/>
      <c r="C1248" s="858"/>
      <c r="D1248" s="1"/>
      <c r="E1248" s="1"/>
      <c r="F1248" s="1"/>
      <c r="G1248" s="1"/>
      <c r="H1248" s="1"/>
      <c r="I1248" s="1"/>
      <c r="J1248" s="1"/>
      <c r="K1248" s="1"/>
      <c r="L1248" s="430"/>
      <c r="AK1248" s="658"/>
    </row>
    <row r="1249" spans="2:37">
      <c r="B1249" s="1"/>
      <c r="C1249" s="858"/>
      <c r="D1249" s="1"/>
      <c r="E1249" s="1"/>
      <c r="F1249" s="1"/>
      <c r="G1249" s="1"/>
      <c r="H1249" s="1"/>
      <c r="I1249" s="1"/>
      <c r="J1249" s="1"/>
      <c r="K1249" s="1"/>
      <c r="L1249" s="430"/>
      <c r="AK1249" s="658"/>
    </row>
    <row r="1250" spans="2:37">
      <c r="B1250" s="1"/>
      <c r="C1250" s="858"/>
      <c r="D1250" s="1"/>
      <c r="E1250" s="1"/>
      <c r="F1250" s="1"/>
      <c r="G1250" s="1"/>
      <c r="H1250" s="1"/>
      <c r="I1250" s="1"/>
      <c r="J1250" s="1"/>
      <c r="K1250" s="1"/>
      <c r="L1250" s="430"/>
      <c r="AK1250" s="658"/>
    </row>
    <row r="1251" spans="2:37">
      <c r="B1251" s="1"/>
      <c r="C1251" s="858"/>
      <c r="D1251" s="1"/>
      <c r="E1251" s="1"/>
      <c r="F1251" s="1"/>
      <c r="G1251" s="1"/>
      <c r="H1251" s="1"/>
      <c r="I1251" s="1"/>
      <c r="J1251" s="1"/>
      <c r="K1251" s="1"/>
      <c r="L1251" s="430"/>
      <c r="AK1251" s="658"/>
    </row>
    <row r="1252" spans="2:37">
      <c r="B1252" s="1"/>
      <c r="C1252" s="858"/>
      <c r="D1252" s="1"/>
      <c r="E1252" s="1"/>
      <c r="F1252" s="1"/>
      <c r="G1252" s="1"/>
      <c r="H1252" s="1"/>
      <c r="I1252" s="1"/>
      <c r="J1252" s="1"/>
      <c r="K1252" s="1"/>
      <c r="L1252" s="430"/>
      <c r="AK1252" s="658"/>
    </row>
    <row r="1253" spans="2:37">
      <c r="B1253" s="1"/>
      <c r="C1253" s="858"/>
      <c r="D1253" s="1"/>
      <c r="E1253" s="1"/>
      <c r="F1253" s="1"/>
      <c r="G1253" s="1"/>
      <c r="H1253" s="1"/>
      <c r="I1253" s="1"/>
      <c r="J1253" s="1"/>
      <c r="K1253" s="1"/>
      <c r="L1253" s="430"/>
      <c r="AK1253" s="658"/>
    </row>
    <row r="1254" spans="2:37">
      <c r="B1254" s="1"/>
      <c r="C1254" s="858"/>
      <c r="D1254" s="1"/>
      <c r="E1254" s="1"/>
      <c r="F1254" s="1"/>
      <c r="G1254" s="1"/>
      <c r="H1254" s="1"/>
      <c r="I1254" s="1"/>
      <c r="J1254" s="1"/>
      <c r="K1254" s="1"/>
      <c r="L1254" s="430"/>
      <c r="AK1254" s="658"/>
    </row>
    <row r="1255" spans="2:37">
      <c r="B1255" s="1"/>
      <c r="C1255" s="858"/>
      <c r="D1255" s="1"/>
      <c r="E1255" s="1"/>
      <c r="F1255" s="1"/>
      <c r="G1255" s="1"/>
      <c r="H1255" s="1"/>
      <c r="I1255" s="1"/>
      <c r="J1255" s="1"/>
      <c r="K1255" s="1"/>
      <c r="L1255" s="430"/>
      <c r="AK1255" s="658"/>
    </row>
    <row r="1256" spans="2:37">
      <c r="B1256" s="1"/>
      <c r="C1256" s="858"/>
      <c r="D1256" s="1"/>
      <c r="E1256" s="1"/>
      <c r="F1256" s="1"/>
      <c r="G1256" s="1"/>
      <c r="H1256" s="1"/>
      <c r="I1256" s="1"/>
      <c r="J1256" s="1"/>
      <c r="K1256" s="1"/>
      <c r="L1256" s="430"/>
      <c r="AK1256" s="658"/>
    </row>
    <row r="1257" spans="2:37">
      <c r="B1257" s="1"/>
      <c r="C1257" s="858"/>
      <c r="D1257" s="1"/>
      <c r="E1257" s="1"/>
      <c r="F1257" s="1"/>
      <c r="G1257" s="1"/>
      <c r="H1257" s="1"/>
      <c r="I1257" s="1"/>
      <c r="J1257" s="1"/>
      <c r="K1257" s="1"/>
      <c r="L1257" s="430"/>
      <c r="AK1257" s="658"/>
    </row>
    <row r="1258" spans="2:37">
      <c r="B1258" s="1"/>
      <c r="C1258" s="858"/>
      <c r="D1258" s="1"/>
      <c r="E1258" s="1"/>
      <c r="F1258" s="1"/>
      <c r="G1258" s="1"/>
      <c r="H1258" s="1"/>
      <c r="I1258" s="1"/>
      <c r="J1258" s="1"/>
      <c r="K1258" s="1"/>
      <c r="L1258" s="430"/>
      <c r="AK1258" s="658"/>
    </row>
    <row r="1259" spans="2:37">
      <c r="B1259" s="1"/>
      <c r="C1259" s="858"/>
      <c r="D1259" s="1"/>
      <c r="E1259" s="1"/>
      <c r="F1259" s="1"/>
      <c r="G1259" s="1"/>
      <c r="H1259" s="1"/>
      <c r="I1259" s="1"/>
      <c r="J1259" s="1"/>
      <c r="K1259" s="1"/>
      <c r="L1259" s="430"/>
      <c r="AK1259" s="658"/>
    </row>
    <row r="1260" spans="2:37">
      <c r="B1260" s="1"/>
      <c r="C1260" s="858"/>
      <c r="D1260" s="1"/>
      <c r="E1260" s="1"/>
      <c r="F1260" s="1"/>
      <c r="G1260" s="1"/>
      <c r="H1260" s="1"/>
      <c r="I1260" s="1"/>
      <c r="J1260" s="1"/>
      <c r="K1260" s="1"/>
      <c r="L1260" s="430"/>
      <c r="AK1260" s="658"/>
    </row>
    <row r="1261" spans="2:37">
      <c r="B1261" s="1"/>
      <c r="C1261" s="858"/>
      <c r="D1261" s="1"/>
      <c r="E1261" s="1"/>
      <c r="F1261" s="1"/>
      <c r="G1261" s="1"/>
      <c r="H1261" s="1"/>
      <c r="I1261" s="1"/>
      <c r="J1261" s="1"/>
      <c r="K1261" s="1"/>
      <c r="L1261" s="430"/>
      <c r="AK1261" s="658"/>
    </row>
    <row r="1262" spans="2:37">
      <c r="B1262" s="1"/>
      <c r="C1262" s="858"/>
      <c r="D1262" s="1"/>
      <c r="E1262" s="1"/>
      <c r="F1262" s="1"/>
      <c r="G1262" s="1"/>
      <c r="H1262" s="1"/>
      <c r="I1262" s="1"/>
      <c r="J1262" s="1"/>
      <c r="K1262" s="1"/>
      <c r="L1262" s="430"/>
      <c r="AK1262" s="658"/>
    </row>
    <row r="1263" spans="2:37">
      <c r="B1263" s="1"/>
      <c r="C1263" s="858"/>
      <c r="D1263" s="1"/>
      <c r="E1263" s="1"/>
      <c r="F1263" s="1"/>
      <c r="G1263" s="1"/>
      <c r="H1263" s="1"/>
      <c r="I1263" s="1"/>
      <c r="J1263" s="1"/>
      <c r="K1263" s="1"/>
      <c r="L1263" s="430"/>
      <c r="AK1263" s="658"/>
    </row>
    <row r="1264" spans="2:37">
      <c r="B1264" s="1"/>
      <c r="C1264" s="858"/>
      <c r="D1264" s="1"/>
      <c r="E1264" s="1"/>
      <c r="F1264" s="1"/>
      <c r="G1264" s="1"/>
      <c r="H1264" s="1"/>
      <c r="I1264" s="1"/>
      <c r="J1264" s="1"/>
      <c r="K1264" s="1"/>
      <c r="L1264" s="430"/>
      <c r="AK1264" s="658"/>
    </row>
    <row r="1265" spans="2:37">
      <c r="B1265" s="1"/>
      <c r="C1265" s="858"/>
      <c r="D1265" s="1"/>
      <c r="E1265" s="1"/>
      <c r="F1265" s="1"/>
      <c r="G1265" s="1"/>
      <c r="H1265" s="1"/>
      <c r="I1265" s="1"/>
      <c r="J1265" s="1"/>
      <c r="K1265" s="1"/>
      <c r="L1265" s="430"/>
      <c r="AK1265" s="658"/>
    </row>
    <row r="1266" spans="2:37">
      <c r="B1266" s="1"/>
      <c r="C1266" s="858"/>
      <c r="D1266" s="1"/>
      <c r="E1266" s="1"/>
      <c r="F1266" s="1"/>
      <c r="G1266" s="1"/>
      <c r="H1266" s="1"/>
      <c r="I1266" s="1"/>
      <c r="J1266" s="1"/>
      <c r="K1266" s="1"/>
      <c r="L1266" s="430"/>
      <c r="AK1266" s="658"/>
    </row>
    <row r="1267" spans="2:37">
      <c r="B1267" s="1"/>
      <c r="C1267" s="858"/>
      <c r="D1267" s="1"/>
      <c r="E1267" s="1"/>
      <c r="F1267" s="1"/>
      <c r="G1267" s="1"/>
      <c r="H1267" s="1"/>
      <c r="I1267" s="1"/>
      <c r="J1267" s="1"/>
      <c r="K1267" s="1"/>
      <c r="L1267" s="430"/>
      <c r="AK1267" s="658"/>
    </row>
    <row r="1268" spans="2:37">
      <c r="B1268" s="1"/>
      <c r="C1268" s="858"/>
      <c r="D1268" s="1"/>
      <c r="E1268" s="1"/>
      <c r="F1268" s="1"/>
      <c r="G1268" s="1"/>
      <c r="H1268" s="1"/>
      <c r="I1268" s="1"/>
      <c r="J1268" s="1"/>
      <c r="K1268" s="1"/>
      <c r="L1268" s="430"/>
      <c r="AK1268" s="658"/>
    </row>
    <row r="1269" spans="2:37">
      <c r="B1269" s="1"/>
      <c r="C1269" s="858"/>
      <c r="D1269" s="1"/>
      <c r="E1269" s="1"/>
      <c r="F1269" s="1"/>
      <c r="G1269" s="1"/>
      <c r="H1269" s="1"/>
      <c r="I1269" s="1"/>
      <c r="J1269" s="1"/>
      <c r="K1269" s="1"/>
      <c r="L1269" s="430"/>
      <c r="AK1269" s="658"/>
    </row>
    <row r="1270" spans="2:37">
      <c r="B1270" s="1"/>
      <c r="C1270" s="858"/>
      <c r="D1270" s="1"/>
      <c r="E1270" s="1"/>
      <c r="F1270" s="1"/>
      <c r="G1270" s="1"/>
      <c r="H1270" s="1"/>
      <c r="I1270" s="1"/>
      <c r="J1270" s="1"/>
      <c r="K1270" s="1"/>
      <c r="L1270" s="430"/>
      <c r="AK1270" s="658"/>
    </row>
    <row r="1271" spans="2:37">
      <c r="B1271" s="1"/>
      <c r="C1271" s="858"/>
      <c r="D1271" s="1"/>
      <c r="E1271" s="1"/>
      <c r="F1271" s="1"/>
      <c r="G1271" s="1"/>
      <c r="H1271" s="1"/>
      <c r="I1271" s="1"/>
      <c r="J1271" s="1"/>
      <c r="K1271" s="1"/>
      <c r="L1271" s="430"/>
      <c r="AK1271" s="658"/>
    </row>
    <row r="1272" spans="2:37">
      <c r="B1272" s="1"/>
      <c r="C1272" s="858"/>
      <c r="D1272" s="1"/>
      <c r="E1272" s="1"/>
      <c r="F1272" s="1"/>
      <c r="G1272" s="1"/>
      <c r="H1272" s="1"/>
      <c r="I1272" s="1"/>
      <c r="J1272" s="1"/>
      <c r="K1272" s="1"/>
      <c r="L1272" s="430"/>
      <c r="AK1272" s="658"/>
    </row>
    <row r="1273" spans="2:37">
      <c r="B1273" s="1"/>
      <c r="C1273" s="858"/>
      <c r="D1273" s="1"/>
      <c r="E1273" s="1"/>
      <c r="F1273" s="1"/>
      <c r="G1273" s="1"/>
      <c r="H1273" s="1"/>
      <c r="I1273" s="1"/>
      <c r="J1273" s="1"/>
      <c r="K1273" s="1"/>
      <c r="L1273" s="430"/>
      <c r="AK1273" s="658"/>
    </row>
    <row r="1274" spans="2:37">
      <c r="B1274" s="1"/>
      <c r="C1274" s="858"/>
      <c r="D1274" s="1"/>
      <c r="E1274" s="1"/>
      <c r="F1274" s="1"/>
      <c r="G1274" s="1"/>
      <c r="H1274" s="1"/>
      <c r="I1274" s="1"/>
      <c r="J1274" s="1"/>
      <c r="K1274" s="1"/>
      <c r="L1274" s="430"/>
      <c r="AK1274" s="658"/>
    </row>
    <row r="1275" spans="2:37">
      <c r="B1275" s="1"/>
      <c r="C1275" s="858"/>
      <c r="D1275" s="1"/>
      <c r="E1275" s="1"/>
      <c r="F1275" s="1"/>
      <c r="G1275" s="1"/>
      <c r="H1275" s="1"/>
      <c r="I1275" s="1"/>
      <c r="J1275" s="1"/>
      <c r="K1275" s="1"/>
      <c r="L1275" s="430"/>
      <c r="AK1275" s="658"/>
    </row>
    <row r="1276" spans="2:37">
      <c r="B1276" s="1"/>
      <c r="C1276" s="858"/>
      <c r="D1276" s="1"/>
      <c r="E1276" s="1"/>
      <c r="F1276" s="1"/>
      <c r="G1276" s="1"/>
      <c r="H1276" s="1"/>
      <c r="I1276" s="1"/>
      <c r="J1276" s="1"/>
      <c r="K1276" s="1"/>
      <c r="L1276" s="430"/>
      <c r="AK1276" s="658"/>
    </row>
    <row r="1277" spans="2:37">
      <c r="B1277" s="1"/>
      <c r="C1277" s="858"/>
      <c r="D1277" s="1"/>
      <c r="E1277" s="1"/>
      <c r="F1277" s="1"/>
      <c r="G1277" s="1"/>
      <c r="H1277" s="1"/>
      <c r="I1277" s="1"/>
      <c r="J1277" s="1"/>
      <c r="K1277" s="1"/>
      <c r="L1277" s="430"/>
      <c r="AK1277" s="658"/>
    </row>
    <row r="1278" spans="2:37">
      <c r="B1278" s="1"/>
      <c r="C1278" s="858"/>
      <c r="D1278" s="1"/>
      <c r="E1278" s="1"/>
      <c r="F1278" s="1"/>
      <c r="G1278" s="1"/>
      <c r="H1278" s="1"/>
      <c r="I1278" s="1"/>
      <c r="J1278" s="1"/>
      <c r="K1278" s="1"/>
      <c r="L1278" s="430"/>
      <c r="AK1278" s="658"/>
    </row>
    <row r="1279" spans="2:37">
      <c r="B1279" s="1"/>
      <c r="C1279" s="858"/>
      <c r="D1279" s="1"/>
      <c r="E1279" s="1"/>
      <c r="F1279" s="1"/>
      <c r="G1279" s="1"/>
      <c r="H1279" s="1"/>
      <c r="I1279" s="1"/>
      <c r="J1279" s="1"/>
      <c r="K1279" s="1"/>
      <c r="L1279" s="430"/>
      <c r="AK1279" s="658"/>
    </row>
    <row r="1280" spans="2:37">
      <c r="B1280" s="1"/>
      <c r="C1280" s="858"/>
      <c r="D1280" s="1"/>
      <c r="E1280" s="1"/>
      <c r="F1280" s="1"/>
      <c r="G1280" s="1"/>
      <c r="H1280" s="1"/>
      <c r="I1280" s="1"/>
      <c r="J1280" s="1"/>
      <c r="K1280" s="1"/>
      <c r="L1280" s="430"/>
      <c r="AK1280" s="658"/>
    </row>
    <row r="1281" spans="2:37">
      <c r="B1281" s="1"/>
      <c r="C1281" s="858"/>
      <c r="D1281" s="1"/>
      <c r="E1281" s="1"/>
      <c r="F1281" s="1"/>
      <c r="G1281" s="1"/>
      <c r="H1281" s="1"/>
      <c r="I1281" s="1"/>
      <c r="J1281" s="1"/>
      <c r="K1281" s="1"/>
      <c r="L1281" s="430"/>
      <c r="AK1281" s="658"/>
    </row>
    <row r="1282" spans="2:37">
      <c r="B1282" s="1"/>
      <c r="C1282" s="858"/>
      <c r="D1282" s="1"/>
      <c r="E1282" s="1"/>
      <c r="F1282" s="1"/>
      <c r="G1282" s="1"/>
      <c r="H1282" s="1"/>
      <c r="I1282" s="1"/>
      <c r="J1282" s="1"/>
      <c r="K1282" s="1"/>
      <c r="L1282" s="430"/>
      <c r="AK1282" s="658"/>
    </row>
    <row r="1283" spans="2:37">
      <c r="B1283" s="1"/>
      <c r="C1283" s="858"/>
      <c r="D1283" s="1"/>
      <c r="E1283" s="1"/>
      <c r="F1283" s="1"/>
      <c r="G1283" s="1"/>
      <c r="H1283" s="1"/>
      <c r="I1283" s="1"/>
      <c r="J1283" s="1"/>
      <c r="K1283" s="1"/>
      <c r="L1283" s="430"/>
      <c r="AK1283" s="658"/>
    </row>
    <row r="1284" spans="2:37">
      <c r="B1284" s="1"/>
      <c r="C1284" s="858"/>
      <c r="D1284" s="1"/>
      <c r="E1284" s="1"/>
      <c r="F1284" s="1"/>
      <c r="G1284" s="1"/>
      <c r="H1284" s="1"/>
      <c r="I1284" s="1"/>
      <c r="J1284" s="1"/>
      <c r="K1284" s="1"/>
      <c r="L1284" s="430"/>
      <c r="AK1284" s="658"/>
    </row>
    <row r="1285" spans="2:37">
      <c r="B1285" s="1"/>
      <c r="C1285" s="858"/>
      <c r="D1285" s="1"/>
      <c r="E1285" s="1"/>
      <c r="F1285" s="1"/>
      <c r="G1285" s="1"/>
      <c r="H1285" s="1"/>
      <c r="I1285" s="1"/>
      <c r="J1285" s="1"/>
      <c r="K1285" s="1"/>
      <c r="L1285" s="430"/>
      <c r="AK1285" s="658"/>
    </row>
    <row r="1286" spans="2:37">
      <c r="B1286" s="1"/>
      <c r="C1286" s="858"/>
      <c r="D1286" s="1"/>
      <c r="E1286" s="1"/>
      <c r="F1286" s="1"/>
      <c r="G1286" s="1"/>
      <c r="H1286" s="1"/>
      <c r="I1286" s="1"/>
      <c r="J1286" s="1"/>
      <c r="K1286" s="1"/>
      <c r="L1286" s="430"/>
      <c r="AK1286" s="658"/>
    </row>
    <row r="1287" spans="2:37">
      <c r="B1287" s="1"/>
      <c r="C1287" s="858"/>
      <c r="D1287" s="1"/>
      <c r="E1287" s="1"/>
      <c r="F1287" s="1"/>
      <c r="G1287" s="1"/>
      <c r="H1287" s="1"/>
      <c r="I1287" s="1"/>
      <c r="J1287" s="1"/>
      <c r="K1287" s="1"/>
      <c r="L1287" s="430"/>
      <c r="AK1287" s="658"/>
    </row>
    <row r="1288" spans="2:37">
      <c r="B1288" s="1"/>
      <c r="C1288" s="858"/>
      <c r="D1288" s="1"/>
      <c r="E1288" s="1"/>
      <c r="F1288" s="1"/>
      <c r="G1288" s="1"/>
      <c r="H1288" s="1"/>
      <c r="I1288" s="1"/>
      <c r="J1288" s="1"/>
      <c r="K1288" s="1"/>
      <c r="L1288" s="430"/>
      <c r="AK1288" s="658"/>
    </row>
    <row r="1289" spans="2:37">
      <c r="B1289" s="1"/>
      <c r="C1289" s="858"/>
      <c r="D1289" s="1"/>
      <c r="E1289" s="1"/>
      <c r="F1289" s="1"/>
      <c r="G1289" s="1"/>
      <c r="H1289" s="1"/>
      <c r="I1289" s="1"/>
      <c r="J1289" s="1"/>
      <c r="K1289" s="1"/>
      <c r="L1289" s="430"/>
      <c r="AK1289" s="658"/>
    </row>
    <row r="1290" spans="2:37">
      <c r="B1290" s="1"/>
      <c r="C1290" s="858"/>
      <c r="D1290" s="1"/>
      <c r="E1290" s="1"/>
      <c r="F1290" s="1"/>
      <c r="G1290" s="1"/>
      <c r="H1290" s="1"/>
      <c r="I1290" s="1"/>
      <c r="J1290" s="1"/>
      <c r="K1290" s="1"/>
      <c r="L1290" s="430"/>
      <c r="AK1290" s="658"/>
    </row>
    <row r="1291" spans="2:37">
      <c r="B1291" s="1"/>
      <c r="C1291" s="858"/>
      <c r="D1291" s="1"/>
      <c r="E1291" s="1"/>
      <c r="F1291" s="1"/>
      <c r="G1291" s="1"/>
      <c r="H1291" s="1"/>
      <c r="I1291" s="1"/>
      <c r="J1291" s="1"/>
      <c r="K1291" s="1"/>
      <c r="L1291" s="430"/>
      <c r="AK1291" s="658"/>
    </row>
    <row r="1292" spans="2:37">
      <c r="B1292" s="1"/>
      <c r="C1292" s="858"/>
      <c r="D1292" s="1"/>
      <c r="E1292" s="1"/>
      <c r="F1292" s="1"/>
      <c r="G1292" s="1"/>
      <c r="H1292" s="1"/>
      <c r="I1292" s="1"/>
      <c r="J1292" s="1"/>
      <c r="K1292" s="1"/>
      <c r="L1292" s="430"/>
      <c r="AK1292" s="658"/>
    </row>
    <row r="1293" spans="2:37">
      <c r="B1293" s="1"/>
      <c r="C1293" s="858"/>
      <c r="D1293" s="1"/>
      <c r="E1293" s="1"/>
      <c r="F1293" s="1"/>
      <c r="G1293" s="1"/>
      <c r="H1293" s="1"/>
      <c r="I1293" s="1"/>
      <c r="J1293" s="1"/>
      <c r="K1293" s="1"/>
      <c r="L1293" s="430"/>
      <c r="AK1293" s="658"/>
    </row>
    <row r="1294" spans="2:37">
      <c r="B1294" s="1"/>
      <c r="C1294" s="858"/>
      <c r="D1294" s="1"/>
      <c r="E1294" s="1"/>
      <c r="F1294" s="1"/>
      <c r="G1294" s="1"/>
      <c r="H1294" s="1"/>
      <c r="I1294" s="1"/>
      <c r="J1294" s="1"/>
      <c r="K1294" s="1"/>
      <c r="L1294" s="430"/>
      <c r="AK1294" s="658"/>
    </row>
    <row r="1295" spans="2:37">
      <c r="B1295" s="1"/>
      <c r="C1295" s="858"/>
      <c r="D1295" s="1"/>
      <c r="E1295" s="1"/>
      <c r="F1295" s="1"/>
      <c r="G1295" s="1"/>
      <c r="H1295" s="1"/>
      <c r="I1295" s="1"/>
      <c r="J1295" s="1"/>
      <c r="K1295" s="1"/>
      <c r="L1295" s="430"/>
      <c r="AK1295" s="658"/>
    </row>
    <row r="1296" spans="2:37">
      <c r="B1296" s="1"/>
      <c r="C1296" s="858"/>
      <c r="D1296" s="1"/>
      <c r="E1296" s="1"/>
      <c r="F1296" s="1"/>
      <c r="G1296" s="1"/>
      <c r="H1296" s="1"/>
      <c r="I1296" s="1"/>
      <c r="J1296" s="1"/>
      <c r="K1296" s="1"/>
      <c r="L1296" s="430"/>
      <c r="AK1296" s="658"/>
    </row>
    <row r="1297" spans="2:37">
      <c r="B1297" s="1"/>
      <c r="C1297" s="858"/>
      <c r="D1297" s="1"/>
      <c r="E1297" s="1"/>
      <c r="F1297" s="1"/>
      <c r="G1297" s="1"/>
      <c r="H1297" s="1"/>
      <c r="I1297" s="1"/>
      <c r="J1297" s="1"/>
      <c r="K1297" s="1"/>
      <c r="L1297" s="430"/>
      <c r="AK1297" s="658"/>
    </row>
    <row r="1298" spans="2:37">
      <c r="B1298" s="1"/>
      <c r="C1298" s="858"/>
      <c r="D1298" s="1"/>
      <c r="E1298" s="1"/>
      <c r="F1298" s="1"/>
      <c r="G1298" s="1"/>
      <c r="H1298" s="1"/>
      <c r="I1298" s="1"/>
      <c r="J1298" s="1"/>
      <c r="K1298" s="1"/>
      <c r="L1298" s="430"/>
      <c r="AK1298" s="658"/>
    </row>
    <row r="1299" spans="2:37">
      <c r="B1299" s="1"/>
      <c r="C1299" s="858"/>
      <c r="D1299" s="1"/>
      <c r="E1299" s="1"/>
      <c r="F1299" s="1"/>
      <c r="G1299" s="1"/>
      <c r="H1299" s="1"/>
      <c r="I1299" s="1"/>
      <c r="J1299" s="1"/>
      <c r="K1299" s="1"/>
      <c r="L1299" s="430"/>
      <c r="AK1299" s="658"/>
    </row>
    <row r="1300" spans="2:37">
      <c r="B1300" s="1"/>
      <c r="C1300" s="858"/>
      <c r="D1300" s="1"/>
      <c r="E1300" s="1"/>
      <c r="F1300" s="1"/>
      <c r="G1300" s="1"/>
      <c r="H1300" s="1"/>
      <c r="I1300" s="1"/>
      <c r="J1300" s="1"/>
      <c r="K1300" s="1"/>
      <c r="L1300" s="430"/>
      <c r="AK1300" s="658"/>
    </row>
    <row r="1301" spans="2:37">
      <c r="B1301" s="1"/>
      <c r="C1301" s="858"/>
      <c r="D1301" s="1"/>
      <c r="E1301" s="1"/>
      <c r="F1301" s="1"/>
      <c r="G1301" s="1"/>
      <c r="H1301" s="1"/>
      <c r="I1301" s="1"/>
      <c r="J1301" s="1"/>
      <c r="K1301" s="1"/>
      <c r="L1301" s="430"/>
      <c r="AK1301" s="658"/>
    </row>
    <row r="1302" spans="2:37">
      <c r="B1302" s="1"/>
      <c r="C1302" s="858"/>
      <c r="D1302" s="1"/>
      <c r="E1302" s="1"/>
      <c r="F1302" s="1"/>
      <c r="G1302" s="1"/>
      <c r="H1302" s="1"/>
      <c r="I1302" s="1"/>
      <c r="J1302" s="1"/>
      <c r="K1302" s="1"/>
      <c r="L1302" s="430"/>
      <c r="AK1302" s="658"/>
    </row>
    <row r="1303" spans="2:37">
      <c r="B1303" s="1"/>
      <c r="C1303" s="858"/>
      <c r="D1303" s="1"/>
      <c r="E1303" s="1"/>
      <c r="F1303" s="1"/>
      <c r="G1303" s="1"/>
      <c r="H1303" s="1"/>
      <c r="I1303" s="1"/>
      <c r="J1303" s="1"/>
      <c r="K1303" s="1"/>
      <c r="L1303" s="430"/>
      <c r="AK1303" s="658"/>
    </row>
    <row r="1304" spans="2:37">
      <c r="B1304" s="1"/>
      <c r="C1304" s="858"/>
      <c r="D1304" s="1"/>
      <c r="E1304" s="1"/>
      <c r="F1304" s="1"/>
      <c r="G1304" s="1"/>
      <c r="H1304" s="1"/>
      <c r="I1304" s="1"/>
      <c r="J1304" s="1"/>
      <c r="K1304" s="1"/>
      <c r="L1304" s="430"/>
      <c r="AK1304" s="658"/>
    </row>
    <row r="1305" spans="2:37">
      <c r="B1305" s="1"/>
      <c r="C1305" s="858"/>
      <c r="D1305" s="1"/>
      <c r="E1305" s="1"/>
      <c r="F1305" s="1"/>
      <c r="G1305" s="1"/>
      <c r="H1305" s="1"/>
      <c r="I1305" s="1"/>
      <c r="J1305" s="1"/>
      <c r="K1305" s="1"/>
      <c r="L1305" s="430"/>
      <c r="AK1305" s="658"/>
    </row>
    <row r="1306" spans="2:37">
      <c r="B1306" s="1"/>
      <c r="C1306" s="858"/>
      <c r="D1306" s="1"/>
      <c r="E1306" s="1"/>
      <c r="F1306" s="1"/>
      <c r="G1306" s="1"/>
      <c r="H1306" s="1"/>
      <c r="I1306" s="1"/>
      <c r="J1306" s="1"/>
      <c r="K1306" s="1"/>
      <c r="L1306" s="430"/>
      <c r="AK1306" s="658"/>
    </row>
    <row r="1307" spans="2:37">
      <c r="B1307" s="1"/>
      <c r="C1307" s="858"/>
      <c r="D1307" s="1"/>
      <c r="E1307" s="1"/>
      <c r="F1307" s="1"/>
      <c r="G1307" s="1"/>
      <c r="H1307" s="1"/>
      <c r="I1307" s="1"/>
      <c r="J1307" s="1"/>
      <c r="K1307" s="1"/>
      <c r="L1307" s="430"/>
      <c r="AK1307" s="658"/>
    </row>
    <row r="1308" spans="2:37">
      <c r="B1308" s="1"/>
      <c r="C1308" s="858"/>
      <c r="D1308" s="1"/>
      <c r="E1308" s="1"/>
      <c r="F1308" s="1"/>
      <c r="G1308" s="1"/>
      <c r="H1308" s="1"/>
      <c r="I1308" s="1"/>
      <c r="J1308" s="1"/>
      <c r="K1308" s="1"/>
      <c r="L1308" s="430"/>
      <c r="AK1308" s="658"/>
    </row>
    <row r="1309" spans="2:37">
      <c r="B1309" s="1"/>
      <c r="C1309" s="858"/>
      <c r="D1309" s="1"/>
      <c r="E1309" s="1"/>
      <c r="F1309" s="1"/>
      <c r="G1309" s="1"/>
      <c r="H1309" s="1"/>
      <c r="I1309" s="1"/>
      <c r="J1309" s="1"/>
      <c r="K1309" s="1"/>
      <c r="L1309" s="430"/>
      <c r="AK1309" s="658"/>
    </row>
    <row r="1310" spans="2:37">
      <c r="B1310" s="1"/>
      <c r="C1310" s="858"/>
      <c r="D1310" s="1"/>
      <c r="E1310" s="1"/>
      <c r="F1310" s="1"/>
      <c r="G1310" s="1"/>
      <c r="H1310" s="1"/>
      <c r="I1310" s="1"/>
      <c r="J1310" s="1"/>
      <c r="K1310" s="1"/>
      <c r="L1310" s="430"/>
      <c r="AK1310" s="658"/>
    </row>
    <row r="1311" spans="2:37">
      <c r="B1311" s="1"/>
      <c r="C1311" s="858"/>
      <c r="D1311" s="1"/>
      <c r="E1311" s="1"/>
      <c r="F1311" s="1"/>
      <c r="G1311" s="1"/>
      <c r="H1311" s="1"/>
      <c r="I1311" s="1"/>
      <c r="J1311" s="1"/>
      <c r="K1311" s="1"/>
      <c r="L1311" s="430"/>
      <c r="AK1311" s="658"/>
    </row>
    <row r="1312" spans="2:37">
      <c r="B1312" s="1"/>
      <c r="C1312" s="858"/>
      <c r="D1312" s="1"/>
      <c r="E1312" s="1"/>
      <c r="F1312" s="1"/>
      <c r="G1312" s="1"/>
      <c r="H1312" s="1"/>
      <c r="I1312" s="1"/>
      <c r="J1312" s="1"/>
      <c r="K1312" s="1"/>
      <c r="L1312" s="430"/>
      <c r="AK1312" s="658"/>
    </row>
    <row r="1313" spans="2:37">
      <c r="B1313" s="1"/>
      <c r="C1313" s="858"/>
      <c r="D1313" s="1"/>
      <c r="E1313" s="1"/>
      <c r="F1313" s="1"/>
      <c r="G1313" s="1"/>
      <c r="H1313" s="1"/>
      <c r="I1313" s="1"/>
      <c r="J1313" s="1"/>
      <c r="K1313" s="1"/>
      <c r="L1313" s="430"/>
      <c r="AK1313" s="658"/>
    </row>
    <row r="1314" spans="2:37">
      <c r="B1314" s="1"/>
      <c r="C1314" s="858"/>
      <c r="D1314" s="1"/>
      <c r="E1314" s="1"/>
      <c r="F1314" s="1"/>
      <c r="G1314" s="1"/>
      <c r="H1314" s="1"/>
      <c r="I1314" s="1"/>
      <c r="J1314" s="1"/>
      <c r="K1314" s="1"/>
      <c r="L1314" s="430"/>
      <c r="AK1314" s="658"/>
    </row>
    <row r="1315" spans="2:37">
      <c r="B1315" s="1"/>
      <c r="C1315" s="858"/>
      <c r="D1315" s="1"/>
      <c r="E1315" s="1"/>
      <c r="F1315" s="1"/>
      <c r="G1315" s="1"/>
      <c r="H1315" s="1"/>
      <c r="I1315" s="1"/>
      <c r="J1315" s="1"/>
      <c r="K1315" s="1"/>
      <c r="L1315" s="430"/>
      <c r="AK1315" s="658"/>
    </row>
    <row r="1316" spans="2:37">
      <c r="B1316" s="1"/>
      <c r="C1316" s="858"/>
      <c r="D1316" s="1"/>
      <c r="E1316" s="1"/>
      <c r="F1316" s="1"/>
      <c r="G1316" s="1"/>
      <c r="H1316" s="1"/>
      <c r="I1316" s="1"/>
      <c r="J1316" s="1"/>
      <c r="K1316" s="1"/>
      <c r="L1316" s="430"/>
      <c r="AK1316" s="658"/>
    </row>
    <row r="1317" spans="2:37">
      <c r="B1317" s="1"/>
      <c r="C1317" s="858"/>
      <c r="D1317" s="1"/>
      <c r="E1317" s="1"/>
      <c r="F1317" s="1"/>
      <c r="G1317" s="1"/>
      <c r="H1317" s="1"/>
      <c r="I1317" s="1"/>
      <c r="J1317" s="1"/>
      <c r="K1317" s="1"/>
      <c r="L1317" s="430"/>
      <c r="AK1317" s="658"/>
    </row>
    <row r="1318" spans="2:37">
      <c r="B1318" s="1"/>
      <c r="C1318" s="858"/>
      <c r="D1318" s="1"/>
      <c r="E1318" s="1"/>
      <c r="F1318" s="1"/>
      <c r="G1318" s="1"/>
      <c r="H1318" s="1"/>
      <c r="I1318" s="1"/>
      <c r="J1318" s="1"/>
      <c r="K1318" s="1"/>
      <c r="L1318" s="430"/>
      <c r="AK1318" s="658"/>
    </row>
    <row r="1319" spans="2:37">
      <c r="B1319" s="1"/>
      <c r="C1319" s="858"/>
      <c r="D1319" s="1"/>
      <c r="E1319" s="1"/>
      <c r="F1319" s="1"/>
      <c r="G1319" s="1"/>
      <c r="H1319" s="1"/>
      <c r="I1319" s="1"/>
      <c r="J1319" s="1"/>
      <c r="K1319" s="1"/>
      <c r="L1319" s="430"/>
      <c r="AK1319" s="658"/>
    </row>
    <row r="1320" spans="2:37">
      <c r="B1320" s="1"/>
      <c r="C1320" s="858"/>
      <c r="D1320" s="1"/>
      <c r="E1320" s="1"/>
      <c r="F1320" s="1"/>
      <c r="G1320" s="1"/>
      <c r="H1320" s="1"/>
      <c r="I1320" s="1"/>
      <c r="J1320" s="1"/>
      <c r="K1320" s="1"/>
      <c r="L1320" s="430"/>
      <c r="AK1320" s="658"/>
    </row>
    <row r="1321" spans="2:37">
      <c r="B1321" s="1"/>
      <c r="C1321" s="858"/>
      <c r="D1321" s="1"/>
      <c r="E1321" s="1"/>
      <c r="F1321" s="1"/>
      <c r="G1321" s="1"/>
      <c r="H1321" s="1"/>
      <c r="I1321" s="1"/>
      <c r="J1321" s="1"/>
      <c r="K1321" s="1"/>
      <c r="L1321" s="430"/>
      <c r="AK1321" s="658"/>
    </row>
    <row r="1322" spans="2:37">
      <c r="B1322" s="1"/>
      <c r="C1322" s="858"/>
      <c r="D1322" s="1"/>
      <c r="E1322" s="1"/>
      <c r="F1322" s="1"/>
      <c r="G1322" s="1"/>
      <c r="H1322" s="1"/>
      <c r="I1322" s="1"/>
      <c r="J1322" s="1"/>
      <c r="K1322" s="1"/>
      <c r="L1322" s="430"/>
      <c r="AK1322" s="658"/>
    </row>
    <row r="1323" spans="2:37">
      <c r="B1323" s="1"/>
      <c r="C1323" s="858"/>
      <c r="D1323" s="1"/>
      <c r="E1323" s="1"/>
      <c r="F1323" s="1"/>
      <c r="G1323" s="1"/>
      <c r="H1323" s="1"/>
      <c r="I1323" s="1"/>
      <c r="J1323" s="1"/>
      <c r="K1323" s="1"/>
      <c r="L1323" s="430"/>
      <c r="AK1323" s="658"/>
    </row>
    <row r="1324" spans="2:37">
      <c r="B1324" s="1"/>
      <c r="C1324" s="858"/>
      <c r="D1324" s="1"/>
      <c r="E1324" s="1"/>
      <c r="F1324" s="1"/>
      <c r="G1324" s="1"/>
      <c r="H1324" s="1"/>
      <c r="I1324" s="1"/>
      <c r="J1324" s="1"/>
      <c r="K1324" s="1"/>
      <c r="L1324" s="430"/>
      <c r="AK1324" s="658"/>
    </row>
    <row r="1325" spans="2:37">
      <c r="B1325" s="1"/>
      <c r="C1325" s="858"/>
      <c r="D1325" s="1"/>
      <c r="E1325" s="1"/>
      <c r="F1325" s="1"/>
      <c r="G1325" s="1"/>
      <c r="H1325" s="1"/>
      <c r="I1325" s="1"/>
      <c r="J1325" s="1"/>
      <c r="K1325" s="1"/>
      <c r="L1325" s="430"/>
      <c r="AK1325" s="658"/>
    </row>
    <row r="1326" spans="2:37">
      <c r="B1326" s="1"/>
      <c r="C1326" s="858"/>
      <c r="D1326" s="1"/>
      <c r="E1326" s="1"/>
      <c r="F1326" s="1"/>
      <c r="G1326" s="1"/>
      <c r="H1326" s="1"/>
      <c r="I1326" s="1"/>
      <c r="J1326" s="1"/>
      <c r="K1326" s="1"/>
      <c r="L1326" s="430"/>
      <c r="AK1326" s="658"/>
    </row>
    <row r="1327" spans="2:37">
      <c r="B1327" s="1"/>
      <c r="C1327" s="858"/>
      <c r="D1327" s="1"/>
      <c r="E1327" s="1"/>
      <c r="F1327" s="1"/>
      <c r="G1327" s="1"/>
      <c r="H1327" s="1"/>
      <c r="I1327" s="1"/>
      <c r="J1327" s="1"/>
      <c r="K1327" s="1"/>
      <c r="L1327" s="430"/>
      <c r="AK1327" s="658"/>
    </row>
    <row r="1328" spans="2:37">
      <c r="B1328" s="1"/>
      <c r="C1328" s="858"/>
      <c r="D1328" s="1"/>
      <c r="E1328" s="1"/>
      <c r="F1328" s="1"/>
      <c r="G1328" s="1"/>
      <c r="H1328" s="1"/>
      <c r="I1328" s="1"/>
      <c r="J1328" s="1"/>
      <c r="K1328" s="1"/>
      <c r="L1328" s="430"/>
      <c r="AK1328" s="658"/>
    </row>
    <row r="1329" spans="2:37">
      <c r="B1329" s="1"/>
      <c r="C1329" s="858"/>
      <c r="D1329" s="1"/>
      <c r="E1329" s="1"/>
      <c r="F1329" s="1"/>
      <c r="G1329" s="1"/>
      <c r="H1329" s="1"/>
      <c r="I1329" s="1"/>
      <c r="J1329" s="1"/>
      <c r="K1329" s="1"/>
      <c r="L1329" s="430"/>
      <c r="AK1329" s="658"/>
    </row>
    <row r="1330" spans="2:37">
      <c r="B1330" s="1"/>
      <c r="C1330" s="858"/>
      <c r="D1330" s="1"/>
      <c r="E1330" s="1"/>
      <c r="F1330" s="1"/>
      <c r="G1330" s="1"/>
      <c r="H1330" s="1"/>
      <c r="I1330" s="1"/>
      <c r="J1330" s="1"/>
      <c r="K1330" s="1"/>
      <c r="L1330" s="430"/>
      <c r="AK1330" s="658"/>
    </row>
    <row r="1331" spans="2:37">
      <c r="B1331" s="1"/>
      <c r="C1331" s="858"/>
      <c r="D1331" s="1"/>
      <c r="E1331" s="1"/>
      <c r="F1331" s="1"/>
      <c r="G1331" s="1"/>
      <c r="H1331" s="1"/>
      <c r="I1331" s="1"/>
      <c r="J1331" s="1"/>
      <c r="K1331" s="1"/>
      <c r="L1331" s="430"/>
      <c r="AK1331" s="658"/>
    </row>
    <row r="1332" spans="2:37">
      <c r="B1332" s="1"/>
      <c r="C1332" s="858"/>
      <c r="D1332" s="1"/>
      <c r="E1332" s="1"/>
      <c r="F1332" s="1"/>
      <c r="G1332" s="1"/>
      <c r="H1332" s="1"/>
      <c r="I1332" s="1"/>
      <c r="J1332" s="1"/>
      <c r="K1332" s="1"/>
      <c r="L1332" s="430"/>
      <c r="AK1332" s="658"/>
    </row>
    <row r="1333" spans="2:37">
      <c r="B1333" s="1"/>
      <c r="C1333" s="858"/>
      <c r="D1333" s="1"/>
      <c r="E1333" s="1"/>
      <c r="F1333" s="1"/>
      <c r="G1333" s="1"/>
      <c r="H1333" s="1"/>
      <c r="I1333" s="1"/>
      <c r="J1333" s="1"/>
      <c r="K1333" s="1"/>
      <c r="L1333" s="430"/>
      <c r="AK1333" s="658"/>
    </row>
    <row r="1334" spans="2:37">
      <c r="B1334" s="1"/>
      <c r="C1334" s="858"/>
      <c r="D1334" s="1"/>
      <c r="E1334" s="1"/>
      <c r="F1334" s="1"/>
      <c r="G1334" s="1"/>
      <c r="H1334" s="1"/>
      <c r="I1334" s="1"/>
      <c r="J1334" s="1"/>
      <c r="K1334" s="1"/>
      <c r="L1334" s="430"/>
      <c r="AK1334" s="658"/>
    </row>
    <row r="1335" spans="2:37">
      <c r="B1335" s="1"/>
      <c r="C1335" s="858"/>
      <c r="D1335" s="1"/>
      <c r="E1335" s="1"/>
      <c r="F1335" s="1"/>
      <c r="G1335" s="1"/>
      <c r="H1335" s="1"/>
      <c r="I1335" s="1"/>
      <c r="J1335" s="1"/>
      <c r="K1335" s="1"/>
      <c r="L1335" s="430"/>
      <c r="AK1335" s="658"/>
    </row>
    <row r="1336" spans="2:37">
      <c r="B1336" s="1"/>
      <c r="C1336" s="858"/>
      <c r="D1336" s="1"/>
      <c r="E1336" s="1"/>
      <c r="F1336" s="1"/>
      <c r="G1336" s="1"/>
      <c r="H1336" s="1"/>
      <c r="I1336" s="1"/>
      <c r="J1336" s="1"/>
      <c r="K1336" s="1"/>
      <c r="L1336" s="430"/>
      <c r="AK1336" s="658"/>
    </row>
    <row r="1337" spans="2:37">
      <c r="B1337" s="1"/>
      <c r="C1337" s="858"/>
      <c r="D1337" s="1"/>
      <c r="E1337" s="1"/>
      <c r="F1337" s="1"/>
      <c r="G1337" s="1"/>
      <c r="H1337" s="1"/>
      <c r="I1337" s="1"/>
      <c r="J1337" s="1"/>
      <c r="K1337" s="1"/>
      <c r="L1337" s="430"/>
      <c r="AK1337" s="658"/>
    </row>
    <row r="1338" spans="2:37">
      <c r="B1338" s="1"/>
      <c r="C1338" s="858"/>
      <c r="D1338" s="1"/>
      <c r="E1338" s="1"/>
      <c r="F1338" s="1"/>
      <c r="G1338" s="1"/>
      <c r="H1338" s="1"/>
      <c r="I1338" s="1"/>
      <c r="J1338" s="1"/>
      <c r="K1338" s="1"/>
      <c r="L1338" s="430"/>
      <c r="AK1338" s="658"/>
    </row>
    <row r="1339" spans="2:37">
      <c r="B1339" s="1"/>
      <c r="C1339" s="858"/>
      <c r="D1339" s="1"/>
      <c r="E1339" s="1"/>
      <c r="F1339" s="1"/>
      <c r="G1339" s="1"/>
      <c r="H1339" s="1"/>
      <c r="I1339" s="1"/>
      <c r="J1339" s="1"/>
      <c r="K1339" s="1"/>
      <c r="L1339" s="430"/>
      <c r="AK1339" s="658"/>
    </row>
    <row r="1340" spans="2:37">
      <c r="B1340" s="1"/>
      <c r="C1340" s="858"/>
      <c r="D1340" s="1"/>
      <c r="E1340" s="1"/>
      <c r="F1340" s="1"/>
      <c r="G1340" s="1"/>
      <c r="H1340" s="1"/>
      <c r="I1340" s="1"/>
      <c r="J1340" s="1"/>
      <c r="K1340" s="1"/>
      <c r="L1340" s="430"/>
      <c r="AK1340" s="658"/>
    </row>
    <row r="1341" spans="2:37">
      <c r="B1341" s="1"/>
      <c r="C1341" s="858"/>
      <c r="D1341" s="1"/>
      <c r="E1341" s="1"/>
      <c r="F1341" s="1"/>
      <c r="G1341" s="1"/>
      <c r="H1341" s="1"/>
      <c r="I1341" s="1"/>
      <c r="J1341" s="1"/>
      <c r="K1341" s="1"/>
      <c r="L1341" s="430"/>
      <c r="AK1341" s="658"/>
    </row>
    <row r="1342" spans="2:37">
      <c r="B1342" s="1"/>
      <c r="C1342" s="858"/>
      <c r="D1342" s="1"/>
      <c r="E1342" s="1"/>
      <c r="F1342" s="1"/>
      <c r="G1342" s="1"/>
      <c r="H1342" s="1"/>
      <c r="I1342" s="1"/>
      <c r="J1342" s="1"/>
      <c r="K1342" s="1"/>
      <c r="L1342" s="430"/>
      <c r="AK1342" s="658"/>
    </row>
    <row r="1343" spans="2:37">
      <c r="B1343" s="1"/>
      <c r="C1343" s="858"/>
      <c r="D1343" s="1"/>
      <c r="E1343" s="1"/>
      <c r="F1343" s="1"/>
      <c r="G1343" s="1"/>
      <c r="H1343" s="1"/>
      <c r="I1343" s="1"/>
      <c r="J1343" s="1"/>
      <c r="K1343" s="1"/>
      <c r="L1343" s="430"/>
      <c r="AK1343" s="658"/>
    </row>
    <row r="1344" spans="2:37">
      <c r="B1344" s="1"/>
      <c r="C1344" s="858"/>
      <c r="D1344" s="1"/>
      <c r="E1344" s="1"/>
      <c r="F1344" s="1"/>
      <c r="G1344" s="1"/>
      <c r="H1344" s="1"/>
      <c r="I1344" s="1"/>
      <c r="J1344" s="1"/>
      <c r="K1344" s="1"/>
      <c r="L1344" s="430"/>
      <c r="AK1344" s="658"/>
    </row>
    <row r="1345" spans="2:37">
      <c r="B1345" s="1"/>
      <c r="C1345" s="858"/>
      <c r="D1345" s="1"/>
      <c r="E1345" s="1"/>
      <c r="F1345" s="1"/>
      <c r="G1345" s="1"/>
      <c r="H1345" s="1"/>
      <c r="I1345" s="1"/>
      <c r="J1345" s="1"/>
      <c r="K1345" s="1"/>
      <c r="L1345" s="430"/>
      <c r="AK1345" s="658"/>
    </row>
    <row r="1346" spans="2:37">
      <c r="B1346" s="1"/>
      <c r="C1346" s="858"/>
      <c r="D1346" s="1"/>
      <c r="E1346" s="1"/>
      <c r="F1346" s="1"/>
      <c r="G1346" s="1"/>
      <c r="H1346" s="1"/>
      <c r="I1346" s="1"/>
      <c r="J1346" s="1"/>
      <c r="K1346" s="1"/>
      <c r="L1346" s="430"/>
      <c r="AK1346" s="658"/>
    </row>
    <row r="1347" spans="2:37">
      <c r="B1347" s="1"/>
      <c r="C1347" s="858"/>
      <c r="D1347" s="1"/>
      <c r="E1347" s="1"/>
      <c r="F1347" s="1"/>
      <c r="G1347" s="1"/>
      <c r="H1347" s="1"/>
      <c r="I1347" s="1"/>
      <c r="J1347" s="1"/>
      <c r="K1347" s="1"/>
      <c r="L1347" s="430"/>
      <c r="AK1347" s="658"/>
    </row>
    <row r="1348" spans="2:37">
      <c r="B1348" s="1"/>
      <c r="C1348" s="858"/>
      <c r="D1348" s="1"/>
      <c r="E1348" s="1"/>
      <c r="F1348" s="1"/>
      <c r="G1348" s="1"/>
      <c r="H1348" s="1"/>
      <c r="I1348" s="1"/>
      <c r="J1348" s="1"/>
      <c r="K1348" s="1"/>
      <c r="L1348" s="430"/>
      <c r="AK1348" s="658"/>
    </row>
    <row r="1349" spans="2:37">
      <c r="B1349" s="1"/>
      <c r="C1349" s="858"/>
      <c r="D1349" s="1"/>
      <c r="E1349" s="1"/>
      <c r="F1349" s="1"/>
      <c r="G1349" s="1"/>
      <c r="H1349" s="1"/>
      <c r="I1349" s="1"/>
      <c r="J1349" s="1"/>
      <c r="K1349" s="1"/>
      <c r="L1349" s="430"/>
      <c r="AK1349" s="658"/>
    </row>
    <row r="1350" spans="2:37">
      <c r="B1350" s="1"/>
      <c r="C1350" s="858"/>
      <c r="D1350" s="1"/>
      <c r="E1350" s="1"/>
      <c r="F1350" s="1"/>
      <c r="G1350" s="1"/>
      <c r="H1350" s="1"/>
      <c r="I1350" s="1"/>
      <c r="J1350" s="1"/>
      <c r="K1350" s="1"/>
      <c r="L1350" s="430"/>
      <c r="AK1350" s="658"/>
    </row>
    <row r="1351" spans="2:37">
      <c r="B1351" s="1"/>
      <c r="C1351" s="858"/>
      <c r="D1351" s="1"/>
      <c r="E1351" s="1"/>
      <c r="F1351" s="1"/>
      <c r="G1351" s="1"/>
      <c r="H1351" s="1"/>
      <c r="I1351" s="1"/>
      <c r="J1351" s="1"/>
      <c r="K1351" s="1"/>
      <c r="L1351" s="430"/>
      <c r="AK1351" s="658"/>
    </row>
    <row r="1352" spans="2:37">
      <c r="B1352" s="1"/>
      <c r="C1352" s="858"/>
      <c r="D1352" s="1"/>
      <c r="E1352" s="1"/>
      <c r="F1352" s="1"/>
      <c r="G1352" s="1"/>
      <c r="H1352" s="1"/>
      <c r="I1352" s="1"/>
      <c r="J1352" s="1"/>
      <c r="K1352" s="1"/>
      <c r="L1352" s="430"/>
      <c r="AK1352" s="658"/>
    </row>
    <row r="1353" spans="2:37">
      <c r="B1353" s="1"/>
      <c r="C1353" s="858"/>
      <c r="D1353" s="1"/>
      <c r="E1353" s="1"/>
      <c r="F1353" s="1"/>
      <c r="G1353" s="1"/>
      <c r="H1353" s="1"/>
      <c r="I1353" s="1"/>
      <c r="J1353" s="1"/>
      <c r="K1353" s="1"/>
      <c r="L1353" s="430"/>
      <c r="AK1353" s="658"/>
    </row>
    <row r="1354" spans="2:37">
      <c r="B1354" s="1"/>
      <c r="C1354" s="858"/>
      <c r="D1354" s="1"/>
      <c r="E1354" s="1"/>
      <c r="F1354" s="1"/>
      <c r="G1354" s="1"/>
      <c r="H1354" s="1"/>
      <c r="I1354" s="1"/>
      <c r="J1354" s="1"/>
      <c r="K1354" s="1"/>
      <c r="L1354" s="430"/>
      <c r="AK1354" s="658"/>
    </row>
    <row r="1355" spans="2:37">
      <c r="B1355" s="1"/>
      <c r="C1355" s="858"/>
      <c r="D1355" s="1"/>
      <c r="E1355" s="1"/>
      <c r="F1355" s="1"/>
      <c r="G1355" s="1"/>
      <c r="H1355" s="1"/>
      <c r="I1355" s="1"/>
      <c r="J1355" s="1"/>
      <c r="K1355" s="1"/>
      <c r="L1355" s="430"/>
      <c r="AK1355" s="658"/>
    </row>
    <row r="1356" spans="2:37">
      <c r="B1356" s="1"/>
      <c r="C1356" s="858"/>
      <c r="D1356" s="1"/>
      <c r="E1356" s="1"/>
      <c r="F1356" s="1"/>
      <c r="G1356" s="1"/>
      <c r="H1356" s="1"/>
      <c r="I1356" s="1"/>
      <c r="J1356" s="1"/>
      <c r="K1356" s="1"/>
      <c r="L1356" s="430"/>
      <c r="AK1356" s="658"/>
    </row>
    <row r="1357" spans="2:37">
      <c r="B1357" s="1"/>
      <c r="C1357" s="858"/>
      <c r="D1357" s="1"/>
      <c r="E1357" s="1"/>
      <c r="F1357" s="1"/>
      <c r="G1357" s="1"/>
      <c r="H1357" s="1"/>
      <c r="I1357" s="1"/>
      <c r="J1357" s="1"/>
      <c r="K1357" s="1"/>
      <c r="L1357" s="430"/>
      <c r="AK1357" s="658"/>
    </row>
    <row r="1358" spans="2:37">
      <c r="B1358" s="1"/>
      <c r="C1358" s="858"/>
      <c r="D1358" s="1"/>
      <c r="E1358" s="1"/>
      <c r="F1358" s="1"/>
      <c r="G1358" s="1"/>
      <c r="H1358" s="1"/>
      <c r="I1358" s="1"/>
      <c r="J1358" s="1"/>
      <c r="K1358" s="1"/>
      <c r="L1358" s="430"/>
      <c r="AK1358" s="658"/>
    </row>
    <row r="1359" spans="2:37">
      <c r="B1359" s="1"/>
      <c r="C1359" s="858"/>
      <c r="D1359" s="1"/>
      <c r="E1359" s="1"/>
      <c r="F1359" s="1"/>
      <c r="G1359" s="1"/>
      <c r="H1359" s="1"/>
      <c r="I1359" s="1"/>
      <c r="J1359" s="1"/>
      <c r="K1359" s="1"/>
      <c r="L1359" s="430"/>
      <c r="AK1359" s="658"/>
    </row>
    <row r="1360" spans="2:37">
      <c r="B1360" s="1"/>
      <c r="C1360" s="858"/>
      <c r="D1360" s="1"/>
      <c r="E1360" s="1"/>
      <c r="F1360" s="1"/>
      <c r="G1360" s="1"/>
      <c r="H1360" s="1"/>
      <c r="I1360" s="1"/>
      <c r="J1360" s="1"/>
      <c r="K1360" s="1"/>
      <c r="L1360" s="430"/>
      <c r="AK1360" s="658"/>
    </row>
    <row r="1361" spans="2:37">
      <c r="B1361" s="1"/>
      <c r="C1361" s="858"/>
      <c r="D1361" s="1"/>
      <c r="E1361" s="1"/>
      <c r="F1361" s="1"/>
      <c r="G1361" s="1"/>
      <c r="H1361" s="1"/>
      <c r="I1361" s="1"/>
      <c r="J1361" s="1"/>
      <c r="K1361" s="1"/>
      <c r="L1361" s="430"/>
      <c r="AK1361" s="658"/>
    </row>
    <row r="1362" spans="2:37">
      <c r="B1362" s="1"/>
      <c r="C1362" s="858"/>
      <c r="D1362" s="1"/>
      <c r="E1362" s="1"/>
      <c r="F1362" s="1"/>
      <c r="G1362" s="1"/>
      <c r="H1362" s="1"/>
      <c r="I1362" s="1"/>
      <c r="J1362" s="1"/>
      <c r="K1362" s="1"/>
      <c r="L1362" s="430"/>
      <c r="AK1362" s="658"/>
    </row>
    <row r="1363" spans="2:37">
      <c r="B1363" s="1"/>
      <c r="C1363" s="858"/>
      <c r="D1363" s="1"/>
      <c r="E1363" s="1"/>
      <c r="F1363" s="1"/>
      <c r="G1363" s="1"/>
      <c r="H1363" s="1"/>
      <c r="I1363" s="1"/>
      <c r="J1363" s="1"/>
      <c r="K1363" s="1"/>
      <c r="L1363" s="430"/>
      <c r="AK1363" s="658"/>
    </row>
    <row r="1364" spans="2:37">
      <c r="B1364" s="1"/>
      <c r="C1364" s="858"/>
      <c r="D1364" s="1"/>
      <c r="E1364" s="1"/>
      <c r="F1364" s="1"/>
      <c r="G1364" s="1"/>
      <c r="H1364" s="1"/>
      <c r="I1364" s="1"/>
      <c r="J1364" s="1"/>
      <c r="K1364" s="1"/>
      <c r="L1364" s="430"/>
      <c r="AK1364" s="658"/>
    </row>
    <row r="1365" spans="2:37">
      <c r="B1365" s="1"/>
      <c r="C1365" s="858"/>
      <c r="D1365" s="1"/>
      <c r="E1365" s="1"/>
      <c r="F1365" s="1"/>
      <c r="G1365" s="1"/>
      <c r="H1365" s="1"/>
      <c r="I1365" s="1"/>
      <c r="J1365" s="1"/>
      <c r="K1365" s="1"/>
      <c r="L1365" s="430"/>
      <c r="AK1365" s="658"/>
    </row>
    <row r="1366" spans="2:37">
      <c r="B1366" s="1"/>
      <c r="C1366" s="858"/>
      <c r="D1366" s="1"/>
      <c r="E1366" s="1"/>
      <c r="F1366" s="1"/>
      <c r="G1366" s="1"/>
      <c r="H1366" s="1"/>
      <c r="I1366" s="1"/>
      <c r="J1366" s="1"/>
      <c r="K1366" s="1"/>
      <c r="L1366" s="430"/>
      <c r="AK1366" s="658"/>
    </row>
    <row r="1367" spans="2:37">
      <c r="B1367" s="1"/>
      <c r="C1367" s="858"/>
      <c r="D1367" s="1"/>
      <c r="E1367" s="1"/>
      <c r="F1367" s="1"/>
      <c r="G1367" s="1"/>
      <c r="H1367" s="1"/>
      <c r="I1367" s="1"/>
      <c r="J1367" s="1"/>
      <c r="K1367" s="1"/>
      <c r="L1367" s="430"/>
      <c r="AK1367" s="658"/>
    </row>
    <row r="1368" spans="2:37">
      <c r="B1368" s="1"/>
      <c r="C1368" s="858"/>
      <c r="D1368" s="1"/>
      <c r="E1368" s="1"/>
      <c r="F1368" s="1"/>
      <c r="G1368" s="1"/>
      <c r="H1368" s="1"/>
      <c r="I1368" s="1"/>
      <c r="J1368" s="1"/>
      <c r="K1368" s="1"/>
      <c r="L1368" s="430"/>
      <c r="AK1368" s="658"/>
    </row>
    <row r="1369" spans="2:37">
      <c r="B1369" s="1"/>
      <c r="C1369" s="858"/>
      <c r="D1369" s="1"/>
      <c r="E1369" s="1"/>
      <c r="F1369" s="1"/>
      <c r="G1369" s="1"/>
      <c r="H1369" s="1"/>
      <c r="I1369" s="1"/>
      <c r="J1369" s="1"/>
      <c r="K1369" s="1"/>
      <c r="L1369" s="430"/>
      <c r="AK1369" s="658"/>
    </row>
    <row r="1370" spans="2:37">
      <c r="B1370" s="1"/>
      <c r="C1370" s="858"/>
      <c r="D1370" s="1"/>
      <c r="E1370" s="1"/>
      <c r="F1370" s="1"/>
      <c r="G1370" s="1"/>
      <c r="H1370" s="1"/>
      <c r="I1370" s="1"/>
      <c r="J1370" s="1"/>
      <c r="K1370" s="1"/>
      <c r="L1370" s="430"/>
      <c r="AK1370" s="658"/>
    </row>
    <row r="1371" spans="2:37">
      <c r="B1371" s="1"/>
      <c r="C1371" s="858"/>
      <c r="D1371" s="1"/>
      <c r="E1371" s="1"/>
      <c r="F1371" s="1"/>
      <c r="G1371" s="1"/>
      <c r="H1371" s="1"/>
      <c r="I1371" s="1"/>
      <c r="J1371" s="1"/>
      <c r="K1371" s="1"/>
      <c r="L1371" s="430"/>
      <c r="AK1371" s="658"/>
    </row>
    <row r="1372" spans="2:37">
      <c r="B1372" s="1"/>
      <c r="C1372" s="858"/>
      <c r="D1372" s="1"/>
      <c r="E1372" s="1"/>
      <c r="F1372" s="1"/>
      <c r="G1372" s="1"/>
      <c r="H1372" s="1"/>
      <c r="I1372" s="1"/>
      <c r="J1372" s="1"/>
      <c r="K1372" s="1"/>
      <c r="L1372" s="430"/>
      <c r="AK1372" s="658"/>
    </row>
    <row r="1373" spans="2:37">
      <c r="B1373" s="1"/>
      <c r="C1373" s="858"/>
      <c r="D1373" s="1"/>
      <c r="E1373" s="1"/>
      <c r="F1373" s="1"/>
      <c r="G1373" s="1"/>
      <c r="H1373" s="1"/>
      <c r="I1373" s="1"/>
      <c r="J1373" s="1"/>
      <c r="K1373" s="1"/>
      <c r="L1373" s="430"/>
      <c r="AK1373" s="658"/>
    </row>
    <row r="1374" spans="2:37">
      <c r="B1374" s="1"/>
      <c r="C1374" s="858"/>
      <c r="D1374" s="1"/>
      <c r="E1374" s="1"/>
      <c r="F1374" s="1"/>
      <c r="G1374" s="1"/>
      <c r="H1374" s="1"/>
      <c r="I1374" s="1"/>
      <c r="J1374" s="1"/>
      <c r="K1374" s="1"/>
      <c r="L1374" s="430"/>
      <c r="AK1374" s="658"/>
    </row>
    <row r="1375" spans="2:37">
      <c r="B1375" s="1"/>
      <c r="C1375" s="858"/>
      <c r="D1375" s="1"/>
      <c r="E1375" s="1"/>
      <c r="F1375" s="1"/>
      <c r="G1375" s="1"/>
      <c r="H1375" s="1"/>
      <c r="I1375" s="1"/>
      <c r="J1375" s="1"/>
      <c r="K1375" s="1"/>
      <c r="L1375" s="430"/>
      <c r="AK1375" s="658"/>
    </row>
    <row r="1376" spans="2:37">
      <c r="B1376" s="1"/>
      <c r="C1376" s="858"/>
      <c r="D1376" s="1"/>
      <c r="E1376" s="1"/>
      <c r="F1376" s="1"/>
      <c r="G1376" s="1"/>
      <c r="H1376" s="1"/>
      <c r="I1376" s="1"/>
      <c r="J1376" s="1"/>
      <c r="K1376" s="1"/>
      <c r="L1376" s="430"/>
      <c r="AK1376" s="658"/>
    </row>
    <row r="1377" spans="2:37">
      <c r="B1377" s="1"/>
      <c r="C1377" s="858"/>
      <c r="D1377" s="1"/>
      <c r="E1377" s="1"/>
      <c r="F1377" s="1"/>
      <c r="G1377" s="1"/>
      <c r="H1377" s="1"/>
      <c r="I1377" s="1"/>
      <c r="J1377" s="1"/>
      <c r="K1377" s="1"/>
      <c r="L1377" s="430"/>
      <c r="AK1377" s="658"/>
    </row>
    <row r="1378" spans="2:37">
      <c r="B1378" s="1"/>
      <c r="C1378" s="858"/>
      <c r="D1378" s="1"/>
      <c r="E1378" s="1"/>
      <c r="F1378" s="1"/>
      <c r="G1378" s="1"/>
      <c r="H1378" s="1"/>
      <c r="I1378" s="1"/>
      <c r="J1378" s="1"/>
      <c r="K1378" s="1"/>
      <c r="L1378" s="430"/>
      <c r="AK1378" s="658"/>
    </row>
    <row r="1379" spans="2:37">
      <c r="B1379" s="1"/>
      <c r="C1379" s="858"/>
      <c r="D1379" s="1"/>
      <c r="E1379" s="1"/>
      <c r="F1379" s="1"/>
      <c r="G1379" s="1"/>
      <c r="H1379" s="1"/>
      <c r="I1379" s="1"/>
      <c r="J1379" s="1"/>
      <c r="K1379" s="1"/>
      <c r="L1379" s="430"/>
      <c r="AK1379" s="658"/>
    </row>
    <row r="1380" spans="2:37">
      <c r="B1380" s="1"/>
      <c r="C1380" s="858"/>
      <c r="D1380" s="1"/>
      <c r="E1380" s="1"/>
      <c r="F1380" s="1"/>
      <c r="G1380" s="1"/>
      <c r="H1380" s="1"/>
      <c r="I1380" s="1"/>
      <c r="J1380" s="1"/>
      <c r="K1380" s="1"/>
      <c r="L1380" s="430"/>
      <c r="AK1380" s="658"/>
    </row>
    <row r="1381" spans="2:37">
      <c r="B1381" s="1"/>
      <c r="C1381" s="858"/>
      <c r="D1381" s="1"/>
      <c r="E1381" s="1"/>
      <c r="F1381" s="1"/>
      <c r="G1381" s="1"/>
      <c r="H1381" s="1"/>
      <c r="I1381" s="1"/>
      <c r="J1381" s="1"/>
      <c r="K1381" s="1"/>
      <c r="L1381" s="430"/>
      <c r="AK1381" s="658"/>
    </row>
    <row r="1382" spans="2:37">
      <c r="B1382" s="1"/>
      <c r="C1382" s="858"/>
      <c r="D1382" s="1"/>
      <c r="E1382" s="1"/>
      <c r="F1382" s="1"/>
      <c r="G1382" s="1"/>
      <c r="H1382" s="1"/>
      <c r="I1382" s="1"/>
      <c r="J1382" s="1"/>
      <c r="K1382" s="1"/>
      <c r="L1382" s="430"/>
      <c r="AK1382" s="658"/>
    </row>
    <row r="1383" spans="2:37">
      <c r="B1383" s="1"/>
      <c r="C1383" s="858"/>
      <c r="D1383" s="1"/>
      <c r="E1383" s="1"/>
      <c r="F1383" s="1"/>
      <c r="G1383" s="1"/>
      <c r="H1383" s="1"/>
      <c r="I1383" s="1"/>
      <c r="J1383" s="1"/>
      <c r="K1383" s="1"/>
      <c r="L1383" s="430"/>
      <c r="AK1383" s="658"/>
    </row>
    <row r="1384" spans="2:37">
      <c r="B1384" s="1"/>
      <c r="C1384" s="858"/>
      <c r="D1384" s="1"/>
      <c r="E1384" s="1"/>
      <c r="F1384" s="1"/>
      <c r="G1384" s="1"/>
      <c r="H1384" s="1"/>
      <c r="I1384" s="1"/>
      <c r="J1384" s="1"/>
      <c r="K1384" s="1"/>
      <c r="L1384" s="430"/>
      <c r="AK1384" s="658"/>
    </row>
    <row r="1385" spans="2:37">
      <c r="B1385" s="1"/>
      <c r="C1385" s="858"/>
      <c r="D1385" s="1"/>
      <c r="E1385" s="1"/>
      <c r="F1385" s="1"/>
      <c r="G1385" s="1"/>
      <c r="H1385" s="1"/>
      <c r="I1385" s="1"/>
      <c r="J1385" s="1"/>
      <c r="K1385" s="1"/>
      <c r="L1385" s="430"/>
      <c r="AK1385" s="658"/>
    </row>
    <row r="1386" spans="2:37">
      <c r="B1386" s="1"/>
      <c r="C1386" s="858"/>
      <c r="D1386" s="1"/>
      <c r="E1386" s="1"/>
      <c r="F1386" s="1"/>
      <c r="G1386" s="1"/>
      <c r="H1386" s="1"/>
      <c r="I1386" s="1"/>
      <c r="J1386" s="1"/>
      <c r="K1386" s="1"/>
      <c r="L1386" s="430"/>
      <c r="AK1386" s="658"/>
    </row>
    <row r="1387" spans="2:37">
      <c r="B1387" s="1"/>
      <c r="C1387" s="858"/>
      <c r="D1387" s="1"/>
      <c r="E1387" s="1"/>
      <c r="F1387" s="1"/>
      <c r="G1387" s="1"/>
      <c r="H1387" s="1"/>
      <c r="I1387" s="1"/>
      <c r="J1387" s="1"/>
      <c r="K1387" s="1"/>
      <c r="L1387" s="430"/>
      <c r="AK1387" s="658"/>
    </row>
    <row r="1388" spans="2:37">
      <c r="B1388" s="1"/>
      <c r="C1388" s="858"/>
      <c r="D1388" s="1"/>
      <c r="E1388" s="1"/>
      <c r="F1388" s="1"/>
      <c r="G1388" s="1"/>
      <c r="H1388" s="1"/>
      <c r="I1388" s="1"/>
      <c r="J1388" s="1"/>
      <c r="K1388" s="1"/>
      <c r="L1388" s="430"/>
      <c r="AK1388" s="658"/>
    </row>
    <row r="1389" spans="2:37">
      <c r="B1389" s="1"/>
      <c r="C1389" s="858"/>
      <c r="D1389" s="1"/>
      <c r="E1389" s="1"/>
      <c r="F1389" s="1"/>
      <c r="G1389" s="1"/>
      <c r="H1389" s="1"/>
      <c r="I1389" s="1"/>
      <c r="J1389" s="1"/>
      <c r="K1389" s="1"/>
      <c r="L1389" s="430"/>
      <c r="AK1389" s="658"/>
    </row>
    <row r="1390" spans="2:37">
      <c r="B1390" s="1"/>
      <c r="C1390" s="858"/>
      <c r="D1390" s="1"/>
      <c r="E1390" s="1"/>
      <c r="F1390" s="1"/>
      <c r="G1390" s="1"/>
      <c r="H1390" s="1"/>
      <c r="I1390" s="1"/>
      <c r="J1390" s="1"/>
      <c r="K1390" s="1"/>
      <c r="L1390" s="430"/>
      <c r="AK1390" s="658"/>
    </row>
    <row r="1391" spans="2:37">
      <c r="B1391" s="1"/>
      <c r="C1391" s="858"/>
      <c r="D1391" s="1"/>
      <c r="E1391" s="1"/>
      <c r="F1391" s="1"/>
      <c r="G1391" s="1"/>
      <c r="H1391" s="1"/>
      <c r="I1391" s="1"/>
      <c r="J1391" s="1"/>
      <c r="K1391" s="1"/>
      <c r="L1391" s="430"/>
      <c r="AK1391" s="658"/>
    </row>
    <row r="1392" spans="2:37">
      <c r="B1392" s="1"/>
      <c r="C1392" s="858"/>
      <c r="D1392" s="1"/>
      <c r="E1392" s="1"/>
      <c r="F1392" s="1"/>
      <c r="G1392" s="1"/>
      <c r="H1392" s="1"/>
      <c r="I1392" s="1"/>
      <c r="J1392" s="1"/>
      <c r="K1392" s="1"/>
      <c r="L1392" s="430"/>
      <c r="AK1392" s="658"/>
    </row>
    <row r="1393" spans="2:37">
      <c r="B1393" s="1"/>
      <c r="C1393" s="858"/>
      <c r="D1393" s="1"/>
      <c r="E1393" s="1"/>
      <c r="F1393" s="1"/>
      <c r="G1393" s="1"/>
      <c r="H1393" s="1"/>
      <c r="I1393" s="1"/>
      <c r="J1393" s="1"/>
      <c r="K1393" s="1"/>
      <c r="L1393" s="430"/>
      <c r="AK1393" s="658"/>
    </row>
    <row r="1394" spans="2:37">
      <c r="B1394" s="1"/>
      <c r="C1394" s="858"/>
      <c r="D1394" s="1"/>
      <c r="E1394" s="1"/>
      <c r="F1394" s="1"/>
      <c r="G1394" s="1"/>
      <c r="H1394" s="1"/>
      <c r="I1394" s="1"/>
      <c r="J1394" s="1"/>
      <c r="K1394" s="1"/>
      <c r="L1394" s="430"/>
      <c r="AK1394" s="658"/>
    </row>
    <row r="1395" spans="2:37">
      <c r="B1395" s="1"/>
      <c r="C1395" s="858"/>
      <c r="D1395" s="1"/>
      <c r="E1395" s="1"/>
      <c r="F1395" s="1"/>
      <c r="G1395" s="1"/>
      <c r="H1395" s="1"/>
      <c r="I1395" s="1"/>
      <c r="J1395" s="1"/>
      <c r="K1395" s="1"/>
      <c r="L1395" s="430"/>
      <c r="AK1395" s="658"/>
    </row>
    <row r="1396" spans="2:37">
      <c r="B1396" s="1"/>
      <c r="C1396" s="858"/>
      <c r="D1396" s="1"/>
      <c r="E1396" s="1"/>
      <c r="F1396" s="1"/>
      <c r="G1396" s="1"/>
      <c r="H1396" s="1"/>
      <c r="I1396" s="1"/>
      <c r="J1396" s="1"/>
      <c r="K1396" s="1"/>
      <c r="L1396" s="430"/>
      <c r="AK1396" s="658"/>
    </row>
    <row r="1397" spans="2:37">
      <c r="B1397" s="1"/>
      <c r="C1397" s="858"/>
      <c r="D1397" s="1"/>
      <c r="E1397" s="1"/>
      <c r="F1397" s="1"/>
      <c r="G1397" s="1"/>
      <c r="H1397" s="1"/>
      <c r="I1397" s="1"/>
      <c r="J1397" s="1"/>
      <c r="K1397" s="1"/>
      <c r="L1397" s="430"/>
      <c r="AK1397" s="658"/>
    </row>
    <row r="1398" spans="2:37">
      <c r="B1398" s="1"/>
      <c r="C1398" s="858"/>
      <c r="D1398" s="1"/>
      <c r="E1398" s="1"/>
      <c r="F1398" s="1"/>
      <c r="G1398" s="1"/>
      <c r="H1398" s="1"/>
      <c r="I1398" s="1"/>
      <c r="J1398" s="1"/>
      <c r="K1398" s="1"/>
      <c r="L1398" s="430"/>
      <c r="AK1398" s="658"/>
    </row>
    <row r="1399" spans="2:37">
      <c r="B1399" s="1"/>
      <c r="C1399" s="858"/>
      <c r="D1399" s="1"/>
      <c r="E1399" s="1"/>
      <c r="F1399" s="1"/>
      <c r="G1399" s="1"/>
      <c r="H1399" s="1"/>
      <c r="I1399" s="1"/>
      <c r="J1399" s="1"/>
      <c r="K1399" s="1"/>
      <c r="L1399" s="430"/>
      <c r="AK1399" s="658"/>
    </row>
    <row r="1400" spans="2:37">
      <c r="B1400" s="1"/>
      <c r="C1400" s="858"/>
      <c r="D1400" s="1"/>
      <c r="E1400" s="1"/>
      <c r="F1400" s="1"/>
      <c r="G1400" s="1"/>
      <c r="H1400" s="1"/>
      <c r="I1400" s="1"/>
      <c r="J1400" s="1"/>
      <c r="K1400" s="1"/>
      <c r="L1400" s="430"/>
      <c r="AK1400" s="658"/>
    </row>
    <row r="1401" spans="2:37">
      <c r="B1401" s="1"/>
      <c r="C1401" s="858"/>
      <c r="D1401" s="1"/>
      <c r="E1401" s="1"/>
      <c r="F1401" s="1"/>
      <c r="G1401" s="1"/>
      <c r="H1401" s="1"/>
      <c r="I1401" s="1"/>
      <c r="J1401" s="1"/>
      <c r="K1401" s="1"/>
      <c r="L1401" s="430"/>
      <c r="AK1401" s="658"/>
    </row>
    <row r="1402" spans="2:37">
      <c r="B1402" s="1"/>
      <c r="C1402" s="858"/>
      <c r="D1402" s="1"/>
      <c r="E1402" s="1"/>
      <c r="F1402" s="1"/>
      <c r="G1402" s="1"/>
      <c r="H1402" s="1"/>
      <c r="I1402" s="1"/>
      <c r="J1402" s="1"/>
      <c r="K1402" s="1"/>
      <c r="L1402" s="430"/>
      <c r="AK1402" s="658"/>
    </row>
    <row r="1403" spans="2:37">
      <c r="B1403" s="1"/>
      <c r="C1403" s="858"/>
      <c r="D1403" s="1"/>
      <c r="E1403" s="1"/>
      <c r="F1403" s="1"/>
      <c r="G1403" s="1"/>
      <c r="H1403" s="1"/>
      <c r="I1403" s="1"/>
      <c r="J1403" s="1"/>
      <c r="K1403" s="1"/>
      <c r="L1403" s="430"/>
      <c r="AK1403" s="658"/>
    </row>
    <row r="1404" spans="2:37">
      <c r="B1404" s="1"/>
      <c r="C1404" s="858"/>
      <c r="D1404" s="1"/>
      <c r="E1404" s="1"/>
      <c r="F1404" s="1"/>
      <c r="G1404" s="1"/>
      <c r="H1404" s="1"/>
      <c r="I1404" s="1"/>
      <c r="J1404" s="1"/>
      <c r="K1404" s="1"/>
      <c r="L1404" s="430"/>
      <c r="AK1404" s="658"/>
    </row>
    <row r="1405" spans="2:37">
      <c r="B1405" s="1"/>
      <c r="C1405" s="858"/>
      <c r="D1405" s="1"/>
      <c r="E1405" s="1"/>
      <c r="F1405" s="1"/>
      <c r="G1405" s="1"/>
      <c r="H1405" s="1"/>
      <c r="I1405" s="1"/>
      <c r="J1405" s="1"/>
      <c r="K1405" s="1"/>
      <c r="L1405" s="430"/>
      <c r="AK1405" s="658"/>
    </row>
    <row r="1406" spans="2:37">
      <c r="B1406" s="1"/>
      <c r="C1406" s="858"/>
      <c r="D1406" s="1"/>
      <c r="E1406" s="1"/>
      <c r="F1406" s="1"/>
      <c r="G1406" s="1"/>
      <c r="H1406" s="1"/>
      <c r="I1406" s="1"/>
      <c r="J1406" s="1"/>
      <c r="K1406" s="1"/>
      <c r="L1406" s="430"/>
      <c r="AK1406" s="658"/>
    </row>
    <row r="1407" spans="2:37">
      <c r="B1407" s="1"/>
      <c r="C1407" s="858"/>
      <c r="D1407" s="1"/>
      <c r="E1407" s="1"/>
      <c r="F1407" s="1"/>
      <c r="G1407" s="1"/>
      <c r="H1407" s="1"/>
      <c r="I1407" s="1"/>
      <c r="J1407" s="1"/>
      <c r="K1407" s="1"/>
      <c r="L1407" s="430"/>
      <c r="AK1407" s="658"/>
    </row>
    <row r="1408" spans="2:37">
      <c r="B1408" s="1"/>
      <c r="C1408" s="858"/>
      <c r="D1408" s="1"/>
      <c r="E1408" s="1"/>
      <c r="F1408" s="1"/>
      <c r="G1408" s="1"/>
      <c r="H1408" s="1"/>
      <c r="I1408" s="1"/>
      <c r="J1408" s="1"/>
      <c r="K1408" s="1"/>
      <c r="L1408" s="430"/>
      <c r="AK1408" s="658"/>
    </row>
    <row r="1409" spans="2:37">
      <c r="B1409" s="1"/>
      <c r="C1409" s="858"/>
      <c r="D1409" s="1"/>
      <c r="E1409" s="1"/>
      <c r="F1409" s="1"/>
      <c r="G1409" s="1"/>
      <c r="H1409" s="1"/>
      <c r="I1409" s="1"/>
      <c r="J1409" s="1"/>
      <c r="K1409" s="1"/>
      <c r="L1409" s="430"/>
      <c r="AK1409" s="658"/>
    </row>
    <row r="1410" spans="2:37">
      <c r="B1410" s="1"/>
      <c r="C1410" s="858"/>
      <c r="D1410" s="1"/>
      <c r="E1410" s="1"/>
      <c r="F1410" s="1"/>
      <c r="G1410" s="1"/>
      <c r="H1410" s="1"/>
      <c r="I1410" s="1"/>
      <c r="J1410" s="1"/>
      <c r="K1410" s="1"/>
      <c r="L1410" s="430"/>
      <c r="AK1410" s="658"/>
    </row>
    <row r="1411" spans="2:37">
      <c r="B1411" s="1"/>
      <c r="C1411" s="858"/>
      <c r="D1411" s="1"/>
      <c r="E1411" s="1"/>
      <c r="F1411" s="1"/>
      <c r="G1411" s="1"/>
      <c r="H1411" s="1"/>
      <c r="I1411" s="1"/>
      <c r="J1411" s="1"/>
      <c r="K1411" s="1"/>
      <c r="L1411" s="430"/>
      <c r="AK1411" s="658"/>
    </row>
    <row r="1412" spans="2:37">
      <c r="B1412" s="1"/>
      <c r="C1412" s="858"/>
      <c r="D1412" s="1"/>
      <c r="E1412" s="1"/>
      <c r="F1412" s="1"/>
      <c r="G1412" s="1"/>
      <c r="H1412" s="1"/>
      <c r="I1412" s="1"/>
      <c r="J1412" s="1"/>
      <c r="K1412" s="1"/>
      <c r="L1412" s="430"/>
      <c r="AK1412" s="658"/>
    </row>
    <row r="1413" spans="2:37">
      <c r="B1413" s="1"/>
      <c r="C1413" s="858"/>
      <c r="D1413" s="1"/>
      <c r="E1413" s="1"/>
      <c r="F1413" s="1"/>
      <c r="G1413" s="1"/>
      <c r="H1413" s="1"/>
      <c r="I1413" s="1"/>
      <c r="J1413" s="1"/>
      <c r="K1413" s="1"/>
      <c r="L1413" s="430"/>
      <c r="AK1413" s="658"/>
    </row>
    <row r="1414" spans="2:37">
      <c r="B1414" s="1"/>
      <c r="C1414" s="858"/>
      <c r="D1414" s="1"/>
      <c r="E1414" s="1"/>
      <c r="F1414" s="1"/>
      <c r="G1414" s="1"/>
      <c r="H1414" s="1"/>
      <c r="I1414" s="1"/>
      <c r="J1414" s="1"/>
      <c r="K1414" s="1"/>
      <c r="L1414" s="430"/>
      <c r="AK1414" s="658"/>
    </row>
    <row r="1415" spans="2:37">
      <c r="B1415" s="1"/>
      <c r="C1415" s="858"/>
      <c r="D1415" s="1"/>
      <c r="E1415" s="1"/>
      <c r="F1415" s="1"/>
      <c r="G1415" s="1"/>
      <c r="H1415" s="1"/>
      <c r="I1415" s="1"/>
      <c r="J1415" s="1"/>
      <c r="K1415" s="1"/>
      <c r="L1415" s="430"/>
      <c r="AK1415" s="658"/>
    </row>
    <row r="1416" spans="2:37">
      <c r="B1416" s="1"/>
      <c r="C1416" s="858"/>
      <c r="D1416" s="1"/>
      <c r="E1416" s="1"/>
      <c r="F1416" s="1"/>
      <c r="G1416" s="1"/>
      <c r="H1416" s="1"/>
      <c r="I1416" s="1"/>
      <c r="J1416" s="1"/>
      <c r="K1416" s="1"/>
      <c r="L1416" s="430"/>
      <c r="AK1416" s="658"/>
    </row>
    <row r="1417" spans="2:37">
      <c r="B1417" s="1"/>
      <c r="C1417" s="858"/>
      <c r="D1417" s="1"/>
      <c r="E1417" s="1"/>
      <c r="F1417" s="1"/>
      <c r="G1417" s="1"/>
      <c r="H1417" s="1"/>
      <c r="I1417" s="1"/>
      <c r="J1417" s="1"/>
      <c r="K1417" s="1"/>
      <c r="L1417" s="430"/>
      <c r="AK1417" s="658"/>
    </row>
    <row r="1418" spans="2:37">
      <c r="B1418" s="1"/>
      <c r="C1418" s="858"/>
      <c r="D1418" s="1"/>
      <c r="E1418" s="1"/>
      <c r="F1418" s="1"/>
      <c r="G1418" s="1"/>
      <c r="H1418" s="1"/>
      <c r="I1418" s="1"/>
      <c r="J1418" s="1"/>
      <c r="K1418" s="1"/>
      <c r="L1418" s="430"/>
      <c r="AK1418" s="658"/>
    </row>
    <row r="1419" spans="2:37">
      <c r="B1419" s="1"/>
      <c r="C1419" s="858"/>
      <c r="D1419" s="1"/>
      <c r="E1419" s="1"/>
      <c r="F1419" s="1"/>
      <c r="G1419" s="1"/>
      <c r="H1419" s="1"/>
      <c r="I1419" s="1"/>
      <c r="J1419" s="1"/>
      <c r="K1419" s="1"/>
      <c r="L1419" s="430"/>
      <c r="AK1419" s="658"/>
    </row>
    <row r="1420" spans="2:37">
      <c r="B1420" s="1"/>
      <c r="C1420" s="858"/>
      <c r="D1420" s="1"/>
      <c r="E1420" s="1"/>
      <c r="F1420" s="1"/>
      <c r="G1420" s="1"/>
      <c r="H1420" s="1"/>
      <c r="I1420" s="1"/>
      <c r="J1420" s="1"/>
      <c r="K1420" s="1"/>
      <c r="L1420" s="430"/>
      <c r="AK1420" s="658"/>
    </row>
    <row r="1421" spans="2:37">
      <c r="B1421" s="1"/>
      <c r="C1421" s="858"/>
      <c r="D1421" s="1"/>
      <c r="E1421" s="1"/>
      <c r="F1421" s="1"/>
      <c r="G1421" s="1"/>
      <c r="H1421" s="1"/>
      <c r="I1421" s="1"/>
      <c r="J1421" s="1"/>
      <c r="K1421" s="1"/>
      <c r="L1421" s="430"/>
      <c r="AK1421" s="658"/>
    </row>
    <row r="1422" spans="2:37">
      <c r="B1422" s="1"/>
      <c r="C1422" s="858"/>
      <c r="D1422" s="1"/>
      <c r="E1422" s="1"/>
      <c r="F1422" s="1"/>
      <c r="G1422" s="1"/>
      <c r="H1422" s="1"/>
      <c r="I1422" s="1"/>
      <c r="J1422" s="1"/>
      <c r="K1422" s="1"/>
      <c r="L1422" s="430"/>
      <c r="AK1422" s="658"/>
    </row>
    <row r="1423" spans="2:37">
      <c r="B1423" s="1"/>
      <c r="C1423" s="858"/>
      <c r="D1423" s="1"/>
      <c r="E1423" s="1"/>
      <c r="F1423" s="1"/>
      <c r="G1423" s="1"/>
      <c r="H1423" s="1"/>
      <c r="I1423" s="1"/>
      <c r="J1423" s="1"/>
      <c r="K1423" s="1"/>
      <c r="L1423" s="430"/>
      <c r="AK1423" s="658"/>
    </row>
    <row r="1424" spans="2:37">
      <c r="B1424" s="1"/>
      <c r="C1424" s="858"/>
      <c r="D1424" s="1"/>
      <c r="E1424" s="1"/>
      <c r="F1424" s="1"/>
      <c r="G1424" s="1"/>
      <c r="H1424" s="1"/>
      <c r="I1424" s="1"/>
      <c r="J1424" s="1"/>
      <c r="K1424" s="1"/>
      <c r="L1424" s="430"/>
      <c r="AK1424" s="658"/>
    </row>
    <row r="1425" spans="2:37">
      <c r="B1425" s="1"/>
      <c r="C1425" s="858"/>
      <c r="D1425" s="1"/>
      <c r="E1425" s="1"/>
      <c r="F1425" s="1"/>
      <c r="G1425" s="1"/>
      <c r="H1425" s="1"/>
      <c r="I1425" s="1"/>
      <c r="J1425" s="1"/>
      <c r="K1425" s="1"/>
      <c r="L1425" s="430"/>
      <c r="AK1425" s="658"/>
    </row>
    <row r="1426" spans="2:37">
      <c r="B1426" s="1"/>
      <c r="C1426" s="858"/>
      <c r="D1426" s="1"/>
      <c r="E1426" s="1"/>
      <c r="F1426" s="1"/>
      <c r="G1426" s="1"/>
      <c r="H1426" s="1"/>
      <c r="I1426" s="1"/>
      <c r="J1426" s="1"/>
      <c r="K1426" s="1"/>
      <c r="L1426" s="430"/>
      <c r="AK1426" s="658"/>
    </row>
    <row r="1427" spans="2:37">
      <c r="B1427" s="1"/>
      <c r="C1427" s="858"/>
      <c r="D1427" s="1"/>
      <c r="E1427" s="1"/>
      <c r="F1427" s="1"/>
      <c r="G1427" s="1"/>
      <c r="H1427" s="1"/>
      <c r="I1427" s="1"/>
      <c r="J1427" s="1"/>
      <c r="K1427" s="1"/>
      <c r="L1427" s="430"/>
      <c r="AK1427" s="658"/>
    </row>
    <row r="1428" spans="2:37">
      <c r="B1428" s="1"/>
      <c r="C1428" s="858"/>
      <c r="D1428" s="1"/>
      <c r="E1428" s="1"/>
      <c r="F1428" s="1"/>
      <c r="G1428" s="1"/>
      <c r="H1428" s="1"/>
      <c r="I1428" s="1"/>
      <c r="J1428" s="1"/>
      <c r="K1428" s="1"/>
      <c r="L1428" s="430"/>
      <c r="AK1428" s="658"/>
    </row>
    <row r="1429" spans="2:37">
      <c r="B1429" s="1"/>
      <c r="C1429" s="858"/>
      <c r="D1429" s="1"/>
      <c r="E1429" s="1"/>
      <c r="F1429" s="1"/>
      <c r="G1429" s="1"/>
      <c r="H1429" s="1"/>
      <c r="I1429" s="1"/>
      <c r="J1429" s="1"/>
      <c r="K1429" s="1"/>
      <c r="L1429" s="430"/>
      <c r="AK1429" s="658"/>
    </row>
    <row r="1430" spans="2:37">
      <c r="B1430" s="1"/>
      <c r="C1430" s="858"/>
      <c r="D1430" s="1"/>
      <c r="E1430" s="1"/>
      <c r="F1430" s="1"/>
      <c r="G1430" s="1"/>
      <c r="H1430" s="1"/>
      <c r="I1430" s="1"/>
      <c r="J1430" s="1"/>
      <c r="K1430" s="1"/>
      <c r="L1430" s="430"/>
      <c r="AK1430" s="658"/>
    </row>
    <row r="1431" spans="2:37">
      <c r="B1431" s="1"/>
      <c r="C1431" s="858"/>
      <c r="D1431" s="1"/>
      <c r="E1431" s="1"/>
      <c r="F1431" s="1"/>
      <c r="G1431" s="1"/>
      <c r="H1431" s="1"/>
      <c r="I1431" s="1"/>
      <c r="J1431" s="1"/>
      <c r="K1431" s="1"/>
      <c r="L1431" s="430"/>
      <c r="AK1431" s="658"/>
    </row>
    <row r="1432" spans="2:37">
      <c r="B1432" s="1"/>
      <c r="C1432" s="858"/>
      <c r="D1432" s="1"/>
      <c r="E1432" s="1"/>
      <c r="F1432" s="1"/>
      <c r="G1432" s="1"/>
      <c r="H1432" s="1"/>
      <c r="I1432" s="1"/>
      <c r="J1432" s="1"/>
      <c r="K1432" s="1"/>
      <c r="L1432" s="430"/>
      <c r="AK1432" s="658"/>
    </row>
    <row r="1433" spans="2:37">
      <c r="B1433" s="1"/>
      <c r="C1433" s="858"/>
      <c r="D1433" s="1"/>
      <c r="E1433" s="1"/>
      <c r="F1433" s="1"/>
      <c r="G1433" s="1"/>
      <c r="H1433" s="1"/>
      <c r="I1433" s="1"/>
      <c r="J1433" s="1"/>
      <c r="K1433" s="1"/>
      <c r="L1433" s="430"/>
      <c r="AK1433" s="658"/>
    </row>
    <row r="1434" spans="2:37">
      <c r="B1434" s="1"/>
      <c r="C1434" s="858"/>
      <c r="D1434" s="1"/>
      <c r="E1434" s="1"/>
      <c r="F1434" s="1"/>
      <c r="G1434" s="1"/>
      <c r="H1434" s="1"/>
      <c r="I1434" s="1"/>
      <c r="J1434" s="1"/>
      <c r="K1434" s="1"/>
      <c r="L1434" s="430"/>
      <c r="AK1434" s="658"/>
    </row>
    <row r="1435" spans="2:37">
      <c r="B1435" s="1"/>
      <c r="C1435" s="858"/>
      <c r="D1435" s="1"/>
      <c r="E1435" s="1"/>
      <c r="F1435" s="1"/>
      <c r="G1435" s="1"/>
      <c r="H1435" s="1"/>
      <c r="I1435" s="1"/>
      <c r="J1435" s="1"/>
      <c r="K1435" s="1"/>
      <c r="L1435" s="430"/>
      <c r="AK1435" s="658"/>
    </row>
    <row r="1436" spans="2:37">
      <c r="B1436" s="1"/>
      <c r="C1436" s="858"/>
      <c r="D1436" s="1"/>
      <c r="E1436" s="1"/>
      <c r="F1436" s="1"/>
      <c r="G1436" s="1"/>
      <c r="H1436" s="1"/>
      <c r="I1436" s="1"/>
      <c r="J1436" s="1"/>
      <c r="K1436" s="1"/>
      <c r="L1436" s="430"/>
      <c r="AK1436" s="658"/>
    </row>
    <row r="1437" spans="2:37">
      <c r="B1437" s="1"/>
      <c r="C1437" s="858"/>
      <c r="D1437" s="1"/>
      <c r="E1437" s="1"/>
      <c r="F1437" s="1"/>
      <c r="G1437" s="1"/>
      <c r="H1437" s="1"/>
      <c r="I1437" s="1"/>
      <c r="J1437" s="1"/>
      <c r="K1437" s="1"/>
      <c r="L1437" s="430"/>
      <c r="AK1437" s="658"/>
    </row>
    <row r="1438" spans="2:37">
      <c r="B1438" s="1"/>
      <c r="C1438" s="858"/>
      <c r="D1438" s="1"/>
      <c r="E1438" s="1"/>
      <c r="F1438" s="1"/>
      <c r="G1438" s="1"/>
      <c r="H1438" s="1"/>
      <c r="I1438" s="1"/>
      <c r="J1438" s="1"/>
      <c r="K1438" s="1"/>
      <c r="L1438" s="430"/>
      <c r="AK1438" s="658"/>
    </row>
    <row r="1439" spans="2:37">
      <c r="B1439" s="1"/>
      <c r="C1439" s="858"/>
      <c r="D1439" s="1"/>
      <c r="E1439" s="1"/>
      <c r="F1439" s="1"/>
      <c r="G1439" s="1"/>
      <c r="H1439" s="1"/>
      <c r="I1439" s="1"/>
      <c r="J1439" s="1"/>
      <c r="K1439" s="1"/>
      <c r="L1439" s="430"/>
      <c r="AK1439" s="658"/>
    </row>
    <row r="1440" spans="2:37">
      <c r="B1440" s="1"/>
      <c r="C1440" s="858"/>
      <c r="D1440" s="1"/>
      <c r="E1440" s="1"/>
      <c r="F1440" s="1"/>
      <c r="G1440" s="1"/>
      <c r="H1440" s="1"/>
      <c r="I1440" s="1"/>
      <c r="J1440" s="1"/>
      <c r="K1440" s="1"/>
      <c r="L1440" s="430"/>
      <c r="AK1440" s="658"/>
    </row>
    <row r="1441" spans="2:37">
      <c r="B1441" s="1"/>
      <c r="C1441" s="858"/>
      <c r="D1441" s="1"/>
      <c r="E1441" s="1"/>
      <c r="F1441" s="1"/>
      <c r="G1441" s="1"/>
      <c r="H1441" s="1"/>
      <c r="I1441" s="1"/>
      <c r="J1441" s="1"/>
      <c r="K1441" s="1"/>
      <c r="L1441" s="430"/>
      <c r="AK1441" s="658"/>
    </row>
    <row r="1442" spans="2:37">
      <c r="B1442" s="1"/>
      <c r="C1442" s="858"/>
      <c r="D1442" s="1"/>
      <c r="E1442" s="1"/>
      <c r="F1442" s="1"/>
      <c r="G1442" s="1"/>
      <c r="H1442" s="1"/>
      <c r="I1442" s="1"/>
      <c r="J1442" s="1"/>
      <c r="K1442" s="1"/>
      <c r="L1442" s="430"/>
      <c r="AK1442" s="658"/>
    </row>
    <row r="1443" spans="2:37">
      <c r="B1443" s="1"/>
      <c r="C1443" s="858"/>
      <c r="D1443" s="1"/>
      <c r="E1443" s="1"/>
      <c r="F1443" s="1"/>
      <c r="G1443" s="1"/>
      <c r="H1443" s="1"/>
      <c r="I1443" s="1"/>
      <c r="J1443" s="1"/>
      <c r="K1443" s="1"/>
      <c r="L1443" s="430"/>
      <c r="AK1443" s="658"/>
    </row>
    <row r="1444" spans="2:37">
      <c r="B1444" s="1"/>
      <c r="C1444" s="858"/>
      <c r="D1444" s="1"/>
      <c r="E1444" s="1"/>
      <c r="F1444" s="1"/>
      <c r="G1444" s="1"/>
      <c r="H1444" s="1"/>
      <c r="I1444" s="1"/>
      <c r="J1444" s="1"/>
      <c r="K1444" s="1"/>
      <c r="L1444" s="430"/>
      <c r="AK1444" s="658"/>
    </row>
    <row r="1445" spans="2:37">
      <c r="B1445" s="1"/>
      <c r="C1445" s="858"/>
      <c r="D1445" s="1"/>
      <c r="E1445" s="1"/>
      <c r="F1445" s="1"/>
      <c r="G1445" s="1"/>
      <c r="H1445" s="1"/>
      <c r="I1445" s="1"/>
      <c r="J1445" s="1"/>
      <c r="K1445" s="1"/>
      <c r="L1445" s="430"/>
      <c r="AK1445" s="658"/>
    </row>
    <row r="1446" spans="2:37">
      <c r="B1446" s="1"/>
      <c r="C1446" s="858"/>
      <c r="D1446" s="1"/>
      <c r="E1446" s="1"/>
      <c r="F1446" s="1"/>
      <c r="G1446" s="1"/>
      <c r="H1446" s="1"/>
      <c r="I1446" s="1"/>
      <c r="J1446" s="1"/>
      <c r="K1446" s="1"/>
      <c r="L1446" s="430"/>
      <c r="AK1446" s="658"/>
    </row>
    <row r="1447" spans="2:37">
      <c r="B1447" s="1"/>
      <c r="C1447" s="858"/>
      <c r="D1447" s="1"/>
      <c r="E1447" s="1"/>
      <c r="F1447" s="1"/>
      <c r="G1447" s="1"/>
      <c r="H1447" s="1"/>
      <c r="I1447" s="1"/>
      <c r="J1447" s="1"/>
      <c r="K1447" s="1"/>
      <c r="L1447" s="430"/>
      <c r="AK1447" s="658"/>
    </row>
    <row r="1448" spans="2:37">
      <c r="B1448" s="1"/>
      <c r="C1448" s="858"/>
      <c r="D1448" s="1"/>
      <c r="E1448" s="1"/>
      <c r="F1448" s="1"/>
      <c r="G1448" s="1"/>
      <c r="H1448" s="1"/>
      <c r="I1448" s="1"/>
      <c r="J1448" s="1"/>
      <c r="K1448" s="1"/>
      <c r="L1448" s="430"/>
      <c r="AK1448" s="658"/>
    </row>
    <row r="1449" spans="2:37">
      <c r="B1449" s="1"/>
      <c r="C1449" s="858"/>
      <c r="D1449" s="1"/>
      <c r="E1449" s="1"/>
      <c r="F1449" s="1"/>
      <c r="G1449" s="1"/>
      <c r="H1449" s="1"/>
      <c r="I1449" s="1"/>
      <c r="J1449" s="1"/>
      <c r="K1449" s="1"/>
      <c r="L1449" s="430"/>
      <c r="AK1449" s="658"/>
    </row>
    <row r="1450" spans="2:37">
      <c r="B1450" s="1"/>
      <c r="C1450" s="858"/>
      <c r="D1450" s="1"/>
      <c r="E1450" s="1"/>
      <c r="F1450" s="1"/>
      <c r="G1450" s="1"/>
      <c r="H1450" s="1"/>
      <c r="I1450" s="1"/>
      <c r="J1450" s="1"/>
      <c r="K1450" s="1"/>
      <c r="L1450" s="430"/>
      <c r="AK1450" s="658"/>
    </row>
    <row r="1451" spans="2:37">
      <c r="B1451" s="1"/>
      <c r="C1451" s="858"/>
      <c r="D1451" s="1"/>
      <c r="E1451" s="1"/>
      <c r="F1451" s="1"/>
      <c r="G1451" s="1"/>
      <c r="H1451" s="1"/>
      <c r="I1451" s="1"/>
      <c r="J1451" s="1"/>
      <c r="K1451" s="1"/>
      <c r="L1451" s="430"/>
      <c r="AK1451" s="658"/>
    </row>
    <row r="1452" spans="2:37">
      <c r="B1452" s="1"/>
      <c r="C1452" s="858"/>
      <c r="D1452" s="1"/>
      <c r="E1452" s="1"/>
      <c r="F1452" s="1"/>
      <c r="G1452" s="1"/>
      <c r="H1452" s="1"/>
      <c r="I1452" s="1"/>
      <c r="J1452" s="1"/>
      <c r="K1452" s="1"/>
      <c r="L1452" s="430"/>
      <c r="AK1452" s="658"/>
    </row>
    <row r="1453" spans="2:37">
      <c r="B1453" s="1"/>
      <c r="C1453" s="858"/>
      <c r="D1453" s="1"/>
      <c r="E1453" s="1"/>
      <c r="F1453" s="1"/>
      <c r="G1453" s="1"/>
      <c r="H1453" s="1"/>
      <c r="I1453" s="1"/>
      <c r="J1453" s="1"/>
      <c r="K1453" s="1"/>
      <c r="L1453" s="430"/>
      <c r="AK1453" s="658"/>
    </row>
    <row r="1454" spans="2:37">
      <c r="B1454" s="1"/>
      <c r="C1454" s="858"/>
      <c r="D1454" s="1"/>
      <c r="E1454" s="1"/>
      <c r="F1454" s="1"/>
      <c r="G1454" s="1"/>
      <c r="H1454" s="1"/>
      <c r="I1454" s="1"/>
      <c r="J1454" s="1"/>
      <c r="K1454" s="1"/>
      <c r="L1454" s="430"/>
      <c r="AK1454" s="658"/>
    </row>
    <row r="1455" spans="2:37">
      <c r="B1455" s="1"/>
      <c r="C1455" s="858"/>
      <c r="D1455" s="1"/>
      <c r="E1455" s="1"/>
      <c r="F1455" s="1"/>
      <c r="G1455" s="1"/>
      <c r="H1455" s="1"/>
      <c r="I1455" s="1"/>
      <c r="J1455" s="1"/>
      <c r="K1455" s="1"/>
      <c r="L1455" s="430"/>
      <c r="AK1455" s="658"/>
    </row>
    <row r="1456" spans="2:37">
      <c r="B1456" s="1"/>
      <c r="C1456" s="858"/>
      <c r="D1456" s="1"/>
      <c r="E1456" s="1"/>
      <c r="F1456" s="1"/>
      <c r="G1456" s="1"/>
      <c r="H1456" s="1"/>
      <c r="I1456" s="1"/>
      <c r="J1456" s="1"/>
      <c r="K1456" s="1"/>
      <c r="L1456" s="430"/>
      <c r="AK1456" s="658"/>
    </row>
    <row r="1457" spans="2:37">
      <c r="B1457" s="1"/>
      <c r="C1457" s="858"/>
      <c r="D1457" s="1"/>
      <c r="E1457" s="1"/>
      <c r="F1457" s="1"/>
      <c r="G1457" s="1"/>
      <c r="H1457" s="1"/>
      <c r="I1457" s="1"/>
      <c r="J1457" s="1"/>
      <c r="K1457" s="1"/>
      <c r="L1457" s="430"/>
      <c r="AK1457" s="658"/>
    </row>
    <row r="1458" spans="2:37">
      <c r="B1458" s="1"/>
      <c r="C1458" s="858"/>
      <c r="D1458" s="1"/>
      <c r="E1458" s="1"/>
      <c r="F1458" s="1"/>
      <c r="G1458" s="1"/>
      <c r="H1458" s="1"/>
      <c r="I1458" s="1"/>
      <c r="J1458" s="1"/>
      <c r="K1458" s="1"/>
      <c r="L1458" s="430"/>
      <c r="AK1458" s="658"/>
    </row>
    <row r="1459" spans="2:37">
      <c r="B1459" s="1"/>
      <c r="C1459" s="858"/>
      <c r="D1459" s="1"/>
      <c r="E1459" s="1"/>
      <c r="F1459" s="1"/>
      <c r="G1459" s="1"/>
      <c r="H1459" s="1"/>
      <c r="I1459" s="1"/>
      <c r="J1459" s="1"/>
      <c r="K1459" s="1"/>
      <c r="L1459" s="430"/>
      <c r="AK1459" s="658"/>
    </row>
    <row r="1460" spans="2:37">
      <c r="B1460" s="1"/>
      <c r="C1460" s="858"/>
      <c r="D1460" s="1"/>
      <c r="E1460" s="1"/>
      <c r="F1460" s="1"/>
      <c r="G1460" s="1"/>
      <c r="H1460" s="1"/>
      <c r="I1460" s="1"/>
      <c r="J1460" s="1"/>
      <c r="K1460" s="1"/>
      <c r="L1460" s="430"/>
      <c r="AK1460" s="658"/>
    </row>
    <row r="1461" spans="2:37">
      <c r="B1461" s="1"/>
      <c r="C1461" s="858"/>
      <c r="D1461" s="1"/>
      <c r="E1461" s="1"/>
      <c r="F1461" s="1"/>
      <c r="G1461" s="1"/>
      <c r="H1461" s="1"/>
      <c r="I1461" s="1"/>
      <c r="J1461" s="1"/>
      <c r="K1461" s="1"/>
      <c r="L1461" s="430"/>
      <c r="AK1461" s="658"/>
    </row>
    <row r="1462" spans="2:37">
      <c r="B1462" s="1"/>
      <c r="C1462" s="858"/>
      <c r="D1462" s="1"/>
      <c r="E1462" s="1"/>
      <c r="F1462" s="1"/>
      <c r="G1462" s="1"/>
      <c r="H1462" s="1"/>
      <c r="I1462" s="1"/>
      <c r="J1462" s="1"/>
      <c r="K1462" s="1"/>
      <c r="L1462" s="430"/>
      <c r="AK1462" s="658"/>
    </row>
    <row r="1463" spans="2:37">
      <c r="B1463" s="1"/>
      <c r="C1463" s="858"/>
      <c r="D1463" s="1"/>
      <c r="E1463" s="1"/>
      <c r="F1463" s="1"/>
      <c r="G1463" s="1"/>
      <c r="H1463" s="1"/>
      <c r="I1463" s="1"/>
      <c r="J1463" s="1"/>
      <c r="K1463" s="1"/>
      <c r="L1463" s="430"/>
      <c r="AK1463" s="658"/>
    </row>
    <row r="1464" spans="2:37">
      <c r="B1464" s="1"/>
      <c r="C1464" s="858"/>
      <c r="D1464" s="1"/>
      <c r="E1464" s="1"/>
      <c r="F1464" s="1"/>
      <c r="G1464" s="1"/>
      <c r="H1464" s="1"/>
      <c r="I1464" s="1"/>
      <c r="J1464" s="1"/>
      <c r="K1464" s="1"/>
      <c r="L1464" s="430"/>
      <c r="AK1464" s="658"/>
    </row>
    <row r="1465" spans="2:37">
      <c r="B1465" s="1"/>
      <c r="C1465" s="858"/>
      <c r="D1465" s="1"/>
      <c r="E1465" s="1"/>
      <c r="F1465" s="1"/>
      <c r="G1465" s="1"/>
      <c r="H1465" s="1"/>
      <c r="I1465" s="1"/>
      <c r="J1465" s="1"/>
      <c r="K1465" s="1"/>
      <c r="L1465" s="430"/>
      <c r="AK1465" s="658"/>
    </row>
    <row r="1466" spans="2:37">
      <c r="B1466" s="1"/>
      <c r="C1466" s="858"/>
      <c r="D1466" s="1"/>
      <c r="E1466" s="1"/>
      <c r="F1466" s="1"/>
      <c r="G1466" s="1"/>
      <c r="H1466" s="1"/>
      <c r="I1466" s="1"/>
      <c r="J1466" s="1"/>
      <c r="K1466" s="1"/>
      <c r="L1466" s="430"/>
      <c r="AK1466" s="658"/>
    </row>
    <row r="1467" spans="2:37">
      <c r="B1467" s="1"/>
      <c r="C1467" s="858"/>
      <c r="D1467" s="1"/>
      <c r="E1467" s="1"/>
      <c r="F1467" s="1"/>
      <c r="G1467" s="1"/>
      <c r="H1467" s="1"/>
      <c r="I1467" s="1"/>
      <c r="J1467" s="1"/>
      <c r="K1467" s="1"/>
      <c r="L1467" s="430"/>
      <c r="AK1467" s="658"/>
    </row>
    <row r="1468" spans="2:37">
      <c r="B1468" s="1"/>
      <c r="C1468" s="858"/>
      <c r="D1468" s="1"/>
      <c r="E1468" s="1"/>
      <c r="F1468" s="1"/>
      <c r="G1468" s="1"/>
      <c r="H1468" s="1"/>
      <c r="I1468" s="1"/>
      <c r="J1468" s="1"/>
      <c r="K1468" s="1"/>
      <c r="L1468" s="430"/>
      <c r="AK1468" s="658"/>
    </row>
    <row r="1469" spans="2:37">
      <c r="B1469" s="1"/>
      <c r="C1469" s="858"/>
      <c r="D1469" s="1"/>
      <c r="E1469" s="1"/>
      <c r="F1469" s="1"/>
      <c r="G1469" s="1"/>
      <c r="H1469" s="1"/>
      <c r="I1469" s="1"/>
      <c r="J1469" s="1"/>
      <c r="K1469" s="1"/>
      <c r="L1469" s="430"/>
      <c r="AK1469" s="658"/>
    </row>
    <row r="1470" spans="2:37">
      <c r="B1470" s="1"/>
      <c r="C1470" s="858"/>
      <c r="D1470" s="1"/>
      <c r="E1470" s="1"/>
      <c r="F1470" s="1"/>
      <c r="G1470" s="1"/>
      <c r="H1470" s="1"/>
      <c r="I1470" s="1"/>
      <c r="J1470" s="1"/>
      <c r="K1470" s="1"/>
      <c r="L1470" s="430"/>
      <c r="AK1470" s="658"/>
    </row>
    <row r="1471" spans="2:37">
      <c r="B1471" s="1"/>
      <c r="C1471" s="858"/>
      <c r="D1471" s="1"/>
      <c r="E1471" s="1"/>
      <c r="F1471" s="1"/>
      <c r="G1471" s="1"/>
      <c r="H1471" s="1"/>
      <c r="I1471" s="1"/>
      <c r="J1471" s="1"/>
      <c r="K1471" s="1"/>
      <c r="L1471" s="430"/>
      <c r="AK1471" s="658"/>
    </row>
    <row r="1472" spans="2:37">
      <c r="B1472" s="1"/>
      <c r="C1472" s="858"/>
      <c r="D1472" s="1"/>
      <c r="E1472" s="1"/>
      <c r="F1472" s="1"/>
      <c r="G1472" s="1"/>
      <c r="H1472" s="1"/>
      <c r="I1472" s="1"/>
      <c r="J1472" s="1"/>
      <c r="K1472" s="1"/>
      <c r="L1472" s="430"/>
      <c r="AK1472" s="658"/>
    </row>
    <row r="1473" spans="2:37">
      <c r="B1473" s="1"/>
      <c r="C1473" s="858"/>
      <c r="D1473" s="1"/>
      <c r="E1473" s="1"/>
      <c r="F1473" s="1"/>
      <c r="G1473" s="1"/>
      <c r="H1473" s="1"/>
      <c r="I1473" s="1"/>
      <c r="J1473" s="1"/>
      <c r="K1473" s="1"/>
      <c r="L1473" s="430"/>
      <c r="AK1473" s="658"/>
    </row>
    <row r="1474" spans="2:37">
      <c r="B1474" s="1"/>
      <c r="C1474" s="858"/>
      <c r="D1474" s="1"/>
      <c r="E1474" s="1"/>
      <c r="F1474" s="1"/>
      <c r="G1474" s="1"/>
      <c r="H1474" s="1"/>
      <c r="I1474" s="1"/>
      <c r="J1474" s="1"/>
      <c r="K1474" s="1"/>
      <c r="L1474" s="430"/>
      <c r="AK1474" s="658"/>
    </row>
    <row r="1475" spans="2:37">
      <c r="B1475" s="1"/>
      <c r="C1475" s="858"/>
      <c r="D1475" s="1"/>
      <c r="E1475" s="1"/>
      <c r="F1475" s="1"/>
      <c r="G1475" s="1"/>
      <c r="H1475" s="1"/>
      <c r="I1475" s="1"/>
      <c r="J1475" s="1"/>
      <c r="K1475" s="1"/>
      <c r="L1475" s="430"/>
      <c r="AK1475" s="658"/>
    </row>
    <row r="1476" spans="2:37">
      <c r="B1476" s="1"/>
      <c r="C1476" s="858"/>
      <c r="D1476" s="1"/>
      <c r="E1476" s="1"/>
      <c r="F1476" s="1"/>
      <c r="G1476" s="1"/>
      <c r="H1476" s="1"/>
      <c r="I1476" s="1"/>
      <c r="J1476" s="1"/>
      <c r="K1476" s="1"/>
      <c r="L1476" s="430"/>
      <c r="AK1476" s="658"/>
    </row>
    <row r="1477" spans="2:37">
      <c r="B1477" s="1"/>
      <c r="C1477" s="858"/>
      <c r="D1477" s="1"/>
      <c r="E1477" s="1"/>
      <c r="F1477" s="1"/>
      <c r="G1477" s="1"/>
      <c r="H1477" s="1"/>
      <c r="I1477" s="1"/>
      <c r="J1477" s="1"/>
      <c r="K1477" s="1"/>
      <c r="L1477" s="430"/>
      <c r="AK1477" s="658"/>
    </row>
    <row r="1478" spans="2:37">
      <c r="B1478" s="1"/>
      <c r="C1478" s="858"/>
      <c r="D1478" s="1"/>
      <c r="E1478" s="1"/>
      <c r="F1478" s="1"/>
      <c r="G1478" s="1"/>
      <c r="H1478" s="1"/>
      <c r="I1478" s="1"/>
      <c r="J1478" s="1"/>
      <c r="K1478" s="1"/>
      <c r="L1478" s="430"/>
      <c r="AK1478" s="658"/>
    </row>
    <row r="1479" spans="2:37">
      <c r="B1479" s="1"/>
      <c r="C1479" s="858"/>
      <c r="D1479" s="1"/>
      <c r="E1479" s="1"/>
      <c r="F1479" s="1"/>
      <c r="G1479" s="1"/>
      <c r="H1479" s="1"/>
      <c r="I1479" s="1"/>
      <c r="J1479" s="1"/>
      <c r="K1479" s="1"/>
      <c r="L1479" s="430"/>
      <c r="AK1479" s="658"/>
    </row>
    <row r="1480" spans="2:37">
      <c r="B1480" s="1"/>
      <c r="C1480" s="858"/>
      <c r="D1480" s="1"/>
      <c r="E1480" s="1"/>
      <c r="F1480" s="1"/>
      <c r="G1480" s="1"/>
      <c r="H1480" s="1"/>
      <c r="I1480" s="1"/>
      <c r="J1480" s="1"/>
      <c r="K1480" s="1"/>
      <c r="L1480" s="430"/>
      <c r="AK1480" s="658"/>
    </row>
    <row r="1481" spans="2:37">
      <c r="B1481" s="1"/>
      <c r="C1481" s="858"/>
      <c r="D1481" s="1"/>
      <c r="E1481" s="1"/>
      <c r="F1481" s="1"/>
      <c r="G1481" s="1"/>
      <c r="H1481" s="1"/>
      <c r="I1481" s="1"/>
      <c r="J1481" s="1"/>
      <c r="K1481" s="1"/>
      <c r="L1481" s="430"/>
      <c r="AK1481" s="658"/>
    </row>
    <row r="1482" spans="2:37">
      <c r="B1482" s="1"/>
      <c r="C1482" s="858"/>
      <c r="D1482" s="1"/>
      <c r="E1482" s="1"/>
      <c r="F1482" s="1"/>
      <c r="G1482" s="1"/>
      <c r="H1482" s="1"/>
      <c r="I1482" s="1"/>
      <c r="J1482" s="1"/>
      <c r="K1482" s="1"/>
      <c r="L1482" s="430"/>
      <c r="AK1482" s="658"/>
    </row>
    <row r="1483" spans="2:37">
      <c r="B1483" s="1"/>
      <c r="C1483" s="858"/>
      <c r="D1483" s="1"/>
      <c r="E1483" s="1"/>
      <c r="F1483" s="1"/>
      <c r="G1483" s="1"/>
      <c r="H1483" s="1"/>
      <c r="I1483" s="1"/>
      <c r="J1483" s="1"/>
      <c r="K1483" s="1"/>
      <c r="L1483" s="430"/>
      <c r="AK1483" s="658"/>
    </row>
    <row r="1484" spans="2:37">
      <c r="B1484" s="1"/>
      <c r="C1484" s="858"/>
      <c r="D1484" s="1"/>
      <c r="E1484" s="1"/>
      <c r="F1484" s="1"/>
      <c r="G1484" s="1"/>
      <c r="H1484" s="1"/>
      <c r="I1484" s="1"/>
      <c r="J1484" s="1"/>
      <c r="K1484" s="1"/>
      <c r="L1484" s="430"/>
      <c r="AK1484" s="658"/>
    </row>
    <row r="1485" spans="2:37">
      <c r="B1485" s="1"/>
      <c r="C1485" s="858"/>
      <c r="D1485" s="1"/>
      <c r="E1485" s="1"/>
      <c r="F1485" s="1"/>
      <c r="G1485" s="1"/>
      <c r="H1485" s="1"/>
      <c r="I1485" s="1"/>
      <c r="J1485" s="1"/>
      <c r="K1485" s="1"/>
      <c r="L1485" s="430"/>
      <c r="AK1485" s="658"/>
    </row>
    <row r="1486" spans="2:37">
      <c r="B1486" s="1"/>
      <c r="C1486" s="858"/>
      <c r="D1486" s="1"/>
      <c r="E1486" s="1"/>
      <c r="F1486" s="1"/>
      <c r="G1486" s="1"/>
      <c r="H1486" s="1"/>
      <c r="I1486" s="1"/>
      <c r="J1486" s="1"/>
      <c r="K1486" s="1"/>
      <c r="L1486" s="430"/>
      <c r="AK1486" s="658"/>
    </row>
    <row r="1487" spans="2:37">
      <c r="B1487" s="1"/>
      <c r="C1487" s="858"/>
      <c r="D1487" s="1"/>
      <c r="E1487" s="1"/>
      <c r="F1487" s="1"/>
      <c r="G1487" s="1"/>
      <c r="H1487" s="1"/>
      <c r="I1487" s="1"/>
      <c r="J1487" s="1"/>
      <c r="K1487" s="1"/>
      <c r="L1487" s="430"/>
      <c r="AK1487" s="658"/>
    </row>
    <row r="1488" spans="2:37">
      <c r="B1488" s="1"/>
      <c r="C1488" s="858"/>
      <c r="D1488" s="1"/>
      <c r="E1488" s="1"/>
      <c r="F1488" s="1"/>
      <c r="G1488" s="1"/>
      <c r="H1488" s="1"/>
      <c r="I1488" s="1"/>
      <c r="J1488" s="1"/>
      <c r="K1488" s="1"/>
      <c r="L1488" s="430"/>
      <c r="AK1488" s="658"/>
    </row>
    <row r="1489" spans="2:37">
      <c r="B1489" s="1"/>
      <c r="C1489" s="858"/>
      <c r="D1489" s="1"/>
      <c r="E1489" s="1"/>
      <c r="F1489" s="1"/>
      <c r="G1489" s="1"/>
      <c r="H1489" s="1"/>
      <c r="I1489" s="1"/>
      <c r="J1489" s="1"/>
      <c r="K1489" s="1"/>
      <c r="L1489" s="430"/>
      <c r="AK1489" s="658"/>
    </row>
    <row r="1490" spans="2:37">
      <c r="B1490" s="1"/>
      <c r="C1490" s="858"/>
      <c r="D1490" s="1"/>
      <c r="E1490" s="1"/>
      <c r="F1490" s="1"/>
      <c r="G1490" s="1"/>
      <c r="H1490" s="1"/>
      <c r="I1490" s="1"/>
      <c r="J1490" s="1"/>
      <c r="K1490" s="1"/>
      <c r="L1490" s="430"/>
      <c r="AK1490" s="658"/>
    </row>
    <row r="1491" spans="2:37">
      <c r="B1491" s="1"/>
      <c r="C1491" s="858"/>
      <c r="D1491" s="1"/>
      <c r="E1491" s="1"/>
      <c r="F1491" s="1"/>
      <c r="G1491" s="1"/>
      <c r="H1491" s="1"/>
      <c r="I1491" s="1"/>
      <c r="J1491" s="1"/>
      <c r="K1491" s="1"/>
      <c r="L1491" s="430"/>
      <c r="AK1491" s="658"/>
    </row>
    <row r="1492" spans="2:37">
      <c r="B1492" s="1"/>
      <c r="C1492" s="858"/>
      <c r="D1492" s="1"/>
      <c r="E1492" s="1"/>
      <c r="F1492" s="1"/>
      <c r="G1492" s="1"/>
      <c r="H1492" s="1"/>
      <c r="I1492" s="1"/>
      <c r="J1492" s="1"/>
      <c r="K1492" s="1"/>
      <c r="L1492" s="430"/>
      <c r="AK1492" s="658"/>
    </row>
    <row r="1493" spans="2:37">
      <c r="B1493" s="1"/>
      <c r="C1493" s="858"/>
      <c r="D1493" s="1"/>
      <c r="E1493" s="1"/>
      <c r="F1493" s="1"/>
      <c r="G1493" s="1"/>
      <c r="H1493" s="1"/>
      <c r="I1493" s="1"/>
      <c r="J1493" s="1"/>
      <c r="K1493" s="1"/>
      <c r="L1493" s="430"/>
      <c r="AK1493" s="658"/>
    </row>
    <row r="1494" spans="2:37">
      <c r="B1494" s="1"/>
      <c r="C1494" s="858"/>
      <c r="D1494" s="1"/>
      <c r="E1494" s="1"/>
      <c r="F1494" s="1"/>
      <c r="G1494" s="1"/>
      <c r="H1494" s="1"/>
      <c r="I1494" s="1"/>
      <c r="J1494" s="1"/>
      <c r="K1494" s="1"/>
      <c r="L1494" s="430"/>
      <c r="AK1494" s="658"/>
    </row>
    <row r="1495" spans="2:37">
      <c r="B1495" s="1"/>
      <c r="C1495" s="858"/>
      <c r="D1495" s="1"/>
      <c r="E1495" s="1"/>
      <c r="F1495" s="1"/>
      <c r="G1495" s="1"/>
      <c r="H1495" s="1"/>
      <c r="I1495" s="1"/>
      <c r="J1495" s="1"/>
      <c r="K1495" s="1"/>
      <c r="L1495" s="430"/>
      <c r="AK1495" s="658"/>
    </row>
    <row r="1496" spans="2:37">
      <c r="B1496" s="1"/>
      <c r="C1496" s="858"/>
      <c r="D1496" s="1"/>
      <c r="E1496" s="1"/>
      <c r="F1496" s="1"/>
      <c r="G1496" s="1"/>
      <c r="H1496" s="1"/>
      <c r="I1496" s="1"/>
      <c r="J1496" s="1"/>
      <c r="K1496" s="1"/>
      <c r="L1496" s="430"/>
      <c r="AK1496" s="658"/>
    </row>
    <row r="1497" spans="2:37">
      <c r="B1497" s="1"/>
      <c r="C1497" s="858"/>
      <c r="D1497" s="1"/>
      <c r="E1497" s="1"/>
      <c r="F1497" s="1"/>
      <c r="G1497" s="1"/>
      <c r="H1497" s="1"/>
      <c r="I1497" s="1"/>
      <c r="J1497" s="1"/>
      <c r="K1497" s="1"/>
      <c r="L1497" s="430"/>
      <c r="AK1497" s="658"/>
    </row>
    <row r="1498" spans="2:37">
      <c r="B1498" s="1"/>
      <c r="C1498" s="858"/>
      <c r="D1498" s="1"/>
      <c r="E1498" s="1"/>
      <c r="F1498" s="1"/>
      <c r="G1498" s="1"/>
      <c r="H1498" s="1"/>
      <c r="I1498" s="1"/>
      <c r="J1498" s="1"/>
      <c r="K1498" s="1"/>
      <c r="L1498" s="430"/>
      <c r="AK1498" s="658"/>
    </row>
    <row r="1499" spans="2:37">
      <c r="B1499" s="1"/>
      <c r="C1499" s="858"/>
      <c r="D1499" s="1"/>
      <c r="E1499" s="1"/>
      <c r="F1499" s="1"/>
      <c r="G1499" s="1"/>
      <c r="H1499" s="1"/>
      <c r="I1499" s="1"/>
      <c r="J1499" s="1"/>
      <c r="K1499" s="1"/>
      <c r="L1499" s="430"/>
      <c r="AK1499" s="658"/>
    </row>
    <row r="1500" spans="2:37">
      <c r="B1500" s="1"/>
      <c r="C1500" s="858"/>
      <c r="D1500" s="1"/>
      <c r="E1500" s="1"/>
      <c r="F1500" s="1"/>
      <c r="G1500" s="1"/>
      <c r="H1500" s="1"/>
      <c r="I1500" s="1"/>
      <c r="J1500" s="1"/>
      <c r="K1500" s="1"/>
      <c r="L1500" s="430"/>
      <c r="AK1500" s="658"/>
    </row>
    <row r="1501" spans="2:37">
      <c r="B1501" s="1"/>
      <c r="C1501" s="858"/>
      <c r="D1501" s="1"/>
      <c r="E1501" s="1"/>
      <c r="F1501" s="1"/>
      <c r="G1501" s="1"/>
      <c r="H1501" s="1"/>
      <c r="I1501" s="1"/>
      <c r="J1501" s="1"/>
      <c r="K1501" s="1"/>
      <c r="L1501" s="430"/>
      <c r="AK1501" s="658"/>
    </row>
    <row r="1502" spans="2:37">
      <c r="B1502" s="1"/>
      <c r="C1502" s="858"/>
      <c r="D1502" s="1"/>
      <c r="E1502" s="1"/>
      <c r="F1502" s="1"/>
      <c r="G1502" s="1"/>
      <c r="H1502" s="1"/>
      <c r="I1502" s="1"/>
      <c r="J1502" s="1"/>
      <c r="K1502" s="1"/>
      <c r="L1502" s="430"/>
      <c r="AK1502" s="658"/>
    </row>
    <row r="1503" spans="2:37">
      <c r="B1503" s="1"/>
      <c r="C1503" s="858"/>
      <c r="D1503" s="1"/>
      <c r="E1503" s="1"/>
      <c r="F1503" s="1"/>
      <c r="G1503" s="1"/>
      <c r="H1503" s="1"/>
      <c r="I1503" s="1"/>
      <c r="J1503" s="1"/>
      <c r="K1503" s="1"/>
      <c r="L1503" s="430"/>
      <c r="AK1503" s="658"/>
    </row>
    <row r="1504" spans="2:37">
      <c r="B1504" s="1"/>
      <c r="C1504" s="858"/>
      <c r="D1504" s="1"/>
      <c r="E1504" s="1"/>
      <c r="F1504" s="1"/>
      <c r="G1504" s="1"/>
      <c r="H1504" s="1"/>
      <c r="I1504" s="1"/>
      <c r="J1504" s="1"/>
      <c r="K1504" s="1"/>
      <c r="L1504" s="430"/>
      <c r="AK1504" s="658"/>
    </row>
    <row r="1505" spans="2:37">
      <c r="B1505" s="1"/>
      <c r="C1505" s="858"/>
      <c r="D1505" s="1"/>
      <c r="E1505" s="1"/>
      <c r="F1505" s="1"/>
      <c r="G1505" s="1"/>
      <c r="H1505" s="1"/>
      <c r="I1505" s="1"/>
      <c r="J1505" s="1"/>
      <c r="K1505" s="1"/>
      <c r="L1505" s="430"/>
      <c r="AK1505" s="658"/>
    </row>
    <row r="1506" spans="2:37">
      <c r="B1506" s="1"/>
      <c r="C1506" s="858"/>
      <c r="D1506" s="1"/>
      <c r="E1506" s="1"/>
      <c r="F1506" s="1"/>
      <c r="G1506" s="1"/>
      <c r="H1506" s="1"/>
      <c r="I1506" s="1"/>
      <c r="J1506" s="1"/>
      <c r="K1506" s="1"/>
      <c r="L1506" s="430"/>
      <c r="AK1506" s="658"/>
    </row>
    <row r="1507" spans="2:37">
      <c r="B1507" s="1"/>
      <c r="C1507" s="858"/>
      <c r="D1507" s="1"/>
      <c r="E1507" s="1"/>
      <c r="F1507" s="1"/>
      <c r="G1507" s="1"/>
      <c r="H1507" s="1"/>
      <c r="I1507" s="1"/>
      <c r="J1507" s="1"/>
      <c r="K1507" s="1"/>
      <c r="L1507" s="430"/>
      <c r="AK1507" s="658"/>
    </row>
    <row r="1508" spans="2:37">
      <c r="B1508" s="1"/>
      <c r="C1508" s="858"/>
      <c r="D1508" s="1"/>
      <c r="E1508" s="1"/>
      <c r="F1508" s="1"/>
      <c r="G1508" s="1"/>
      <c r="H1508" s="1"/>
      <c r="I1508" s="1"/>
      <c r="J1508" s="1"/>
      <c r="K1508" s="1"/>
      <c r="L1508" s="430"/>
      <c r="AK1508" s="658"/>
    </row>
    <row r="1509" spans="2:37">
      <c r="B1509" s="1"/>
      <c r="C1509" s="858"/>
      <c r="D1509" s="1"/>
      <c r="E1509" s="1"/>
      <c r="F1509" s="1"/>
      <c r="G1509" s="1"/>
      <c r="H1509" s="1"/>
      <c r="I1509" s="1"/>
      <c r="J1509" s="1"/>
      <c r="K1509" s="1"/>
      <c r="L1509" s="430"/>
      <c r="AK1509" s="658"/>
    </row>
    <row r="1510" spans="2:37">
      <c r="B1510" s="1"/>
      <c r="C1510" s="858"/>
      <c r="D1510" s="1"/>
      <c r="E1510" s="1"/>
      <c r="F1510" s="1"/>
      <c r="G1510" s="1"/>
      <c r="H1510" s="1"/>
      <c r="I1510" s="1"/>
      <c r="J1510" s="1"/>
      <c r="K1510" s="1"/>
      <c r="L1510" s="430"/>
      <c r="AK1510" s="658"/>
    </row>
    <row r="1511" spans="2:37">
      <c r="B1511" s="1"/>
      <c r="C1511" s="858"/>
      <c r="D1511" s="1"/>
      <c r="E1511" s="1"/>
      <c r="F1511" s="1"/>
      <c r="G1511" s="1"/>
      <c r="H1511" s="1"/>
      <c r="I1511" s="1"/>
      <c r="J1511" s="1"/>
      <c r="K1511" s="1"/>
      <c r="L1511" s="430"/>
      <c r="AK1511" s="658"/>
    </row>
    <row r="1512" spans="2:37">
      <c r="B1512" s="1"/>
      <c r="C1512" s="858"/>
      <c r="D1512" s="1"/>
      <c r="E1512" s="1"/>
      <c r="F1512" s="1"/>
      <c r="G1512" s="1"/>
      <c r="H1512" s="1"/>
      <c r="I1512" s="1"/>
      <c r="J1512" s="1"/>
      <c r="K1512" s="1"/>
      <c r="L1512" s="430"/>
      <c r="AK1512" s="658"/>
    </row>
    <row r="1513" spans="2:37">
      <c r="B1513" s="1"/>
      <c r="C1513" s="858"/>
      <c r="D1513" s="1"/>
      <c r="E1513" s="1"/>
      <c r="F1513" s="1"/>
      <c r="G1513" s="1"/>
      <c r="H1513" s="1"/>
      <c r="I1513" s="1"/>
      <c r="J1513" s="1"/>
      <c r="K1513" s="1"/>
      <c r="L1513" s="430"/>
      <c r="AK1513" s="658"/>
    </row>
    <row r="1514" spans="2:37">
      <c r="B1514" s="1"/>
      <c r="C1514" s="858"/>
      <c r="D1514" s="1"/>
      <c r="E1514" s="1"/>
      <c r="F1514" s="1"/>
      <c r="G1514" s="1"/>
      <c r="H1514" s="1"/>
      <c r="I1514" s="1"/>
      <c r="J1514" s="1"/>
      <c r="K1514" s="1"/>
      <c r="L1514" s="430"/>
      <c r="AK1514" s="658"/>
    </row>
    <row r="1515" spans="2:37">
      <c r="B1515" s="1"/>
      <c r="C1515" s="858"/>
      <c r="D1515" s="1"/>
      <c r="E1515" s="1"/>
      <c r="F1515" s="1"/>
      <c r="G1515" s="1"/>
      <c r="H1515" s="1"/>
      <c r="I1515" s="1"/>
      <c r="J1515" s="1"/>
      <c r="K1515" s="1"/>
      <c r="L1515" s="430"/>
      <c r="AK1515" s="658"/>
    </row>
    <row r="1516" spans="2:37">
      <c r="B1516" s="1"/>
      <c r="C1516" s="858"/>
      <c r="D1516" s="1"/>
      <c r="E1516" s="1"/>
      <c r="F1516" s="1"/>
      <c r="G1516" s="1"/>
      <c r="H1516" s="1"/>
      <c r="I1516" s="1"/>
      <c r="J1516" s="1"/>
      <c r="K1516" s="1"/>
      <c r="L1516" s="430"/>
      <c r="AK1516" s="658"/>
    </row>
    <row r="1517" spans="2:37">
      <c r="B1517" s="1"/>
      <c r="C1517" s="858"/>
      <c r="D1517" s="1"/>
      <c r="E1517" s="1"/>
      <c r="F1517" s="1"/>
      <c r="G1517" s="1"/>
      <c r="H1517" s="1"/>
      <c r="I1517" s="1"/>
      <c r="J1517" s="1"/>
      <c r="K1517" s="1"/>
      <c r="L1517" s="430"/>
      <c r="AK1517" s="658"/>
    </row>
    <row r="1518" spans="2:37">
      <c r="B1518" s="1"/>
      <c r="C1518" s="858"/>
      <c r="D1518" s="1"/>
      <c r="E1518" s="1"/>
      <c r="F1518" s="1"/>
      <c r="G1518" s="1"/>
      <c r="H1518" s="1"/>
      <c r="I1518" s="1"/>
      <c r="J1518" s="1"/>
      <c r="K1518" s="1"/>
      <c r="L1518" s="430"/>
      <c r="AK1518" s="658"/>
    </row>
    <row r="1519" spans="2:37">
      <c r="B1519" s="1"/>
      <c r="C1519" s="858"/>
      <c r="D1519" s="1"/>
      <c r="E1519" s="1"/>
      <c r="F1519" s="1"/>
      <c r="G1519" s="1"/>
      <c r="H1519" s="1"/>
      <c r="I1519" s="1"/>
      <c r="J1519" s="1"/>
      <c r="K1519" s="1"/>
      <c r="L1519" s="430"/>
      <c r="AK1519" s="658"/>
    </row>
    <row r="1520" spans="2:37">
      <c r="B1520" s="1"/>
      <c r="C1520" s="858"/>
      <c r="D1520" s="1"/>
      <c r="E1520" s="1"/>
      <c r="F1520" s="1"/>
      <c r="G1520" s="1"/>
      <c r="H1520" s="1"/>
      <c r="I1520" s="1"/>
      <c r="J1520" s="1"/>
      <c r="K1520" s="1"/>
      <c r="L1520" s="430"/>
      <c r="AK1520" s="658"/>
    </row>
    <row r="1521" spans="2:37">
      <c r="B1521" s="1"/>
      <c r="C1521" s="858"/>
      <c r="D1521" s="1"/>
      <c r="E1521" s="1"/>
      <c r="F1521" s="1"/>
      <c r="G1521" s="1"/>
      <c r="H1521" s="1"/>
      <c r="I1521" s="1"/>
      <c r="J1521" s="1"/>
      <c r="K1521" s="1"/>
      <c r="L1521" s="430"/>
      <c r="AK1521" s="658"/>
    </row>
    <row r="1522" spans="2:37">
      <c r="B1522" s="1"/>
      <c r="C1522" s="858"/>
      <c r="D1522" s="1"/>
      <c r="E1522" s="1"/>
      <c r="F1522" s="1"/>
      <c r="G1522" s="1"/>
      <c r="H1522" s="1"/>
      <c r="I1522" s="1"/>
      <c r="J1522" s="1"/>
      <c r="K1522" s="1"/>
      <c r="L1522" s="430"/>
      <c r="AK1522" s="658"/>
    </row>
    <row r="1523" spans="2:37">
      <c r="B1523" s="1"/>
      <c r="C1523" s="858"/>
      <c r="D1523" s="1"/>
      <c r="E1523" s="1"/>
      <c r="F1523" s="1"/>
      <c r="G1523" s="1"/>
      <c r="H1523" s="1"/>
      <c r="I1523" s="1"/>
      <c r="J1523" s="1"/>
      <c r="K1523" s="1"/>
      <c r="L1523" s="430"/>
    </row>
    <row r="1524" spans="2:37">
      <c r="B1524" s="1"/>
      <c r="C1524" s="858"/>
      <c r="D1524" s="1"/>
      <c r="E1524" s="1"/>
      <c r="F1524" s="1"/>
      <c r="G1524" s="1"/>
      <c r="H1524" s="1"/>
      <c r="I1524" s="1"/>
      <c r="J1524" s="1"/>
      <c r="K1524" s="1"/>
      <c r="L1524" s="430"/>
    </row>
  </sheetData>
  <sheetProtection selectLockedCells="1" selectUnlockedCells="1"/>
  <mergeCells count="40">
    <mergeCell ref="C3:C5"/>
    <mergeCell ref="D3:D5"/>
    <mergeCell ref="P6:T6"/>
    <mergeCell ref="U6:X6"/>
    <mergeCell ref="Y6:AC6"/>
    <mergeCell ref="F709:G709"/>
    <mergeCell ref="AH6:AJ6"/>
    <mergeCell ref="W8:AJ8"/>
    <mergeCell ref="O9:V9"/>
    <mergeCell ref="W9:AB9"/>
    <mergeCell ref="F17:G17"/>
    <mergeCell ref="F23:G23"/>
    <mergeCell ref="AD6:AG6"/>
    <mergeCell ref="F30:G30"/>
    <mergeCell ref="F622:G622"/>
    <mergeCell ref="F672:G672"/>
    <mergeCell ref="F682:G682"/>
    <mergeCell ref="F700:G700"/>
    <mergeCell ref="F1031:G1031"/>
    <mergeCell ref="F714:G714"/>
    <mergeCell ref="F720:G720"/>
    <mergeCell ref="F750:G750"/>
    <mergeCell ref="F755:G755"/>
    <mergeCell ref="F765:G765"/>
    <mergeCell ref="F772:G772"/>
    <mergeCell ref="F804:G804"/>
    <mergeCell ref="F815:G815"/>
    <mergeCell ref="F864:G864"/>
    <mergeCell ref="F994:G994"/>
    <mergeCell ref="F999:G999"/>
    <mergeCell ref="U1087:X1087"/>
    <mergeCell ref="Y1087:AC1087"/>
    <mergeCell ref="AD1087:AG1087"/>
    <mergeCell ref="AH1087:AJ1087"/>
    <mergeCell ref="F1039:G1039"/>
    <mergeCell ref="F1049:G1049"/>
    <mergeCell ref="F1062:G1062"/>
    <mergeCell ref="F1070:G1070"/>
    <mergeCell ref="F1078:G1078"/>
    <mergeCell ref="P1087:T1087"/>
  </mergeCells>
  <pageMargins left="0.98425196850393704" right="0" top="0.39370078740157483" bottom="0.39370078740157483" header="0.51181102362204722" footer="0.51181102362204722"/>
  <pageSetup paperSize="9" scale="58" firstPageNumber="0" fitToHeight="14" orientation="landscape" horizontalDpi="300" verticalDpi="300" r:id="rId1"/>
  <headerFooter alignWithMargins="0"/>
  <colBreaks count="1" manualBreakCount="1">
    <brk id="6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G19"/>
  <sheetViews>
    <sheetView zoomScale="121" zoomScaleNormal="121" workbookViewId="0">
      <selection activeCell="E24" sqref="E24"/>
    </sheetView>
  </sheetViews>
  <sheetFormatPr baseColWidth="10" defaultRowHeight="13"/>
  <cols>
    <col min="1" max="1" width="24.6640625" customWidth="1"/>
    <col min="2" max="2" width="15.5" customWidth="1"/>
    <col min="3" max="3" width="12.5" customWidth="1"/>
    <col min="4" max="4" width="15" bestFit="1" customWidth="1"/>
    <col min="5" max="5" width="11.5" bestFit="1" customWidth="1"/>
    <col min="6" max="6" width="12.1640625" customWidth="1"/>
  </cols>
  <sheetData>
    <row r="1" spans="1:6" ht="16">
      <c r="A1" s="917" t="s">
        <v>968</v>
      </c>
      <c r="B1" s="917"/>
      <c r="C1" s="866"/>
      <c r="D1" s="866"/>
      <c r="E1" s="866"/>
      <c r="F1" s="866"/>
    </row>
    <row r="2" spans="1:6" ht="16">
      <c r="C2" s="874"/>
      <c r="D2" s="866"/>
      <c r="E2" s="866"/>
      <c r="F2" s="866"/>
    </row>
    <row r="3" spans="1:6" ht="16">
      <c r="A3" s="886" t="s">
        <v>992</v>
      </c>
      <c r="B3" s="886" t="s">
        <v>993</v>
      </c>
      <c r="C3" s="886" t="s">
        <v>542</v>
      </c>
      <c r="D3" s="887" t="s">
        <v>991</v>
      </c>
      <c r="E3" s="887" t="s">
        <v>544</v>
      </c>
      <c r="F3" s="887" t="s">
        <v>545</v>
      </c>
    </row>
    <row r="4" spans="1:6" ht="15">
      <c r="A4" s="880" t="s">
        <v>969</v>
      </c>
      <c r="B4" s="880" t="s">
        <v>970</v>
      </c>
      <c r="C4" s="895">
        <v>90000</v>
      </c>
      <c r="D4" s="882">
        <v>227000</v>
      </c>
      <c r="E4" s="882">
        <v>240000</v>
      </c>
      <c r="F4" s="895">
        <v>90000</v>
      </c>
    </row>
    <row r="5" spans="1:6" ht="15">
      <c r="A5" s="880" t="s">
        <v>971</v>
      </c>
      <c r="B5" s="880" t="s">
        <v>970</v>
      </c>
      <c r="C5" s="881">
        <f t="shared" ref="C5:C13" si="0">D5/2</f>
        <v>2425</v>
      </c>
      <c r="D5" s="882">
        <v>4850</v>
      </c>
      <c r="E5" s="882">
        <v>4850</v>
      </c>
      <c r="F5" s="881">
        <f t="shared" ref="F5:F13" si="1">E5*0.25</f>
        <v>1212.5</v>
      </c>
    </row>
    <row r="6" spans="1:6" ht="15">
      <c r="A6" s="880" t="s">
        <v>994</v>
      </c>
      <c r="B6" s="880" t="s">
        <v>995</v>
      </c>
      <c r="C6" s="895">
        <v>60000</v>
      </c>
      <c r="D6" s="882">
        <v>0</v>
      </c>
      <c r="E6" s="882">
        <v>0</v>
      </c>
      <c r="F6" s="881">
        <v>0</v>
      </c>
    </row>
    <row r="7" spans="1:6" ht="15">
      <c r="A7" s="880" t="s">
        <v>972</v>
      </c>
      <c r="B7" s="880" t="s">
        <v>970</v>
      </c>
      <c r="C7" s="895">
        <f t="shared" si="0"/>
        <v>2250</v>
      </c>
      <c r="D7" s="883">
        <v>4500</v>
      </c>
      <c r="E7" s="883">
        <v>4500</v>
      </c>
      <c r="F7" s="881">
        <f t="shared" si="1"/>
        <v>1125</v>
      </c>
    </row>
    <row r="8" spans="1:6" ht="15">
      <c r="A8" s="884" t="s">
        <v>973</v>
      </c>
      <c r="B8" s="884" t="s">
        <v>970</v>
      </c>
      <c r="C8" s="895">
        <f t="shared" si="0"/>
        <v>12560</v>
      </c>
      <c r="D8" s="883">
        <v>25120</v>
      </c>
      <c r="E8" s="883">
        <v>25120</v>
      </c>
      <c r="F8" s="881">
        <f t="shared" si="1"/>
        <v>6280</v>
      </c>
    </row>
    <row r="9" spans="1:6" ht="15">
      <c r="A9" s="880" t="s">
        <v>974</v>
      </c>
      <c r="B9" s="880" t="s">
        <v>975</v>
      </c>
      <c r="C9" s="895">
        <f t="shared" si="0"/>
        <v>6000</v>
      </c>
      <c r="D9" s="883">
        <v>12000</v>
      </c>
      <c r="E9" s="883">
        <v>12000</v>
      </c>
      <c r="F9" s="881">
        <f t="shared" si="1"/>
        <v>3000</v>
      </c>
    </row>
    <row r="10" spans="1:6" ht="15">
      <c r="A10" s="880" t="s">
        <v>976</v>
      </c>
      <c r="B10" s="880" t="s">
        <v>977</v>
      </c>
      <c r="C10" s="895">
        <f t="shared" si="0"/>
        <v>5362.5</v>
      </c>
      <c r="D10" s="883">
        <v>10725</v>
      </c>
      <c r="E10" s="883">
        <v>10725</v>
      </c>
      <c r="F10" s="881">
        <f t="shared" si="1"/>
        <v>2681.25</v>
      </c>
    </row>
    <row r="11" spans="1:6" ht="15">
      <c r="A11" s="884" t="s">
        <v>978</v>
      </c>
      <c r="B11" s="884" t="s">
        <v>979</v>
      </c>
      <c r="C11" s="895">
        <f t="shared" si="0"/>
        <v>4646.5</v>
      </c>
      <c r="D11" s="885">
        <v>9293</v>
      </c>
      <c r="E11" s="885">
        <v>9293</v>
      </c>
      <c r="F11" s="881">
        <f t="shared" si="1"/>
        <v>2323.25</v>
      </c>
    </row>
    <row r="12" spans="1:6" ht="15">
      <c r="A12" s="884" t="s">
        <v>980</v>
      </c>
      <c r="B12" s="884" t="s">
        <v>981</v>
      </c>
      <c r="C12" s="895">
        <f t="shared" si="0"/>
        <v>3485</v>
      </c>
      <c r="D12" s="885">
        <v>6970</v>
      </c>
      <c r="E12" s="885">
        <v>6970</v>
      </c>
      <c r="F12" s="881">
        <f t="shared" si="1"/>
        <v>1742.5</v>
      </c>
    </row>
    <row r="13" spans="1:6" ht="15">
      <c r="A13" s="888" t="s">
        <v>982</v>
      </c>
      <c r="B13" s="888" t="s">
        <v>983</v>
      </c>
      <c r="C13" s="895">
        <f t="shared" si="0"/>
        <v>3388.75</v>
      </c>
      <c r="D13" s="885">
        <v>6777.5</v>
      </c>
      <c r="E13" s="885">
        <v>0</v>
      </c>
      <c r="F13" s="881">
        <f t="shared" si="1"/>
        <v>0</v>
      </c>
    </row>
    <row r="14" spans="1:6" ht="15">
      <c r="A14" s="889"/>
      <c r="B14" s="890"/>
      <c r="C14" s="891">
        <f>SUM(C4:C13)</f>
        <v>190117.75</v>
      </c>
      <c r="D14" s="892">
        <f>SUM(D4:D13)</f>
        <v>307235.5</v>
      </c>
      <c r="E14" s="892">
        <f>SUM(E4:E13)</f>
        <v>313458</v>
      </c>
      <c r="F14" s="892">
        <f>SUM(F4:F13)</f>
        <v>108364.5</v>
      </c>
    </row>
    <row r="15" spans="1:6" ht="15">
      <c r="A15" s="867"/>
      <c r="B15" s="867"/>
      <c r="C15" s="867"/>
      <c r="D15" s="878"/>
      <c r="E15" s="866"/>
      <c r="F15" s="866"/>
    </row>
    <row r="16" spans="1:6" ht="15">
      <c r="A16" s="868"/>
      <c r="B16" s="868"/>
      <c r="C16" s="868"/>
      <c r="D16" s="868"/>
      <c r="E16" s="866"/>
      <c r="F16" s="866"/>
    </row>
    <row r="17" spans="1:7" s="877" customFormat="1" ht="18">
      <c r="A17" s="876" t="s">
        <v>989</v>
      </c>
      <c r="B17" s="876"/>
      <c r="C17" s="876"/>
      <c r="D17" s="879">
        <v>1250000</v>
      </c>
    </row>
    <row r="18" spans="1:7" ht="5.5" customHeight="1">
      <c r="G18" s="875"/>
    </row>
    <row r="19" spans="1:7">
      <c r="A19" s="893" t="s">
        <v>990</v>
      </c>
      <c r="D19" s="894">
        <f>+(C14+D14+E14+F14)-D17</f>
        <v>-330824.25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C39"/>
  <sheetViews>
    <sheetView tabSelected="1" workbookViewId="0">
      <selection activeCell="C17" sqref="C17"/>
    </sheetView>
  </sheetViews>
  <sheetFormatPr baseColWidth="10" defaultRowHeight="13"/>
  <cols>
    <col min="1" max="1" width="21.83203125" customWidth="1"/>
  </cols>
  <sheetData>
    <row r="1" spans="1:3" ht="16">
      <c r="A1" s="869" t="s">
        <v>984</v>
      </c>
    </row>
    <row r="3" spans="1:3">
      <c r="A3" t="s">
        <v>985</v>
      </c>
    </row>
    <row r="5" spans="1:3">
      <c r="A5" t="s">
        <v>986</v>
      </c>
      <c r="B5" s="870">
        <v>44795</v>
      </c>
      <c r="C5" s="871">
        <v>533</v>
      </c>
    </row>
    <row r="6" spans="1:3">
      <c r="A6" t="s">
        <v>988</v>
      </c>
      <c r="B6" s="870">
        <v>44795</v>
      </c>
      <c r="C6" s="871">
        <v>961</v>
      </c>
    </row>
    <row r="7" spans="1:3">
      <c r="A7" t="s">
        <v>996</v>
      </c>
      <c r="B7" s="870">
        <v>44795</v>
      </c>
      <c r="C7" s="871">
        <v>1280</v>
      </c>
    </row>
    <row r="8" spans="1:3">
      <c r="A8" t="s">
        <v>996</v>
      </c>
      <c r="B8" s="870">
        <v>44792</v>
      </c>
      <c r="C8" s="871">
        <v>1231</v>
      </c>
    </row>
    <row r="9" spans="1:3">
      <c r="A9" t="s">
        <v>996</v>
      </c>
      <c r="B9" s="870">
        <v>44792</v>
      </c>
      <c r="C9" s="871">
        <v>964</v>
      </c>
    </row>
    <row r="10" spans="1:3">
      <c r="A10" t="s">
        <v>996</v>
      </c>
      <c r="B10" s="870">
        <v>44792</v>
      </c>
      <c r="C10" s="871">
        <v>1158</v>
      </c>
    </row>
    <row r="11" spans="1:3">
      <c r="A11" t="s">
        <v>996</v>
      </c>
      <c r="B11" s="870">
        <v>44798</v>
      </c>
      <c r="C11" s="871">
        <v>1438</v>
      </c>
    </row>
    <row r="12" spans="1:3">
      <c r="A12" t="s">
        <v>997</v>
      </c>
      <c r="B12" s="870">
        <v>44798</v>
      </c>
      <c r="C12" s="871">
        <v>1053</v>
      </c>
    </row>
    <row r="13" spans="1:3">
      <c r="A13" t="s">
        <v>996</v>
      </c>
      <c r="B13" s="870">
        <v>44796</v>
      </c>
      <c r="C13" s="871">
        <v>1470</v>
      </c>
    </row>
    <row r="14" spans="1:3">
      <c r="A14" t="s">
        <v>996</v>
      </c>
      <c r="B14" s="870">
        <v>44795</v>
      </c>
      <c r="C14" s="871">
        <v>1280</v>
      </c>
    </row>
    <row r="15" spans="1:3">
      <c r="A15" t="s">
        <v>998</v>
      </c>
      <c r="B15" s="870">
        <v>44798</v>
      </c>
      <c r="C15" s="871">
        <v>1030</v>
      </c>
    </row>
    <row r="16" spans="1:3">
      <c r="A16" t="s">
        <v>999</v>
      </c>
      <c r="B16" s="870">
        <v>44799</v>
      </c>
      <c r="C16" s="871">
        <v>580</v>
      </c>
    </row>
    <row r="17" spans="1:3">
      <c r="C17" s="871"/>
    </row>
    <row r="18" spans="1:3" ht="14" thickBot="1">
      <c r="C18" s="871"/>
    </row>
    <row r="19" spans="1:3" ht="14" thickBot="1">
      <c r="A19" s="450" t="s">
        <v>987</v>
      </c>
      <c r="B19" s="872"/>
      <c r="C19" s="873">
        <f>SUM(C5:C18)</f>
        <v>12978</v>
      </c>
    </row>
    <row r="20" spans="1:3">
      <c r="C20" s="871"/>
    </row>
    <row r="21" spans="1:3">
      <c r="C21" s="871"/>
    </row>
    <row r="22" spans="1:3">
      <c r="C22" s="871"/>
    </row>
    <row r="23" spans="1:3">
      <c r="C23" s="871"/>
    </row>
    <row r="24" spans="1:3">
      <c r="C24" s="871"/>
    </row>
    <row r="25" spans="1:3">
      <c r="C25" s="871"/>
    </row>
    <row r="26" spans="1:3">
      <c r="C26" s="871"/>
    </row>
    <row r="27" spans="1:3">
      <c r="C27" s="871"/>
    </row>
    <row r="28" spans="1:3">
      <c r="C28" s="871"/>
    </row>
    <row r="29" spans="1:3">
      <c r="C29" s="871"/>
    </row>
    <row r="30" spans="1:3">
      <c r="C30" s="871"/>
    </row>
    <row r="31" spans="1:3">
      <c r="C31" s="871"/>
    </row>
    <row r="32" spans="1:3">
      <c r="C32" s="871"/>
    </row>
    <row r="33" spans="3:3">
      <c r="C33" s="871"/>
    </row>
    <row r="34" spans="3:3">
      <c r="C34" s="871"/>
    </row>
    <row r="35" spans="3:3">
      <c r="C35" s="871"/>
    </row>
    <row r="36" spans="3:3">
      <c r="C36" s="871"/>
    </row>
    <row r="37" spans="3:3">
      <c r="C37" s="871"/>
    </row>
    <row r="38" spans="3:3">
      <c r="C38" s="871"/>
    </row>
    <row r="39" spans="3:3">
      <c r="C39" s="87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97"/>
  <sheetViews>
    <sheetView topLeftCell="A16" workbookViewId="0">
      <selection activeCell="F16" sqref="F16"/>
    </sheetView>
  </sheetViews>
  <sheetFormatPr baseColWidth="10" defaultRowHeight="13"/>
  <cols>
    <col min="1" max="1" width="3" style="715" bestFit="1" customWidth="1"/>
    <col min="2" max="2" width="21.5" style="715" bestFit="1" customWidth="1"/>
    <col min="3" max="3" width="4.83203125" style="715" bestFit="1" customWidth="1"/>
    <col min="4" max="4" width="5.33203125" style="715" customWidth="1"/>
    <col min="5" max="5" width="13.6640625" style="715" bestFit="1" customWidth="1"/>
    <col min="6" max="6" width="157.6640625" style="715" bestFit="1" customWidth="1"/>
    <col min="7" max="7" width="12.5" style="715"/>
    <col min="8" max="8" width="18.5" style="715" bestFit="1" customWidth="1"/>
    <col min="9" max="9" width="6.5" style="715" bestFit="1" customWidth="1"/>
  </cols>
  <sheetData>
    <row r="1" spans="1:9">
      <c r="A1" s="920" t="s">
        <v>563</v>
      </c>
      <c r="B1" s="919"/>
      <c r="C1" s="919"/>
      <c r="D1" s="919"/>
      <c r="E1" s="919"/>
      <c r="F1" s="703"/>
      <c r="G1" s="703"/>
      <c r="H1" s="703"/>
      <c r="I1" s="703"/>
    </row>
    <row r="2" spans="1:9">
      <c r="A2" s="921" t="s">
        <v>564</v>
      </c>
      <c r="B2" s="922"/>
      <c r="C2" s="923" t="s">
        <v>565</v>
      </c>
      <c r="D2" s="923" t="s">
        <v>566</v>
      </c>
      <c r="E2" s="923" t="s">
        <v>567</v>
      </c>
      <c r="F2" s="703"/>
      <c r="G2" s="703"/>
      <c r="H2" s="703" t="s">
        <v>568</v>
      </c>
      <c r="I2" s="704">
        <v>44767</v>
      </c>
    </row>
    <row r="3" spans="1:9">
      <c r="A3" s="705" t="s">
        <v>569</v>
      </c>
      <c r="B3" s="705" t="s">
        <v>570</v>
      </c>
      <c r="C3" s="924"/>
      <c r="D3" s="924"/>
      <c r="E3" s="924"/>
      <c r="F3" s="925" t="s">
        <v>571</v>
      </c>
      <c r="G3" s="703"/>
      <c r="H3" s="703" t="s">
        <v>572</v>
      </c>
      <c r="I3" s="704">
        <v>44781</v>
      </c>
    </row>
    <row r="4" spans="1:9" ht="26">
      <c r="A4" s="706">
        <v>1</v>
      </c>
      <c r="B4" s="707" t="s">
        <v>573</v>
      </c>
      <c r="C4" s="708" t="s">
        <v>574</v>
      </c>
      <c r="D4" s="709" t="s">
        <v>575</v>
      </c>
      <c r="E4" s="710">
        <v>19</v>
      </c>
      <c r="F4" s="919"/>
      <c r="G4" s="703"/>
      <c r="H4" s="703" t="s">
        <v>576</v>
      </c>
      <c r="I4" s="704">
        <v>44824</v>
      </c>
    </row>
    <row r="5" spans="1:9" ht="26">
      <c r="A5" s="706">
        <v>2</v>
      </c>
      <c r="B5" s="707" t="s">
        <v>577</v>
      </c>
      <c r="C5" s="707" t="s">
        <v>574</v>
      </c>
      <c r="D5" s="705" t="s">
        <v>578</v>
      </c>
      <c r="E5" s="710">
        <v>14</v>
      </c>
      <c r="F5" s="919"/>
      <c r="G5" s="703"/>
      <c r="H5" s="703" t="s">
        <v>579</v>
      </c>
      <c r="I5" s="704">
        <v>44868</v>
      </c>
    </row>
    <row r="6" spans="1:9" ht="26">
      <c r="A6" s="706">
        <v>3</v>
      </c>
      <c r="B6" s="707" t="s">
        <v>580</v>
      </c>
      <c r="C6" s="711" t="s">
        <v>581</v>
      </c>
      <c r="D6" s="712" t="s">
        <v>578</v>
      </c>
      <c r="E6" s="710">
        <v>16</v>
      </c>
      <c r="F6" s="918" t="s">
        <v>582</v>
      </c>
      <c r="G6" s="703"/>
      <c r="H6" s="703"/>
      <c r="I6" s="703"/>
    </row>
    <row r="7" spans="1:9" ht="26">
      <c r="A7" s="706">
        <v>4</v>
      </c>
      <c r="B7" s="707" t="s">
        <v>583</v>
      </c>
      <c r="C7" s="713" t="s">
        <v>584</v>
      </c>
      <c r="D7" s="705" t="s">
        <v>578</v>
      </c>
      <c r="E7" s="710">
        <v>14</v>
      </c>
      <c r="F7" s="919"/>
      <c r="G7" s="703"/>
      <c r="H7" s="703"/>
      <c r="I7" s="703"/>
    </row>
    <row r="8" spans="1:9" ht="26">
      <c r="A8" s="706">
        <v>5</v>
      </c>
      <c r="B8" s="707" t="s">
        <v>585</v>
      </c>
      <c r="C8" s="707" t="s">
        <v>586</v>
      </c>
      <c r="D8" s="705" t="s">
        <v>587</v>
      </c>
      <c r="E8" s="710">
        <v>2</v>
      </c>
      <c r="F8" s="919"/>
      <c r="G8" s="703"/>
      <c r="H8" s="703"/>
      <c r="I8" s="703"/>
    </row>
    <row r="9" spans="1:9" ht="26">
      <c r="A9" s="706">
        <v>6</v>
      </c>
      <c r="B9" s="707" t="s">
        <v>588</v>
      </c>
      <c r="C9" s="707" t="s">
        <v>589</v>
      </c>
      <c r="D9" s="705" t="s">
        <v>578</v>
      </c>
      <c r="E9" s="710">
        <v>6</v>
      </c>
      <c r="F9" s="703"/>
      <c r="G9" s="703"/>
      <c r="H9" s="703"/>
      <c r="I9" s="703"/>
    </row>
    <row r="10" spans="1:9" ht="26">
      <c r="A10" s="706">
        <v>7</v>
      </c>
      <c r="B10" s="707" t="s">
        <v>590</v>
      </c>
      <c r="C10" s="707" t="s">
        <v>591</v>
      </c>
      <c r="D10" s="705" t="s">
        <v>578</v>
      </c>
      <c r="E10" s="710">
        <v>4</v>
      </c>
      <c r="F10" s="703"/>
      <c r="G10" s="703"/>
      <c r="H10" s="703"/>
      <c r="I10" s="703"/>
    </row>
    <row r="11" spans="1:9" ht="26">
      <c r="A11" s="706">
        <v>8</v>
      </c>
      <c r="B11" s="707" t="s">
        <v>592</v>
      </c>
      <c r="C11" s="707" t="s">
        <v>593</v>
      </c>
      <c r="D11" s="705" t="s">
        <v>594</v>
      </c>
      <c r="E11" s="710">
        <v>3</v>
      </c>
      <c r="F11" s="703"/>
      <c r="G11" s="703"/>
      <c r="H11" s="703"/>
      <c r="I11" s="703"/>
    </row>
    <row r="12" spans="1:9" ht="26">
      <c r="A12" s="706">
        <v>9</v>
      </c>
      <c r="B12" s="707" t="s">
        <v>595</v>
      </c>
      <c r="C12" s="707" t="s">
        <v>584</v>
      </c>
      <c r="D12" s="705" t="s">
        <v>578</v>
      </c>
      <c r="E12" s="710">
        <v>10</v>
      </c>
      <c r="F12" s="703"/>
      <c r="G12" s="703"/>
      <c r="H12" s="703"/>
      <c r="I12" s="703"/>
    </row>
    <row r="13" spans="1:9" ht="26">
      <c r="A13" s="727">
        <v>10</v>
      </c>
      <c r="B13" s="728" t="s">
        <v>807</v>
      </c>
      <c r="C13" s="728" t="s">
        <v>808</v>
      </c>
      <c r="D13" s="729" t="s">
        <v>809</v>
      </c>
      <c r="E13" s="730">
        <v>5</v>
      </c>
      <c r="F13" s="731" t="s">
        <v>358</v>
      </c>
      <c r="G13" s="703"/>
      <c r="H13" s="703"/>
      <c r="I13" s="703"/>
    </row>
    <row r="14" spans="1:9" ht="26">
      <c r="A14" s="706">
        <v>11</v>
      </c>
      <c r="B14" s="707" t="s">
        <v>596</v>
      </c>
      <c r="C14" s="707" t="s">
        <v>574</v>
      </c>
      <c r="D14" s="705" t="s">
        <v>594</v>
      </c>
      <c r="E14" s="710">
        <v>6</v>
      </c>
      <c r="F14" s="703"/>
      <c r="G14" s="703"/>
      <c r="H14" s="703"/>
      <c r="I14" s="703"/>
    </row>
    <row r="15" spans="1:9" ht="26">
      <c r="A15" s="706">
        <v>12</v>
      </c>
      <c r="B15" s="707" t="s">
        <v>597</v>
      </c>
      <c r="C15" s="707" t="s">
        <v>598</v>
      </c>
      <c r="D15" s="705" t="s">
        <v>599</v>
      </c>
      <c r="E15" s="710">
        <v>2</v>
      </c>
      <c r="F15" s="703"/>
      <c r="G15" s="703"/>
      <c r="H15" s="703"/>
      <c r="I15" s="703"/>
    </row>
    <row r="16" spans="1:9" ht="26">
      <c r="A16" s="706">
        <v>13</v>
      </c>
      <c r="B16" s="707" t="s">
        <v>600</v>
      </c>
      <c r="C16" s="707" t="s">
        <v>601</v>
      </c>
      <c r="D16" s="705" t="s">
        <v>601</v>
      </c>
      <c r="E16" s="710">
        <v>1</v>
      </c>
      <c r="F16" s="703"/>
      <c r="G16" s="703"/>
      <c r="H16" s="703"/>
      <c r="I16" s="703"/>
    </row>
    <row r="17" spans="1:9" ht="26">
      <c r="A17" s="706">
        <v>14</v>
      </c>
      <c r="B17" s="707" t="s">
        <v>602</v>
      </c>
      <c r="C17" s="707" t="s">
        <v>603</v>
      </c>
      <c r="D17" s="705" t="s">
        <v>603</v>
      </c>
      <c r="E17" s="710">
        <v>1</v>
      </c>
      <c r="F17" s="703"/>
      <c r="G17" s="703"/>
      <c r="H17" s="703"/>
      <c r="I17" s="703"/>
    </row>
    <row r="18" spans="1:9" ht="26">
      <c r="A18" s="706">
        <v>15</v>
      </c>
      <c r="B18" s="707" t="s">
        <v>604</v>
      </c>
      <c r="C18" s="707" t="s">
        <v>578</v>
      </c>
      <c r="D18" s="705" t="s">
        <v>578</v>
      </c>
      <c r="E18" s="710">
        <v>1</v>
      </c>
      <c r="F18" s="703"/>
      <c r="G18" s="703"/>
      <c r="H18" s="703"/>
      <c r="I18" s="703"/>
    </row>
    <row r="19" spans="1:9" ht="26">
      <c r="A19" s="706">
        <v>16</v>
      </c>
      <c r="B19" s="707" t="s">
        <v>605</v>
      </c>
      <c r="C19" s="707" t="s">
        <v>606</v>
      </c>
      <c r="D19" s="705" t="s">
        <v>594</v>
      </c>
      <c r="E19" s="710">
        <v>4</v>
      </c>
      <c r="F19" s="703"/>
      <c r="G19" s="703"/>
      <c r="H19" s="703"/>
      <c r="I19" s="703"/>
    </row>
    <row r="20" spans="1:9" ht="26">
      <c r="A20" s="706">
        <v>17</v>
      </c>
      <c r="B20" s="707" t="s">
        <v>607</v>
      </c>
      <c r="C20" s="707" t="s">
        <v>606</v>
      </c>
      <c r="D20" s="705" t="s">
        <v>594</v>
      </c>
      <c r="E20" s="710">
        <v>4</v>
      </c>
      <c r="F20" s="703"/>
      <c r="G20" s="703"/>
      <c r="H20" s="703"/>
      <c r="I20" s="703"/>
    </row>
    <row r="21" spans="1:9" ht="26">
      <c r="A21" s="706">
        <v>18</v>
      </c>
      <c r="B21" s="707" t="s">
        <v>608</v>
      </c>
      <c r="C21" s="707" t="s">
        <v>606</v>
      </c>
      <c r="D21" s="705" t="s">
        <v>594</v>
      </c>
      <c r="E21" s="710">
        <v>4</v>
      </c>
      <c r="F21" s="703"/>
      <c r="G21" s="703"/>
      <c r="H21" s="703"/>
      <c r="I21" s="703"/>
    </row>
    <row r="22" spans="1:9" ht="26">
      <c r="A22" s="706">
        <v>19</v>
      </c>
      <c r="B22" s="707" t="s">
        <v>609</v>
      </c>
      <c r="C22" s="707" t="s">
        <v>610</v>
      </c>
      <c r="D22" s="705" t="s">
        <v>578</v>
      </c>
      <c r="E22" s="710">
        <v>4</v>
      </c>
      <c r="F22" s="703"/>
      <c r="G22" s="703"/>
      <c r="H22" s="703"/>
      <c r="I22" s="703"/>
    </row>
    <row r="23" spans="1:9" ht="26">
      <c r="A23" s="706">
        <v>20</v>
      </c>
      <c r="B23" s="707" t="s">
        <v>611</v>
      </c>
      <c r="C23" s="707" t="s">
        <v>603</v>
      </c>
      <c r="D23" s="705" t="s">
        <v>603</v>
      </c>
      <c r="E23" s="710">
        <v>1</v>
      </c>
      <c r="F23" s="703"/>
      <c r="G23" s="703"/>
      <c r="H23" s="703"/>
      <c r="I23" s="703"/>
    </row>
    <row r="24" spans="1:9" ht="26">
      <c r="A24" s="706">
        <v>21</v>
      </c>
      <c r="B24" s="707" t="s">
        <v>612</v>
      </c>
      <c r="C24" s="707" t="s">
        <v>603</v>
      </c>
      <c r="D24" s="705" t="s">
        <v>603</v>
      </c>
      <c r="E24" s="710">
        <v>1</v>
      </c>
      <c r="F24" s="703"/>
      <c r="G24" s="703"/>
      <c r="H24" s="703"/>
      <c r="I24" s="703"/>
    </row>
    <row r="25" spans="1:9" ht="26">
      <c r="A25" s="706">
        <v>22</v>
      </c>
      <c r="B25" s="707" t="s">
        <v>613</v>
      </c>
      <c r="C25" s="707" t="s">
        <v>614</v>
      </c>
      <c r="D25" s="705" t="s">
        <v>614</v>
      </c>
      <c r="E25" s="710">
        <v>1</v>
      </c>
      <c r="F25" s="703"/>
      <c r="G25" s="703"/>
      <c r="H25" s="703"/>
      <c r="I25" s="703"/>
    </row>
    <row r="26" spans="1:9" ht="26">
      <c r="A26" s="706">
        <v>23</v>
      </c>
      <c r="B26" s="707" t="s">
        <v>615</v>
      </c>
      <c r="C26" s="707" t="s">
        <v>598</v>
      </c>
      <c r="D26" s="705" t="s">
        <v>594</v>
      </c>
      <c r="E26" s="710">
        <v>3</v>
      </c>
      <c r="F26" s="703"/>
      <c r="G26" s="703"/>
      <c r="H26" s="703"/>
      <c r="I26" s="703"/>
    </row>
    <row r="27" spans="1:9" ht="26">
      <c r="A27" s="706">
        <v>24</v>
      </c>
      <c r="B27" s="707" t="s">
        <v>616</v>
      </c>
      <c r="C27" s="707" t="s">
        <v>617</v>
      </c>
      <c r="D27" s="705" t="s">
        <v>617</v>
      </c>
      <c r="E27" s="710">
        <v>1</v>
      </c>
      <c r="F27" s="703"/>
      <c r="G27" s="703"/>
      <c r="H27" s="703"/>
      <c r="I27" s="703"/>
    </row>
    <row r="28" spans="1:9" ht="26">
      <c r="A28" s="706">
        <v>25</v>
      </c>
      <c r="B28" s="707" t="s">
        <v>618</v>
      </c>
      <c r="C28" s="707" t="s">
        <v>606</v>
      </c>
      <c r="D28" s="705" t="s">
        <v>606</v>
      </c>
      <c r="E28" s="710">
        <v>1</v>
      </c>
      <c r="F28" s="703"/>
      <c r="G28" s="703"/>
      <c r="H28" s="703"/>
      <c r="I28" s="703"/>
    </row>
    <row r="29" spans="1:9" ht="26">
      <c r="A29" s="706">
        <v>26</v>
      </c>
      <c r="B29" s="707" t="s">
        <v>619</v>
      </c>
      <c r="C29" s="707" t="s">
        <v>620</v>
      </c>
      <c r="D29" s="705" t="s">
        <v>620</v>
      </c>
      <c r="E29" s="710">
        <v>1</v>
      </c>
      <c r="F29" s="703"/>
      <c r="G29" s="703"/>
      <c r="H29" s="703"/>
      <c r="I29" s="703"/>
    </row>
    <row r="30" spans="1:9" ht="26">
      <c r="A30" s="706">
        <v>27</v>
      </c>
      <c r="B30" s="707" t="s">
        <v>621</v>
      </c>
      <c r="C30" s="713" t="s">
        <v>622</v>
      </c>
      <c r="D30" s="705" t="s">
        <v>622</v>
      </c>
      <c r="E30" s="710">
        <v>1</v>
      </c>
      <c r="F30" s="703"/>
      <c r="G30" s="703"/>
      <c r="H30" s="703"/>
      <c r="I30" s="703"/>
    </row>
    <row r="31" spans="1:9" ht="26">
      <c r="A31" s="706">
        <v>28</v>
      </c>
      <c r="B31" s="707" t="s">
        <v>623</v>
      </c>
      <c r="C31" s="707" t="s">
        <v>603</v>
      </c>
      <c r="D31" s="705" t="s">
        <v>624</v>
      </c>
      <c r="E31" s="710">
        <v>2</v>
      </c>
      <c r="F31" s="703"/>
      <c r="G31" s="703"/>
      <c r="H31" s="703"/>
      <c r="I31" s="703"/>
    </row>
    <row r="32" spans="1:9" ht="26">
      <c r="A32" s="706">
        <v>29</v>
      </c>
      <c r="B32" s="707" t="s">
        <v>625</v>
      </c>
      <c r="C32" s="707" t="s">
        <v>589</v>
      </c>
      <c r="D32" s="705" t="s">
        <v>589</v>
      </c>
      <c r="E32" s="710">
        <v>1</v>
      </c>
      <c r="F32" s="703"/>
      <c r="G32" s="703"/>
      <c r="H32" s="703"/>
      <c r="I32" s="703"/>
    </row>
    <row r="33" spans="1:9" ht="26">
      <c r="A33" s="706">
        <v>30</v>
      </c>
      <c r="B33" s="707" t="s">
        <v>626</v>
      </c>
      <c r="C33" s="707" t="s">
        <v>606</v>
      </c>
      <c r="D33" s="705" t="s">
        <v>606</v>
      </c>
      <c r="E33" s="710">
        <v>1</v>
      </c>
      <c r="F33" s="703"/>
      <c r="G33" s="703"/>
      <c r="H33" s="703"/>
      <c r="I33" s="703"/>
    </row>
    <row r="34" spans="1:9" ht="26">
      <c r="A34" s="706">
        <v>31</v>
      </c>
      <c r="B34" s="707" t="s">
        <v>627</v>
      </c>
      <c r="C34" s="707" t="s">
        <v>589</v>
      </c>
      <c r="D34" s="705" t="s">
        <v>589</v>
      </c>
      <c r="E34" s="710">
        <v>1</v>
      </c>
      <c r="F34" s="703"/>
      <c r="G34" s="703"/>
      <c r="H34" s="703"/>
      <c r="I34" s="703"/>
    </row>
    <row r="35" spans="1:9" ht="26">
      <c r="A35" s="706">
        <v>32</v>
      </c>
      <c r="B35" s="707" t="s">
        <v>628</v>
      </c>
      <c r="C35" s="707" t="s">
        <v>599</v>
      </c>
      <c r="D35" s="705" t="s">
        <v>599</v>
      </c>
      <c r="E35" s="710">
        <v>1</v>
      </c>
      <c r="F35" s="703"/>
      <c r="G35" s="703"/>
      <c r="H35" s="703"/>
      <c r="I35" s="703"/>
    </row>
    <row r="36" spans="1:9" ht="26">
      <c r="A36" s="706">
        <v>33</v>
      </c>
      <c r="B36" s="707" t="s">
        <v>629</v>
      </c>
      <c r="C36" s="707" t="s">
        <v>587</v>
      </c>
      <c r="D36" s="705" t="s">
        <v>587</v>
      </c>
      <c r="E36" s="710">
        <v>1</v>
      </c>
      <c r="F36" s="703"/>
      <c r="G36" s="703"/>
      <c r="H36" s="703"/>
      <c r="I36" s="703"/>
    </row>
    <row r="37" spans="1:9" ht="26">
      <c r="A37" s="706">
        <v>34</v>
      </c>
      <c r="B37" s="707" t="s">
        <v>630</v>
      </c>
      <c r="C37" s="707" t="s">
        <v>574</v>
      </c>
      <c r="D37" s="705" t="s">
        <v>574</v>
      </c>
      <c r="E37" s="710">
        <v>1</v>
      </c>
      <c r="F37" s="703"/>
      <c r="G37" s="703"/>
      <c r="H37" s="703"/>
      <c r="I37" s="703"/>
    </row>
    <row r="38" spans="1:9" ht="26">
      <c r="A38" s="706">
        <v>35</v>
      </c>
      <c r="B38" s="707" t="s">
        <v>631</v>
      </c>
      <c r="C38" s="707" t="s">
        <v>622</v>
      </c>
      <c r="D38" s="705" t="s">
        <v>622</v>
      </c>
      <c r="E38" s="710">
        <v>1</v>
      </c>
      <c r="F38" s="703"/>
      <c r="G38" s="703"/>
      <c r="H38" s="703"/>
      <c r="I38" s="703"/>
    </row>
    <row r="39" spans="1:9" ht="26">
      <c r="A39" s="706">
        <v>36</v>
      </c>
      <c r="B39" s="707" t="s">
        <v>632</v>
      </c>
      <c r="C39" s="707" t="s">
        <v>620</v>
      </c>
      <c r="D39" s="705" t="s">
        <v>620</v>
      </c>
      <c r="E39" s="710">
        <v>1</v>
      </c>
      <c r="F39" s="703"/>
      <c r="G39" s="703"/>
      <c r="H39" s="703"/>
      <c r="I39" s="703"/>
    </row>
    <row r="40" spans="1:9" ht="26">
      <c r="A40" s="706">
        <v>37</v>
      </c>
      <c r="B40" s="707" t="s">
        <v>633</v>
      </c>
      <c r="C40" s="707" t="s">
        <v>620</v>
      </c>
      <c r="D40" s="705" t="s">
        <v>620</v>
      </c>
      <c r="E40" s="710">
        <v>1</v>
      </c>
      <c r="F40" s="703"/>
      <c r="G40" s="703"/>
      <c r="H40" s="703"/>
      <c r="I40" s="703"/>
    </row>
    <row r="41" spans="1:9" ht="26">
      <c r="A41" s="706">
        <v>38</v>
      </c>
      <c r="B41" s="707" t="s">
        <v>634</v>
      </c>
      <c r="C41" s="707" t="s">
        <v>620</v>
      </c>
      <c r="D41" s="705" t="s">
        <v>620</v>
      </c>
      <c r="E41" s="710">
        <v>1</v>
      </c>
      <c r="F41" s="703"/>
      <c r="G41" s="703"/>
      <c r="H41" s="703"/>
      <c r="I41" s="703"/>
    </row>
    <row r="42" spans="1:9" ht="26">
      <c r="A42" s="706">
        <v>39</v>
      </c>
      <c r="B42" s="707" t="s">
        <v>635</v>
      </c>
      <c r="C42" s="707" t="s">
        <v>620</v>
      </c>
      <c r="D42" s="705" t="s">
        <v>620</v>
      </c>
      <c r="E42" s="710">
        <v>1</v>
      </c>
      <c r="F42" s="703"/>
      <c r="G42" s="703"/>
      <c r="H42" s="703"/>
      <c r="I42" s="703"/>
    </row>
    <row r="43" spans="1:9" ht="26">
      <c r="A43" s="706">
        <v>40</v>
      </c>
      <c r="B43" s="707" t="s">
        <v>636</v>
      </c>
      <c r="C43" s="707" t="s">
        <v>620</v>
      </c>
      <c r="D43" s="705" t="s">
        <v>620</v>
      </c>
      <c r="E43" s="710">
        <v>1</v>
      </c>
      <c r="F43" s="703"/>
      <c r="G43" s="703"/>
      <c r="H43" s="703"/>
      <c r="I43" s="703"/>
    </row>
    <row r="44" spans="1:9" ht="26">
      <c r="A44" s="706">
        <v>41</v>
      </c>
      <c r="B44" s="707" t="s">
        <v>637</v>
      </c>
      <c r="C44" s="707" t="s">
        <v>620</v>
      </c>
      <c r="D44" s="705" t="s">
        <v>620</v>
      </c>
      <c r="E44" s="710">
        <v>1</v>
      </c>
      <c r="F44" s="703"/>
      <c r="G44" s="703"/>
      <c r="H44" s="703"/>
      <c r="I44" s="703"/>
    </row>
    <row r="45" spans="1:9" ht="26">
      <c r="A45" s="706">
        <v>42</v>
      </c>
      <c r="B45" s="707" t="s">
        <v>638</v>
      </c>
      <c r="C45" s="707" t="s">
        <v>620</v>
      </c>
      <c r="D45" s="705" t="s">
        <v>620</v>
      </c>
      <c r="E45" s="710">
        <v>1</v>
      </c>
      <c r="F45" s="703"/>
      <c r="G45" s="703"/>
      <c r="H45" s="703"/>
      <c r="I45" s="703"/>
    </row>
    <row r="46" spans="1:9" ht="26">
      <c r="A46" s="706">
        <v>43</v>
      </c>
      <c r="B46" s="707" t="s">
        <v>639</v>
      </c>
      <c r="C46" s="707" t="s">
        <v>620</v>
      </c>
      <c r="D46" s="705" t="s">
        <v>620</v>
      </c>
      <c r="E46" s="710">
        <v>1</v>
      </c>
      <c r="F46" s="703"/>
      <c r="G46" s="703"/>
      <c r="H46" s="703"/>
      <c r="I46" s="703"/>
    </row>
    <row r="47" spans="1:9" ht="26">
      <c r="A47" s="706">
        <v>44</v>
      </c>
      <c r="B47" s="707" t="s">
        <v>640</v>
      </c>
      <c r="C47" s="707" t="s">
        <v>620</v>
      </c>
      <c r="D47" s="705" t="s">
        <v>620</v>
      </c>
      <c r="E47" s="710">
        <v>1</v>
      </c>
      <c r="F47" s="703"/>
      <c r="G47" s="703"/>
      <c r="H47" s="703"/>
      <c r="I47" s="703"/>
    </row>
    <row r="48" spans="1:9" ht="26">
      <c r="A48" s="706">
        <v>45</v>
      </c>
      <c r="B48" s="707" t="s">
        <v>641</v>
      </c>
      <c r="C48" s="707" t="s">
        <v>620</v>
      </c>
      <c r="D48" s="705" t="s">
        <v>620</v>
      </c>
      <c r="E48" s="710">
        <v>1</v>
      </c>
      <c r="F48" s="703"/>
      <c r="G48" s="703"/>
      <c r="H48" s="703"/>
      <c r="I48" s="703"/>
    </row>
    <row r="49" spans="1:9" ht="26">
      <c r="A49" s="706">
        <v>46</v>
      </c>
      <c r="B49" s="707" t="s">
        <v>642</v>
      </c>
      <c r="C49" s="707" t="s">
        <v>643</v>
      </c>
      <c r="D49" s="705" t="s">
        <v>643</v>
      </c>
      <c r="E49" s="710">
        <v>1</v>
      </c>
      <c r="F49" s="703"/>
      <c r="G49" s="703"/>
      <c r="H49" s="703"/>
      <c r="I49" s="703"/>
    </row>
    <row r="50" spans="1:9" ht="26">
      <c r="A50" s="706">
        <v>47</v>
      </c>
      <c r="B50" s="707" t="s">
        <v>644</v>
      </c>
      <c r="C50" s="707" t="s">
        <v>598</v>
      </c>
      <c r="D50" s="705" t="s">
        <v>598</v>
      </c>
      <c r="E50" s="710">
        <v>1</v>
      </c>
      <c r="F50" s="703"/>
      <c r="G50" s="703"/>
      <c r="H50" s="703"/>
      <c r="I50" s="703"/>
    </row>
    <row r="51" spans="1:9" ht="26">
      <c r="A51" s="706">
        <v>48</v>
      </c>
      <c r="B51" s="707" t="s">
        <v>645</v>
      </c>
      <c r="C51" s="707" t="s">
        <v>617</v>
      </c>
      <c r="D51" s="705" t="s">
        <v>617</v>
      </c>
      <c r="E51" s="710">
        <v>1</v>
      </c>
      <c r="F51" s="703"/>
      <c r="G51" s="703"/>
      <c r="H51" s="703"/>
      <c r="I51" s="703"/>
    </row>
    <row r="52" spans="1:9" ht="26">
      <c r="A52" s="706">
        <v>49</v>
      </c>
      <c r="B52" s="707" t="s">
        <v>646</v>
      </c>
      <c r="C52" s="707" t="s">
        <v>620</v>
      </c>
      <c r="D52" s="705" t="s">
        <v>620</v>
      </c>
      <c r="E52" s="710">
        <v>1</v>
      </c>
      <c r="F52" s="703"/>
      <c r="G52" s="703"/>
      <c r="H52" s="703"/>
      <c r="I52" s="703"/>
    </row>
    <row r="53" spans="1:9" ht="26">
      <c r="A53" s="706">
        <v>50</v>
      </c>
      <c r="B53" s="707" t="s">
        <v>647</v>
      </c>
      <c r="C53" s="707" t="s">
        <v>620</v>
      </c>
      <c r="D53" s="705" t="s">
        <v>620</v>
      </c>
      <c r="E53" s="710">
        <v>1</v>
      </c>
      <c r="F53" s="703"/>
      <c r="G53" s="703"/>
      <c r="H53" s="703"/>
      <c r="I53" s="703"/>
    </row>
    <row r="54" spans="1:9" ht="26">
      <c r="A54" s="706">
        <v>51</v>
      </c>
      <c r="B54" s="707" t="s">
        <v>648</v>
      </c>
      <c r="C54" s="707" t="s">
        <v>591</v>
      </c>
      <c r="D54" s="705" t="s">
        <v>591</v>
      </c>
      <c r="E54" s="710">
        <v>1</v>
      </c>
      <c r="F54" s="703"/>
      <c r="G54" s="703"/>
      <c r="H54" s="703"/>
      <c r="I54" s="703"/>
    </row>
    <row r="55" spans="1:9" ht="26">
      <c r="A55" s="706">
        <v>52</v>
      </c>
      <c r="B55" s="707" t="s">
        <v>649</v>
      </c>
      <c r="C55" s="707" t="s">
        <v>620</v>
      </c>
      <c r="D55" s="705" t="s">
        <v>620</v>
      </c>
      <c r="E55" s="714">
        <v>1</v>
      </c>
      <c r="F55" s="703"/>
      <c r="G55" s="703"/>
      <c r="H55" s="703"/>
      <c r="I55" s="703"/>
    </row>
    <row r="56" spans="1:9" ht="26">
      <c r="A56" s="706">
        <v>53</v>
      </c>
      <c r="B56" s="707" t="s">
        <v>650</v>
      </c>
      <c r="C56" s="707" t="s">
        <v>584</v>
      </c>
      <c r="D56" s="705" t="s">
        <v>584</v>
      </c>
      <c r="E56" s="714">
        <v>1</v>
      </c>
      <c r="F56" s="703"/>
      <c r="G56" s="703"/>
      <c r="H56" s="703"/>
      <c r="I56" s="703"/>
    </row>
    <row r="57" spans="1:9" ht="26">
      <c r="A57" s="706">
        <v>54</v>
      </c>
      <c r="B57" s="707" t="s">
        <v>651</v>
      </c>
      <c r="C57" s="707" t="s">
        <v>584</v>
      </c>
      <c r="D57" s="705" t="s">
        <v>584</v>
      </c>
      <c r="E57" s="714">
        <v>1</v>
      </c>
      <c r="F57" s="703"/>
      <c r="G57" s="703"/>
      <c r="H57" s="703"/>
      <c r="I57" s="703"/>
    </row>
    <row r="58" spans="1:9" ht="26">
      <c r="A58" s="706">
        <v>55</v>
      </c>
      <c r="B58" s="707" t="s">
        <v>652</v>
      </c>
      <c r="C58" s="707" t="s">
        <v>584</v>
      </c>
      <c r="D58" s="705" t="s">
        <v>584</v>
      </c>
      <c r="E58" s="714">
        <v>1</v>
      </c>
      <c r="F58" s="703"/>
      <c r="G58" s="703"/>
      <c r="H58" s="703"/>
      <c r="I58" s="703"/>
    </row>
    <row r="59" spans="1:9" ht="26">
      <c r="A59" s="706">
        <v>56</v>
      </c>
      <c r="B59" s="707" t="s">
        <v>653</v>
      </c>
      <c r="C59" s="707" t="s">
        <v>584</v>
      </c>
      <c r="D59" s="705" t="s">
        <v>584</v>
      </c>
      <c r="E59" s="714">
        <v>1</v>
      </c>
      <c r="F59" s="703"/>
      <c r="G59" s="703"/>
      <c r="H59" s="703"/>
      <c r="I59" s="703"/>
    </row>
    <row r="60" spans="1:9">
      <c r="A60" s="703"/>
      <c r="B60" s="703"/>
      <c r="C60" s="703"/>
      <c r="D60" s="703"/>
      <c r="E60" s="703"/>
      <c r="F60" s="703"/>
      <c r="G60" s="703"/>
      <c r="H60" s="703"/>
      <c r="I60" s="703"/>
    </row>
    <row r="61" spans="1:9">
      <c r="A61" s="703"/>
      <c r="B61" s="703"/>
      <c r="C61" s="703"/>
      <c r="D61" s="703"/>
      <c r="E61" s="703"/>
      <c r="F61" s="703"/>
      <c r="G61" s="703"/>
      <c r="H61" s="703"/>
      <c r="I61" s="703"/>
    </row>
    <row r="62" spans="1:9">
      <c r="A62" s="703"/>
      <c r="B62" s="703"/>
      <c r="C62" s="703"/>
      <c r="D62" s="703"/>
      <c r="E62" s="703"/>
      <c r="F62" s="703"/>
      <c r="G62" s="703"/>
      <c r="H62" s="703"/>
      <c r="I62" s="703"/>
    </row>
    <row r="63" spans="1:9">
      <c r="A63" s="703"/>
      <c r="B63" s="703"/>
      <c r="C63" s="703"/>
      <c r="D63" s="703"/>
      <c r="E63" s="703"/>
      <c r="F63" s="703"/>
      <c r="G63" s="703"/>
      <c r="H63" s="703"/>
      <c r="I63" s="703"/>
    </row>
    <row r="64" spans="1:9">
      <c r="A64" s="703"/>
      <c r="B64" s="703"/>
      <c r="C64" s="703"/>
      <c r="D64" s="703"/>
      <c r="E64" s="703"/>
      <c r="F64" s="703"/>
      <c r="G64" s="703"/>
      <c r="H64" s="703"/>
      <c r="I64" s="703"/>
    </row>
    <row r="65" spans="1:9">
      <c r="A65" s="703"/>
      <c r="B65" s="703"/>
      <c r="C65" s="703"/>
      <c r="D65" s="703"/>
      <c r="E65" s="703"/>
      <c r="F65" s="703"/>
      <c r="G65" s="703"/>
      <c r="H65" s="703"/>
      <c r="I65" s="703"/>
    </row>
    <row r="66" spans="1:9">
      <c r="A66" s="703"/>
      <c r="B66" s="703"/>
      <c r="C66" s="703"/>
      <c r="D66" s="703"/>
      <c r="E66" s="703"/>
      <c r="F66" s="703"/>
      <c r="G66" s="703"/>
      <c r="H66" s="703"/>
      <c r="I66" s="703"/>
    </row>
    <row r="67" spans="1:9">
      <c r="A67" s="703"/>
      <c r="B67" s="703"/>
      <c r="C67" s="703"/>
      <c r="D67" s="703"/>
      <c r="E67" s="703"/>
      <c r="F67" s="703"/>
      <c r="G67" s="703"/>
      <c r="H67" s="703"/>
      <c r="I67" s="703"/>
    </row>
    <row r="68" spans="1:9">
      <c r="A68" s="703"/>
      <c r="B68" s="703"/>
      <c r="C68" s="703"/>
      <c r="D68" s="703"/>
      <c r="E68" s="703"/>
      <c r="F68" s="703"/>
      <c r="G68" s="703"/>
      <c r="H68" s="703"/>
      <c r="I68" s="703"/>
    </row>
    <row r="69" spans="1:9">
      <c r="A69" s="703"/>
      <c r="B69" s="703"/>
      <c r="C69" s="703"/>
      <c r="D69" s="703"/>
      <c r="E69" s="703"/>
      <c r="F69" s="703"/>
      <c r="G69" s="703"/>
      <c r="H69" s="703"/>
      <c r="I69" s="703"/>
    </row>
    <row r="70" spans="1:9">
      <c r="A70" s="703"/>
      <c r="B70" s="703"/>
      <c r="C70" s="703"/>
      <c r="D70" s="703"/>
      <c r="E70" s="703"/>
      <c r="F70" s="703"/>
      <c r="G70" s="703"/>
      <c r="H70" s="703"/>
      <c r="I70" s="703"/>
    </row>
    <row r="71" spans="1:9">
      <c r="A71" s="703"/>
      <c r="B71" s="703"/>
      <c r="C71" s="703"/>
      <c r="D71" s="703"/>
      <c r="E71" s="703"/>
      <c r="F71" s="703"/>
      <c r="G71" s="703"/>
      <c r="H71" s="703"/>
      <c r="I71" s="703"/>
    </row>
    <row r="72" spans="1:9">
      <c r="A72" s="703"/>
      <c r="B72" s="703"/>
      <c r="C72" s="703"/>
      <c r="D72" s="703"/>
      <c r="E72" s="703"/>
      <c r="F72" s="703"/>
      <c r="G72" s="703"/>
      <c r="H72" s="703"/>
      <c r="I72" s="703"/>
    </row>
    <row r="73" spans="1:9">
      <c r="A73" s="703"/>
      <c r="B73" s="703"/>
      <c r="C73" s="703"/>
      <c r="D73" s="703"/>
      <c r="E73" s="703"/>
      <c r="F73" s="703"/>
      <c r="G73" s="703"/>
      <c r="H73" s="703"/>
      <c r="I73" s="703"/>
    </row>
    <row r="74" spans="1:9">
      <c r="A74" s="703"/>
      <c r="B74" s="703"/>
      <c r="C74" s="703"/>
      <c r="D74" s="703"/>
      <c r="E74" s="703"/>
      <c r="F74" s="703"/>
      <c r="G74" s="703"/>
      <c r="H74" s="703"/>
      <c r="I74" s="703"/>
    </row>
    <row r="75" spans="1:9">
      <c r="A75" s="703"/>
      <c r="B75" s="703"/>
      <c r="C75" s="703"/>
      <c r="D75" s="703"/>
      <c r="E75" s="703"/>
      <c r="F75" s="703"/>
      <c r="G75" s="703"/>
      <c r="H75" s="703"/>
      <c r="I75" s="703"/>
    </row>
    <row r="76" spans="1:9">
      <c r="A76" s="703"/>
      <c r="B76" s="703"/>
      <c r="C76" s="703"/>
      <c r="D76" s="703"/>
      <c r="E76" s="703"/>
      <c r="F76" s="703"/>
      <c r="G76" s="703"/>
      <c r="H76" s="703"/>
      <c r="I76" s="703"/>
    </row>
    <row r="77" spans="1:9">
      <c r="A77" s="703"/>
      <c r="B77" s="703"/>
      <c r="C77" s="703"/>
      <c r="D77" s="703"/>
      <c r="E77" s="703"/>
      <c r="F77" s="703"/>
      <c r="G77" s="703"/>
      <c r="H77" s="703"/>
      <c r="I77" s="703"/>
    </row>
    <row r="78" spans="1:9">
      <c r="A78" s="703"/>
      <c r="B78" s="703"/>
      <c r="C78" s="703"/>
      <c r="D78" s="703"/>
      <c r="E78" s="703"/>
      <c r="F78" s="703"/>
      <c r="G78" s="703"/>
      <c r="H78" s="703"/>
      <c r="I78" s="703"/>
    </row>
    <row r="79" spans="1:9">
      <c r="A79" s="703"/>
      <c r="B79" s="703"/>
      <c r="C79" s="703"/>
      <c r="D79" s="703"/>
      <c r="E79" s="703"/>
      <c r="F79" s="703"/>
      <c r="G79" s="703"/>
      <c r="H79" s="703"/>
      <c r="I79" s="703"/>
    </row>
    <row r="80" spans="1:9">
      <c r="A80" s="703"/>
      <c r="B80" s="703"/>
      <c r="C80" s="703"/>
      <c r="D80" s="703"/>
      <c r="E80" s="703"/>
      <c r="F80" s="703"/>
      <c r="G80" s="703"/>
      <c r="H80" s="703"/>
      <c r="I80" s="703"/>
    </row>
    <row r="81" spans="1:9">
      <c r="A81" s="703"/>
      <c r="B81" s="703"/>
      <c r="C81" s="703"/>
      <c r="D81" s="703"/>
      <c r="E81" s="703"/>
      <c r="F81" s="703"/>
      <c r="G81" s="703"/>
      <c r="H81" s="703"/>
      <c r="I81" s="703"/>
    </row>
    <row r="82" spans="1:9">
      <c r="A82" s="703"/>
      <c r="B82" s="703"/>
      <c r="C82" s="703"/>
      <c r="D82" s="703"/>
      <c r="E82" s="703"/>
      <c r="F82" s="703"/>
      <c r="G82" s="703"/>
      <c r="H82" s="703"/>
      <c r="I82" s="703"/>
    </row>
    <row r="83" spans="1:9">
      <c r="A83" s="703"/>
      <c r="B83" s="703"/>
      <c r="C83" s="703"/>
      <c r="D83" s="703"/>
      <c r="E83" s="703"/>
      <c r="F83" s="703"/>
      <c r="G83" s="703"/>
      <c r="H83" s="703"/>
      <c r="I83" s="703"/>
    </row>
    <row r="84" spans="1:9">
      <c r="A84" s="703"/>
      <c r="B84" s="703"/>
      <c r="C84" s="703"/>
      <c r="D84" s="703"/>
      <c r="E84" s="703"/>
      <c r="F84" s="703"/>
      <c r="G84" s="703"/>
      <c r="H84" s="703"/>
      <c r="I84" s="703"/>
    </row>
    <row r="85" spans="1:9">
      <c r="A85" s="703"/>
      <c r="B85" s="703"/>
      <c r="C85" s="703"/>
      <c r="D85" s="703"/>
      <c r="E85" s="703"/>
      <c r="F85" s="703"/>
      <c r="G85" s="703"/>
      <c r="H85" s="703"/>
      <c r="I85" s="703"/>
    </row>
    <row r="86" spans="1:9">
      <c r="A86" s="703"/>
      <c r="B86" s="703"/>
      <c r="C86" s="703"/>
      <c r="D86" s="703"/>
      <c r="E86" s="703"/>
      <c r="F86" s="703"/>
      <c r="G86" s="703"/>
      <c r="H86" s="703"/>
      <c r="I86" s="703"/>
    </row>
    <row r="87" spans="1:9">
      <c r="A87" s="703"/>
      <c r="B87" s="703"/>
      <c r="C87" s="703"/>
      <c r="D87" s="703"/>
      <c r="E87" s="703"/>
      <c r="F87" s="703"/>
      <c r="G87" s="703"/>
      <c r="H87" s="703"/>
      <c r="I87" s="703"/>
    </row>
    <row r="88" spans="1:9">
      <c r="A88" s="703"/>
      <c r="B88" s="703"/>
      <c r="C88" s="703"/>
      <c r="D88" s="703"/>
      <c r="E88" s="703"/>
      <c r="F88" s="703"/>
      <c r="G88" s="703"/>
      <c r="H88" s="703"/>
      <c r="I88" s="703"/>
    </row>
    <row r="89" spans="1:9">
      <c r="A89" s="703"/>
      <c r="B89" s="703"/>
      <c r="C89" s="703"/>
      <c r="D89" s="703"/>
      <c r="E89" s="703"/>
      <c r="F89" s="703"/>
      <c r="G89" s="703"/>
      <c r="H89" s="703"/>
      <c r="I89" s="703"/>
    </row>
    <row r="90" spans="1:9">
      <c r="A90" s="703"/>
      <c r="B90" s="703"/>
      <c r="C90" s="703"/>
      <c r="D90" s="703"/>
      <c r="E90" s="703"/>
      <c r="F90" s="703"/>
      <c r="G90" s="703"/>
      <c r="H90" s="703"/>
      <c r="I90" s="703"/>
    </row>
    <row r="91" spans="1:9">
      <c r="A91" s="703"/>
      <c r="B91" s="703"/>
      <c r="C91" s="703"/>
      <c r="D91" s="703"/>
      <c r="E91" s="703"/>
      <c r="F91" s="703"/>
      <c r="G91" s="703"/>
      <c r="H91" s="703"/>
      <c r="I91" s="703"/>
    </row>
    <row r="92" spans="1:9">
      <c r="A92" s="703"/>
      <c r="B92" s="703"/>
      <c r="C92" s="703"/>
      <c r="D92" s="703"/>
      <c r="E92" s="703"/>
      <c r="F92" s="703"/>
      <c r="G92" s="703"/>
      <c r="H92" s="703"/>
      <c r="I92" s="703"/>
    </row>
    <row r="93" spans="1:9">
      <c r="A93" s="703"/>
      <c r="B93" s="703"/>
      <c r="C93" s="703"/>
      <c r="D93" s="703"/>
      <c r="E93" s="703"/>
      <c r="F93" s="703"/>
      <c r="G93" s="703"/>
      <c r="H93" s="703"/>
      <c r="I93" s="703"/>
    </row>
    <row r="94" spans="1:9">
      <c r="A94" s="703"/>
      <c r="B94" s="703"/>
      <c r="C94" s="703"/>
      <c r="D94" s="703"/>
      <c r="E94" s="703"/>
      <c r="F94" s="703"/>
      <c r="G94" s="703"/>
      <c r="H94" s="703"/>
      <c r="I94" s="703"/>
    </row>
    <row r="95" spans="1:9">
      <c r="A95" s="703"/>
      <c r="B95" s="703"/>
      <c r="C95" s="703"/>
      <c r="D95" s="703"/>
      <c r="E95" s="703"/>
      <c r="F95" s="703"/>
      <c r="G95" s="703"/>
      <c r="H95" s="703"/>
      <c r="I95" s="703"/>
    </row>
    <row r="96" spans="1:9">
      <c r="A96" s="703"/>
      <c r="B96" s="703"/>
      <c r="C96" s="703"/>
      <c r="D96" s="703"/>
      <c r="E96" s="703"/>
      <c r="F96" s="703"/>
      <c r="G96" s="703"/>
      <c r="H96" s="703"/>
      <c r="I96" s="703"/>
    </row>
    <row r="97" spans="1:9">
      <c r="A97" s="703"/>
      <c r="B97" s="703"/>
      <c r="C97" s="703"/>
      <c r="D97" s="703"/>
      <c r="E97" s="703"/>
      <c r="F97" s="703"/>
      <c r="G97" s="703"/>
      <c r="H97" s="703"/>
      <c r="I97" s="703"/>
    </row>
    <row r="98" spans="1:9">
      <c r="A98" s="703"/>
      <c r="B98" s="703"/>
      <c r="C98" s="703"/>
      <c r="D98" s="703"/>
      <c r="E98" s="703"/>
      <c r="F98" s="703"/>
      <c r="G98" s="703"/>
      <c r="H98" s="703"/>
      <c r="I98" s="703"/>
    </row>
    <row r="99" spans="1:9">
      <c r="A99" s="703"/>
      <c r="B99" s="703"/>
      <c r="C99" s="703"/>
      <c r="D99" s="703"/>
      <c r="E99" s="703"/>
      <c r="F99" s="703"/>
      <c r="G99" s="703"/>
      <c r="H99" s="703"/>
      <c r="I99" s="703"/>
    </row>
    <row r="100" spans="1:9">
      <c r="A100" s="703"/>
      <c r="B100" s="703"/>
      <c r="C100" s="703"/>
      <c r="D100" s="703"/>
      <c r="E100" s="703"/>
      <c r="F100" s="703"/>
      <c r="G100" s="703"/>
      <c r="H100" s="703"/>
      <c r="I100" s="703"/>
    </row>
    <row r="101" spans="1:9">
      <c r="A101" s="703"/>
      <c r="B101" s="703"/>
      <c r="C101" s="703"/>
      <c r="D101" s="703"/>
      <c r="E101" s="703"/>
      <c r="F101" s="703"/>
      <c r="G101" s="703"/>
      <c r="H101" s="703"/>
      <c r="I101" s="703"/>
    </row>
    <row r="102" spans="1:9">
      <c r="A102" s="703"/>
      <c r="B102" s="703"/>
      <c r="C102" s="703"/>
      <c r="D102" s="703"/>
      <c r="E102" s="703"/>
      <c r="F102" s="703"/>
      <c r="G102" s="703"/>
      <c r="H102" s="703"/>
      <c r="I102" s="703"/>
    </row>
    <row r="103" spans="1:9">
      <c r="A103" s="703"/>
      <c r="B103" s="703"/>
      <c r="C103" s="703"/>
      <c r="D103" s="703"/>
      <c r="E103" s="703"/>
      <c r="F103" s="703"/>
      <c r="G103" s="703"/>
      <c r="H103" s="703"/>
      <c r="I103" s="703"/>
    </row>
    <row r="104" spans="1:9">
      <c r="A104" s="703"/>
      <c r="B104" s="703"/>
      <c r="C104" s="703"/>
      <c r="D104" s="703"/>
      <c r="E104" s="703"/>
      <c r="F104" s="703"/>
      <c r="G104" s="703"/>
      <c r="H104" s="703"/>
      <c r="I104" s="703"/>
    </row>
    <row r="105" spans="1:9">
      <c r="A105" s="703"/>
      <c r="B105" s="703"/>
      <c r="C105" s="703"/>
      <c r="D105" s="703"/>
      <c r="E105" s="703"/>
      <c r="F105" s="703"/>
      <c r="G105" s="703"/>
      <c r="H105" s="703"/>
      <c r="I105" s="703"/>
    </row>
    <row r="106" spans="1:9">
      <c r="A106" s="703"/>
      <c r="B106" s="703"/>
      <c r="C106" s="703"/>
      <c r="D106" s="703"/>
      <c r="E106" s="703"/>
      <c r="F106" s="703"/>
      <c r="G106" s="703"/>
      <c r="H106" s="703"/>
      <c r="I106" s="703"/>
    </row>
    <row r="107" spans="1:9">
      <c r="A107" s="703"/>
      <c r="B107" s="703"/>
      <c r="C107" s="703"/>
      <c r="D107" s="703"/>
      <c r="E107" s="703"/>
      <c r="F107" s="703"/>
      <c r="G107" s="703"/>
      <c r="H107" s="703"/>
      <c r="I107" s="703"/>
    </row>
    <row r="108" spans="1:9">
      <c r="A108" s="703"/>
      <c r="B108" s="703"/>
      <c r="C108" s="703"/>
      <c r="D108" s="703"/>
      <c r="E108" s="703"/>
      <c r="F108" s="703"/>
      <c r="G108" s="703"/>
      <c r="H108" s="703"/>
      <c r="I108" s="703"/>
    </row>
    <row r="109" spans="1:9">
      <c r="A109" s="703"/>
      <c r="B109" s="703"/>
      <c r="C109" s="703"/>
      <c r="D109" s="703"/>
      <c r="E109" s="703"/>
      <c r="F109" s="703"/>
      <c r="G109" s="703"/>
      <c r="H109" s="703"/>
      <c r="I109" s="703"/>
    </row>
    <row r="110" spans="1:9">
      <c r="A110" s="703"/>
      <c r="B110" s="703"/>
      <c r="C110" s="703"/>
      <c r="D110" s="703"/>
      <c r="E110" s="703"/>
      <c r="F110" s="703"/>
      <c r="G110" s="703"/>
      <c r="H110" s="703"/>
      <c r="I110" s="703"/>
    </row>
    <row r="111" spans="1:9">
      <c r="A111" s="703"/>
      <c r="B111" s="703"/>
      <c r="C111" s="703"/>
      <c r="D111" s="703"/>
      <c r="E111" s="703"/>
      <c r="F111" s="703"/>
      <c r="G111" s="703"/>
      <c r="H111" s="703"/>
      <c r="I111" s="703"/>
    </row>
    <row r="112" spans="1:9">
      <c r="A112" s="703"/>
      <c r="B112" s="703"/>
      <c r="C112" s="703"/>
      <c r="D112" s="703"/>
      <c r="E112" s="703"/>
      <c r="F112" s="703"/>
      <c r="G112" s="703"/>
      <c r="H112" s="703"/>
      <c r="I112" s="703"/>
    </row>
    <row r="113" spans="1:9">
      <c r="A113" s="703"/>
      <c r="B113" s="703"/>
      <c r="C113" s="703"/>
      <c r="D113" s="703"/>
      <c r="E113" s="703"/>
      <c r="F113" s="703"/>
      <c r="G113" s="703"/>
      <c r="H113" s="703"/>
      <c r="I113" s="703"/>
    </row>
    <row r="114" spans="1:9">
      <c r="A114" s="703"/>
      <c r="B114" s="703"/>
      <c r="C114" s="703"/>
      <c r="D114" s="703"/>
      <c r="E114" s="703"/>
      <c r="F114" s="703"/>
      <c r="G114" s="703"/>
      <c r="H114" s="703"/>
      <c r="I114" s="703"/>
    </row>
    <row r="115" spans="1:9">
      <c r="A115" s="703"/>
      <c r="B115" s="703"/>
      <c r="C115" s="703"/>
      <c r="D115" s="703"/>
      <c r="E115" s="703"/>
      <c r="F115" s="703"/>
      <c r="G115" s="703"/>
      <c r="H115" s="703"/>
      <c r="I115" s="703"/>
    </row>
    <row r="116" spans="1:9">
      <c r="A116" s="703"/>
      <c r="B116" s="703"/>
      <c r="C116" s="703"/>
      <c r="D116" s="703"/>
      <c r="E116" s="703"/>
      <c r="F116" s="703"/>
      <c r="G116" s="703"/>
      <c r="H116" s="703"/>
      <c r="I116" s="703"/>
    </row>
    <row r="117" spans="1:9">
      <c r="A117" s="703"/>
      <c r="B117" s="703"/>
      <c r="C117" s="703"/>
      <c r="D117" s="703"/>
      <c r="E117" s="703"/>
      <c r="F117" s="703"/>
      <c r="G117" s="703"/>
      <c r="H117" s="703"/>
      <c r="I117" s="703"/>
    </row>
    <row r="118" spans="1:9">
      <c r="A118" s="703"/>
      <c r="B118" s="703"/>
      <c r="C118" s="703"/>
      <c r="D118" s="703"/>
      <c r="E118" s="703"/>
      <c r="F118" s="703"/>
      <c r="G118" s="703"/>
      <c r="H118" s="703"/>
      <c r="I118" s="703"/>
    </row>
    <row r="119" spans="1:9">
      <c r="A119" s="703"/>
      <c r="B119" s="703"/>
      <c r="C119" s="703"/>
      <c r="D119" s="703"/>
      <c r="E119" s="703"/>
      <c r="F119" s="703"/>
      <c r="G119" s="703"/>
      <c r="H119" s="703"/>
      <c r="I119" s="703"/>
    </row>
    <row r="120" spans="1:9">
      <c r="A120" s="703"/>
      <c r="B120" s="703"/>
      <c r="C120" s="703"/>
      <c r="D120" s="703"/>
      <c r="E120" s="703"/>
      <c r="F120" s="703"/>
      <c r="G120" s="703"/>
      <c r="H120" s="703"/>
      <c r="I120" s="703"/>
    </row>
    <row r="121" spans="1:9">
      <c r="A121" s="703"/>
      <c r="B121" s="703"/>
      <c r="C121" s="703"/>
      <c r="D121" s="703"/>
      <c r="E121" s="703"/>
      <c r="F121" s="703"/>
      <c r="G121" s="703"/>
      <c r="H121" s="703"/>
      <c r="I121" s="703"/>
    </row>
    <row r="122" spans="1:9">
      <c r="A122" s="703"/>
      <c r="B122" s="703"/>
      <c r="C122" s="703"/>
      <c r="D122" s="703"/>
      <c r="E122" s="703"/>
      <c r="F122" s="703"/>
      <c r="G122" s="703"/>
      <c r="H122" s="703"/>
      <c r="I122" s="703"/>
    </row>
    <row r="123" spans="1:9">
      <c r="A123" s="703"/>
      <c r="B123" s="703"/>
      <c r="C123" s="703"/>
      <c r="D123" s="703"/>
      <c r="E123" s="703"/>
      <c r="F123" s="703"/>
      <c r="G123" s="703"/>
      <c r="H123" s="703"/>
      <c r="I123" s="703"/>
    </row>
    <row r="124" spans="1:9">
      <c r="A124" s="703"/>
      <c r="B124" s="703"/>
      <c r="C124" s="703"/>
      <c r="D124" s="703"/>
      <c r="E124" s="703"/>
      <c r="F124" s="703"/>
      <c r="G124" s="703"/>
      <c r="H124" s="703"/>
      <c r="I124" s="703"/>
    </row>
    <row r="125" spans="1:9">
      <c r="A125" s="703"/>
      <c r="B125" s="703"/>
      <c r="C125" s="703"/>
      <c r="D125" s="703"/>
      <c r="E125" s="703"/>
      <c r="F125" s="703"/>
      <c r="G125" s="703"/>
      <c r="H125" s="703"/>
      <c r="I125" s="703"/>
    </row>
    <row r="126" spans="1:9">
      <c r="A126" s="703"/>
      <c r="B126" s="703"/>
      <c r="C126" s="703"/>
      <c r="D126" s="703"/>
      <c r="E126" s="703"/>
      <c r="F126" s="703"/>
      <c r="G126" s="703"/>
      <c r="H126" s="703"/>
      <c r="I126" s="703"/>
    </row>
    <row r="127" spans="1:9">
      <c r="A127" s="703"/>
      <c r="B127" s="703"/>
      <c r="C127" s="703"/>
      <c r="D127" s="703"/>
      <c r="E127" s="703"/>
      <c r="F127" s="703"/>
      <c r="G127" s="703"/>
      <c r="H127" s="703"/>
      <c r="I127" s="703"/>
    </row>
    <row r="128" spans="1:9">
      <c r="A128" s="703"/>
      <c r="B128" s="703"/>
      <c r="C128" s="703"/>
      <c r="D128" s="703"/>
      <c r="E128" s="703"/>
      <c r="F128" s="703"/>
      <c r="G128" s="703"/>
      <c r="H128" s="703"/>
      <c r="I128" s="703"/>
    </row>
    <row r="129" spans="1:9">
      <c r="A129" s="703"/>
      <c r="B129" s="703"/>
      <c r="C129" s="703"/>
      <c r="D129" s="703"/>
      <c r="E129" s="703"/>
      <c r="F129" s="703"/>
      <c r="G129" s="703"/>
      <c r="H129" s="703"/>
      <c r="I129" s="703"/>
    </row>
    <row r="130" spans="1:9">
      <c r="A130" s="703"/>
      <c r="B130" s="703"/>
      <c r="C130" s="703"/>
      <c r="D130" s="703"/>
      <c r="E130" s="703"/>
      <c r="F130" s="703"/>
      <c r="G130" s="703"/>
      <c r="H130" s="703"/>
      <c r="I130" s="703"/>
    </row>
    <row r="131" spans="1:9">
      <c r="A131" s="703"/>
      <c r="B131" s="703"/>
      <c r="C131" s="703"/>
      <c r="D131" s="703"/>
      <c r="E131" s="703"/>
      <c r="F131" s="703"/>
      <c r="G131" s="703"/>
      <c r="H131" s="703"/>
      <c r="I131" s="703"/>
    </row>
    <row r="132" spans="1:9">
      <c r="A132" s="703"/>
      <c r="B132" s="703"/>
      <c r="C132" s="703"/>
      <c r="D132" s="703"/>
      <c r="E132" s="703"/>
      <c r="F132" s="703"/>
      <c r="G132" s="703"/>
      <c r="H132" s="703"/>
      <c r="I132" s="703"/>
    </row>
    <row r="133" spans="1:9">
      <c r="A133" s="703"/>
      <c r="B133" s="703"/>
      <c r="C133" s="703"/>
      <c r="D133" s="703"/>
      <c r="E133" s="703"/>
      <c r="F133" s="703"/>
      <c r="G133" s="703"/>
      <c r="H133" s="703"/>
      <c r="I133" s="703"/>
    </row>
    <row r="134" spans="1:9">
      <c r="A134" s="703"/>
      <c r="B134" s="703"/>
      <c r="C134" s="703"/>
      <c r="D134" s="703"/>
      <c r="E134" s="703"/>
      <c r="F134" s="703"/>
      <c r="G134" s="703"/>
      <c r="H134" s="703"/>
      <c r="I134" s="703"/>
    </row>
    <row r="135" spans="1:9">
      <c r="A135" s="703"/>
      <c r="B135" s="703"/>
      <c r="C135" s="703"/>
      <c r="D135" s="703"/>
      <c r="E135" s="703"/>
      <c r="F135" s="703"/>
      <c r="G135" s="703"/>
      <c r="H135" s="703"/>
      <c r="I135" s="703"/>
    </row>
    <row r="136" spans="1:9">
      <c r="A136" s="703"/>
      <c r="B136" s="703"/>
      <c r="C136" s="703"/>
      <c r="D136" s="703"/>
      <c r="E136" s="703"/>
      <c r="F136" s="703"/>
      <c r="G136" s="703"/>
      <c r="H136" s="703"/>
      <c r="I136" s="703"/>
    </row>
    <row r="137" spans="1:9">
      <c r="A137" s="703"/>
      <c r="B137" s="703"/>
      <c r="C137" s="703"/>
      <c r="D137" s="703"/>
      <c r="E137" s="703"/>
      <c r="F137" s="703"/>
      <c r="G137" s="703"/>
      <c r="H137" s="703"/>
      <c r="I137" s="703"/>
    </row>
    <row r="138" spans="1:9">
      <c r="A138" s="703"/>
      <c r="B138" s="703"/>
      <c r="C138" s="703"/>
      <c r="D138" s="703"/>
      <c r="E138" s="703"/>
      <c r="F138" s="703"/>
      <c r="G138" s="703"/>
      <c r="H138" s="703"/>
      <c r="I138" s="703"/>
    </row>
    <row r="139" spans="1:9">
      <c r="A139" s="703"/>
      <c r="B139" s="703"/>
      <c r="C139" s="703"/>
      <c r="D139" s="703"/>
      <c r="E139" s="703"/>
      <c r="F139" s="703"/>
      <c r="G139" s="703"/>
      <c r="H139" s="703"/>
      <c r="I139" s="703"/>
    </row>
    <row r="140" spans="1:9">
      <c r="A140" s="703"/>
      <c r="B140" s="703"/>
      <c r="C140" s="703"/>
      <c r="D140" s="703"/>
      <c r="E140" s="703"/>
      <c r="F140" s="703"/>
      <c r="G140" s="703"/>
      <c r="H140" s="703"/>
      <c r="I140" s="703"/>
    </row>
    <row r="141" spans="1:9">
      <c r="A141" s="703"/>
      <c r="B141" s="703"/>
      <c r="C141" s="703"/>
      <c r="D141" s="703"/>
      <c r="E141" s="703"/>
      <c r="F141" s="703"/>
      <c r="G141" s="703"/>
      <c r="H141" s="703"/>
      <c r="I141" s="703"/>
    </row>
    <row r="142" spans="1:9">
      <c r="A142" s="703"/>
      <c r="B142" s="703"/>
      <c r="C142" s="703"/>
      <c r="D142" s="703"/>
      <c r="E142" s="703"/>
      <c r="F142" s="703"/>
      <c r="G142" s="703"/>
      <c r="H142" s="703"/>
      <c r="I142" s="703"/>
    </row>
    <row r="143" spans="1:9">
      <c r="A143" s="703"/>
      <c r="B143" s="703"/>
      <c r="C143" s="703"/>
      <c r="D143" s="703"/>
      <c r="E143" s="703"/>
      <c r="F143" s="703"/>
      <c r="G143" s="703"/>
      <c r="H143" s="703"/>
      <c r="I143" s="703"/>
    </row>
    <row r="144" spans="1:9">
      <c r="A144" s="703"/>
      <c r="B144" s="703"/>
      <c r="C144" s="703"/>
      <c r="D144" s="703"/>
      <c r="E144" s="703"/>
      <c r="F144" s="703"/>
      <c r="G144" s="703"/>
      <c r="H144" s="703"/>
      <c r="I144" s="703"/>
    </row>
    <row r="145" spans="1:9">
      <c r="A145" s="703"/>
      <c r="B145" s="703"/>
      <c r="C145" s="703"/>
      <c r="D145" s="703"/>
      <c r="E145" s="703"/>
      <c r="F145" s="703"/>
      <c r="G145" s="703"/>
      <c r="H145" s="703"/>
      <c r="I145" s="703"/>
    </row>
    <row r="146" spans="1:9">
      <c r="A146" s="703"/>
      <c r="B146" s="703"/>
      <c r="C146" s="703"/>
      <c r="D146" s="703"/>
      <c r="E146" s="703"/>
      <c r="F146" s="703"/>
      <c r="G146" s="703"/>
      <c r="H146" s="703"/>
      <c r="I146" s="703"/>
    </row>
    <row r="147" spans="1:9">
      <c r="A147" s="703"/>
      <c r="B147" s="703"/>
      <c r="C147" s="703"/>
      <c r="D147" s="703"/>
      <c r="E147" s="703"/>
      <c r="F147" s="703"/>
      <c r="G147" s="703"/>
      <c r="H147" s="703"/>
      <c r="I147" s="703"/>
    </row>
    <row r="148" spans="1:9">
      <c r="A148" s="703"/>
      <c r="B148" s="703"/>
      <c r="C148" s="703"/>
      <c r="D148" s="703"/>
      <c r="E148" s="703"/>
      <c r="F148" s="703"/>
      <c r="G148" s="703"/>
      <c r="H148" s="703"/>
      <c r="I148" s="703"/>
    </row>
    <row r="149" spans="1:9">
      <c r="A149" s="703"/>
      <c r="B149" s="703"/>
      <c r="C149" s="703"/>
      <c r="D149" s="703"/>
      <c r="E149" s="703"/>
      <c r="F149" s="703"/>
      <c r="G149" s="703"/>
      <c r="H149" s="703"/>
      <c r="I149" s="703"/>
    </row>
    <row r="150" spans="1:9">
      <c r="A150" s="703"/>
      <c r="B150" s="703"/>
      <c r="C150" s="703"/>
      <c r="D150" s="703"/>
      <c r="E150" s="703"/>
      <c r="F150" s="703"/>
      <c r="G150" s="703"/>
      <c r="H150" s="703"/>
      <c r="I150" s="703"/>
    </row>
    <row r="151" spans="1:9">
      <c r="A151" s="703"/>
      <c r="B151" s="703"/>
      <c r="C151" s="703"/>
      <c r="D151" s="703"/>
      <c r="E151" s="703"/>
      <c r="F151" s="703"/>
      <c r="G151" s="703"/>
      <c r="H151" s="703"/>
      <c r="I151" s="703"/>
    </row>
    <row r="152" spans="1:9">
      <c r="A152" s="703"/>
      <c r="B152" s="703"/>
      <c r="C152" s="703"/>
      <c r="D152" s="703"/>
      <c r="E152" s="703"/>
      <c r="F152" s="703"/>
      <c r="G152" s="703"/>
      <c r="H152" s="703"/>
      <c r="I152" s="703"/>
    </row>
    <row r="153" spans="1:9">
      <c r="A153" s="703"/>
      <c r="B153" s="703"/>
      <c r="C153" s="703"/>
      <c r="D153" s="703"/>
      <c r="E153" s="703"/>
      <c r="F153" s="703"/>
      <c r="G153" s="703"/>
      <c r="H153" s="703"/>
      <c r="I153" s="703"/>
    </row>
    <row r="154" spans="1:9">
      <c r="A154" s="703"/>
      <c r="B154" s="703"/>
      <c r="C154" s="703"/>
      <c r="D154" s="703"/>
      <c r="E154" s="703"/>
      <c r="F154" s="703"/>
      <c r="G154" s="703"/>
      <c r="H154" s="703"/>
      <c r="I154" s="703"/>
    </row>
    <row r="155" spans="1:9">
      <c r="A155" s="703"/>
      <c r="B155" s="703"/>
      <c r="C155" s="703"/>
      <c r="D155" s="703"/>
      <c r="E155" s="703"/>
      <c r="F155" s="703"/>
      <c r="G155" s="703"/>
      <c r="H155" s="703"/>
      <c r="I155" s="703"/>
    </row>
    <row r="156" spans="1:9">
      <c r="A156" s="703"/>
      <c r="B156" s="703"/>
      <c r="C156" s="703"/>
      <c r="D156" s="703"/>
      <c r="E156" s="703"/>
      <c r="F156" s="703"/>
      <c r="G156" s="703"/>
      <c r="H156" s="703"/>
      <c r="I156" s="703"/>
    </row>
    <row r="157" spans="1:9">
      <c r="A157" s="703"/>
      <c r="B157" s="703"/>
      <c r="C157" s="703"/>
      <c r="D157" s="703"/>
      <c r="E157" s="703"/>
      <c r="F157" s="703"/>
      <c r="G157" s="703"/>
      <c r="H157" s="703"/>
      <c r="I157" s="703"/>
    </row>
    <row r="158" spans="1:9">
      <c r="A158" s="703"/>
      <c r="B158" s="703"/>
      <c r="C158" s="703"/>
      <c r="D158" s="703"/>
      <c r="E158" s="703"/>
      <c r="F158" s="703"/>
      <c r="G158" s="703"/>
      <c r="H158" s="703"/>
      <c r="I158" s="703"/>
    </row>
    <row r="159" spans="1:9">
      <c r="A159" s="703"/>
      <c r="B159" s="703"/>
      <c r="C159" s="703"/>
      <c r="D159" s="703"/>
      <c r="E159" s="703"/>
      <c r="F159" s="703"/>
      <c r="G159" s="703"/>
      <c r="H159" s="703"/>
      <c r="I159" s="703"/>
    </row>
    <row r="160" spans="1:9">
      <c r="A160" s="703"/>
      <c r="B160" s="703"/>
      <c r="C160" s="703"/>
      <c r="D160" s="703"/>
      <c r="E160" s="703"/>
      <c r="F160" s="703"/>
      <c r="G160" s="703"/>
      <c r="H160" s="703"/>
      <c r="I160" s="703"/>
    </row>
    <row r="161" spans="1:9">
      <c r="A161" s="703"/>
      <c r="B161" s="703"/>
      <c r="C161" s="703"/>
      <c r="D161" s="703"/>
      <c r="E161" s="703"/>
      <c r="F161" s="703"/>
      <c r="G161" s="703"/>
      <c r="H161" s="703"/>
      <c r="I161" s="703"/>
    </row>
    <row r="162" spans="1:9">
      <c r="A162" s="703"/>
      <c r="B162" s="703"/>
      <c r="C162" s="703"/>
      <c r="D162" s="703"/>
      <c r="E162" s="703"/>
      <c r="F162" s="703"/>
      <c r="G162" s="703"/>
      <c r="H162" s="703"/>
      <c r="I162" s="703"/>
    </row>
    <row r="163" spans="1:9">
      <c r="A163" s="703"/>
      <c r="B163" s="703"/>
      <c r="C163" s="703"/>
      <c r="D163" s="703"/>
      <c r="E163" s="703"/>
      <c r="F163" s="703"/>
      <c r="G163" s="703"/>
      <c r="H163" s="703"/>
      <c r="I163" s="703"/>
    </row>
    <row r="164" spans="1:9">
      <c r="A164" s="703"/>
      <c r="B164" s="703"/>
      <c r="C164" s="703"/>
      <c r="D164" s="703"/>
      <c r="E164" s="703"/>
      <c r="F164" s="703"/>
      <c r="G164" s="703"/>
      <c r="H164" s="703"/>
      <c r="I164" s="703"/>
    </row>
    <row r="165" spans="1:9">
      <c r="A165" s="703"/>
      <c r="B165" s="703"/>
      <c r="C165" s="703"/>
      <c r="D165" s="703"/>
      <c r="E165" s="703"/>
      <c r="F165" s="703"/>
      <c r="G165" s="703"/>
      <c r="H165" s="703"/>
      <c r="I165" s="703"/>
    </row>
    <row r="166" spans="1:9">
      <c r="A166" s="703"/>
      <c r="B166" s="703"/>
      <c r="C166" s="703"/>
      <c r="D166" s="703"/>
      <c r="E166" s="703"/>
      <c r="F166" s="703"/>
      <c r="G166" s="703"/>
      <c r="H166" s="703"/>
      <c r="I166" s="703"/>
    </row>
    <row r="167" spans="1:9">
      <c r="A167" s="703"/>
      <c r="B167" s="703"/>
      <c r="C167" s="703"/>
      <c r="D167" s="703"/>
      <c r="E167" s="703"/>
      <c r="F167" s="703"/>
      <c r="G167" s="703"/>
      <c r="H167" s="703"/>
      <c r="I167" s="703"/>
    </row>
    <row r="168" spans="1:9">
      <c r="A168" s="703"/>
      <c r="B168" s="703"/>
      <c r="C168" s="703"/>
      <c r="D168" s="703"/>
      <c r="E168" s="703"/>
      <c r="F168" s="703"/>
      <c r="G168" s="703"/>
      <c r="H168" s="703"/>
      <c r="I168" s="703"/>
    </row>
    <row r="169" spans="1:9">
      <c r="A169" s="703"/>
      <c r="B169" s="703"/>
      <c r="C169" s="703"/>
      <c r="D169" s="703"/>
      <c r="E169" s="703"/>
      <c r="F169" s="703"/>
      <c r="G169" s="703"/>
      <c r="H169" s="703"/>
      <c r="I169" s="703"/>
    </row>
    <row r="170" spans="1:9">
      <c r="A170" s="703"/>
      <c r="B170" s="703"/>
      <c r="C170" s="703"/>
      <c r="D170" s="703"/>
      <c r="E170" s="703"/>
      <c r="F170" s="703"/>
      <c r="G170" s="703"/>
      <c r="H170" s="703"/>
      <c r="I170" s="703"/>
    </row>
    <row r="171" spans="1:9">
      <c r="A171" s="703"/>
      <c r="B171" s="703"/>
      <c r="C171" s="703"/>
      <c r="D171" s="703"/>
      <c r="E171" s="703"/>
      <c r="F171" s="703"/>
      <c r="G171" s="703"/>
      <c r="H171" s="703"/>
      <c r="I171" s="703"/>
    </row>
    <row r="172" spans="1:9">
      <c r="A172" s="703"/>
      <c r="B172" s="703"/>
      <c r="C172" s="703"/>
      <c r="D172" s="703"/>
      <c r="E172" s="703"/>
      <c r="F172" s="703"/>
      <c r="G172" s="703"/>
      <c r="H172" s="703"/>
      <c r="I172" s="703"/>
    </row>
    <row r="173" spans="1:9">
      <c r="A173" s="703"/>
      <c r="B173" s="703"/>
      <c r="C173" s="703"/>
      <c r="D173" s="703"/>
      <c r="E173" s="703"/>
      <c r="F173" s="703"/>
      <c r="G173" s="703"/>
      <c r="H173" s="703"/>
      <c r="I173" s="703"/>
    </row>
    <row r="174" spans="1:9">
      <c r="A174" s="703"/>
      <c r="B174" s="703"/>
      <c r="C174" s="703"/>
      <c r="D174" s="703"/>
      <c r="E174" s="703"/>
      <c r="F174" s="703"/>
      <c r="G174" s="703"/>
      <c r="H174" s="703"/>
      <c r="I174" s="703"/>
    </row>
    <row r="175" spans="1:9">
      <c r="A175" s="703"/>
      <c r="B175" s="703"/>
      <c r="C175" s="703"/>
      <c r="D175" s="703"/>
      <c r="E175" s="703"/>
      <c r="F175" s="703"/>
      <c r="G175" s="703"/>
      <c r="H175" s="703"/>
      <c r="I175" s="703"/>
    </row>
    <row r="176" spans="1:9">
      <c r="A176" s="703"/>
      <c r="B176" s="703"/>
      <c r="C176" s="703"/>
      <c r="D176" s="703"/>
      <c r="E176" s="703"/>
      <c r="F176" s="703"/>
      <c r="G176" s="703"/>
      <c r="H176" s="703"/>
      <c r="I176" s="703"/>
    </row>
    <row r="177" spans="1:9">
      <c r="A177" s="703"/>
      <c r="B177" s="703"/>
      <c r="C177" s="703"/>
      <c r="D177" s="703"/>
      <c r="E177" s="703"/>
      <c r="F177" s="703"/>
      <c r="G177" s="703"/>
      <c r="H177" s="703"/>
      <c r="I177" s="703"/>
    </row>
    <row r="178" spans="1:9">
      <c r="A178" s="703"/>
      <c r="B178" s="703"/>
      <c r="C178" s="703"/>
      <c r="D178" s="703"/>
      <c r="E178" s="703"/>
      <c r="F178" s="703"/>
      <c r="G178" s="703"/>
      <c r="H178" s="703"/>
      <c r="I178" s="703"/>
    </row>
    <row r="179" spans="1:9">
      <c r="A179" s="703"/>
      <c r="B179" s="703"/>
      <c r="C179" s="703"/>
      <c r="D179" s="703"/>
      <c r="E179" s="703"/>
      <c r="F179" s="703"/>
      <c r="G179" s="703"/>
      <c r="H179" s="703"/>
      <c r="I179" s="703"/>
    </row>
    <row r="180" spans="1:9">
      <c r="A180" s="703"/>
      <c r="B180" s="703"/>
      <c r="C180" s="703"/>
      <c r="D180" s="703"/>
      <c r="E180" s="703"/>
      <c r="F180" s="703"/>
      <c r="G180" s="703"/>
      <c r="H180" s="703"/>
      <c r="I180" s="703"/>
    </row>
    <row r="181" spans="1:9">
      <c r="A181" s="703"/>
      <c r="B181" s="703"/>
      <c r="C181" s="703"/>
      <c r="D181" s="703"/>
      <c r="E181" s="703"/>
      <c r="F181" s="703"/>
      <c r="G181" s="703"/>
      <c r="H181" s="703"/>
      <c r="I181" s="703"/>
    </row>
    <row r="182" spans="1:9">
      <c r="A182" s="703"/>
      <c r="B182" s="703"/>
      <c r="C182" s="703"/>
      <c r="D182" s="703"/>
      <c r="E182" s="703"/>
      <c r="F182" s="703"/>
      <c r="G182" s="703"/>
      <c r="H182" s="703"/>
      <c r="I182" s="703"/>
    </row>
    <row r="183" spans="1:9">
      <c r="A183" s="703"/>
      <c r="B183" s="703"/>
      <c r="C183" s="703"/>
      <c r="D183" s="703"/>
      <c r="E183" s="703"/>
      <c r="F183" s="703"/>
      <c r="G183" s="703"/>
      <c r="H183" s="703"/>
      <c r="I183" s="703"/>
    </row>
    <row r="184" spans="1:9">
      <c r="A184" s="703"/>
      <c r="B184" s="703"/>
      <c r="C184" s="703"/>
      <c r="D184" s="703"/>
      <c r="E184" s="703"/>
      <c r="F184" s="703"/>
      <c r="G184" s="703"/>
      <c r="H184" s="703"/>
      <c r="I184" s="703"/>
    </row>
    <row r="185" spans="1:9">
      <c r="A185" s="703"/>
      <c r="B185" s="703"/>
      <c r="C185" s="703"/>
      <c r="D185" s="703"/>
      <c r="E185" s="703"/>
      <c r="F185" s="703"/>
      <c r="G185" s="703"/>
      <c r="H185" s="703"/>
      <c r="I185" s="703"/>
    </row>
    <row r="186" spans="1:9">
      <c r="A186" s="703"/>
      <c r="B186" s="703"/>
      <c r="C186" s="703"/>
      <c r="D186" s="703"/>
      <c r="E186" s="703"/>
      <c r="F186" s="703"/>
      <c r="G186" s="703"/>
      <c r="H186" s="703"/>
      <c r="I186" s="703"/>
    </row>
    <row r="187" spans="1:9">
      <c r="A187" s="703"/>
      <c r="B187" s="703"/>
      <c r="C187" s="703"/>
      <c r="D187" s="703"/>
      <c r="E187" s="703"/>
      <c r="F187" s="703"/>
      <c r="G187" s="703"/>
      <c r="H187" s="703"/>
      <c r="I187" s="703"/>
    </row>
    <row r="188" spans="1:9">
      <c r="A188" s="703"/>
      <c r="B188" s="703"/>
      <c r="C188" s="703"/>
      <c r="D188" s="703"/>
      <c r="E188" s="703"/>
      <c r="F188" s="703"/>
      <c r="G188" s="703"/>
      <c r="H188" s="703"/>
      <c r="I188" s="703"/>
    </row>
    <row r="189" spans="1:9">
      <c r="A189" s="703"/>
      <c r="B189" s="703"/>
      <c r="C189" s="703"/>
      <c r="D189" s="703"/>
      <c r="E189" s="703"/>
      <c r="F189" s="703"/>
      <c r="G189" s="703"/>
      <c r="H189" s="703"/>
      <c r="I189" s="703"/>
    </row>
    <row r="190" spans="1:9">
      <c r="A190" s="703"/>
      <c r="B190" s="703"/>
      <c r="C190" s="703"/>
      <c r="D190" s="703"/>
      <c r="E190" s="703"/>
      <c r="F190" s="703"/>
      <c r="G190" s="703"/>
      <c r="H190" s="703"/>
      <c r="I190" s="703"/>
    </row>
    <row r="191" spans="1:9">
      <c r="A191" s="703"/>
      <c r="B191" s="703"/>
      <c r="C191" s="703"/>
      <c r="D191" s="703"/>
      <c r="E191" s="703"/>
      <c r="F191" s="703"/>
      <c r="G191" s="703"/>
      <c r="H191" s="703"/>
      <c r="I191" s="703"/>
    </row>
    <row r="192" spans="1:9">
      <c r="A192" s="703"/>
      <c r="B192" s="703"/>
      <c r="C192" s="703"/>
      <c r="D192" s="703"/>
      <c r="E192" s="703"/>
      <c r="F192" s="703"/>
      <c r="G192" s="703"/>
      <c r="H192" s="703"/>
      <c r="I192" s="703"/>
    </row>
    <row r="193" spans="1:9">
      <c r="A193" s="703"/>
      <c r="B193" s="703"/>
      <c r="C193" s="703"/>
      <c r="D193" s="703"/>
      <c r="E193" s="703"/>
      <c r="F193" s="703"/>
      <c r="G193" s="703"/>
      <c r="H193" s="703"/>
      <c r="I193" s="703"/>
    </row>
    <row r="194" spans="1:9">
      <c r="A194" s="703"/>
      <c r="B194" s="703"/>
      <c r="C194" s="703"/>
      <c r="D194" s="703"/>
      <c r="E194" s="703"/>
      <c r="F194" s="703"/>
      <c r="G194" s="703"/>
      <c r="H194" s="703"/>
      <c r="I194" s="703"/>
    </row>
    <row r="195" spans="1:9">
      <c r="A195" s="703"/>
      <c r="B195" s="703"/>
      <c r="C195" s="703"/>
      <c r="D195" s="703"/>
      <c r="E195" s="703"/>
      <c r="F195" s="703"/>
      <c r="G195" s="703"/>
      <c r="H195" s="703"/>
      <c r="I195" s="703"/>
    </row>
    <row r="196" spans="1:9">
      <c r="A196" s="703"/>
      <c r="B196" s="703"/>
      <c r="C196" s="703"/>
      <c r="D196" s="703"/>
      <c r="E196" s="703"/>
      <c r="F196" s="703"/>
      <c r="G196" s="703"/>
      <c r="H196" s="703"/>
      <c r="I196" s="703"/>
    </row>
    <row r="197" spans="1:9">
      <c r="A197" s="703"/>
      <c r="B197" s="703"/>
      <c r="C197" s="703"/>
      <c r="D197" s="703"/>
      <c r="E197" s="703"/>
      <c r="F197" s="703"/>
      <c r="G197" s="703"/>
      <c r="H197" s="703"/>
      <c r="I197" s="703"/>
    </row>
    <row r="198" spans="1:9">
      <c r="A198" s="703"/>
      <c r="B198" s="703"/>
      <c r="C198" s="703"/>
      <c r="D198" s="703"/>
      <c r="E198" s="703"/>
      <c r="F198" s="703"/>
      <c r="G198" s="703"/>
      <c r="H198" s="703"/>
      <c r="I198" s="703"/>
    </row>
    <row r="199" spans="1:9">
      <c r="A199" s="703"/>
      <c r="B199" s="703"/>
      <c r="C199" s="703"/>
      <c r="D199" s="703"/>
      <c r="E199" s="703"/>
      <c r="F199" s="703"/>
      <c r="G199" s="703"/>
      <c r="H199" s="703"/>
      <c r="I199" s="703"/>
    </row>
    <row r="200" spans="1:9">
      <c r="A200" s="703"/>
      <c r="B200" s="703"/>
      <c r="C200" s="703"/>
      <c r="D200" s="703"/>
      <c r="E200" s="703"/>
      <c r="F200" s="703"/>
      <c r="G200" s="703"/>
      <c r="H200" s="703"/>
      <c r="I200" s="703"/>
    </row>
    <row r="201" spans="1:9">
      <c r="A201" s="703"/>
      <c r="B201" s="703"/>
      <c r="C201" s="703"/>
      <c r="D201" s="703"/>
      <c r="E201" s="703"/>
      <c r="F201" s="703"/>
      <c r="G201" s="703"/>
      <c r="H201" s="703"/>
      <c r="I201" s="703"/>
    </row>
    <row r="202" spans="1:9">
      <c r="A202" s="703"/>
      <c r="B202" s="703"/>
      <c r="C202" s="703"/>
      <c r="D202" s="703"/>
      <c r="E202" s="703"/>
      <c r="F202" s="703"/>
      <c r="G202" s="703"/>
      <c r="H202" s="703"/>
      <c r="I202" s="703"/>
    </row>
    <row r="203" spans="1:9">
      <c r="A203" s="703"/>
      <c r="B203" s="703"/>
      <c r="C203" s="703"/>
      <c r="D203" s="703"/>
      <c r="E203" s="703"/>
      <c r="F203" s="703"/>
      <c r="G203" s="703"/>
      <c r="H203" s="703"/>
      <c r="I203" s="703"/>
    </row>
    <row r="204" spans="1:9">
      <c r="A204" s="703"/>
      <c r="B204" s="703"/>
      <c r="C204" s="703"/>
      <c r="D204" s="703"/>
      <c r="E204" s="703"/>
      <c r="F204" s="703"/>
      <c r="G204" s="703"/>
      <c r="H204" s="703"/>
      <c r="I204" s="703"/>
    </row>
    <row r="205" spans="1:9">
      <c r="A205" s="703"/>
      <c r="B205" s="703"/>
      <c r="C205" s="703"/>
      <c r="D205" s="703"/>
      <c r="E205" s="703"/>
      <c r="F205" s="703"/>
      <c r="G205" s="703"/>
      <c r="H205" s="703"/>
      <c r="I205" s="703"/>
    </row>
    <row r="206" spans="1:9">
      <c r="A206" s="703"/>
      <c r="B206" s="703"/>
      <c r="C206" s="703"/>
      <c r="D206" s="703"/>
      <c r="E206" s="703"/>
      <c r="F206" s="703"/>
      <c r="G206" s="703"/>
      <c r="H206" s="703"/>
      <c r="I206" s="703"/>
    </row>
    <row r="207" spans="1:9">
      <c r="A207" s="703"/>
      <c r="B207" s="703"/>
      <c r="C207" s="703"/>
      <c r="D207" s="703"/>
      <c r="E207" s="703"/>
      <c r="F207" s="703"/>
      <c r="G207" s="703"/>
      <c r="H207" s="703"/>
      <c r="I207" s="703"/>
    </row>
    <row r="208" spans="1:9">
      <c r="A208" s="703"/>
      <c r="B208" s="703"/>
      <c r="C208" s="703"/>
      <c r="D208" s="703"/>
      <c r="E208" s="703"/>
      <c r="F208" s="703"/>
      <c r="G208" s="703"/>
      <c r="H208" s="703"/>
      <c r="I208" s="703"/>
    </row>
    <row r="209" spans="1:9">
      <c r="A209" s="703"/>
      <c r="B209" s="703"/>
      <c r="C209" s="703"/>
      <c r="D209" s="703"/>
      <c r="E209" s="703"/>
      <c r="F209" s="703"/>
      <c r="G209" s="703"/>
      <c r="H209" s="703"/>
      <c r="I209" s="703"/>
    </row>
    <row r="210" spans="1:9">
      <c r="A210" s="703"/>
      <c r="B210" s="703"/>
      <c r="C210" s="703"/>
      <c r="D210" s="703"/>
      <c r="E210" s="703"/>
      <c r="F210" s="703"/>
      <c r="G210" s="703"/>
      <c r="H210" s="703"/>
      <c r="I210" s="703"/>
    </row>
    <row r="211" spans="1:9">
      <c r="A211" s="703"/>
      <c r="B211" s="703"/>
      <c r="C211" s="703"/>
      <c r="D211" s="703"/>
      <c r="E211" s="703"/>
      <c r="F211" s="703"/>
      <c r="G211" s="703"/>
      <c r="H211" s="703"/>
      <c r="I211" s="703"/>
    </row>
    <row r="212" spans="1:9">
      <c r="A212" s="703"/>
      <c r="B212" s="703"/>
      <c r="C212" s="703"/>
      <c r="D212" s="703"/>
      <c r="E212" s="703"/>
      <c r="F212" s="703"/>
      <c r="G212" s="703"/>
      <c r="H212" s="703"/>
      <c r="I212" s="703"/>
    </row>
    <row r="213" spans="1:9">
      <c r="A213" s="703"/>
      <c r="B213" s="703"/>
      <c r="C213" s="703"/>
      <c r="D213" s="703"/>
      <c r="E213" s="703"/>
      <c r="F213" s="703"/>
      <c r="G213" s="703"/>
      <c r="H213" s="703"/>
      <c r="I213" s="703"/>
    </row>
    <row r="214" spans="1:9">
      <c r="A214" s="703"/>
      <c r="B214" s="703"/>
      <c r="C214" s="703"/>
      <c r="D214" s="703"/>
      <c r="E214" s="703"/>
      <c r="F214" s="703"/>
      <c r="G214" s="703"/>
      <c r="H214" s="703"/>
      <c r="I214" s="703"/>
    </row>
    <row r="215" spans="1:9">
      <c r="A215" s="703"/>
      <c r="B215" s="703"/>
      <c r="C215" s="703"/>
      <c r="D215" s="703"/>
      <c r="E215" s="703"/>
      <c r="F215" s="703"/>
      <c r="G215" s="703"/>
      <c r="H215" s="703"/>
      <c r="I215" s="703"/>
    </row>
    <row r="216" spans="1:9">
      <c r="A216" s="703"/>
      <c r="B216" s="703"/>
      <c r="C216" s="703"/>
      <c r="D216" s="703"/>
      <c r="E216" s="703"/>
      <c r="F216" s="703"/>
      <c r="G216" s="703"/>
      <c r="H216" s="703"/>
      <c r="I216" s="703"/>
    </row>
    <row r="217" spans="1:9">
      <c r="A217" s="703"/>
      <c r="B217" s="703"/>
      <c r="C217" s="703"/>
      <c r="D217" s="703"/>
      <c r="E217" s="703"/>
      <c r="F217" s="703"/>
      <c r="G217" s="703"/>
      <c r="H217" s="703"/>
      <c r="I217" s="703"/>
    </row>
    <row r="218" spans="1:9">
      <c r="A218" s="703"/>
      <c r="B218" s="703"/>
      <c r="C218" s="703"/>
      <c r="D218" s="703"/>
      <c r="E218" s="703"/>
      <c r="F218" s="703"/>
      <c r="G218" s="703"/>
      <c r="H218" s="703"/>
      <c r="I218" s="703"/>
    </row>
    <row r="219" spans="1:9">
      <c r="A219" s="703"/>
      <c r="B219" s="703"/>
      <c r="C219" s="703"/>
      <c r="D219" s="703"/>
      <c r="E219" s="703"/>
      <c r="F219" s="703"/>
      <c r="G219" s="703"/>
      <c r="H219" s="703"/>
      <c r="I219" s="703"/>
    </row>
    <row r="220" spans="1:9">
      <c r="A220" s="703"/>
      <c r="B220" s="703"/>
      <c r="C220" s="703"/>
      <c r="D220" s="703"/>
      <c r="E220" s="703"/>
      <c r="F220" s="703"/>
      <c r="G220" s="703"/>
      <c r="H220" s="703"/>
      <c r="I220" s="703"/>
    </row>
    <row r="221" spans="1:9">
      <c r="A221" s="703"/>
      <c r="B221" s="703"/>
      <c r="C221" s="703"/>
      <c r="D221" s="703"/>
      <c r="E221" s="703"/>
      <c r="F221" s="703"/>
      <c r="G221" s="703"/>
      <c r="H221" s="703"/>
      <c r="I221" s="703"/>
    </row>
    <row r="222" spans="1:9">
      <c r="A222" s="703"/>
      <c r="B222" s="703"/>
      <c r="C222" s="703"/>
      <c r="D222" s="703"/>
      <c r="E222" s="703"/>
      <c r="F222" s="703"/>
      <c r="G222" s="703"/>
      <c r="H222" s="703"/>
      <c r="I222" s="703"/>
    </row>
    <row r="223" spans="1:9">
      <c r="A223" s="703"/>
      <c r="B223" s="703"/>
      <c r="C223" s="703"/>
      <c r="D223" s="703"/>
      <c r="E223" s="703"/>
      <c r="F223" s="703"/>
      <c r="G223" s="703"/>
      <c r="H223" s="703"/>
      <c r="I223" s="703"/>
    </row>
    <row r="224" spans="1:9">
      <c r="A224" s="703"/>
      <c r="B224" s="703"/>
      <c r="C224" s="703"/>
      <c r="D224" s="703"/>
      <c r="E224" s="703"/>
      <c r="F224" s="703"/>
      <c r="G224" s="703"/>
      <c r="H224" s="703"/>
      <c r="I224" s="703"/>
    </row>
    <row r="225" spans="1:9">
      <c r="A225" s="703"/>
      <c r="B225" s="703"/>
      <c r="C225" s="703"/>
      <c r="D225" s="703"/>
      <c r="E225" s="703"/>
      <c r="F225" s="703"/>
      <c r="G225" s="703"/>
      <c r="H225" s="703"/>
      <c r="I225" s="703"/>
    </row>
    <row r="226" spans="1:9">
      <c r="A226" s="703"/>
      <c r="B226" s="703"/>
      <c r="C226" s="703"/>
      <c r="D226" s="703"/>
      <c r="E226" s="703"/>
      <c r="F226" s="703"/>
      <c r="G226" s="703"/>
      <c r="H226" s="703"/>
      <c r="I226" s="703"/>
    </row>
    <row r="227" spans="1:9">
      <c r="A227" s="703"/>
      <c r="B227" s="703"/>
      <c r="C227" s="703"/>
      <c r="D227" s="703"/>
      <c r="E227" s="703"/>
      <c r="F227" s="703"/>
      <c r="G227" s="703"/>
      <c r="H227" s="703"/>
      <c r="I227" s="703"/>
    </row>
    <row r="228" spans="1:9">
      <c r="A228" s="703"/>
      <c r="B228" s="703"/>
      <c r="C228" s="703"/>
      <c r="D228" s="703"/>
      <c r="E228" s="703"/>
      <c r="F228" s="703"/>
      <c r="G228" s="703"/>
      <c r="H228" s="703"/>
      <c r="I228" s="703"/>
    </row>
    <row r="229" spans="1:9">
      <c r="A229" s="703"/>
      <c r="B229" s="703"/>
      <c r="C229" s="703"/>
      <c r="D229" s="703"/>
      <c r="E229" s="703"/>
      <c r="F229" s="703"/>
      <c r="G229" s="703"/>
      <c r="H229" s="703"/>
      <c r="I229" s="703"/>
    </row>
    <row r="230" spans="1:9">
      <c r="A230" s="703"/>
      <c r="B230" s="703"/>
      <c r="C230" s="703"/>
      <c r="D230" s="703"/>
      <c r="E230" s="703"/>
      <c r="F230" s="703"/>
      <c r="G230" s="703"/>
      <c r="H230" s="703"/>
      <c r="I230" s="703"/>
    </row>
    <row r="231" spans="1:9">
      <c r="A231" s="703"/>
      <c r="B231" s="703"/>
      <c r="C231" s="703"/>
      <c r="D231" s="703"/>
      <c r="E231" s="703"/>
      <c r="F231" s="703"/>
      <c r="G231" s="703"/>
      <c r="H231" s="703"/>
      <c r="I231" s="703"/>
    </row>
    <row r="232" spans="1:9">
      <c r="A232" s="703"/>
      <c r="B232" s="703"/>
      <c r="C232" s="703"/>
      <c r="D232" s="703"/>
      <c r="E232" s="703"/>
      <c r="F232" s="703"/>
      <c r="G232" s="703"/>
      <c r="H232" s="703"/>
      <c r="I232" s="703"/>
    </row>
    <row r="233" spans="1:9">
      <c r="A233" s="703"/>
      <c r="B233" s="703"/>
      <c r="C233" s="703"/>
      <c r="D233" s="703"/>
      <c r="E233" s="703"/>
      <c r="F233" s="703"/>
      <c r="G233" s="703"/>
      <c r="H233" s="703"/>
      <c r="I233" s="703"/>
    </row>
    <row r="234" spans="1:9">
      <c r="A234" s="703"/>
      <c r="B234" s="703"/>
      <c r="C234" s="703"/>
      <c r="D234" s="703"/>
      <c r="E234" s="703"/>
      <c r="F234" s="703"/>
      <c r="G234" s="703"/>
      <c r="H234" s="703"/>
      <c r="I234" s="703"/>
    </row>
    <row r="235" spans="1:9">
      <c r="A235" s="703"/>
      <c r="B235" s="703"/>
      <c r="C235" s="703"/>
      <c r="D235" s="703"/>
      <c r="E235" s="703"/>
      <c r="F235" s="703"/>
      <c r="G235" s="703"/>
      <c r="H235" s="703"/>
      <c r="I235" s="703"/>
    </row>
    <row r="236" spans="1:9">
      <c r="A236" s="703"/>
      <c r="B236" s="703"/>
      <c r="C236" s="703"/>
      <c r="D236" s="703"/>
      <c r="E236" s="703"/>
      <c r="F236" s="703"/>
      <c r="G236" s="703"/>
      <c r="H236" s="703"/>
      <c r="I236" s="703"/>
    </row>
    <row r="237" spans="1:9">
      <c r="A237" s="703"/>
      <c r="B237" s="703"/>
      <c r="C237" s="703"/>
      <c r="D237" s="703"/>
      <c r="E237" s="703"/>
      <c r="F237" s="703"/>
      <c r="G237" s="703"/>
      <c r="H237" s="703"/>
      <c r="I237" s="703"/>
    </row>
    <row r="238" spans="1:9">
      <c r="A238" s="703"/>
      <c r="B238" s="703"/>
      <c r="C238" s="703"/>
      <c r="D238" s="703"/>
      <c r="E238" s="703"/>
      <c r="F238" s="703"/>
      <c r="G238" s="703"/>
      <c r="H238" s="703"/>
      <c r="I238" s="703"/>
    </row>
    <row r="239" spans="1:9">
      <c r="A239" s="703"/>
      <c r="B239" s="703"/>
      <c r="C239" s="703"/>
      <c r="D239" s="703"/>
      <c r="E239" s="703"/>
      <c r="F239" s="703"/>
      <c r="G239" s="703"/>
      <c r="H239" s="703"/>
      <c r="I239" s="703"/>
    </row>
    <row r="240" spans="1:9">
      <c r="A240" s="703"/>
      <c r="B240" s="703"/>
      <c r="C240" s="703"/>
      <c r="D240" s="703"/>
      <c r="E240" s="703"/>
      <c r="F240" s="703"/>
      <c r="G240" s="703"/>
      <c r="H240" s="703"/>
      <c r="I240" s="703"/>
    </row>
    <row r="241" spans="1:9">
      <c r="A241" s="703"/>
      <c r="B241" s="703"/>
      <c r="C241" s="703"/>
      <c r="D241" s="703"/>
      <c r="E241" s="703"/>
      <c r="F241" s="703"/>
      <c r="G241" s="703"/>
      <c r="H241" s="703"/>
      <c r="I241" s="703"/>
    </row>
    <row r="242" spans="1:9">
      <c r="A242" s="703"/>
      <c r="B242" s="703"/>
      <c r="C242" s="703"/>
      <c r="D242" s="703"/>
      <c r="E242" s="703"/>
      <c r="F242" s="703"/>
      <c r="G242" s="703"/>
      <c r="H242" s="703"/>
      <c r="I242" s="703"/>
    </row>
    <row r="243" spans="1:9">
      <c r="A243" s="703"/>
      <c r="B243" s="703"/>
      <c r="C243" s="703"/>
      <c r="D243" s="703"/>
      <c r="E243" s="703"/>
      <c r="F243" s="703"/>
      <c r="G243" s="703"/>
      <c r="H243" s="703"/>
      <c r="I243" s="703"/>
    </row>
    <row r="244" spans="1:9">
      <c r="A244" s="703"/>
      <c r="B244" s="703"/>
      <c r="C244" s="703"/>
      <c r="D244" s="703"/>
      <c r="E244" s="703"/>
      <c r="F244" s="703"/>
      <c r="G244" s="703"/>
      <c r="H244" s="703"/>
      <c r="I244" s="703"/>
    </row>
    <row r="245" spans="1:9">
      <c r="A245" s="703"/>
      <c r="B245" s="703"/>
      <c r="C245" s="703"/>
      <c r="D245" s="703"/>
      <c r="E245" s="703"/>
      <c r="F245" s="703"/>
      <c r="G245" s="703"/>
      <c r="H245" s="703"/>
      <c r="I245" s="703"/>
    </row>
    <row r="246" spans="1:9">
      <c r="A246" s="703"/>
      <c r="B246" s="703"/>
      <c r="C246" s="703"/>
      <c r="D246" s="703"/>
      <c r="E246" s="703"/>
      <c r="F246" s="703"/>
      <c r="G246" s="703"/>
      <c r="H246" s="703"/>
      <c r="I246" s="703"/>
    </row>
    <row r="247" spans="1:9">
      <c r="A247" s="703"/>
      <c r="B247" s="703"/>
      <c r="C247" s="703"/>
      <c r="D247" s="703"/>
      <c r="E247" s="703"/>
      <c r="F247" s="703"/>
      <c r="G247" s="703"/>
      <c r="H247" s="703"/>
      <c r="I247" s="703"/>
    </row>
    <row r="248" spans="1:9">
      <c r="A248" s="703"/>
      <c r="B248" s="703"/>
      <c r="C248" s="703"/>
      <c r="D248" s="703"/>
      <c r="E248" s="703"/>
      <c r="F248" s="703"/>
      <c r="G248" s="703"/>
      <c r="H248" s="703"/>
      <c r="I248" s="703"/>
    </row>
    <row r="249" spans="1:9">
      <c r="A249" s="703"/>
      <c r="B249" s="703"/>
      <c r="C249" s="703"/>
      <c r="D249" s="703"/>
      <c r="E249" s="703"/>
      <c r="F249" s="703"/>
      <c r="G249" s="703"/>
      <c r="H249" s="703"/>
      <c r="I249" s="703"/>
    </row>
    <row r="250" spans="1:9">
      <c r="A250" s="703"/>
      <c r="B250" s="703"/>
      <c r="C250" s="703"/>
      <c r="D250" s="703"/>
      <c r="E250" s="703"/>
      <c r="F250" s="703"/>
      <c r="G250" s="703"/>
      <c r="H250" s="703"/>
      <c r="I250" s="703"/>
    </row>
    <row r="251" spans="1:9">
      <c r="A251" s="703"/>
      <c r="B251" s="703"/>
      <c r="C251" s="703"/>
      <c r="D251" s="703"/>
      <c r="E251" s="703"/>
      <c r="F251" s="703"/>
      <c r="G251" s="703"/>
      <c r="H251" s="703"/>
      <c r="I251" s="703"/>
    </row>
    <row r="252" spans="1:9">
      <c r="A252" s="703"/>
      <c r="B252" s="703"/>
      <c r="C252" s="703"/>
      <c r="D252" s="703"/>
      <c r="E252" s="703"/>
      <c r="F252" s="703"/>
      <c r="G252" s="703"/>
      <c r="H252" s="703"/>
      <c r="I252" s="703"/>
    </row>
    <row r="253" spans="1:9">
      <c r="A253" s="703"/>
      <c r="B253" s="703"/>
      <c r="C253" s="703"/>
      <c r="D253" s="703"/>
      <c r="E253" s="703"/>
      <c r="F253" s="703"/>
      <c r="G253" s="703"/>
      <c r="H253" s="703"/>
      <c r="I253" s="703"/>
    </row>
    <row r="254" spans="1:9">
      <c r="A254" s="703"/>
      <c r="B254" s="703"/>
      <c r="C254" s="703"/>
      <c r="D254" s="703"/>
      <c r="E254" s="703"/>
      <c r="F254" s="703"/>
      <c r="G254" s="703"/>
      <c r="H254" s="703"/>
      <c r="I254" s="703"/>
    </row>
    <row r="255" spans="1:9">
      <c r="A255" s="703"/>
      <c r="B255" s="703"/>
      <c r="C255" s="703"/>
      <c r="D255" s="703"/>
      <c r="E255" s="703"/>
      <c r="F255" s="703"/>
      <c r="G255" s="703"/>
      <c r="H255" s="703"/>
      <c r="I255" s="703"/>
    </row>
    <row r="256" spans="1:9">
      <c r="A256" s="703"/>
      <c r="B256" s="703"/>
      <c r="C256" s="703"/>
      <c r="D256" s="703"/>
      <c r="E256" s="703"/>
      <c r="F256" s="703"/>
      <c r="G256" s="703"/>
      <c r="H256" s="703"/>
      <c r="I256" s="703"/>
    </row>
    <row r="257" spans="1:9">
      <c r="A257" s="703"/>
      <c r="B257" s="703"/>
      <c r="C257" s="703"/>
      <c r="D257" s="703"/>
      <c r="E257" s="703"/>
      <c r="F257" s="703"/>
      <c r="G257" s="703"/>
      <c r="H257" s="703"/>
      <c r="I257" s="703"/>
    </row>
    <row r="258" spans="1:9">
      <c r="A258" s="703"/>
      <c r="B258" s="703"/>
      <c r="C258" s="703"/>
      <c r="D258" s="703"/>
      <c r="E258" s="703"/>
      <c r="F258" s="703"/>
      <c r="G258" s="703"/>
      <c r="H258" s="703"/>
      <c r="I258" s="703"/>
    </row>
    <row r="259" spans="1:9">
      <c r="A259" s="703"/>
      <c r="B259" s="703"/>
      <c r="C259" s="703"/>
      <c r="D259" s="703"/>
      <c r="E259" s="703"/>
      <c r="F259" s="703"/>
      <c r="G259" s="703"/>
      <c r="H259" s="703"/>
      <c r="I259" s="703"/>
    </row>
    <row r="260" spans="1:9">
      <c r="A260" s="703"/>
      <c r="B260" s="703"/>
      <c r="C260" s="703"/>
      <c r="D260" s="703"/>
      <c r="E260" s="703"/>
      <c r="F260" s="703"/>
      <c r="G260" s="703"/>
      <c r="H260" s="703"/>
      <c r="I260" s="703"/>
    </row>
    <row r="261" spans="1:9">
      <c r="A261" s="703"/>
      <c r="B261" s="703"/>
      <c r="C261" s="703"/>
      <c r="D261" s="703"/>
      <c r="E261" s="703"/>
      <c r="F261" s="703"/>
      <c r="G261" s="703"/>
      <c r="H261" s="703"/>
      <c r="I261" s="703"/>
    </row>
    <row r="262" spans="1:9">
      <c r="A262" s="703"/>
      <c r="B262" s="703"/>
      <c r="C262" s="703"/>
      <c r="D262" s="703"/>
      <c r="E262" s="703"/>
      <c r="F262" s="703"/>
      <c r="G262" s="703"/>
      <c r="H262" s="703"/>
      <c r="I262" s="703"/>
    </row>
    <row r="263" spans="1:9">
      <c r="A263" s="703"/>
      <c r="B263" s="703"/>
      <c r="C263" s="703"/>
      <c r="D263" s="703"/>
      <c r="E263" s="703"/>
      <c r="F263" s="703"/>
      <c r="G263" s="703"/>
      <c r="H263" s="703"/>
      <c r="I263" s="703"/>
    </row>
    <row r="264" spans="1:9">
      <c r="A264" s="703"/>
      <c r="B264" s="703"/>
      <c r="C264" s="703"/>
      <c r="D264" s="703"/>
      <c r="E264" s="703"/>
      <c r="F264" s="703"/>
      <c r="G264" s="703"/>
      <c r="H264" s="703"/>
      <c r="I264" s="703"/>
    </row>
    <row r="265" spans="1:9">
      <c r="A265" s="703"/>
      <c r="B265" s="703"/>
      <c r="C265" s="703"/>
      <c r="D265" s="703"/>
      <c r="E265" s="703"/>
      <c r="F265" s="703"/>
      <c r="G265" s="703"/>
      <c r="H265" s="703"/>
      <c r="I265" s="703"/>
    </row>
    <row r="266" spans="1:9">
      <c r="A266" s="703"/>
      <c r="B266" s="703"/>
      <c r="C266" s="703"/>
      <c r="D266" s="703"/>
      <c r="E266" s="703"/>
      <c r="F266" s="703"/>
      <c r="G266" s="703"/>
      <c r="H266" s="703"/>
      <c r="I266" s="703"/>
    </row>
    <row r="267" spans="1:9">
      <c r="A267" s="703"/>
      <c r="B267" s="703"/>
      <c r="C267" s="703"/>
      <c r="D267" s="703"/>
      <c r="E267" s="703"/>
      <c r="F267" s="703"/>
      <c r="G267" s="703"/>
      <c r="H267" s="703"/>
      <c r="I267" s="703"/>
    </row>
    <row r="268" spans="1:9">
      <c r="A268" s="703"/>
      <c r="B268" s="703"/>
      <c r="C268" s="703"/>
      <c r="D268" s="703"/>
      <c r="E268" s="703"/>
      <c r="F268" s="703"/>
      <c r="G268" s="703"/>
      <c r="H268" s="703"/>
      <c r="I268" s="703"/>
    </row>
    <row r="269" spans="1:9">
      <c r="A269" s="703"/>
      <c r="B269" s="703"/>
      <c r="C269" s="703"/>
      <c r="D269" s="703"/>
      <c r="E269" s="703"/>
      <c r="F269" s="703"/>
      <c r="G269" s="703"/>
      <c r="H269" s="703"/>
      <c r="I269" s="703"/>
    </row>
    <row r="270" spans="1:9">
      <c r="A270" s="703"/>
      <c r="B270" s="703"/>
      <c r="C270" s="703"/>
      <c r="D270" s="703"/>
      <c r="E270" s="703"/>
      <c r="F270" s="703"/>
      <c r="G270" s="703"/>
      <c r="H270" s="703"/>
      <c r="I270" s="703"/>
    </row>
    <row r="271" spans="1:9">
      <c r="A271" s="703"/>
      <c r="B271" s="703"/>
      <c r="C271" s="703"/>
      <c r="D271" s="703"/>
      <c r="E271" s="703"/>
      <c r="F271" s="703"/>
      <c r="G271" s="703"/>
      <c r="H271" s="703"/>
      <c r="I271" s="703"/>
    </row>
    <row r="272" spans="1:9">
      <c r="A272" s="703"/>
      <c r="B272" s="703"/>
      <c r="C272" s="703"/>
      <c r="D272" s="703"/>
      <c r="E272" s="703"/>
      <c r="F272" s="703"/>
      <c r="G272" s="703"/>
      <c r="H272" s="703"/>
      <c r="I272" s="703"/>
    </row>
    <row r="273" spans="1:9">
      <c r="A273" s="703"/>
      <c r="B273" s="703"/>
      <c r="C273" s="703"/>
      <c r="D273" s="703"/>
      <c r="E273" s="703"/>
      <c r="F273" s="703"/>
      <c r="G273" s="703"/>
      <c r="H273" s="703"/>
      <c r="I273" s="703"/>
    </row>
    <row r="274" spans="1:9">
      <c r="A274" s="703"/>
      <c r="B274" s="703"/>
      <c r="C274" s="703"/>
      <c r="D274" s="703"/>
      <c r="E274" s="703"/>
      <c r="F274" s="703"/>
      <c r="G274" s="703"/>
      <c r="H274" s="703"/>
      <c r="I274" s="703"/>
    </row>
    <row r="275" spans="1:9">
      <c r="A275" s="703"/>
      <c r="B275" s="703"/>
      <c r="C275" s="703"/>
      <c r="D275" s="703"/>
      <c r="E275" s="703"/>
      <c r="F275" s="703"/>
      <c r="G275" s="703"/>
      <c r="H275" s="703"/>
      <c r="I275" s="703"/>
    </row>
    <row r="276" spans="1:9">
      <c r="A276" s="703"/>
      <c r="B276" s="703"/>
      <c r="C276" s="703"/>
      <c r="D276" s="703"/>
      <c r="E276" s="703"/>
      <c r="F276" s="703"/>
      <c r="G276" s="703"/>
      <c r="H276" s="703"/>
      <c r="I276" s="703"/>
    </row>
    <row r="277" spans="1:9">
      <c r="A277" s="703"/>
      <c r="B277" s="703"/>
      <c r="C277" s="703"/>
      <c r="D277" s="703"/>
      <c r="E277" s="703"/>
      <c r="F277" s="703"/>
      <c r="G277" s="703"/>
      <c r="H277" s="703"/>
      <c r="I277" s="703"/>
    </row>
    <row r="278" spans="1:9">
      <c r="A278" s="703"/>
      <c r="B278" s="703"/>
      <c r="C278" s="703"/>
      <c r="D278" s="703"/>
      <c r="E278" s="703"/>
      <c r="F278" s="703"/>
      <c r="G278" s="703"/>
      <c r="H278" s="703"/>
      <c r="I278" s="703"/>
    </row>
    <row r="279" spans="1:9">
      <c r="A279" s="703"/>
      <c r="B279" s="703"/>
      <c r="C279" s="703"/>
      <c r="D279" s="703"/>
      <c r="E279" s="703"/>
      <c r="F279" s="703"/>
      <c r="G279" s="703"/>
      <c r="H279" s="703"/>
      <c r="I279" s="703"/>
    </row>
    <row r="280" spans="1:9">
      <c r="A280" s="703"/>
      <c r="B280" s="703"/>
      <c r="C280" s="703"/>
      <c r="D280" s="703"/>
      <c r="E280" s="703"/>
      <c r="F280" s="703"/>
      <c r="G280" s="703"/>
      <c r="H280" s="703"/>
      <c r="I280" s="703"/>
    </row>
    <row r="281" spans="1:9">
      <c r="A281" s="703"/>
      <c r="B281" s="703"/>
      <c r="C281" s="703"/>
      <c r="D281" s="703"/>
      <c r="E281" s="703"/>
      <c r="F281" s="703"/>
      <c r="G281" s="703"/>
      <c r="H281" s="703"/>
      <c r="I281" s="703"/>
    </row>
    <row r="282" spans="1:9">
      <c r="A282" s="703"/>
      <c r="B282" s="703"/>
      <c r="C282" s="703"/>
      <c r="D282" s="703"/>
      <c r="E282" s="703"/>
      <c r="F282" s="703"/>
      <c r="G282" s="703"/>
      <c r="H282" s="703"/>
      <c r="I282" s="703"/>
    </row>
    <row r="283" spans="1:9">
      <c r="A283" s="703"/>
      <c r="B283" s="703"/>
      <c r="C283" s="703"/>
      <c r="D283" s="703"/>
      <c r="E283" s="703"/>
      <c r="F283" s="703"/>
      <c r="G283" s="703"/>
      <c r="H283" s="703"/>
      <c r="I283" s="703"/>
    </row>
    <row r="284" spans="1:9">
      <c r="A284" s="703"/>
      <c r="B284" s="703"/>
      <c r="C284" s="703"/>
      <c r="D284" s="703"/>
      <c r="E284" s="703"/>
      <c r="F284" s="703"/>
      <c r="G284" s="703"/>
      <c r="H284" s="703"/>
      <c r="I284" s="703"/>
    </row>
    <row r="285" spans="1:9">
      <c r="A285" s="703"/>
      <c r="B285" s="703"/>
      <c r="C285" s="703"/>
      <c r="D285" s="703"/>
      <c r="E285" s="703"/>
      <c r="F285" s="703"/>
      <c r="G285" s="703"/>
      <c r="H285" s="703"/>
      <c r="I285" s="703"/>
    </row>
    <row r="286" spans="1:9">
      <c r="A286" s="703"/>
      <c r="B286" s="703"/>
      <c r="C286" s="703"/>
      <c r="D286" s="703"/>
      <c r="E286" s="703"/>
      <c r="F286" s="703"/>
      <c r="G286" s="703"/>
      <c r="H286" s="703"/>
      <c r="I286" s="703"/>
    </row>
    <row r="287" spans="1:9">
      <c r="A287" s="703"/>
      <c r="B287" s="703"/>
      <c r="C287" s="703"/>
      <c r="D287" s="703"/>
      <c r="E287" s="703"/>
      <c r="F287" s="703"/>
      <c r="G287" s="703"/>
      <c r="H287" s="703"/>
      <c r="I287" s="703"/>
    </row>
    <row r="288" spans="1:9">
      <c r="A288" s="703"/>
      <c r="B288" s="703"/>
      <c r="C288" s="703"/>
      <c r="D288" s="703"/>
      <c r="E288" s="703"/>
      <c r="F288" s="703"/>
      <c r="G288" s="703"/>
      <c r="H288" s="703"/>
      <c r="I288" s="703"/>
    </row>
    <row r="289" spans="1:9">
      <c r="A289" s="703"/>
      <c r="B289" s="703"/>
      <c r="C289" s="703"/>
      <c r="D289" s="703"/>
      <c r="E289" s="703"/>
      <c r="F289" s="703"/>
      <c r="G289" s="703"/>
      <c r="H289" s="703"/>
      <c r="I289" s="703"/>
    </row>
    <row r="290" spans="1:9">
      <c r="A290" s="703"/>
      <c r="B290" s="703"/>
      <c r="C290" s="703"/>
      <c r="D290" s="703"/>
      <c r="E290" s="703"/>
      <c r="F290" s="703"/>
      <c r="G290" s="703"/>
      <c r="H290" s="703"/>
      <c r="I290" s="703"/>
    </row>
    <row r="291" spans="1:9">
      <c r="A291" s="703"/>
      <c r="B291" s="703"/>
      <c r="C291" s="703"/>
      <c r="D291" s="703"/>
      <c r="E291" s="703"/>
      <c r="F291" s="703"/>
      <c r="G291" s="703"/>
      <c r="H291" s="703"/>
      <c r="I291" s="703"/>
    </row>
    <row r="292" spans="1:9">
      <c r="A292" s="703"/>
      <c r="B292" s="703"/>
      <c r="C292" s="703"/>
      <c r="D292" s="703"/>
      <c r="E292" s="703"/>
      <c r="F292" s="703"/>
      <c r="G292" s="703"/>
      <c r="H292" s="703"/>
      <c r="I292" s="703"/>
    </row>
    <row r="293" spans="1:9">
      <c r="A293" s="703"/>
      <c r="B293" s="703"/>
      <c r="C293" s="703"/>
      <c r="D293" s="703"/>
      <c r="E293" s="703"/>
      <c r="F293" s="703"/>
      <c r="G293" s="703"/>
      <c r="H293" s="703"/>
      <c r="I293" s="703"/>
    </row>
    <row r="294" spans="1:9">
      <c r="A294" s="703"/>
      <c r="B294" s="703"/>
      <c r="C294" s="703"/>
      <c r="D294" s="703"/>
      <c r="E294" s="703"/>
      <c r="F294" s="703"/>
      <c r="G294" s="703"/>
      <c r="H294" s="703"/>
      <c r="I294" s="703"/>
    </row>
    <row r="295" spans="1:9">
      <c r="A295" s="703"/>
      <c r="B295" s="703"/>
      <c r="C295" s="703"/>
      <c r="D295" s="703"/>
      <c r="E295" s="703"/>
      <c r="F295" s="703"/>
      <c r="G295" s="703"/>
      <c r="H295" s="703"/>
      <c r="I295" s="703"/>
    </row>
    <row r="296" spans="1:9">
      <c r="A296" s="703"/>
      <c r="B296" s="703"/>
      <c r="C296" s="703"/>
      <c r="D296" s="703"/>
      <c r="E296" s="703"/>
      <c r="F296" s="703"/>
      <c r="G296" s="703"/>
      <c r="H296" s="703"/>
      <c r="I296" s="703"/>
    </row>
    <row r="297" spans="1:9">
      <c r="A297" s="703"/>
      <c r="B297" s="703"/>
      <c r="C297" s="703"/>
      <c r="D297" s="703"/>
      <c r="E297" s="703"/>
      <c r="F297" s="703"/>
      <c r="G297" s="703"/>
      <c r="H297" s="703"/>
      <c r="I297" s="703"/>
    </row>
    <row r="298" spans="1:9">
      <c r="A298" s="703"/>
      <c r="B298" s="703"/>
      <c r="C298" s="703"/>
      <c r="D298" s="703"/>
      <c r="E298" s="703"/>
      <c r="F298" s="703"/>
      <c r="G298" s="703"/>
      <c r="H298" s="703"/>
      <c r="I298" s="703"/>
    </row>
    <row r="299" spans="1:9">
      <c r="A299" s="703"/>
      <c r="B299" s="703"/>
      <c r="C299" s="703"/>
      <c r="D299" s="703"/>
      <c r="E299" s="703"/>
      <c r="F299" s="703"/>
      <c r="G299" s="703"/>
      <c r="H299" s="703"/>
      <c r="I299" s="703"/>
    </row>
    <row r="300" spans="1:9">
      <c r="A300" s="703"/>
      <c r="B300" s="703"/>
      <c r="C300" s="703"/>
      <c r="D300" s="703"/>
      <c r="E300" s="703"/>
      <c r="F300" s="703"/>
      <c r="G300" s="703"/>
      <c r="H300" s="703"/>
      <c r="I300" s="703"/>
    </row>
    <row r="301" spans="1:9">
      <c r="A301" s="703"/>
      <c r="B301" s="703"/>
      <c r="C301" s="703"/>
      <c r="D301" s="703"/>
      <c r="E301" s="703"/>
      <c r="F301" s="703"/>
      <c r="G301" s="703"/>
      <c r="H301" s="703"/>
      <c r="I301" s="703"/>
    </row>
    <row r="302" spans="1:9">
      <c r="A302" s="703"/>
      <c r="B302" s="703"/>
      <c r="C302" s="703"/>
      <c r="D302" s="703"/>
      <c r="E302" s="703"/>
      <c r="F302" s="703"/>
      <c r="G302" s="703"/>
      <c r="H302" s="703"/>
      <c r="I302" s="703"/>
    </row>
    <row r="303" spans="1:9">
      <c r="A303" s="703"/>
      <c r="B303" s="703"/>
      <c r="C303" s="703"/>
      <c r="D303" s="703"/>
      <c r="E303" s="703"/>
      <c r="F303" s="703"/>
      <c r="G303" s="703"/>
      <c r="H303" s="703"/>
      <c r="I303" s="703"/>
    </row>
    <row r="304" spans="1:9">
      <c r="A304" s="703"/>
      <c r="B304" s="703"/>
      <c r="C304" s="703"/>
      <c r="D304" s="703"/>
      <c r="E304" s="703"/>
      <c r="F304" s="703"/>
      <c r="G304" s="703"/>
      <c r="H304" s="703"/>
      <c r="I304" s="703"/>
    </row>
    <row r="305" spans="1:9">
      <c r="A305" s="703"/>
      <c r="B305" s="703"/>
      <c r="C305" s="703"/>
      <c r="D305" s="703"/>
      <c r="E305" s="703"/>
      <c r="F305" s="703"/>
      <c r="G305" s="703"/>
      <c r="H305" s="703"/>
      <c r="I305" s="703"/>
    </row>
    <row r="306" spans="1:9">
      <c r="A306" s="703"/>
      <c r="B306" s="703"/>
      <c r="C306" s="703"/>
      <c r="D306" s="703"/>
      <c r="E306" s="703"/>
      <c r="F306" s="703"/>
      <c r="G306" s="703"/>
      <c r="H306" s="703"/>
      <c r="I306" s="703"/>
    </row>
    <row r="307" spans="1:9">
      <c r="A307" s="703"/>
      <c r="B307" s="703"/>
      <c r="C307" s="703"/>
      <c r="D307" s="703"/>
      <c r="E307" s="703"/>
      <c r="F307" s="703"/>
      <c r="G307" s="703"/>
      <c r="H307" s="703"/>
      <c r="I307" s="703"/>
    </row>
    <row r="308" spans="1:9">
      <c r="A308" s="703"/>
      <c r="B308" s="703"/>
      <c r="C308" s="703"/>
      <c r="D308" s="703"/>
      <c r="E308" s="703"/>
      <c r="F308" s="703"/>
      <c r="G308" s="703"/>
      <c r="H308" s="703"/>
      <c r="I308" s="703"/>
    </row>
    <row r="309" spans="1:9">
      <c r="A309" s="703"/>
      <c r="B309" s="703"/>
      <c r="C309" s="703"/>
      <c r="D309" s="703"/>
      <c r="E309" s="703"/>
      <c r="F309" s="703"/>
      <c r="G309" s="703"/>
      <c r="H309" s="703"/>
      <c r="I309" s="703"/>
    </row>
    <row r="310" spans="1:9">
      <c r="A310" s="703"/>
      <c r="B310" s="703"/>
      <c r="C310" s="703"/>
      <c r="D310" s="703"/>
      <c r="E310" s="703"/>
      <c r="F310" s="703"/>
      <c r="G310" s="703"/>
      <c r="H310" s="703"/>
      <c r="I310" s="703"/>
    </row>
    <row r="311" spans="1:9">
      <c r="A311" s="703"/>
      <c r="B311" s="703"/>
      <c r="C311" s="703"/>
      <c r="D311" s="703"/>
      <c r="E311" s="703"/>
      <c r="F311" s="703"/>
      <c r="G311" s="703"/>
      <c r="H311" s="703"/>
      <c r="I311" s="703"/>
    </row>
    <row r="312" spans="1:9">
      <c r="A312" s="703"/>
      <c r="B312" s="703"/>
      <c r="C312" s="703"/>
      <c r="D312" s="703"/>
      <c r="E312" s="703"/>
      <c r="F312" s="703"/>
      <c r="G312" s="703"/>
      <c r="H312" s="703"/>
      <c r="I312" s="703"/>
    </row>
    <row r="313" spans="1:9">
      <c r="A313" s="703"/>
      <c r="B313" s="703"/>
      <c r="C313" s="703"/>
      <c r="D313" s="703"/>
      <c r="E313" s="703"/>
      <c r="F313" s="703"/>
      <c r="G313" s="703"/>
      <c r="H313" s="703"/>
      <c r="I313" s="703"/>
    </row>
    <row r="314" spans="1:9">
      <c r="A314" s="703"/>
      <c r="B314" s="703"/>
      <c r="C314" s="703"/>
      <c r="D314" s="703"/>
      <c r="E314" s="703"/>
      <c r="F314" s="703"/>
      <c r="G314" s="703"/>
      <c r="H314" s="703"/>
      <c r="I314" s="703"/>
    </row>
    <row r="315" spans="1:9">
      <c r="A315" s="703"/>
      <c r="B315" s="703"/>
      <c r="C315" s="703"/>
      <c r="D315" s="703"/>
      <c r="E315" s="703"/>
      <c r="F315" s="703"/>
      <c r="G315" s="703"/>
      <c r="H315" s="703"/>
      <c r="I315" s="703"/>
    </row>
    <row r="316" spans="1:9">
      <c r="A316" s="703"/>
      <c r="B316" s="703"/>
      <c r="C316" s="703"/>
      <c r="D316" s="703"/>
      <c r="E316" s="703"/>
      <c r="F316" s="703"/>
      <c r="G316" s="703"/>
      <c r="H316" s="703"/>
      <c r="I316" s="703"/>
    </row>
    <row r="317" spans="1:9">
      <c r="A317" s="703"/>
      <c r="B317" s="703"/>
      <c r="C317" s="703"/>
      <c r="D317" s="703"/>
      <c r="E317" s="703"/>
      <c r="F317" s="703"/>
      <c r="G317" s="703"/>
      <c r="H317" s="703"/>
      <c r="I317" s="703"/>
    </row>
    <row r="318" spans="1:9">
      <c r="A318" s="703"/>
      <c r="B318" s="703"/>
      <c r="C318" s="703"/>
      <c r="D318" s="703"/>
      <c r="E318" s="703"/>
      <c r="F318" s="703"/>
      <c r="G318" s="703"/>
      <c r="H318" s="703"/>
      <c r="I318" s="703"/>
    </row>
    <row r="319" spans="1:9">
      <c r="A319" s="703"/>
      <c r="B319" s="703"/>
      <c r="C319" s="703"/>
      <c r="D319" s="703"/>
      <c r="E319" s="703"/>
      <c r="F319" s="703"/>
      <c r="G319" s="703"/>
      <c r="H319" s="703"/>
      <c r="I319" s="703"/>
    </row>
    <row r="320" spans="1:9">
      <c r="A320" s="703"/>
      <c r="B320" s="703"/>
      <c r="C320" s="703"/>
      <c r="D320" s="703"/>
      <c r="E320" s="703"/>
      <c r="F320" s="703"/>
      <c r="G320" s="703"/>
      <c r="H320" s="703"/>
      <c r="I320" s="703"/>
    </row>
    <row r="321" spans="1:9">
      <c r="A321" s="703"/>
      <c r="B321" s="703"/>
      <c r="C321" s="703"/>
      <c r="D321" s="703"/>
      <c r="E321" s="703"/>
      <c r="F321" s="703"/>
      <c r="G321" s="703"/>
      <c r="H321" s="703"/>
      <c r="I321" s="703"/>
    </row>
    <row r="322" spans="1:9">
      <c r="A322" s="703"/>
      <c r="B322" s="703"/>
      <c r="C322" s="703"/>
      <c r="D322" s="703"/>
      <c r="E322" s="703"/>
      <c r="F322" s="703"/>
      <c r="G322" s="703"/>
      <c r="H322" s="703"/>
      <c r="I322" s="703"/>
    </row>
    <row r="323" spans="1:9">
      <c r="A323" s="703"/>
      <c r="B323" s="703"/>
      <c r="C323" s="703"/>
      <c r="D323" s="703"/>
      <c r="E323" s="703"/>
      <c r="F323" s="703"/>
      <c r="G323" s="703"/>
      <c r="H323" s="703"/>
      <c r="I323" s="703"/>
    </row>
    <row r="324" spans="1:9">
      <c r="A324" s="703"/>
      <c r="B324" s="703"/>
      <c r="C324" s="703"/>
      <c r="D324" s="703"/>
      <c r="E324" s="703"/>
      <c r="F324" s="703"/>
      <c r="G324" s="703"/>
      <c r="H324" s="703"/>
      <c r="I324" s="703"/>
    </row>
    <row r="325" spans="1:9">
      <c r="A325" s="703"/>
      <c r="B325" s="703"/>
      <c r="C325" s="703"/>
      <c r="D325" s="703"/>
      <c r="E325" s="703"/>
      <c r="F325" s="703"/>
      <c r="G325" s="703"/>
      <c r="H325" s="703"/>
      <c r="I325" s="703"/>
    </row>
    <row r="326" spans="1:9">
      <c r="A326" s="703"/>
      <c r="B326" s="703"/>
      <c r="C326" s="703"/>
      <c r="D326" s="703"/>
      <c r="E326" s="703"/>
      <c r="F326" s="703"/>
      <c r="G326" s="703"/>
      <c r="H326" s="703"/>
      <c r="I326" s="703"/>
    </row>
    <row r="327" spans="1:9">
      <c r="A327" s="703"/>
      <c r="B327" s="703"/>
      <c r="C327" s="703"/>
      <c r="D327" s="703"/>
      <c r="E327" s="703"/>
      <c r="F327" s="703"/>
      <c r="G327" s="703"/>
      <c r="H327" s="703"/>
      <c r="I327" s="703"/>
    </row>
    <row r="328" spans="1:9">
      <c r="A328" s="703"/>
      <c r="B328" s="703"/>
      <c r="C328" s="703"/>
      <c r="D328" s="703"/>
      <c r="E328" s="703"/>
      <c r="F328" s="703"/>
      <c r="G328" s="703"/>
      <c r="H328" s="703"/>
      <c r="I328" s="703"/>
    </row>
    <row r="329" spans="1:9">
      <c r="A329" s="703"/>
      <c r="B329" s="703"/>
      <c r="C329" s="703"/>
      <c r="D329" s="703"/>
      <c r="E329" s="703"/>
      <c r="F329" s="703"/>
      <c r="G329" s="703"/>
      <c r="H329" s="703"/>
      <c r="I329" s="703"/>
    </row>
    <row r="330" spans="1:9">
      <c r="A330" s="703"/>
      <c r="B330" s="703"/>
      <c r="C330" s="703"/>
      <c r="D330" s="703"/>
      <c r="E330" s="703"/>
      <c r="F330" s="703"/>
      <c r="G330" s="703"/>
      <c r="H330" s="703"/>
      <c r="I330" s="703"/>
    </row>
    <row r="331" spans="1:9">
      <c r="A331" s="703"/>
      <c r="B331" s="703"/>
      <c r="C331" s="703"/>
      <c r="D331" s="703"/>
      <c r="E331" s="703"/>
      <c r="F331" s="703"/>
      <c r="G331" s="703"/>
      <c r="H331" s="703"/>
      <c r="I331" s="703"/>
    </row>
    <row r="332" spans="1:9">
      <c r="A332" s="703"/>
      <c r="B332" s="703"/>
      <c r="C332" s="703"/>
      <c r="D332" s="703"/>
      <c r="E332" s="703"/>
      <c r="F332" s="703"/>
      <c r="G332" s="703"/>
      <c r="H332" s="703"/>
      <c r="I332" s="703"/>
    </row>
    <row r="333" spans="1:9">
      <c r="A333" s="703"/>
      <c r="B333" s="703"/>
      <c r="C333" s="703"/>
      <c r="D333" s="703"/>
      <c r="E333" s="703"/>
      <c r="F333" s="703"/>
      <c r="G333" s="703"/>
      <c r="H333" s="703"/>
      <c r="I333" s="703"/>
    </row>
    <row r="334" spans="1:9">
      <c r="A334" s="703"/>
      <c r="B334" s="703"/>
      <c r="C334" s="703"/>
      <c r="D334" s="703"/>
      <c r="E334" s="703"/>
      <c r="F334" s="703"/>
      <c r="G334" s="703"/>
      <c r="H334" s="703"/>
      <c r="I334" s="703"/>
    </row>
    <row r="335" spans="1:9">
      <c r="A335" s="703"/>
      <c r="B335" s="703"/>
      <c r="C335" s="703"/>
      <c r="D335" s="703"/>
      <c r="E335" s="703"/>
      <c r="F335" s="703"/>
      <c r="G335" s="703"/>
      <c r="H335" s="703"/>
      <c r="I335" s="703"/>
    </row>
    <row r="336" spans="1:9">
      <c r="A336" s="703"/>
      <c r="B336" s="703"/>
      <c r="C336" s="703"/>
      <c r="D336" s="703"/>
      <c r="E336" s="703"/>
      <c r="F336" s="703"/>
      <c r="G336" s="703"/>
      <c r="H336" s="703"/>
      <c r="I336" s="703"/>
    </row>
    <row r="337" spans="1:9">
      <c r="A337" s="703"/>
      <c r="B337" s="703"/>
      <c r="C337" s="703"/>
      <c r="D337" s="703"/>
      <c r="E337" s="703"/>
      <c r="F337" s="703"/>
      <c r="G337" s="703"/>
      <c r="H337" s="703"/>
      <c r="I337" s="703"/>
    </row>
    <row r="338" spans="1:9">
      <c r="A338" s="703"/>
      <c r="B338" s="703"/>
      <c r="C338" s="703"/>
      <c r="D338" s="703"/>
      <c r="E338" s="703"/>
      <c r="F338" s="703"/>
      <c r="G338" s="703"/>
      <c r="H338" s="703"/>
      <c r="I338" s="703"/>
    </row>
    <row r="339" spans="1:9">
      <c r="A339" s="703"/>
      <c r="B339" s="703"/>
      <c r="C339" s="703"/>
      <c r="D339" s="703"/>
      <c r="E339" s="703"/>
      <c r="F339" s="703"/>
      <c r="G339" s="703"/>
      <c r="H339" s="703"/>
      <c r="I339" s="703"/>
    </row>
    <row r="340" spans="1:9">
      <c r="A340" s="703"/>
      <c r="B340" s="703"/>
      <c r="C340" s="703"/>
      <c r="D340" s="703"/>
      <c r="E340" s="703"/>
      <c r="F340" s="703"/>
      <c r="G340" s="703"/>
      <c r="H340" s="703"/>
      <c r="I340" s="703"/>
    </row>
    <row r="341" spans="1:9">
      <c r="A341" s="703"/>
      <c r="B341" s="703"/>
      <c r="C341" s="703"/>
      <c r="D341" s="703"/>
      <c r="E341" s="703"/>
      <c r="F341" s="703"/>
      <c r="G341" s="703"/>
      <c r="H341" s="703"/>
      <c r="I341" s="703"/>
    </row>
    <row r="342" spans="1:9">
      <c r="A342" s="703"/>
      <c r="B342" s="703"/>
      <c r="C342" s="703"/>
      <c r="D342" s="703"/>
      <c r="E342" s="703"/>
      <c r="F342" s="703"/>
      <c r="G342" s="703"/>
      <c r="H342" s="703"/>
      <c r="I342" s="703"/>
    </row>
    <row r="343" spans="1:9">
      <c r="A343" s="703"/>
      <c r="B343" s="703"/>
      <c r="C343" s="703"/>
      <c r="D343" s="703"/>
      <c r="E343" s="703"/>
      <c r="F343" s="703"/>
      <c r="G343" s="703"/>
      <c r="H343" s="703"/>
      <c r="I343" s="703"/>
    </row>
    <row r="344" spans="1:9">
      <c r="A344" s="703"/>
      <c r="B344" s="703"/>
      <c r="C344" s="703"/>
      <c r="D344" s="703"/>
      <c r="E344" s="703"/>
      <c r="F344" s="703"/>
      <c r="G344" s="703"/>
      <c r="H344" s="703"/>
      <c r="I344" s="703"/>
    </row>
    <row r="345" spans="1:9">
      <c r="A345" s="703"/>
      <c r="B345" s="703"/>
      <c r="C345" s="703"/>
      <c r="D345" s="703"/>
      <c r="E345" s="703"/>
      <c r="F345" s="703"/>
      <c r="G345" s="703"/>
      <c r="H345" s="703"/>
      <c r="I345" s="703"/>
    </row>
    <row r="346" spans="1:9">
      <c r="A346" s="703"/>
      <c r="B346" s="703"/>
      <c r="C346" s="703"/>
      <c r="D346" s="703"/>
      <c r="E346" s="703"/>
      <c r="F346" s="703"/>
      <c r="G346" s="703"/>
      <c r="H346" s="703"/>
      <c r="I346" s="703"/>
    </row>
    <row r="347" spans="1:9">
      <c r="A347" s="703"/>
      <c r="B347" s="703"/>
      <c r="C347" s="703"/>
      <c r="D347" s="703"/>
      <c r="E347" s="703"/>
      <c r="F347" s="703"/>
      <c r="G347" s="703"/>
      <c r="H347" s="703"/>
      <c r="I347" s="703"/>
    </row>
    <row r="348" spans="1:9">
      <c r="A348" s="703"/>
      <c r="B348" s="703"/>
      <c r="C348" s="703"/>
      <c r="D348" s="703"/>
      <c r="E348" s="703"/>
      <c r="F348" s="703"/>
      <c r="G348" s="703"/>
      <c r="H348" s="703"/>
      <c r="I348" s="703"/>
    </row>
    <row r="349" spans="1:9">
      <c r="A349" s="703"/>
      <c r="B349" s="703"/>
      <c r="C349" s="703"/>
      <c r="D349" s="703"/>
      <c r="E349" s="703"/>
      <c r="F349" s="703"/>
      <c r="G349" s="703"/>
      <c r="H349" s="703"/>
      <c r="I349" s="703"/>
    </row>
    <row r="350" spans="1:9">
      <c r="A350" s="703"/>
      <c r="B350" s="703"/>
      <c r="C350" s="703"/>
      <c r="D350" s="703"/>
      <c r="E350" s="703"/>
      <c r="F350" s="703"/>
      <c r="G350" s="703"/>
      <c r="H350" s="703"/>
      <c r="I350" s="703"/>
    </row>
    <row r="351" spans="1:9">
      <c r="A351" s="703"/>
      <c r="B351" s="703"/>
      <c r="C351" s="703"/>
      <c r="D351" s="703"/>
      <c r="E351" s="703"/>
      <c r="F351" s="703"/>
      <c r="G351" s="703"/>
      <c r="H351" s="703"/>
      <c r="I351" s="703"/>
    </row>
    <row r="352" spans="1:9">
      <c r="A352" s="703"/>
      <c r="B352" s="703"/>
      <c r="C352" s="703"/>
      <c r="D352" s="703"/>
      <c r="E352" s="703"/>
      <c r="F352" s="703"/>
      <c r="G352" s="703"/>
      <c r="H352" s="703"/>
      <c r="I352" s="703"/>
    </row>
    <row r="353" spans="1:9">
      <c r="A353" s="703"/>
      <c r="B353" s="703"/>
      <c r="C353" s="703"/>
      <c r="D353" s="703"/>
      <c r="E353" s="703"/>
      <c r="F353" s="703"/>
      <c r="G353" s="703"/>
      <c r="H353" s="703"/>
      <c r="I353" s="703"/>
    </row>
    <row r="354" spans="1:9">
      <c r="A354" s="703"/>
      <c r="B354" s="703"/>
      <c r="C354" s="703"/>
      <c r="D354" s="703"/>
      <c r="E354" s="703"/>
      <c r="F354" s="703"/>
      <c r="G354" s="703"/>
      <c r="H354" s="703"/>
      <c r="I354" s="703"/>
    </row>
    <row r="355" spans="1:9">
      <c r="A355" s="703"/>
      <c r="B355" s="703"/>
      <c r="C355" s="703"/>
      <c r="D355" s="703"/>
      <c r="E355" s="703"/>
      <c r="F355" s="703"/>
      <c r="G355" s="703"/>
      <c r="H355" s="703"/>
      <c r="I355" s="703"/>
    </row>
    <row r="356" spans="1:9">
      <c r="A356" s="703"/>
      <c r="B356" s="703"/>
      <c r="C356" s="703"/>
      <c r="D356" s="703"/>
      <c r="E356" s="703"/>
      <c r="F356" s="703"/>
      <c r="G356" s="703"/>
      <c r="H356" s="703"/>
      <c r="I356" s="703"/>
    </row>
    <row r="357" spans="1:9">
      <c r="A357" s="703"/>
      <c r="B357" s="703"/>
      <c r="C357" s="703"/>
      <c r="D357" s="703"/>
      <c r="E357" s="703"/>
      <c r="F357" s="703"/>
      <c r="G357" s="703"/>
      <c r="H357" s="703"/>
      <c r="I357" s="703"/>
    </row>
    <row r="358" spans="1:9">
      <c r="A358" s="703"/>
      <c r="B358" s="703"/>
      <c r="C358" s="703"/>
      <c r="D358" s="703"/>
      <c r="E358" s="703"/>
      <c r="F358" s="703"/>
      <c r="G358" s="703"/>
      <c r="H358" s="703"/>
      <c r="I358" s="703"/>
    </row>
    <row r="359" spans="1:9">
      <c r="A359" s="703"/>
      <c r="B359" s="703"/>
      <c r="C359" s="703"/>
      <c r="D359" s="703"/>
      <c r="E359" s="703"/>
      <c r="F359" s="703"/>
      <c r="G359" s="703"/>
      <c r="H359" s="703"/>
      <c r="I359" s="703"/>
    </row>
    <row r="360" spans="1:9">
      <c r="A360" s="703"/>
      <c r="B360" s="703"/>
      <c r="C360" s="703"/>
      <c r="D360" s="703"/>
      <c r="E360" s="703"/>
      <c r="F360" s="703"/>
      <c r="G360" s="703"/>
      <c r="H360" s="703"/>
      <c r="I360" s="703"/>
    </row>
    <row r="361" spans="1:9">
      <c r="A361" s="703"/>
      <c r="B361" s="703"/>
      <c r="C361" s="703"/>
      <c r="D361" s="703"/>
      <c r="E361" s="703"/>
      <c r="F361" s="703"/>
      <c r="G361" s="703"/>
      <c r="H361" s="703"/>
      <c r="I361" s="703"/>
    </row>
    <row r="362" spans="1:9">
      <c r="A362" s="703"/>
      <c r="B362" s="703"/>
      <c r="C362" s="703"/>
      <c r="D362" s="703"/>
      <c r="E362" s="703"/>
      <c r="F362" s="703"/>
      <c r="G362" s="703"/>
      <c r="H362" s="703"/>
      <c r="I362" s="703"/>
    </row>
    <row r="363" spans="1:9">
      <c r="A363" s="703"/>
      <c r="B363" s="703"/>
      <c r="C363" s="703"/>
      <c r="D363" s="703"/>
      <c r="E363" s="703"/>
      <c r="F363" s="703"/>
      <c r="G363" s="703"/>
      <c r="H363" s="703"/>
      <c r="I363" s="703"/>
    </row>
    <row r="364" spans="1:9">
      <c r="A364" s="703"/>
      <c r="B364" s="703"/>
      <c r="C364" s="703"/>
      <c r="D364" s="703"/>
      <c r="E364" s="703"/>
      <c r="F364" s="703"/>
      <c r="G364" s="703"/>
      <c r="H364" s="703"/>
      <c r="I364" s="703"/>
    </row>
    <row r="365" spans="1:9">
      <c r="A365" s="703"/>
      <c r="B365" s="703"/>
      <c r="C365" s="703"/>
      <c r="D365" s="703"/>
      <c r="E365" s="703"/>
      <c r="F365" s="703"/>
      <c r="G365" s="703"/>
      <c r="H365" s="703"/>
      <c r="I365" s="703"/>
    </row>
    <row r="366" spans="1:9">
      <c r="A366" s="703"/>
      <c r="B366" s="703"/>
      <c r="C366" s="703"/>
      <c r="D366" s="703"/>
      <c r="E366" s="703"/>
      <c r="F366" s="703"/>
      <c r="G366" s="703"/>
      <c r="H366" s="703"/>
      <c r="I366" s="703"/>
    </row>
    <row r="367" spans="1:9">
      <c r="A367" s="703"/>
      <c r="B367" s="703"/>
      <c r="C367" s="703"/>
      <c r="D367" s="703"/>
      <c r="E367" s="703"/>
      <c r="F367" s="703"/>
      <c r="G367" s="703"/>
      <c r="H367" s="703"/>
      <c r="I367" s="703"/>
    </row>
    <row r="368" spans="1:9">
      <c r="A368" s="703"/>
      <c r="B368" s="703"/>
      <c r="C368" s="703"/>
      <c r="D368" s="703"/>
      <c r="E368" s="703"/>
      <c r="F368" s="703"/>
      <c r="G368" s="703"/>
      <c r="H368" s="703"/>
      <c r="I368" s="703"/>
    </row>
    <row r="369" spans="1:9">
      <c r="A369" s="703"/>
      <c r="B369" s="703"/>
      <c r="C369" s="703"/>
      <c r="D369" s="703"/>
      <c r="E369" s="703"/>
      <c r="F369" s="703"/>
      <c r="G369" s="703"/>
      <c r="H369" s="703"/>
      <c r="I369" s="703"/>
    </row>
    <row r="370" spans="1:9">
      <c r="A370" s="703"/>
      <c r="B370" s="703"/>
      <c r="C370" s="703"/>
      <c r="D370" s="703"/>
      <c r="E370" s="703"/>
      <c r="F370" s="703"/>
      <c r="G370" s="703"/>
      <c r="H370" s="703"/>
      <c r="I370" s="703"/>
    </row>
    <row r="371" spans="1:9">
      <c r="A371" s="703"/>
      <c r="B371" s="703"/>
      <c r="C371" s="703"/>
      <c r="D371" s="703"/>
      <c r="E371" s="703"/>
      <c r="F371" s="703"/>
      <c r="G371" s="703"/>
      <c r="H371" s="703"/>
      <c r="I371" s="703"/>
    </row>
    <row r="372" spans="1:9">
      <c r="A372" s="703"/>
      <c r="B372" s="703"/>
      <c r="C372" s="703"/>
      <c r="D372" s="703"/>
      <c r="E372" s="703"/>
      <c r="F372" s="703"/>
      <c r="G372" s="703"/>
      <c r="H372" s="703"/>
      <c r="I372" s="703"/>
    </row>
    <row r="373" spans="1:9">
      <c r="A373" s="703"/>
      <c r="B373" s="703"/>
      <c r="C373" s="703"/>
      <c r="D373" s="703"/>
      <c r="E373" s="703"/>
      <c r="F373" s="703"/>
      <c r="G373" s="703"/>
      <c r="H373" s="703"/>
      <c r="I373" s="703"/>
    </row>
    <row r="374" spans="1:9">
      <c r="A374" s="703"/>
      <c r="B374" s="703"/>
      <c r="C374" s="703"/>
      <c r="D374" s="703"/>
      <c r="E374" s="703"/>
      <c r="F374" s="703"/>
      <c r="G374" s="703"/>
      <c r="H374" s="703"/>
      <c r="I374" s="703"/>
    </row>
    <row r="375" spans="1:9">
      <c r="A375" s="703"/>
      <c r="B375" s="703"/>
      <c r="C375" s="703"/>
      <c r="D375" s="703"/>
      <c r="E375" s="703"/>
      <c r="F375" s="703"/>
      <c r="G375" s="703"/>
      <c r="H375" s="703"/>
      <c r="I375" s="703"/>
    </row>
    <row r="376" spans="1:9">
      <c r="A376" s="703"/>
      <c r="B376" s="703"/>
      <c r="C376" s="703"/>
      <c r="D376" s="703"/>
      <c r="E376" s="703"/>
      <c r="F376" s="703"/>
      <c r="G376" s="703"/>
      <c r="H376" s="703"/>
      <c r="I376" s="703"/>
    </row>
    <row r="377" spans="1:9">
      <c r="A377" s="703"/>
      <c r="B377" s="703"/>
      <c r="C377" s="703"/>
      <c r="D377" s="703"/>
      <c r="E377" s="703"/>
      <c r="F377" s="703"/>
      <c r="G377" s="703"/>
      <c r="H377" s="703"/>
      <c r="I377" s="703"/>
    </row>
    <row r="378" spans="1:9">
      <c r="A378" s="703"/>
      <c r="B378" s="703"/>
      <c r="C378" s="703"/>
      <c r="D378" s="703"/>
      <c r="E378" s="703"/>
      <c r="F378" s="703"/>
      <c r="G378" s="703"/>
      <c r="H378" s="703"/>
      <c r="I378" s="703"/>
    </row>
    <row r="379" spans="1:9">
      <c r="A379" s="703"/>
      <c r="B379" s="703"/>
      <c r="C379" s="703"/>
      <c r="D379" s="703"/>
      <c r="E379" s="703"/>
      <c r="F379" s="703"/>
      <c r="G379" s="703"/>
      <c r="H379" s="703"/>
      <c r="I379" s="703"/>
    </row>
    <row r="380" spans="1:9">
      <c r="A380" s="703"/>
      <c r="B380" s="703"/>
      <c r="C380" s="703"/>
      <c r="D380" s="703"/>
      <c r="E380" s="703"/>
      <c r="F380" s="703"/>
      <c r="G380" s="703"/>
      <c r="H380" s="703"/>
      <c r="I380" s="703"/>
    </row>
    <row r="381" spans="1:9">
      <c r="A381" s="703"/>
      <c r="B381" s="703"/>
      <c r="C381" s="703"/>
      <c r="D381" s="703"/>
      <c r="E381" s="703"/>
      <c r="F381" s="703"/>
      <c r="G381" s="703"/>
      <c r="H381" s="703"/>
      <c r="I381" s="703"/>
    </row>
    <row r="382" spans="1:9">
      <c r="A382" s="703"/>
      <c r="B382" s="703"/>
      <c r="C382" s="703"/>
      <c r="D382" s="703"/>
      <c r="E382" s="703"/>
      <c r="F382" s="703"/>
      <c r="G382" s="703"/>
      <c r="H382" s="703"/>
      <c r="I382" s="703"/>
    </row>
    <row r="383" spans="1:9">
      <c r="A383" s="703"/>
      <c r="B383" s="703"/>
      <c r="C383" s="703"/>
      <c r="D383" s="703"/>
      <c r="E383" s="703"/>
      <c r="F383" s="703"/>
      <c r="G383" s="703"/>
      <c r="H383" s="703"/>
      <c r="I383" s="703"/>
    </row>
    <row r="384" spans="1:9">
      <c r="A384" s="703"/>
      <c r="B384" s="703"/>
      <c r="C384" s="703"/>
      <c r="D384" s="703"/>
      <c r="E384" s="703"/>
      <c r="F384" s="703"/>
      <c r="G384" s="703"/>
      <c r="H384" s="703"/>
      <c r="I384" s="703"/>
    </row>
    <row r="385" spans="1:9">
      <c r="A385" s="703"/>
      <c r="B385" s="703"/>
      <c r="C385" s="703"/>
      <c r="D385" s="703"/>
      <c r="E385" s="703"/>
      <c r="F385" s="703"/>
      <c r="G385" s="703"/>
      <c r="H385" s="703"/>
      <c r="I385" s="703"/>
    </row>
    <row r="386" spans="1:9">
      <c r="A386" s="703"/>
      <c r="B386" s="703"/>
      <c r="C386" s="703"/>
      <c r="D386" s="703"/>
      <c r="E386" s="703"/>
      <c r="F386" s="703"/>
      <c r="G386" s="703"/>
      <c r="H386" s="703"/>
      <c r="I386" s="703"/>
    </row>
    <row r="387" spans="1:9">
      <c r="A387" s="703"/>
      <c r="B387" s="703"/>
      <c r="C387" s="703"/>
      <c r="D387" s="703"/>
      <c r="E387" s="703"/>
      <c r="F387" s="703"/>
      <c r="G387" s="703"/>
      <c r="H387" s="703"/>
      <c r="I387" s="703"/>
    </row>
    <row r="388" spans="1:9">
      <c r="A388" s="703"/>
      <c r="B388" s="703"/>
      <c r="C388" s="703"/>
      <c r="D388" s="703"/>
      <c r="E388" s="703"/>
      <c r="F388" s="703"/>
      <c r="G388" s="703"/>
      <c r="H388" s="703"/>
      <c r="I388" s="703"/>
    </row>
    <row r="389" spans="1:9">
      <c r="A389" s="703"/>
      <c r="B389" s="703"/>
      <c r="C389" s="703"/>
      <c r="D389" s="703"/>
      <c r="E389" s="703"/>
      <c r="F389" s="703"/>
      <c r="G389" s="703"/>
      <c r="H389" s="703"/>
      <c r="I389" s="703"/>
    </row>
    <row r="390" spans="1:9">
      <c r="A390" s="703"/>
      <c r="B390" s="703"/>
      <c r="C390" s="703"/>
      <c r="D390" s="703"/>
      <c r="E390" s="703"/>
      <c r="F390" s="703"/>
      <c r="G390" s="703"/>
      <c r="H390" s="703"/>
      <c r="I390" s="703"/>
    </row>
    <row r="391" spans="1:9">
      <c r="A391" s="703"/>
      <c r="B391" s="703"/>
      <c r="C391" s="703"/>
      <c r="D391" s="703"/>
      <c r="E391" s="703"/>
      <c r="F391" s="703"/>
      <c r="G391" s="703"/>
      <c r="H391" s="703"/>
      <c r="I391" s="703"/>
    </row>
    <row r="392" spans="1:9">
      <c r="A392" s="703"/>
      <c r="B392" s="703"/>
      <c r="C392" s="703"/>
      <c r="D392" s="703"/>
      <c r="E392" s="703"/>
      <c r="F392" s="703"/>
      <c r="G392" s="703"/>
      <c r="H392" s="703"/>
      <c r="I392" s="703"/>
    </row>
    <row r="393" spans="1:9">
      <c r="A393" s="703"/>
      <c r="B393" s="703"/>
      <c r="C393" s="703"/>
      <c r="D393" s="703"/>
      <c r="E393" s="703"/>
      <c r="F393" s="703"/>
      <c r="G393" s="703"/>
      <c r="H393" s="703"/>
      <c r="I393" s="703"/>
    </row>
    <row r="394" spans="1:9">
      <c r="A394" s="703"/>
      <c r="B394" s="703"/>
      <c r="C394" s="703"/>
      <c r="D394" s="703"/>
      <c r="E394" s="703"/>
      <c r="F394" s="703"/>
      <c r="G394" s="703"/>
      <c r="H394" s="703"/>
      <c r="I394" s="703"/>
    </row>
    <row r="395" spans="1:9">
      <c r="A395" s="703"/>
      <c r="B395" s="703"/>
      <c r="C395" s="703"/>
      <c r="D395" s="703"/>
      <c r="E395" s="703"/>
      <c r="F395" s="703"/>
      <c r="G395" s="703"/>
      <c r="H395" s="703"/>
      <c r="I395" s="703"/>
    </row>
    <row r="396" spans="1:9">
      <c r="A396" s="703"/>
      <c r="B396" s="703"/>
      <c r="C396" s="703"/>
      <c r="D396" s="703"/>
      <c r="E396" s="703"/>
      <c r="F396" s="703"/>
      <c r="G396" s="703"/>
      <c r="H396" s="703"/>
      <c r="I396" s="703"/>
    </row>
    <row r="397" spans="1:9">
      <c r="A397" s="703"/>
      <c r="B397" s="703"/>
      <c r="C397" s="703"/>
      <c r="D397" s="703"/>
      <c r="E397" s="703"/>
      <c r="F397" s="703"/>
      <c r="G397" s="703"/>
      <c r="H397" s="703"/>
      <c r="I397" s="703"/>
    </row>
    <row r="398" spans="1:9">
      <c r="A398" s="703"/>
      <c r="B398" s="703"/>
      <c r="C398" s="703"/>
      <c r="D398" s="703"/>
      <c r="E398" s="703"/>
      <c r="F398" s="703"/>
      <c r="G398" s="703"/>
      <c r="H398" s="703"/>
      <c r="I398" s="703"/>
    </row>
    <row r="399" spans="1:9">
      <c r="A399" s="703"/>
      <c r="B399" s="703"/>
      <c r="C399" s="703"/>
      <c r="D399" s="703"/>
      <c r="E399" s="703"/>
      <c r="F399" s="703"/>
      <c r="G399" s="703"/>
      <c r="H399" s="703"/>
      <c r="I399" s="703"/>
    </row>
    <row r="400" spans="1:9">
      <c r="A400" s="703"/>
      <c r="B400" s="703"/>
      <c r="C400" s="703"/>
      <c r="D400" s="703"/>
      <c r="E400" s="703"/>
      <c r="F400" s="703"/>
      <c r="G400" s="703"/>
      <c r="H400" s="703"/>
      <c r="I400" s="703"/>
    </row>
    <row r="401" spans="1:9">
      <c r="A401" s="703"/>
      <c r="B401" s="703"/>
      <c r="C401" s="703"/>
      <c r="D401" s="703"/>
      <c r="E401" s="703"/>
      <c r="F401" s="703"/>
      <c r="G401" s="703"/>
      <c r="H401" s="703"/>
      <c r="I401" s="703"/>
    </row>
    <row r="402" spans="1:9">
      <c r="A402" s="703"/>
      <c r="B402" s="703"/>
      <c r="C402" s="703"/>
      <c r="D402" s="703"/>
      <c r="E402" s="703"/>
      <c r="F402" s="703"/>
      <c r="G402" s="703"/>
      <c r="H402" s="703"/>
      <c r="I402" s="703"/>
    </row>
    <row r="403" spans="1:9">
      <c r="A403" s="703"/>
      <c r="B403" s="703"/>
      <c r="C403" s="703"/>
      <c r="D403" s="703"/>
      <c r="E403" s="703"/>
      <c r="F403" s="703"/>
      <c r="G403" s="703"/>
      <c r="H403" s="703"/>
      <c r="I403" s="703"/>
    </row>
    <row r="404" spans="1:9">
      <c r="A404" s="703"/>
      <c r="B404" s="703"/>
      <c r="C404" s="703"/>
      <c r="D404" s="703"/>
      <c r="E404" s="703"/>
      <c r="F404" s="703"/>
      <c r="G404" s="703"/>
      <c r="H404" s="703"/>
      <c r="I404" s="703"/>
    </row>
    <row r="405" spans="1:9">
      <c r="A405" s="703"/>
      <c r="B405" s="703"/>
      <c r="C405" s="703"/>
      <c r="D405" s="703"/>
      <c r="E405" s="703"/>
      <c r="F405" s="703"/>
      <c r="G405" s="703"/>
      <c r="H405" s="703"/>
      <c r="I405" s="703"/>
    </row>
    <row r="406" spans="1:9">
      <c r="A406" s="703"/>
      <c r="B406" s="703"/>
      <c r="C406" s="703"/>
      <c r="D406" s="703"/>
      <c r="E406" s="703"/>
      <c r="F406" s="703"/>
      <c r="G406" s="703"/>
      <c r="H406" s="703"/>
      <c r="I406" s="703"/>
    </row>
    <row r="407" spans="1:9">
      <c r="A407" s="703"/>
      <c r="B407" s="703"/>
      <c r="C407" s="703"/>
      <c r="D407" s="703"/>
      <c r="E407" s="703"/>
      <c r="F407" s="703"/>
      <c r="G407" s="703"/>
      <c r="H407" s="703"/>
      <c r="I407" s="703"/>
    </row>
    <row r="408" spans="1:9">
      <c r="A408" s="703"/>
      <c r="B408" s="703"/>
      <c r="C408" s="703"/>
      <c r="D408" s="703"/>
      <c r="E408" s="703"/>
      <c r="F408" s="703"/>
      <c r="G408" s="703"/>
      <c r="H408" s="703"/>
      <c r="I408" s="703"/>
    </row>
    <row r="409" spans="1:9">
      <c r="A409" s="703"/>
      <c r="B409" s="703"/>
      <c r="C409" s="703"/>
      <c r="D409" s="703"/>
      <c r="E409" s="703"/>
      <c r="F409" s="703"/>
      <c r="G409" s="703"/>
      <c r="H409" s="703"/>
      <c r="I409" s="703"/>
    </row>
    <row r="410" spans="1:9">
      <c r="A410" s="703"/>
      <c r="B410" s="703"/>
      <c r="C410" s="703"/>
      <c r="D410" s="703"/>
      <c r="E410" s="703"/>
      <c r="F410" s="703"/>
      <c r="G410" s="703"/>
      <c r="H410" s="703"/>
      <c r="I410" s="703"/>
    </row>
    <row r="411" spans="1:9">
      <c r="A411" s="703"/>
      <c r="B411" s="703"/>
      <c r="C411" s="703"/>
      <c r="D411" s="703"/>
      <c r="E411" s="703"/>
      <c r="F411" s="703"/>
      <c r="G411" s="703"/>
      <c r="H411" s="703"/>
      <c r="I411" s="703"/>
    </row>
    <row r="412" spans="1:9">
      <c r="A412" s="703"/>
      <c r="B412" s="703"/>
      <c r="C412" s="703"/>
      <c r="D412" s="703"/>
      <c r="E412" s="703"/>
      <c r="F412" s="703"/>
      <c r="G412" s="703"/>
      <c r="H412" s="703"/>
      <c r="I412" s="703"/>
    </row>
    <row r="413" spans="1:9">
      <c r="A413" s="703"/>
      <c r="B413" s="703"/>
      <c r="C413" s="703"/>
      <c r="D413" s="703"/>
      <c r="E413" s="703"/>
      <c r="F413" s="703"/>
      <c r="G413" s="703"/>
      <c r="H413" s="703"/>
      <c r="I413" s="703"/>
    </row>
    <row r="414" spans="1:9">
      <c r="A414" s="703"/>
      <c r="B414" s="703"/>
      <c r="C414" s="703"/>
      <c r="D414" s="703"/>
      <c r="E414" s="703"/>
      <c r="F414" s="703"/>
      <c r="G414" s="703"/>
      <c r="H414" s="703"/>
      <c r="I414" s="703"/>
    </row>
    <row r="415" spans="1:9">
      <c r="A415" s="703"/>
      <c r="B415" s="703"/>
      <c r="C415" s="703"/>
      <c r="D415" s="703"/>
      <c r="E415" s="703"/>
      <c r="F415" s="703"/>
      <c r="G415" s="703"/>
      <c r="H415" s="703"/>
      <c r="I415" s="703"/>
    </row>
    <row r="416" spans="1:9">
      <c r="A416" s="703"/>
      <c r="B416" s="703"/>
      <c r="C416" s="703"/>
      <c r="D416" s="703"/>
      <c r="E416" s="703"/>
      <c r="F416" s="703"/>
      <c r="G416" s="703"/>
      <c r="H416" s="703"/>
      <c r="I416" s="703"/>
    </row>
    <row r="417" spans="1:9">
      <c r="A417" s="703"/>
      <c r="B417" s="703"/>
      <c r="C417" s="703"/>
      <c r="D417" s="703"/>
      <c r="E417" s="703"/>
      <c r="F417" s="703"/>
      <c r="G417" s="703"/>
      <c r="H417" s="703"/>
      <c r="I417" s="703"/>
    </row>
    <row r="418" spans="1:9">
      <c r="A418" s="703"/>
      <c r="B418" s="703"/>
      <c r="C418" s="703"/>
      <c r="D418" s="703"/>
      <c r="E418" s="703"/>
      <c r="F418" s="703"/>
      <c r="G418" s="703"/>
      <c r="H418" s="703"/>
      <c r="I418" s="703"/>
    </row>
    <row r="419" spans="1:9">
      <c r="A419" s="703"/>
      <c r="B419" s="703"/>
      <c r="C419" s="703"/>
      <c r="D419" s="703"/>
      <c r="E419" s="703"/>
      <c r="F419" s="703"/>
      <c r="G419" s="703"/>
      <c r="H419" s="703"/>
      <c r="I419" s="703"/>
    </row>
    <row r="420" spans="1:9">
      <c r="A420" s="703"/>
      <c r="B420" s="703"/>
      <c r="C420" s="703"/>
      <c r="D420" s="703"/>
      <c r="E420" s="703"/>
      <c r="F420" s="703"/>
      <c r="G420" s="703"/>
      <c r="H420" s="703"/>
      <c r="I420" s="703"/>
    </row>
    <row r="421" spans="1:9">
      <c r="A421" s="703"/>
      <c r="B421" s="703"/>
      <c r="C421" s="703"/>
      <c r="D421" s="703"/>
      <c r="E421" s="703"/>
      <c r="F421" s="703"/>
      <c r="G421" s="703"/>
      <c r="H421" s="703"/>
      <c r="I421" s="703"/>
    </row>
    <row r="422" spans="1:9">
      <c r="A422" s="703"/>
      <c r="B422" s="703"/>
      <c r="C422" s="703"/>
      <c r="D422" s="703"/>
      <c r="E422" s="703"/>
      <c r="F422" s="703"/>
      <c r="G422" s="703"/>
      <c r="H422" s="703"/>
      <c r="I422" s="703"/>
    </row>
    <row r="423" spans="1:9">
      <c r="A423" s="703"/>
      <c r="B423" s="703"/>
      <c r="C423" s="703"/>
      <c r="D423" s="703"/>
      <c r="E423" s="703"/>
      <c r="F423" s="703"/>
      <c r="G423" s="703"/>
      <c r="H423" s="703"/>
      <c r="I423" s="703"/>
    </row>
    <row r="424" spans="1:9">
      <c r="A424" s="703"/>
      <c r="B424" s="703"/>
      <c r="C424" s="703"/>
      <c r="D424" s="703"/>
      <c r="E424" s="703"/>
      <c r="F424" s="703"/>
      <c r="G424" s="703"/>
      <c r="H424" s="703"/>
      <c r="I424" s="703"/>
    </row>
    <row r="425" spans="1:9">
      <c r="A425" s="703"/>
      <c r="B425" s="703"/>
      <c r="C425" s="703"/>
      <c r="D425" s="703"/>
      <c r="E425" s="703"/>
      <c r="F425" s="703"/>
      <c r="G425" s="703"/>
      <c r="H425" s="703"/>
      <c r="I425" s="703"/>
    </row>
    <row r="426" spans="1:9">
      <c r="A426" s="703"/>
      <c r="B426" s="703"/>
      <c r="C426" s="703"/>
      <c r="D426" s="703"/>
      <c r="E426" s="703"/>
      <c r="F426" s="703"/>
      <c r="G426" s="703"/>
      <c r="H426" s="703"/>
      <c r="I426" s="703"/>
    </row>
    <row r="427" spans="1:9">
      <c r="A427" s="703"/>
      <c r="B427" s="703"/>
      <c r="C427" s="703"/>
      <c r="D427" s="703"/>
      <c r="E427" s="703"/>
      <c r="F427" s="703"/>
      <c r="G427" s="703"/>
      <c r="H427" s="703"/>
      <c r="I427" s="703"/>
    </row>
    <row r="428" spans="1:9">
      <c r="A428" s="703"/>
      <c r="B428" s="703"/>
      <c r="C428" s="703"/>
      <c r="D428" s="703"/>
      <c r="E428" s="703"/>
      <c r="F428" s="703"/>
      <c r="G428" s="703"/>
      <c r="H428" s="703"/>
      <c r="I428" s="703"/>
    </row>
    <row r="429" spans="1:9">
      <c r="A429" s="703"/>
      <c r="B429" s="703"/>
      <c r="C429" s="703"/>
      <c r="D429" s="703"/>
      <c r="E429" s="703"/>
      <c r="F429" s="703"/>
      <c r="G429" s="703"/>
      <c r="H429" s="703"/>
      <c r="I429" s="703"/>
    </row>
    <row r="430" spans="1:9">
      <c r="A430" s="703"/>
      <c r="B430" s="703"/>
      <c r="C430" s="703"/>
      <c r="D430" s="703"/>
      <c r="E430" s="703"/>
      <c r="F430" s="703"/>
      <c r="G430" s="703"/>
      <c r="H430" s="703"/>
      <c r="I430" s="703"/>
    </row>
    <row r="431" spans="1:9">
      <c r="A431" s="703"/>
      <c r="B431" s="703"/>
      <c r="C431" s="703"/>
      <c r="D431" s="703"/>
      <c r="E431" s="703"/>
      <c r="F431" s="703"/>
      <c r="G431" s="703"/>
      <c r="H431" s="703"/>
      <c r="I431" s="703"/>
    </row>
    <row r="432" spans="1:9">
      <c r="A432" s="703"/>
      <c r="B432" s="703"/>
      <c r="C432" s="703"/>
      <c r="D432" s="703"/>
      <c r="E432" s="703"/>
      <c r="F432" s="703"/>
      <c r="G432" s="703"/>
      <c r="H432" s="703"/>
      <c r="I432" s="703"/>
    </row>
    <row r="433" spans="1:9">
      <c r="A433" s="703"/>
      <c r="B433" s="703"/>
      <c r="C433" s="703"/>
      <c r="D433" s="703"/>
      <c r="E433" s="703"/>
      <c r="F433" s="703"/>
      <c r="G433" s="703"/>
      <c r="H433" s="703"/>
      <c r="I433" s="703"/>
    </row>
    <row r="434" spans="1:9">
      <c r="A434" s="703"/>
      <c r="B434" s="703"/>
      <c r="C434" s="703"/>
      <c r="D434" s="703"/>
      <c r="E434" s="703"/>
      <c r="F434" s="703"/>
      <c r="G434" s="703"/>
      <c r="H434" s="703"/>
      <c r="I434" s="703"/>
    </row>
    <row r="435" spans="1:9">
      <c r="A435" s="703"/>
      <c r="B435" s="703"/>
      <c r="C435" s="703"/>
      <c r="D435" s="703"/>
      <c r="E435" s="703"/>
      <c r="F435" s="703"/>
      <c r="G435" s="703"/>
      <c r="H435" s="703"/>
      <c r="I435" s="703"/>
    </row>
    <row r="436" spans="1:9">
      <c r="A436" s="703"/>
      <c r="B436" s="703"/>
      <c r="C436" s="703"/>
      <c r="D436" s="703"/>
      <c r="E436" s="703"/>
      <c r="F436" s="703"/>
      <c r="G436" s="703"/>
      <c r="H436" s="703"/>
      <c r="I436" s="703"/>
    </row>
    <row r="437" spans="1:9">
      <c r="A437" s="703"/>
      <c r="B437" s="703"/>
      <c r="C437" s="703"/>
      <c r="D437" s="703"/>
      <c r="E437" s="703"/>
      <c r="F437" s="703"/>
      <c r="G437" s="703"/>
      <c r="H437" s="703"/>
      <c r="I437" s="703"/>
    </row>
    <row r="438" spans="1:9">
      <c r="A438" s="703"/>
      <c r="B438" s="703"/>
      <c r="C438" s="703"/>
      <c r="D438" s="703"/>
      <c r="E438" s="703"/>
      <c r="F438" s="703"/>
      <c r="G438" s="703"/>
      <c r="H438" s="703"/>
      <c r="I438" s="703"/>
    </row>
    <row r="439" spans="1:9">
      <c r="A439" s="703"/>
      <c r="B439" s="703"/>
      <c r="C439" s="703"/>
      <c r="D439" s="703"/>
      <c r="E439" s="703"/>
      <c r="F439" s="703"/>
      <c r="G439" s="703"/>
      <c r="H439" s="703"/>
      <c r="I439" s="703"/>
    </row>
    <row r="440" spans="1:9">
      <c r="A440" s="703"/>
      <c r="B440" s="703"/>
      <c r="C440" s="703"/>
      <c r="D440" s="703"/>
      <c r="E440" s="703"/>
      <c r="F440" s="703"/>
      <c r="G440" s="703"/>
      <c r="H440" s="703"/>
      <c r="I440" s="703"/>
    </row>
    <row r="441" spans="1:9">
      <c r="A441" s="703"/>
      <c r="B441" s="703"/>
      <c r="C441" s="703"/>
      <c r="D441" s="703"/>
      <c r="E441" s="703"/>
      <c r="F441" s="703"/>
      <c r="G441" s="703"/>
      <c r="H441" s="703"/>
      <c r="I441" s="703"/>
    </row>
    <row r="442" spans="1:9">
      <c r="A442" s="703"/>
      <c r="B442" s="703"/>
      <c r="C442" s="703"/>
      <c r="D442" s="703"/>
      <c r="E442" s="703"/>
      <c r="F442" s="703"/>
      <c r="G442" s="703"/>
      <c r="H442" s="703"/>
      <c r="I442" s="703"/>
    </row>
    <row r="443" spans="1:9">
      <c r="A443" s="703"/>
      <c r="B443" s="703"/>
      <c r="C443" s="703"/>
      <c r="D443" s="703"/>
      <c r="E443" s="703"/>
      <c r="F443" s="703"/>
      <c r="G443" s="703"/>
      <c r="H443" s="703"/>
      <c r="I443" s="703"/>
    </row>
    <row r="444" spans="1:9">
      <c r="A444" s="703"/>
      <c r="B444" s="703"/>
      <c r="C444" s="703"/>
      <c r="D444" s="703"/>
      <c r="E444" s="703"/>
      <c r="F444" s="703"/>
      <c r="G444" s="703"/>
      <c r="H444" s="703"/>
      <c r="I444" s="703"/>
    </row>
    <row r="445" spans="1:9">
      <c r="A445" s="703"/>
      <c r="B445" s="703"/>
      <c r="C445" s="703"/>
      <c r="D445" s="703"/>
      <c r="E445" s="703"/>
      <c r="F445" s="703"/>
      <c r="G445" s="703"/>
      <c r="H445" s="703"/>
      <c r="I445" s="703"/>
    </row>
    <row r="446" spans="1:9">
      <c r="A446" s="703"/>
      <c r="B446" s="703"/>
      <c r="C446" s="703"/>
      <c r="D446" s="703"/>
      <c r="E446" s="703"/>
      <c r="F446" s="703"/>
      <c r="G446" s="703"/>
      <c r="H446" s="703"/>
      <c r="I446" s="703"/>
    </row>
    <row r="447" spans="1:9">
      <c r="A447" s="703"/>
      <c r="B447" s="703"/>
      <c r="C447" s="703"/>
      <c r="D447" s="703"/>
      <c r="E447" s="703"/>
      <c r="F447" s="703"/>
      <c r="G447" s="703"/>
      <c r="H447" s="703"/>
      <c r="I447" s="703"/>
    </row>
    <row r="448" spans="1:9">
      <c r="A448" s="703"/>
      <c r="B448" s="703"/>
      <c r="C448" s="703"/>
      <c r="D448" s="703"/>
      <c r="E448" s="703"/>
      <c r="F448" s="703"/>
      <c r="G448" s="703"/>
      <c r="H448" s="703"/>
      <c r="I448" s="703"/>
    </row>
    <row r="449" spans="1:9">
      <c r="A449" s="703"/>
      <c r="B449" s="703"/>
      <c r="C449" s="703"/>
      <c r="D449" s="703"/>
      <c r="E449" s="703"/>
      <c r="F449" s="703"/>
      <c r="G449" s="703"/>
      <c r="H449" s="703"/>
      <c r="I449" s="703"/>
    </row>
    <row r="450" spans="1:9">
      <c r="A450" s="703"/>
      <c r="B450" s="703"/>
      <c r="C450" s="703"/>
      <c r="D450" s="703"/>
      <c r="E450" s="703"/>
      <c r="F450" s="703"/>
      <c r="G450" s="703"/>
      <c r="H450" s="703"/>
      <c r="I450" s="703"/>
    </row>
    <row r="451" spans="1:9">
      <c r="A451" s="703"/>
      <c r="B451" s="703"/>
      <c r="C451" s="703"/>
      <c r="D451" s="703"/>
      <c r="E451" s="703"/>
      <c r="F451" s="703"/>
      <c r="G451" s="703"/>
      <c r="H451" s="703"/>
      <c r="I451" s="703"/>
    </row>
    <row r="452" spans="1:9">
      <c r="A452" s="703"/>
      <c r="B452" s="703"/>
      <c r="C452" s="703"/>
      <c r="D452" s="703"/>
      <c r="E452" s="703"/>
      <c r="F452" s="703"/>
      <c r="G452" s="703"/>
      <c r="H452" s="703"/>
      <c r="I452" s="703"/>
    </row>
    <row r="453" spans="1:9">
      <c r="A453" s="703"/>
      <c r="B453" s="703"/>
      <c r="C453" s="703"/>
      <c r="D453" s="703"/>
      <c r="E453" s="703"/>
      <c r="F453" s="703"/>
      <c r="G453" s="703"/>
      <c r="H453" s="703"/>
      <c r="I453" s="703"/>
    </row>
    <row r="454" spans="1:9">
      <c r="A454" s="703"/>
      <c r="B454" s="703"/>
      <c r="C454" s="703"/>
      <c r="D454" s="703"/>
      <c r="E454" s="703"/>
      <c r="F454" s="703"/>
      <c r="G454" s="703"/>
      <c r="H454" s="703"/>
      <c r="I454" s="703"/>
    </row>
    <row r="455" spans="1:9">
      <c r="A455" s="703"/>
      <c r="B455" s="703"/>
      <c r="C455" s="703"/>
      <c r="D455" s="703"/>
      <c r="E455" s="703"/>
      <c r="F455" s="703"/>
      <c r="G455" s="703"/>
      <c r="H455" s="703"/>
      <c r="I455" s="703"/>
    </row>
    <row r="456" spans="1:9">
      <c r="A456" s="703"/>
      <c r="B456" s="703"/>
      <c r="C456" s="703"/>
      <c r="D456" s="703"/>
      <c r="E456" s="703"/>
      <c r="F456" s="703"/>
      <c r="G456" s="703"/>
      <c r="H456" s="703"/>
      <c r="I456" s="703"/>
    </row>
    <row r="457" spans="1:9">
      <c r="A457" s="703"/>
      <c r="B457" s="703"/>
      <c r="C457" s="703"/>
      <c r="D457" s="703"/>
      <c r="E457" s="703"/>
      <c r="F457" s="703"/>
      <c r="G457" s="703"/>
      <c r="H457" s="703"/>
      <c r="I457" s="703"/>
    </row>
    <row r="458" spans="1:9">
      <c r="A458" s="703"/>
      <c r="B458" s="703"/>
      <c r="C458" s="703"/>
      <c r="D458" s="703"/>
      <c r="E458" s="703"/>
      <c r="F458" s="703"/>
      <c r="G458" s="703"/>
      <c r="H458" s="703"/>
      <c r="I458" s="703"/>
    </row>
    <row r="459" spans="1:9">
      <c r="A459" s="703"/>
      <c r="B459" s="703"/>
      <c r="C459" s="703"/>
      <c r="D459" s="703"/>
      <c r="E459" s="703"/>
      <c r="F459" s="703"/>
      <c r="G459" s="703"/>
      <c r="H459" s="703"/>
      <c r="I459" s="703"/>
    </row>
    <row r="460" spans="1:9">
      <c r="A460" s="703"/>
      <c r="B460" s="703"/>
      <c r="C460" s="703"/>
      <c r="D460" s="703"/>
      <c r="E460" s="703"/>
      <c r="F460" s="703"/>
      <c r="G460" s="703"/>
      <c r="H460" s="703"/>
      <c r="I460" s="703"/>
    </row>
    <row r="461" spans="1:9">
      <c r="A461" s="703"/>
      <c r="B461" s="703"/>
      <c r="C461" s="703"/>
      <c r="D461" s="703"/>
      <c r="E461" s="703"/>
      <c r="F461" s="703"/>
      <c r="G461" s="703"/>
      <c r="H461" s="703"/>
      <c r="I461" s="703"/>
    </row>
    <row r="462" spans="1:9">
      <c r="A462" s="703"/>
      <c r="B462" s="703"/>
      <c r="C462" s="703"/>
      <c r="D462" s="703"/>
      <c r="E462" s="703"/>
      <c r="F462" s="703"/>
      <c r="G462" s="703"/>
      <c r="H462" s="703"/>
      <c r="I462" s="703"/>
    </row>
    <row r="463" spans="1:9">
      <c r="A463" s="703"/>
      <c r="B463" s="703"/>
      <c r="C463" s="703"/>
      <c r="D463" s="703"/>
      <c r="E463" s="703"/>
      <c r="F463" s="703"/>
      <c r="G463" s="703"/>
      <c r="H463" s="703"/>
      <c r="I463" s="703"/>
    </row>
    <row r="464" spans="1:9">
      <c r="A464" s="703"/>
      <c r="B464" s="703"/>
      <c r="C464" s="703"/>
      <c r="D464" s="703"/>
      <c r="E464" s="703"/>
      <c r="F464" s="703"/>
      <c r="G464" s="703"/>
      <c r="H464" s="703"/>
      <c r="I464" s="703"/>
    </row>
    <row r="465" spans="1:9">
      <c r="A465" s="703"/>
      <c r="B465" s="703"/>
      <c r="C465" s="703"/>
      <c r="D465" s="703"/>
      <c r="E465" s="703"/>
      <c r="F465" s="703"/>
      <c r="G465" s="703"/>
      <c r="H465" s="703"/>
      <c r="I465" s="703"/>
    </row>
    <row r="466" spans="1:9">
      <c r="A466" s="703"/>
      <c r="B466" s="703"/>
      <c r="C466" s="703"/>
      <c r="D466" s="703"/>
      <c r="E466" s="703"/>
      <c r="F466" s="703"/>
      <c r="G466" s="703"/>
      <c r="H466" s="703"/>
      <c r="I466" s="703"/>
    </row>
    <row r="467" spans="1:9">
      <c r="A467" s="703"/>
      <c r="B467" s="703"/>
      <c r="C467" s="703"/>
      <c r="D467" s="703"/>
      <c r="E467" s="703"/>
      <c r="F467" s="703"/>
      <c r="G467" s="703"/>
      <c r="H467" s="703"/>
      <c r="I467" s="703"/>
    </row>
    <row r="468" spans="1:9">
      <c r="A468" s="703"/>
      <c r="B468" s="703"/>
      <c r="C468" s="703"/>
      <c r="D468" s="703"/>
      <c r="E468" s="703"/>
      <c r="F468" s="703"/>
      <c r="G468" s="703"/>
      <c r="H468" s="703"/>
      <c r="I468" s="703"/>
    </row>
    <row r="469" spans="1:9">
      <c r="A469" s="703"/>
      <c r="B469" s="703"/>
      <c r="C469" s="703"/>
      <c r="D469" s="703"/>
      <c r="E469" s="703"/>
      <c r="F469" s="703"/>
      <c r="G469" s="703"/>
      <c r="H469" s="703"/>
      <c r="I469" s="703"/>
    </row>
    <row r="470" spans="1:9">
      <c r="A470" s="703"/>
      <c r="B470" s="703"/>
      <c r="C470" s="703"/>
      <c r="D470" s="703"/>
      <c r="E470" s="703"/>
      <c r="F470" s="703"/>
      <c r="G470" s="703"/>
      <c r="H470" s="703"/>
      <c r="I470" s="703"/>
    </row>
    <row r="471" spans="1:9">
      <c r="A471" s="703"/>
      <c r="B471" s="703"/>
      <c r="C471" s="703"/>
      <c r="D471" s="703"/>
      <c r="E471" s="703"/>
      <c r="F471" s="703"/>
      <c r="G471" s="703"/>
      <c r="H471" s="703"/>
      <c r="I471" s="703"/>
    </row>
    <row r="472" spans="1:9">
      <c r="A472" s="703"/>
      <c r="B472" s="703"/>
      <c r="C472" s="703"/>
      <c r="D472" s="703"/>
      <c r="E472" s="703"/>
      <c r="F472" s="703"/>
      <c r="G472" s="703"/>
      <c r="H472" s="703"/>
      <c r="I472" s="703"/>
    </row>
    <row r="473" spans="1:9">
      <c r="A473" s="703"/>
      <c r="B473" s="703"/>
      <c r="C473" s="703"/>
      <c r="D473" s="703"/>
      <c r="E473" s="703"/>
      <c r="F473" s="703"/>
      <c r="G473" s="703"/>
      <c r="H473" s="703"/>
      <c r="I473" s="703"/>
    </row>
    <row r="474" spans="1:9">
      <c r="A474" s="703"/>
      <c r="B474" s="703"/>
      <c r="C474" s="703"/>
      <c r="D474" s="703"/>
      <c r="E474" s="703"/>
      <c r="F474" s="703"/>
      <c r="G474" s="703"/>
      <c r="H474" s="703"/>
      <c r="I474" s="703"/>
    </row>
    <row r="475" spans="1:9">
      <c r="A475" s="703"/>
      <c r="B475" s="703"/>
      <c r="C475" s="703"/>
      <c r="D475" s="703"/>
      <c r="E475" s="703"/>
      <c r="F475" s="703"/>
      <c r="G475" s="703"/>
      <c r="H475" s="703"/>
      <c r="I475" s="703"/>
    </row>
    <row r="476" spans="1:9">
      <c r="A476" s="703"/>
      <c r="B476" s="703"/>
      <c r="C476" s="703"/>
      <c r="D476" s="703"/>
      <c r="E476" s="703"/>
      <c r="F476" s="703"/>
      <c r="G476" s="703"/>
      <c r="H476" s="703"/>
      <c r="I476" s="703"/>
    </row>
    <row r="477" spans="1:9">
      <c r="A477" s="703"/>
      <c r="B477" s="703"/>
      <c r="C477" s="703"/>
      <c r="D477" s="703"/>
      <c r="E477" s="703"/>
      <c r="F477" s="703"/>
      <c r="G477" s="703"/>
      <c r="H477" s="703"/>
      <c r="I477" s="703"/>
    </row>
    <row r="478" spans="1:9">
      <c r="A478" s="703"/>
      <c r="B478" s="703"/>
      <c r="C478" s="703"/>
      <c r="D478" s="703"/>
      <c r="E478" s="703"/>
      <c r="F478" s="703"/>
      <c r="G478" s="703"/>
      <c r="H478" s="703"/>
      <c r="I478" s="703"/>
    </row>
    <row r="479" spans="1:9">
      <c r="A479" s="703"/>
      <c r="B479" s="703"/>
      <c r="C479" s="703"/>
      <c r="D479" s="703"/>
      <c r="E479" s="703"/>
      <c r="F479" s="703"/>
      <c r="G479" s="703"/>
      <c r="H479" s="703"/>
      <c r="I479" s="703"/>
    </row>
    <row r="480" spans="1:9">
      <c r="A480" s="703"/>
      <c r="B480" s="703"/>
      <c r="C480" s="703"/>
      <c r="D480" s="703"/>
      <c r="E480" s="703"/>
      <c r="F480" s="703"/>
      <c r="G480" s="703"/>
      <c r="H480" s="703"/>
      <c r="I480" s="703"/>
    </row>
    <row r="481" spans="1:9">
      <c r="A481" s="703"/>
      <c r="B481" s="703"/>
      <c r="C481" s="703"/>
      <c r="D481" s="703"/>
      <c r="E481" s="703"/>
      <c r="F481" s="703"/>
      <c r="G481" s="703"/>
      <c r="H481" s="703"/>
      <c r="I481" s="703"/>
    </row>
    <row r="482" spans="1:9">
      <c r="A482" s="703"/>
      <c r="B482" s="703"/>
      <c r="C482" s="703"/>
      <c r="D482" s="703"/>
      <c r="E482" s="703"/>
      <c r="F482" s="703"/>
      <c r="G482" s="703"/>
      <c r="H482" s="703"/>
      <c r="I482" s="703"/>
    </row>
    <row r="483" spans="1:9">
      <c r="A483" s="703"/>
      <c r="B483" s="703"/>
      <c r="C483" s="703"/>
      <c r="D483" s="703"/>
      <c r="E483" s="703"/>
      <c r="F483" s="703"/>
      <c r="G483" s="703"/>
      <c r="H483" s="703"/>
      <c r="I483" s="703"/>
    </row>
    <row r="484" spans="1:9">
      <c r="A484" s="703"/>
      <c r="B484" s="703"/>
      <c r="C484" s="703"/>
      <c r="D484" s="703"/>
      <c r="E484" s="703"/>
      <c r="F484" s="703"/>
      <c r="G484" s="703"/>
      <c r="H484" s="703"/>
      <c r="I484" s="703"/>
    </row>
    <row r="485" spans="1:9">
      <c r="A485" s="703"/>
      <c r="B485" s="703"/>
      <c r="C485" s="703"/>
      <c r="D485" s="703"/>
      <c r="E485" s="703"/>
      <c r="F485" s="703"/>
      <c r="G485" s="703"/>
      <c r="H485" s="703"/>
      <c r="I485" s="703"/>
    </row>
    <row r="486" spans="1:9">
      <c r="A486" s="703"/>
      <c r="B486" s="703"/>
      <c r="C486" s="703"/>
      <c r="D486" s="703"/>
      <c r="E486" s="703"/>
      <c r="F486" s="703"/>
      <c r="G486" s="703"/>
      <c r="H486" s="703"/>
      <c r="I486" s="703"/>
    </row>
    <row r="487" spans="1:9">
      <c r="A487" s="703"/>
      <c r="B487" s="703"/>
      <c r="C487" s="703"/>
      <c r="D487" s="703"/>
      <c r="E487" s="703"/>
      <c r="F487" s="703"/>
      <c r="G487" s="703"/>
      <c r="H487" s="703"/>
      <c r="I487" s="703"/>
    </row>
    <row r="488" spans="1:9">
      <c r="A488" s="703"/>
      <c r="B488" s="703"/>
      <c r="C488" s="703"/>
      <c r="D488" s="703"/>
      <c r="E488" s="703"/>
      <c r="F488" s="703"/>
      <c r="G488" s="703"/>
      <c r="H488" s="703"/>
      <c r="I488" s="703"/>
    </row>
    <row r="489" spans="1:9">
      <c r="A489" s="703"/>
      <c r="B489" s="703"/>
      <c r="C489" s="703"/>
      <c r="D489" s="703"/>
      <c r="E489" s="703"/>
      <c r="F489" s="703"/>
      <c r="G489" s="703"/>
      <c r="H489" s="703"/>
      <c r="I489" s="703"/>
    </row>
    <row r="490" spans="1:9">
      <c r="A490" s="703"/>
      <c r="B490" s="703"/>
      <c r="C490" s="703"/>
      <c r="D490" s="703"/>
      <c r="E490" s="703"/>
      <c r="F490" s="703"/>
      <c r="G490" s="703"/>
      <c r="H490" s="703"/>
      <c r="I490" s="703"/>
    </row>
    <row r="491" spans="1:9">
      <c r="A491" s="703"/>
      <c r="B491" s="703"/>
      <c r="C491" s="703"/>
      <c r="D491" s="703"/>
      <c r="E491" s="703"/>
      <c r="F491" s="703"/>
      <c r="G491" s="703"/>
      <c r="H491" s="703"/>
      <c r="I491" s="703"/>
    </row>
    <row r="492" spans="1:9">
      <c r="A492" s="703"/>
      <c r="B492" s="703"/>
      <c r="C492" s="703"/>
      <c r="D492" s="703"/>
      <c r="E492" s="703"/>
      <c r="F492" s="703"/>
      <c r="G492" s="703"/>
      <c r="H492" s="703"/>
      <c r="I492" s="703"/>
    </row>
    <row r="493" spans="1:9">
      <c r="A493" s="703"/>
      <c r="B493" s="703"/>
      <c r="C493" s="703"/>
      <c r="D493" s="703"/>
      <c r="E493" s="703"/>
      <c r="F493" s="703"/>
      <c r="G493" s="703"/>
      <c r="H493" s="703"/>
      <c r="I493" s="703"/>
    </row>
    <row r="494" spans="1:9">
      <c r="A494" s="703"/>
      <c r="B494" s="703"/>
      <c r="C494" s="703"/>
      <c r="D494" s="703"/>
      <c r="E494" s="703"/>
      <c r="F494" s="703"/>
      <c r="G494" s="703"/>
      <c r="H494" s="703"/>
      <c r="I494" s="703"/>
    </row>
    <row r="495" spans="1:9">
      <c r="A495" s="703"/>
      <c r="B495" s="703"/>
      <c r="C495" s="703"/>
      <c r="D495" s="703"/>
      <c r="E495" s="703"/>
      <c r="F495" s="703"/>
      <c r="G495" s="703"/>
      <c r="H495" s="703"/>
      <c r="I495" s="703"/>
    </row>
    <row r="496" spans="1:9">
      <c r="A496" s="703"/>
      <c r="B496" s="703"/>
      <c r="C496" s="703"/>
      <c r="D496" s="703"/>
      <c r="E496" s="703"/>
      <c r="F496" s="703"/>
      <c r="G496" s="703"/>
      <c r="H496" s="703"/>
      <c r="I496" s="703"/>
    </row>
    <row r="497" spans="1:9">
      <c r="A497" s="703"/>
      <c r="B497" s="703"/>
      <c r="C497" s="703"/>
      <c r="D497" s="703"/>
      <c r="E497" s="703"/>
      <c r="F497" s="703"/>
      <c r="G497" s="703"/>
      <c r="H497" s="703"/>
      <c r="I497" s="703"/>
    </row>
    <row r="498" spans="1:9">
      <c r="A498" s="703"/>
      <c r="B498" s="703"/>
      <c r="C498" s="703"/>
      <c r="D498" s="703"/>
      <c r="E498" s="703"/>
      <c r="F498" s="703"/>
      <c r="G498" s="703"/>
      <c r="H498" s="703"/>
      <c r="I498" s="703"/>
    </row>
    <row r="499" spans="1:9">
      <c r="A499" s="703"/>
      <c r="B499" s="703"/>
      <c r="C499" s="703"/>
      <c r="D499" s="703"/>
      <c r="E499" s="703"/>
      <c r="F499" s="703"/>
      <c r="G499" s="703"/>
      <c r="H499" s="703"/>
      <c r="I499" s="703"/>
    </row>
    <row r="500" spans="1:9">
      <c r="A500" s="703"/>
      <c r="B500" s="703"/>
      <c r="C500" s="703"/>
      <c r="D500" s="703"/>
      <c r="E500" s="703"/>
      <c r="F500" s="703"/>
      <c r="G500" s="703"/>
      <c r="H500" s="703"/>
      <c r="I500" s="703"/>
    </row>
    <row r="501" spans="1:9">
      <c r="A501" s="703"/>
      <c r="B501" s="703"/>
      <c r="C501" s="703"/>
      <c r="D501" s="703"/>
      <c r="E501" s="703"/>
      <c r="F501" s="703"/>
      <c r="G501" s="703"/>
      <c r="H501" s="703"/>
      <c r="I501" s="703"/>
    </row>
    <row r="502" spans="1:9">
      <c r="A502" s="703"/>
      <c r="B502" s="703"/>
      <c r="C502" s="703"/>
      <c r="D502" s="703"/>
      <c r="E502" s="703"/>
      <c r="F502" s="703"/>
      <c r="G502" s="703"/>
      <c r="H502" s="703"/>
      <c r="I502" s="703"/>
    </row>
    <row r="503" spans="1:9">
      <c r="A503" s="703"/>
      <c r="B503" s="703"/>
      <c r="C503" s="703"/>
      <c r="D503" s="703"/>
      <c r="E503" s="703"/>
      <c r="F503" s="703"/>
      <c r="G503" s="703"/>
      <c r="H503" s="703"/>
      <c r="I503" s="703"/>
    </row>
    <row r="504" spans="1:9">
      <c r="A504" s="703"/>
      <c r="B504" s="703"/>
      <c r="C504" s="703"/>
      <c r="D504" s="703"/>
      <c r="E504" s="703"/>
      <c r="F504" s="703"/>
      <c r="G504" s="703"/>
      <c r="H504" s="703"/>
      <c r="I504" s="703"/>
    </row>
    <row r="505" spans="1:9">
      <c r="A505" s="703"/>
      <c r="B505" s="703"/>
      <c r="C505" s="703"/>
      <c r="D505" s="703"/>
      <c r="E505" s="703"/>
      <c r="F505" s="703"/>
      <c r="G505" s="703"/>
      <c r="H505" s="703"/>
      <c r="I505" s="703"/>
    </row>
    <row r="506" spans="1:9">
      <c r="A506" s="703"/>
      <c r="B506" s="703"/>
      <c r="C506" s="703"/>
      <c r="D506" s="703"/>
      <c r="E506" s="703"/>
      <c r="F506" s="703"/>
      <c r="G506" s="703"/>
      <c r="H506" s="703"/>
      <c r="I506" s="703"/>
    </row>
    <row r="507" spans="1:9">
      <c r="A507" s="703"/>
      <c r="B507" s="703"/>
      <c r="C507" s="703"/>
      <c r="D507" s="703"/>
      <c r="E507" s="703"/>
      <c r="F507" s="703"/>
      <c r="G507" s="703"/>
      <c r="H507" s="703"/>
      <c r="I507" s="703"/>
    </row>
    <row r="508" spans="1:9">
      <c r="A508" s="703"/>
      <c r="B508" s="703"/>
      <c r="C508" s="703"/>
      <c r="D508" s="703"/>
      <c r="E508" s="703"/>
      <c r="F508" s="703"/>
      <c r="G508" s="703"/>
      <c r="H508" s="703"/>
      <c r="I508" s="703"/>
    </row>
    <row r="509" spans="1:9">
      <c r="A509" s="703"/>
      <c r="B509" s="703"/>
      <c r="C509" s="703"/>
      <c r="D509" s="703"/>
      <c r="E509" s="703"/>
      <c r="F509" s="703"/>
      <c r="G509" s="703"/>
      <c r="H509" s="703"/>
      <c r="I509" s="703"/>
    </row>
    <row r="510" spans="1:9">
      <c r="A510" s="703"/>
      <c r="B510" s="703"/>
      <c r="C510" s="703"/>
      <c r="D510" s="703"/>
      <c r="E510" s="703"/>
      <c r="F510" s="703"/>
      <c r="G510" s="703"/>
      <c r="H510" s="703"/>
      <c r="I510" s="703"/>
    </row>
    <row r="511" spans="1:9">
      <c r="A511" s="703"/>
      <c r="B511" s="703"/>
      <c r="C511" s="703"/>
      <c r="D511" s="703"/>
      <c r="E511" s="703"/>
      <c r="F511" s="703"/>
      <c r="G511" s="703"/>
      <c r="H511" s="703"/>
      <c r="I511" s="703"/>
    </row>
    <row r="512" spans="1:9">
      <c r="A512" s="703"/>
      <c r="B512" s="703"/>
      <c r="C512" s="703"/>
      <c r="D512" s="703"/>
      <c r="E512" s="703"/>
      <c r="F512" s="703"/>
      <c r="G512" s="703"/>
      <c r="H512" s="703"/>
      <c r="I512" s="703"/>
    </row>
    <row r="513" spans="1:9">
      <c r="A513" s="703"/>
      <c r="B513" s="703"/>
      <c r="C513" s="703"/>
      <c r="D513" s="703"/>
      <c r="E513" s="703"/>
      <c r="F513" s="703"/>
      <c r="G513" s="703"/>
      <c r="H513" s="703"/>
      <c r="I513" s="703"/>
    </row>
    <row r="514" spans="1:9">
      <c r="A514" s="703"/>
      <c r="B514" s="703"/>
      <c r="C514" s="703"/>
      <c r="D514" s="703"/>
      <c r="E514" s="703"/>
      <c r="F514" s="703"/>
      <c r="G514" s="703"/>
      <c r="H514" s="703"/>
      <c r="I514" s="703"/>
    </row>
    <row r="515" spans="1:9">
      <c r="A515" s="703"/>
      <c r="B515" s="703"/>
      <c r="C515" s="703"/>
      <c r="D515" s="703"/>
      <c r="E515" s="703"/>
      <c r="F515" s="703"/>
      <c r="G515" s="703"/>
      <c r="H515" s="703"/>
      <c r="I515" s="703"/>
    </row>
    <row r="516" spans="1:9">
      <c r="A516" s="703"/>
      <c r="B516" s="703"/>
      <c r="C516" s="703"/>
      <c r="D516" s="703"/>
      <c r="E516" s="703"/>
      <c r="F516" s="703"/>
      <c r="G516" s="703"/>
      <c r="H516" s="703"/>
      <c r="I516" s="703"/>
    </row>
    <row r="517" spans="1:9">
      <c r="A517" s="703"/>
      <c r="B517" s="703"/>
      <c r="C517" s="703"/>
      <c r="D517" s="703"/>
      <c r="E517" s="703"/>
      <c r="F517" s="703"/>
      <c r="G517" s="703"/>
      <c r="H517" s="703"/>
      <c r="I517" s="703"/>
    </row>
    <row r="518" spans="1:9">
      <c r="A518" s="703"/>
      <c r="B518" s="703"/>
      <c r="C518" s="703"/>
      <c r="D518" s="703"/>
      <c r="E518" s="703"/>
      <c r="F518" s="703"/>
      <c r="G518" s="703"/>
      <c r="H518" s="703"/>
      <c r="I518" s="703"/>
    </row>
    <row r="519" spans="1:9">
      <c r="A519" s="703"/>
      <c r="B519" s="703"/>
      <c r="C519" s="703"/>
      <c r="D519" s="703"/>
      <c r="E519" s="703"/>
      <c r="F519" s="703"/>
      <c r="G519" s="703"/>
      <c r="H519" s="703"/>
      <c r="I519" s="703"/>
    </row>
    <row r="520" spans="1:9">
      <c r="A520" s="703"/>
      <c r="B520" s="703"/>
      <c r="C520" s="703"/>
      <c r="D520" s="703"/>
      <c r="E520" s="703"/>
      <c r="F520" s="703"/>
      <c r="G520" s="703"/>
      <c r="H520" s="703"/>
      <c r="I520" s="703"/>
    </row>
    <row r="521" spans="1:9">
      <c r="A521" s="703"/>
      <c r="B521" s="703"/>
      <c r="C521" s="703"/>
      <c r="D521" s="703"/>
      <c r="E521" s="703"/>
      <c r="F521" s="703"/>
      <c r="G521" s="703"/>
      <c r="H521" s="703"/>
      <c r="I521" s="703"/>
    </row>
    <row r="522" spans="1:9">
      <c r="A522" s="703"/>
      <c r="B522" s="703"/>
      <c r="C522" s="703"/>
      <c r="D522" s="703"/>
      <c r="E522" s="703"/>
      <c r="F522" s="703"/>
      <c r="G522" s="703"/>
      <c r="H522" s="703"/>
      <c r="I522" s="703"/>
    </row>
    <row r="523" spans="1:9">
      <c r="A523" s="703"/>
      <c r="B523" s="703"/>
      <c r="C523" s="703"/>
      <c r="D523" s="703"/>
      <c r="E523" s="703"/>
      <c r="F523" s="703"/>
      <c r="G523" s="703"/>
      <c r="H523" s="703"/>
      <c r="I523" s="703"/>
    </row>
    <row r="524" spans="1:9">
      <c r="A524" s="703"/>
      <c r="B524" s="703"/>
      <c r="C524" s="703"/>
      <c r="D524" s="703"/>
      <c r="E524" s="703"/>
      <c r="F524" s="703"/>
      <c r="G524" s="703"/>
      <c r="H524" s="703"/>
      <c r="I524" s="703"/>
    </row>
    <row r="525" spans="1:9">
      <c r="A525" s="703"/>
      <c r="B525" s="703"/>
      <c r="C525" s="703"/>
      <c r="D525" s="703"/>
      <c r="E525" s="703"/>
      <c r="F525" s="703"/>
      <c r="G525" s="703"/>
      <c r="H525" s="703"/>
      <c r="I525" s="703"/>
    </row>
    <row r="526" spans="1:9">
      <c r="A526" s="703"/>
      <c r="B526" s="703"/>
      <c r="C526" s="703"/>
      <c r="D526" s="703"/>
      <c r="E526" s="703"/>
      <c r="F526" s="703"/>
      <c r="G526" s="703"/>
      <c r="H526" s="703"/>
      <c r="I526" s="703"/>
    </row>
    <row r="527" spans="1:9">
      <c r="A527" s="703"/>
      <c r="B527" s="703"/>
      <c r="C527" s="703"/>
      <c r="D527" s="703"/>
      <c r="E527" s="703"/>
      <c r="F527" s="703"/>
      <c r="G527" s="703"/>
      <c r="H527" s="703"/>
      <c r="I527" s="703"/>
    </row>
    <row r="528" spans="1:9">
      <c r="A528" s="703"/>
      <c r="B528" s="703"/>
      <c r="C528" s="703"/>
      <c r="D528" s="703"/>
      <c r="E528" s="703"/>
      <c r="F528" s="703"/>
      <c r="G528" s="703"/>
      <c r="H528" s="703"/>
      <c r="I528" s="703"/>
    </row>
    <row r="529" spans="1:9">
      <c r="A529" s="703"/>
      <c r="B529" s="703"/>
      <c r="C529" s="703"/>
      <c r="D529" s="703"/>
      <c r="E529" s="703"/>
      <c r="F529" s="703"/>
      <c r="G529" s="703"/>
      <c r="H529" s="703"/>
      <c r="I529" s="703"/>
    </row>
    <row r="530" spans="1:9">
      <c r="A530" s="703"/>
      <c r="B530" s="703"/>
      <c r="C530" s="703"/>
      <c r="D530" s="703"/>
      <c r="E530" s="703"/>
      <c r="F530" s="703"/>
      <c r="G530" s="703"/>
      <c r="H530" s="703"/>
      <c r="I530" s="703"/>
    </row>
    <row r="531" spans="1:9">
      <c r="A531" s="703"/>
      <c r="B531" s="703"/>
      <c r="C531" s="703"/>
      <c r="D531" s="703"/>
      <c r="E531" s="703"/>
      <c r="F531" s="703"/>
      <c r="G531" s="703"/>
      <c r="H531" s="703"/>
      <c r="I531" s="703"/>
    </row>
    <row r="532" spans="1:9">
      <c r="A532" s="703"/>
      <c r="B532" s="703"/>
      <c r="C532" s="703"/>
      <c r="D532" s="703"/>
      <c r="E532" s="703"/>
      <c r="F532" s="703"/>
      <c r="G532" s="703"/>
      <c r="H532" s="703"/>
      <c r="I532" s="703"/>
    </row>
    <row r="533" spans="1:9">
      <c r="A533" s="703"/>
      <c r="B533" s="703"/>
      <c r="C533" s="703"/>
      <c r="D533" s="703"/>
      <c r="E533" s="703"/>
      <c r="F533" s="703"/>
      <c r="G533" s="703"/>
      <c r="H533" s="703"/>
      <c r="I533" s="703"/>
    </row>
    <row r="534" spans="1:9">
      <c r="A534" s="703"/>
      <c r="B534" s="703"/>
      <c r="C534" s="703"/>
      <c r="D534" s="703"/>
      <c r="E534" s="703"/>
      <c r="F534" s="703"/>
      <c r="G534" s="703"/>
      <c r="H534" s="703"/>
      <c r="I534" s="703"/>
    </row>
    <row r="535" spans="1:9">
      <c r="A535" s="703"/>
      <c r="B535" s="703"/>
      <c r="C535" s="703"/>
      <c r="D535" s="703"/>
      <c r="E535" s="703"/>
      <c r="F535" s="703"/>
      <c r="G535" s="703"/>
      <c r="H535" s="703"/>
      <c r="I535" s="703"/>
    </row>
    <row r="536" spans="1:9">
      <c r="A536" s="703"/>
      <c r="B536" s="703"/>
      <c r="C536" s="703"/>
      <c r="D536" s="703"/>
      <c r="E536" s="703"/>
      <c r="F536" s="703"/>
      <c r="G536" s="703"/>
      <c r="H536" s="703"/>
      <c r="I536" s="703"/>
    </row>
    <row r="537" spans="1:9">
      <c r="A537" s="703"/>
      <c r="B537" s="703"/>
      <c r="C537" s="703"/>
      <c r="D537" s="703"/>
      <c r="E537" s="703"/>
      <c r="F537" s="703"/>
      <c r="G537" s="703"/>
      <c r="H537" s="703"/>
      <c r="I537" s="703"/>
    </row>
    <row r="538" spans="1:9">
      <c r="A538" s="703"/>
      <c r="B538" s="703"/>
      <c r="C538" s="703"/>
      <c r="D538" s="703"/>
      <c r="E538" s="703"/>
      <c r="F538" s="703"/>
      <c r="G538" s="703"/>
      <c r="H538" s="703"/>
      <c r="I538" s="703"/>
    </row>
    <row r="539" spans="1:9">
      <c r="A539" s="703"/>
      <c r="B539" s="703"/>
      <c r="C539" s="703"/>
      <c r="D539" s="703"/>
      <c r="E539" s="703"/>
      <c r="F539" s="703"/>
      <c r="G539" s="703"/>
      <c r="H539" s="703"/>
      <c r="I539" s="703"/>
    </row>
    <row r="540" spans="1:9">
      <c r="A540" s="703"/>
      <c r="B540" s="703"/>
      <c r="C540" s="703"/>
      <c r="D540" s="703"/>
      <c r="E540" s="703"/>
      <c r="F540" s="703"/>
      <c r="G540" s="703"/>
      <c r="H540" s="703"/>
      <c r="I540" s="703"/>
    </row>
    <row r="541" spans="1:9">
      <c r="A541" s="703"/>
      <c r="B541" s="703"/>
      <c r="C541" s="703"/>
      <c r="D541" s="703"/>
      <c r="E541" s="703"/>
      <c r="F541" s="703"/>
      <c r="G541" s="703"/>
      <c r="H541" s="703"/>
      <c r="I541" s="703"/>
    </row>
    <row r="542" spans="1:9">
      <c r="A542" s="703"/>
      <c r="B542" s="703"/>
      <c r="C542" s="703"/>
      <c r="D542" s="703"/>
      <c r="E542" s="703"/>
      <c r="F542" s="703"/>
      <c r="G542" s="703"/>
      <c r="H542" s="703"/>
      <c r="I542" s="703"/>
    </row>
    <row r="543" spans="1:9">
      <c r="A543" s="703"/>
      <c r="B543" s="703"/>
      <c r="C543" s="703"/>
      <c r="D543" s="703"/>
      <c r="E543" s="703"/>
      <c r="F543" s="703"/>
      <c r="G543" s="703"/>
      <c r="H543" s="703"/>
      <c r="I543" s="703"/>
    </row>
    <row r="544" spans="1:9">
      <c r="A544" s="703"/>
      <c r="B544" s="703"/>
      <c r="C544" s="703"/>
      <c r="D544" s="703"/>
      <c r="E544" s="703"/>
      <c r="F544" s="703"/>
      <c r="G544" s="703"/>
      <c r="H544" s="703"/>
      <c r="I544" s="703"/>
    </row>
    <row r="545" spans="1:9">
      <c r="A545" s="703"/>
      <c r="B545" s="703"/>
      <c r="C545" s="703"/>
      <c r="D545" s="703"/>
      <c r="E545" s="703"/>
      <c r="F545" s="703"/>
      <c r="G545" s="703"/>
      <c r="H545" s="703"/>
      <c r="I545" s="703"/>
    </row>
    <row r="546" spans="1:9">
      <c r="A546" s="703"/>
      <c r="B546" s="703"/>
      <c r="C546" s="703"/>
      <c r="D546" s="703"/>
      <c r="E546" s="703"/>
      <c r="F546" s="703"/>
      <c r="G546" s="703"/>
      <c r="H546" s="703"/>
      <c r="I546" s="703"/>
    </row>
    <row r="547" spans="1:9">
      <c r="A547" s="703"/>
      <c r="B547" s="703"/>
      <c r="C547" s="703"/>
      <c r="D547" s="703"/>
      <c r="E547" s="703"/>
      <c r="F547" s="703"/>
      <c r="G547" s="703"/>
      <c r="H547" s="703"/>
      <c r="I547" s="703"/>
    </row>
    <row r="548" spans="1:9">
      <c r="A548" s="703"/>
      <c r="B548" s="703"/>
      <c r="C548" s="703"/>
      <c r="D548" s="703"/>
      <c r="E548" s="703"/>
      <c r="F548" s="703"/>
      <c r="G548" s="703"/>
      <c r="H548" s="703"/>
      <c r="I548" s="703"/>
    </row>
    <row r="549" spans="1:9">
      <c r="A549" s="703"/>
      <c r="B549" s="703"/>
      <c r="C549" s="703"/>
      <c r="D549" s="703"/>
      <c r="E549" s="703"/>
      <c r="F549" s="703"/>
      <c r="G549" s="703"/>
      <c r="H549" s="703"/>
      <c r="I549" s="703"/>
    </row>
    <row r="550" spans="1:9">
      <c r="A550" s="703"/>
      <c r="B550" s="703"/>
      <c r="C550" s="703"/>
      <c r="D550" s="703"/>
      <c r="E550" s="703"/>
      <c r="F550" s="703"/>
      <c r="G550" s="703"/>
      <c r="H550" s="703"/>
      <c r="I550" s="703"/>
    </row>
    <row r="551" spans="1:9">
      <c r="A551" s="703"/>
      <c r="B551" s="703"/>
      <c r="C551" s="703"/>
      <c r="D551" s="703"/>
      <c r="E551" s="703"/>
      <c r="F551" s="703"/>
      <c r="G551" s="703"/>
      <c r="H551" s="703"/>
      <c r="I551" s="703"/>
    </row>
    <row r="552" spans="1:9">
      <c r="A552" s="703"/>
      <c r="B552" s="703"/>
      <c r="C552" s="703"/>
      <c r="D552" s="703"/>
      <c r="E552" s="703"/>
      <c r="F552" s="703"/>
      <c r="G552" s="703"/>
      <c r="H552" s="703"/>
      <c r="I552" s="703"/>
    </row>
    <row r="553" spans="1:9">
      <c r="A553" s="703"/>
      <c r="B553" s="703"/>
      <c r="C553" s="703"/>
      <c r="D553" s="703"/>
      <c r="E553" s="703"/>
      <c r="F553" s="703"/>
      <c r="G553" s="703"/>
      <c r="H553" s="703"/>
      <c r="I553" s="703"/>
    </row>
    <row r="554" spans="1:9">
      <c r="A554" s="703"/>
      <c r="B554" s="703"/>
      <c r="C554" s="703"/>
      <c r="D554" s="703"/>
      <c r="E554" s="703"/>
      <c r="F554" s="703"/>
      <c r="G554" s="703"/>
      <c r="H554" s="703"/>
      <c r="I554" s="703"/>
    </row>
    <row r="555" spans="1:9">
      <c r="A555" s="703"/>
      <c r="B555" s="703"/>
      <c r="C555" s="703"/>
      <c r="D555" s="703"/>
      <c r="E555" s="703"/>
      <c r="F555" s="703"/>
      <c r="G555" s="703"/>
      <c r="H555" s="703"/>
      <c r="I555" s="703"/>
    </row>
    <row r="556" spans="1:9">
      <c r="A556" s="703"/>
      <c r="B556" s="703"/>
      <c r="C556" s="703"/>
      <c r="D556" s="703"/>
      <c r="E556" s="703"/>
      <c r="F556" s="703"/>
      <c r="G556" s="703"/>
      <c r="H556" s="703"/>
      <c r="I556" s="703"/>
    </row>
    <row r="557" spans="1:9">
      <c r="A557" s="703"/>
      <c r="B557" s="703"/>
      <c r="C557" s="703"/>
      <c r="D557" s="703"/>
      <c r="E557" s="703"/>
      <c r="F557" s="703"/>
      <c r="G557" s="703"/>
      <c r="H557" s="703"/>
      <c r="I557" s="703"/>
    </row>
    <row r="558" spans="1:9">
      <c r="A558" s="703"/>
      <c r="B558" s="703"/>
      <c r="C558" s="703"/>
      <c r="D558" s="703"/>
      <c r="E558" s="703"/>
      <c r="F558" s="703"/>
      <c r="G558" s="703"/>
      <c r="H558" s="703"/>
      <c r="I558" s="703"/>
    </row>
    <row r="559" spans="1:9">
      <c r="A559" s="703"/>
      <c r="B559" s="703"/>
      <c r="C559" s="703"/>
      <c r="D559" s="703"/>
      <c r="E559" s="703"/>
      <c r="F559" s="703"/>
      <c r="G559" s="703"/>
      <c r="H559" s="703"/>
      <c r="I559" s="703"/>
    </row>
    <row r="560" spans="1:9">
      <c r="A560" s="703"/>
      <c r="B560" s="703"/>
      <c r="C560" s="703"/>
      <c r="D560" s="703"/>
      <c r="E560" s="703"/>
      <c r="F560" s="703"/>
      <c r="G560" s="703"/>
      <c r="H560" s="703"/>
      <c r="I560" s="703"/>
    </row>
    <row r="561" spans="1:9">
      <c r="A561" s="703"/>
      <c r="B561" s="703"/>
      <c r="C561" s="703"/>
      <c r="D561" s="703"/>
      <c r="E561" s="703"/>
      <c r="F561" s="703"/>
      <c r="G561" s="703"/>
      <c r="H561" s="703"/>
      <c r="I561" s="703"/>
    </row>
    <row r="562" spans="1:9">
      <c r="A562" s="703"/>
      <c r="B562" s="703"/>
      <c r="C562" s="703"/>
      <c r="D562" s="703"/>
      <c r="E562" s="703"/>
      <c r="F562" s="703"/>
      <c r="G562" s="703"/>
      <c r="H562" s="703"/>
      <c r="I562" s="703"/>
    </row>
    <row r="563" spans="1:9">
      <c r="A563" s="703"/>
      <c r="B563" s="703"/>
      <c r="C563" s="703"/>
      <c r="D563" s="703"/>
      <c r="E563" s="703"/>
      <c r="F563" s="703"/>
      <c r="G563" s="703"/>
      <c r="H563" s="703"/>
      <c r="I563" s="703"/>
    </row>
    <row r="564" spans="1:9">
      <c r="A564" s="703"/>
      <c r="B564" s="703"/>
      <c r="C564" s="703"/>
      <c r="D564" s="703"/>
      <c r="E564" s="703"/>
      <c r="F564" s="703"/>
      <c r="G564" s="703"/>
      <c r="H564" s="703"/>
      <c r="I564" s="703"/>
    </row>
    <row r="565" spans="1:9">
      <c r="A565" s="703"/>
      <c r="B565" s="703"/>
      <c r="C565" s="703"/>
      <c r="D565" s="703"/>
      <c r="E565" s="703"/>
      <c r="F565" s="703"/>
      <c r="G565" s="703"/>
      <c r="H565" s="703"/>
      <c r="I565" s="703"/>
    </row>
    <row r="566" spans="1:9">
      <c r="A566" s="703"/>
      <c r="B566" s="703"/>
      <c r="C566" s="703"/>
      <c r="D566" s="703"/>
      <c r="E566" s="703"/>
      <c r="F566" s="703"/>
      <c r="G566" s="703"/>
      <c r="H566" s="703"/>
      <c r="I566" s="703"/>
    </row>
    <row r="567" spans="1:9">
      <c r="A567" s="703"/>
      <c r="B567" s="703"/>
      <c r="C567" s="703"/>
      <c r="D567" s="703"/>
      <c r="E567" s="703"/>
      <c r="F567" s="703"/>
      <c r="G567" s="703"/>
      <c r="H567" s="703"/>
      <c r="I567" s="703"/>
    </row>
    <row r="568" spans="1:9">
      <c r="A568" s="703"/>
      <c r="B568" s="703"/>
      <c r="C568" s="703"/>
      <c r="D568" s="703"/>
      <c r="E568" s="703"/>
      <c r="F568" s="703"/>
      <c r="G568" s="703"/>
      <c r="H568" s="703"/>
      <c r="I568" s="703"/>
    </row>
    <row r="569" spans="1:9">
      <c r="A569" s="703"/>
      <c r="B569" s="703"/>
      <c r="C569" s="703"/>
      <c r="D569" s="703"/>
      <c r="E569" s="703"/>
      <c r="F569" s="703"/>
      <c r="G569" s="703"/>
      <c r="H569" s="703"/>
      <c r="I569" s="703"/>
    </row>
    <row r="570" spans="1:9">
      <c r="A570" s="703"/>
      <c r="B570" s="703"/>
      <c r="C570" s="703"/>
      <c r="D570" s="703"/>
      <c r="E570" s="703"/>
      <c r="F570" s="703"/>
      <c r="G570" s="703"/>
      <c r="H570" s="703"/>
      <c r="I570" s="703"/>
    </row>
    <row r="571" spans="1:9">
      <c r="A571" s="703"/>
      <c r="B571" s="703"/>
      <c r="C571" s="703"/>
      <c r="D571" s="703"/>
      <c r="E571" s="703"/>
      <c r="F571" s="703"/>
      <c r="G571" s="703"/>
      <c r="H571" s="703"/>
      <c r="I571" s="703"/>
    </row>
    <row r="572" spans="1:9">
      <c r="A572" s="703"/>
      <c r="B572" s="703"/>
      <c r="C572" s="703"/>
      <c r="D572" s="703"/>
      <c r="E572" s="703"/>
      <c r="F572" s="703"/>
      <c r="G572" s="703"/>
      <c r="H572" s="703"/>
      <c r="I572" s="703"/>
    </row>
    <row r="573" spans="1:9">
      <c r="A573" s="703"/>
      <c r="B573" s="703"/>
      <c r="C573" s="703"/>
      <c r="D573" s="703"/>
      <c r="E573" s="703"/>
      <c r="F573" s="703"/>
      <c r="G573" s="703"/>
      <c r="H573" s="703"/>
      <c r="I573" s="703"/>
    </row>
    <row r="574" spans="1:9">
      <c r="A574" s="703"/>
      <c r="B574" s="703"/>
      <c r="C574" s="703"/>
      <c r="D574" s="703"/>
      <c r="E574" s="703"/>
      <c r="F574" s="703"/>
      <c r="G574" s="703"/>
      <c r="H574" s="703"/>
      <c r="I574" s="703"/>
    </row>
    <row r="575" spans="1:9">
      <c r="A575" s="703"/>
      <c r="B575" s="703"/>
      <c r="C575" s="703"/>
      <c r="D575" s="703"/>
      <c r="E575" s="703"/>
      <c r="F575" s="703"/>
      <c r="G575" s="703"/>
      <c r="H575" s="703"/>
      <c r="I575" s="703"/>
    </row>
    <row r="576" spans="1:9">
      <c r="A576" s="703"/>
      <c r="B576" s="703"/>
      <c r="C576" s="703"/>
      <c r="D576" s="703"/>
      <c r="E576" s="703"/>
      <c r="F576" s="703"/>
      <c r="G576" s="703"/>
      <c r="H576" s="703"/>
      <c r="I576" s="703"/>
    </row>
    <row r="577" spans="1:9">
      <c r="A577" s="703"/>
      <c r="B577" s="703"/>
      <c r="C577" s="703"/>
      <c r="D577" s="703"/>
      <c r="E577" s="703"/>
      <c r="F577" s="703"/>
      <c r="G577" s="703"/>
      <c r="H577" s="703"/>
      <c r="I577" s="703"/>
    </row>
    <row r="578" spans="1:9">
      <c r="A578" s="703"/>
      <c r="B578" s="703"/>
      <c r="C578" s="703"/>
      <c r="D578" s="703"/>
      <c r="E578" s="703"/>
      <c r="F578" s="703"/>
      <c r="G578" s="703"/>
      <c r="H578" s="703"/>
      <c r="I578" s="703"/>
    </row>
    <row r="579" spans="1:9">
      <c r="A579" s="703"/>
      <c r="B579" s="703"/>
      <c r="C579" s="703"/>
      <c r="D579" s="703"/>
      <c r="E579" s="703"/>
      <c r="F579" s="703"/>
      <c r="G579" s="703"/>
      <c r="H579" s="703"/>
      <c r="I579" s="703"/>
    </row>
    <row r="580" spans="1:9">
      <c r="A580" s="703"/>
      <c r="B580" s="703"/>
      <c r="C580" s="703"/>
      <c r="D580" s="703"/>
      <c r="E580" s="703"/>
      <c r="F580" s="703"/>
      <c r="G580" s="703"/>
      <c r="H580" s="703"/>
      <c r="I580" s="703"/>
    </row>
    <row r="581" spans="1:9">
      <c r="A581" s="703"/>
      <c r="B581" s="703"/>
      <c r="C581" s="703"/>
      <c r="D581" s="703"/>
      <c r="E581" s="703"/>
      <c r="F581" s="703"/>
      <c r="G581" s="703"/>
      <c r="H581" s="703"/>
      <c r="I581" s="703"/>
    </row>
    <row r="582" spans="1:9">
      <c r="A582" s="703"/>
      <c r="B582" s="703"/>
      <c r="C582" s="703"/>
      <c r="D582" s="703"/>
      <c r="E582" s="703"/>
      <c r="F582" s="703"/>
      <c r="G582" s="703"/>
      <c r="H582" s="703"/>
      <c r="I582" s="703"/>
    </row>
    <row r="583" spans="1:9">
      <c r="A583" s="703"/>
      <c r="B583" s="703"/>
      <c r="C583" s="703"/>
      <c r="D583" s="703"/>
      <c r="E583" s="703"/>
      <c r="F583" s="703"/>
      <c r="G583" s="703"/>
      <c r="H583" s="703"/>
      <c r="I583" s="703"/>
    </row>
    <row r="584" spans="1:9">
      <c r="A584" s="703"/>
      <c r="B584" s="703"/>
      <c r="C584" s="703"/>
      <c r="D584" s="703"/>
      <c r="E584" s="703"/>
      <c r="F584" s="703"/>
      <c r="G584" s="703"/>
      <c r="H584" s="703"/>
      <c r="I584" s="703"/>
    </row>
    <row r="585" spans="1:9">
      <c r="A585" s="703"/>
      <c r="B585" s="703"/>
      <c r="C585" s="703"/>
      <c r="D585" s="703"/>
      <c r="E585" s="703"/>
      <c r="F585" s="703"/>
      <c r="G585" s="703"/>
      <c r="H585" s="703"/>
      <c r="I585" s="703"/>
    </row>
    <row r="586" spans="1:9">
      <c r="A586" s="703"/>
      <c r="B586" s="703"/>
      <c r="C586" s="703"/>
      <c r="D586" s="703"/>
      <c r="E586" s="703"/>
      <c r="F586" s="703"/>
      <c r="G586" s="703"/>
      <c r="H586" s="703"/>
      <c r="I586" s="703"/>
    </row>
    <row r="587" spans="1:9">
      <c r="A587" s="703"/>
      <c r="B587" s="703"/>
      <c r="C587" s="703"/>
      <c r="D587" s="703"/>
      <c r="E587" s="703"/>
      <c r="F587" s="703"/>
      <c r="G587" s="703"/>
      <c r="H587" s="703"/>
      <c r="I587" s="703"/>
    </row>
    <row r="588" spans="1:9">
      <c r="A588" s="703"/>
      <c r="B588" s="703"/>
      <c r="C588" s="703"/>
      <c r="D588" s="703"/>
      <c r="E588" s="703"/>
      <c r="F588" s="703"/>
      <c r="G588" s="703"/>
      <c r="H588" s="703"/>
      <c r="I588" s="703"/>
    </row>
    <row r="589" spans="1:9">
      <c r="A589" s="703"/>
      <c r="B589" s="703"/>
      <c r="C589" s="703"/>
      <c r="D589" s="703"/>
      <c r="E589" s="703"/>
      <c r="F589" s="703"/>
      <c r="G589" s="703"/>
      <c r="H589" s="703"/>
      <c r="I589" s="703"/>
    </row>
    <row r="590" spans="1:9">
      <c r="A590" s="703"/>
      <c r="B590" s="703"/>
      <c r="C590" s="703"/>
      <c r="D590" s="703"/>
      <c r="E590" s="703"/>
      <c r="F590" s="703"/>
      <c r="G590" s="703"/>
      <c r="H590" s="703"/>
      <c r="I590" s="703"/>
    </row>
    <row r="591" spans="1:9">
      <c r="A591" s="703"/>
      <c r="B591" s="703"/>
      <c r="C591" s="703"/>
      <c r="D591" s="703"/>
      <c r="E591" s="703"/>
      <c r="F591" s="703"/>
      <c r="G591" s="703"/>
      <c r="H591" s="703"/>
      <c r="I591" s="703"/>
    </row>
    <row r="592" spans="1:9">
      <c r="A592" s="703"/>
      <c r="B592" s="703"/>
      <c r="C592" s="703"/>
      <c r="D592" s="703"/>
      <c r="E592" s="703"/>
      <c r="F592" s="703"/>
      <c r="G592" s="703"/>
      <c r="H592" s="703"/>
      <c r="I592" s="703"/>
    </row>
    <row r="593" spans="1:9">
      <c r="A593" s="703"/>
      <c r="B593" s="703"/>
      <c r="C593" s="703"/>
      <c r="D593" s="703"/>
      <c r="E593" s="703"/>
      <c r="F593" s="703"/>
      <c r="G593" s="703"/>
      <c r="H593" s="703"/>
      <c r="I593" s="703"/>
    </row>
    <row r="594" spans="1:9">
      <c r="A594" s="703"/>
      <c r="B594" s="703"/>
      <c r="C594" s="703"/>
      <c r="D594" s="703"/>
      <c r="E594" s="703"/>
      <c r="F594" s="703"/>
      <c r="G594" s="703"/>
      <c r="H594" s="703"/>
      <c r="I594" s="703"/>
    </row>
    <row r="595" spans="1:9">
      <c r="A595" s="703"/>
      <c r="B595" s="703"/>
      <c r="C595" s="703"/>
      <c r="D595" s="703"/>
      <c r="E595" s="703"/>
      <c r="F595" s="703"/>
      <c r="G595" s="703"/>
      <c r="H595" s="703"/>
      <c r="I595" s="703"/>
    </row>
    <row r="596" spans="1:9">
      <c r="A596" s="703"/>
      <c r="B596" s="703"/>
      <c r="C596" s="703"/>
      <c r="D596" s="703"/>
      <c r="E596" s="703"/>
      <c r="F596" s="703"/>
      <c r="G596" s="703"/>
      <c r="H596" s="703"/>
      <c r="I596" s="703"/>
    </row>
    <row r="597" spans="1:9">
      <c r="A597" s="703"/>
      <c r="B597" s="703"/>
      <c r="C597" s="703"/>
      <c r="D597" s="703"/>
      <c r="E597" s="703"/>
      <c r="F597" s="703"/>
      <c r="G597" s="703"/>
      <c r="H597" s="703"/>
      <c r="I597" s="703"/>
    </row>
    <row r="598" spans="1:9">
      <c r="A598" s="703"/>
      <c r="B598" s="703"/>
      <c r="C598" s="703"/>
      <c r="D598" s="703"/>
      <c r="E598" s="703"/>
      <c r="F598" s="703"/>
      <c r="G598" s="703"/>
      <c r="H598" s="703"/>
      <c r="I598" s="703"/>
    </row>
    <row r="599" spans="1:9">
      <c r="A599" s="703"/>
      <c r="B599" s="703"/>
      <c r="C599" s="703"/>
      <c r="D599" s="703"/>
      <c r="E599" s="703"/>
      <c r="F599" s="703"/>
      <c r="G599" s="703"/>
      <c r="H599" s="703"/>
      <c r="I599" s="703"/>
    </row>
    <row r="600" spans="1:9">
      <c r="A600" s="703"/>
      <c r="B600" s="703"/>
      <c r="C600" s="703"/>
      <c r="D600" s="703"/>
      <c r="E600" s="703"/>
      <c r="F600" s="703"/>
      <c r="G600" s="703"/>
      <c r="H600" s="703"/>
      <c r="I600" s="703"/>
    </row>
    <row r="601" spans="1:9">
      <c r="A601" s="703"/>
      <c r="B601" s="703"/>
      <c r="C601" s="703"/>
      <c r="D601" s="703"/>
      <c r="E601" s="703"/>
      <c r="F601" s="703"/>
      <c r="G601" s="703"/>
      <c r="H601" s="703"/>
      <c r="I601" s="703"/>
    </row>
    <row r="602" spans="1:9">
      <c r="A602" s="703"/>
      <c r="B602" s="703"/>
      <c r="C602" s="703"/>
      <c r="D602" s="703"/>
      <c r="E602" s="703"/>
      <c r="F602" s="703"/>
      <c r="G602" s="703"/>
      <c r="H602" s="703"/>
      <c r="I602" s="703"/>
    </row>
    <row r="603" spans="1:9">
      <c r="A603" s="703"/>
      <c r="B603" s="703"/>
      <c r="C603" s="703"/>
      <c r="D603" s="703"/>
      <c r="E603" s="703"/>
      <c r="F603" s="703"/>
      <c r="G603" s="703"/>
      <c r="H603" s="703"/>
      <c r="I603" s="703"/>
    </row>
    <row r="604" spans="1:9">
      <c r="A604" s="703"/>
      <c r="B604" s="703"/>
      <c r="C604" s="703"/>
      <c r="D604" s="703"/>
      <c r="E604" s="703"/>
      <c r="F604" s="703"/>
      <c r="G604" s="703"/>
      <c r="H604" s="703"/>
      <c r="I604" s="703"/>
    </row>
    <row r="605" spans="1:9">
      <c r="A605" s="703"/>
      <c r="B605" s="703"/>
      <c r="C605" s="703"/>
      <c r="D605" s="703"/>
      <c r="E605" s="703"/>
      <c r="F605" s="703"/>
      <c r="G605" s="703"/>
      <c r="H605" s="703"/>
      <c r="I605" s="703"/>
    </row>
    <row r="606" spans="1:9">
      <c r="A606" s="703"/>
      <c r="B606" s="703"/>
      <c r="C606" s="703"/>
      <c r="D606" s="703"/>
      <c r="E606" s="703"/>
      <c r="F606" s="703"/>
      <c r="G606" s="703"/>
      <c r="H606" s="703"/>
      <c r="I606" s="703"/>
    </row>
    <row r="607" spans="1:9">
      <c r="A607" s="703"/>
      <c r="B607" s="703"/>
      <c r="C607" s="703"/>
      <c r="D607" s="703"/>
      <c r="E607" s="703"/>
      <c r="F607" s="703"/>
      <c r="G607" s="703"/>
      <c r="H607" s="703"/>
      <c r="I607" s="703"/>
    </row>
    <row r="608" spans="1:9">
      <c r="A608" s="703"/>
      <c r="B608" s="703"/>
      <c r="C608" s="703"/>
      <c r="D608" s="703"/>
      <c r="E608" s="703"/>
      <c r="F608" s="703"/>
      <c r="G608" s="703"/>
      <c r="H608" s="703"/>
      <c r="I608" s="703"/>
    </row>
    <row r="609" spans="1:9">
      <c r="A609" s="703"/>
      <c r="B609" s="703"/>
      <c r="C609" s="703"/>
      <c r="D609" s="703"/>
      <c r="E609" s="703"/>
      <c r="F609" s="703"/>
      <c r="G609" s="703"/>
      <c r="H609" s="703"/>
      <c r="I609" s="703"/>
    </row>
    <row r="610" spans="1:9">
      <c r="A610" s="703"/>
      <c r="B610" s="703"/>
      <c r="C610" s="703"/>
      <c r="D610" s="703"/>
      <c r="E610" s="703"/>
      <c r="F610" s="703"/>
      <c r="G610" s="703"/>
      <c r="H610" s="703"/>
      <c r="I610" s="703"/>
    </row>
    <row r="611" spans="1:9">
      <c r="A611" s="703"/>
      <c r="B611" s="703"/>
      <c r="C611" s="703"/>
      <c r="D611" s="703"/>
      <c r="E611" s="703"/>
      <c r="F611" s="703"/>
      <c r="G611" s="703"/>
      <c r="H611" s="703"/>
      <c r="I611" s="703"/>
    </row>
    <row r="612" spans="1:9">
      <c r="A612" s="703"/>
      <c r="B612" s="703"/>
      <c r="C612" s="703"/>
      <c r="D612" s="703"/>
      <c r="E612" s="703"/>
      <c r="F612" s="703"/>
      <c r="G612" s="703"/>
      <c r="H612" s="703"/>
      <c r="I612" s="703"/>
    </row>
    <row r="613" spans="1:9">
      <c r="A613" s="703"/>
      <c r="B613" s="703"/>
      <c r="C613" s="703"/>
      <c r="D613" s="703"/>
      <c r="E613" s="703"/>
      <c r="F613" s="703"/>
      <c r="G613" s="703"/>
      <c r="H613" s="703"/>
      <c r="I613" s="703"/>
    </row>
    <row r="614" spans="1:9">
      <c r="A614" s="703"/>
      <c r="B614" s="703"/>
      <c r="C614" s="703"/>
      <c r="D614" s="703"/>
      <c r="E614" s="703"/>
      <c r="F614" s="703"/>
      <c r="G614" s="703"/>
      <c r="H614" s="703"/>
      <c r="I614" s="703"/>
    </row>
    <row r="615" spans="1:9">
      <c r="A615" s="703"/>
      <c r="B615" s="703"/>
      <c r="C615" s="703"/>
      <c r="D615" s="703"/>
      <c r="E615" s="703"/>
      <c r="F615" s="703"/>
      <c r="G615" s="703"/>
      <c r="H615" s="703"/>
      <c r="I615" s="703"/>
    </row>
    <row r="616" spans="1:9">
      <c r="A616" s="703"/>
      <c r="B616" s="703"/>
      <c r="C616" s="703"/>
      <c r="D616" s="703"/>
      <c r="E616" s="703"/>
      <c r="F616" s="703"/>
      <c r="G616" s="703"/>
      <c r="H616" s="703"/>
      <c r="I616" s="703"/>
    </row>
    <row r="617" spans="1:9">
      <c r="A617" s="703"/>
      <c r="B617" s="703"/>
      <c r="C617" s="703"/>
      <c r="D617" s="703"/>
      <c r="E617" s="703"/>
      <c r="F617" s="703"/>
      <c r="G617" s="703"/>
      <c r="H617" s="703"/>
      <c r="I617" s="703"/>
    </row>
    <row r="618" spans="1:9">
      <c r="A618" s="703"/>
      <c r="B618" s="703"/>
      <c r="C618" s="703"/>
      <c r="D618" s="703"/>
      <c r="E618" s="703"/>
      <c r="F618" s="703"/>
      <c r="G618" s="703"/>
      <c r="H618" s="703"/>
      <c r="I618" s="703"/>
    </row>
    <row r="619" spans="1:9">
      <c r="A619" s="703"/>
      <c r="B619" s="703"/>
      <c r="C619" s="703"/>
      <c r="D619" s="703"/>
      <c r="E619" s="703"/>
      <c r="F619" s="703"/>
      <c r="G619" s="703"/>
      <c r="H619" s="703"/>
      <c r="I619" s="703"/>
    </row>
    <row r="620" spans="1:9">
      <c r="A620" s="703"/>
      <c r="B620" s="703"/>
      <c r="C620" s="703"/>
      <c r="D620" s="703"/>
      <c r="E620" s="703"/>
      <c r="F620" s="703"/>
      <c r="G620" s="703"/>
      <c r="H620" s="703"/>
      <c r="I620" s="703"/>
    </row>
    <row r="621" spans="1:9">
      <c r="A621" s="703"/>
      <c r="B621" s="703"/>
      <c r="C621" s="703"/>
      <c r="D621" s="703"/>
      <c r="E621" s="703"/>
      <c r="F621" s="703"/>
      <c r="G621" s="703"/>
      <c r="H621" s="703"/>
      <c r="I621" s="703"/>
    </row>
    <row r="622" spans="1:9">
      <c r="A622" s="703"/>
      <c r="B622" s="703"/>
      <c r="C622" s="703"/>
      <c r="D622" s="703"/>
      <c r="E622" s="703"/>
      <c r="F622" s="703"/>
      <c r="G622" s="703"/>
      <c r="H622" s="703"/>
      <c r="I622" s="703"/>
    </row>
    <row r="623" spans="1:9">
      <c r="A623" s="703"/>
      <c r="B623" s="703"/>
      <c r="C623" s="703"/>
      <c r="D623" s="703"/>
      <c r="E623" s="703"/>
      <c r="F623" s="703"/>
      <c r="G623" s="703"/>
      <c r="H623" s="703"/>
      <c r="I623" s="703"/>
    </row>
    <row r="624" spans="1:9">
      <c r="A624" s="703"/>
      <c r="B624" s="703"/>
      <c r="C624" s="703"/>
      <c r="D624" s="703"/>
      <c r="E624" s="703"/>
      <c r="F624" s="703"/>
      <c r="G624" s="703"/>
      <c r="H624" s="703"/>
      <c r="I624" s="703"/>
    </row>
    <row r="625" spans="1:9">
      <c r="A625" s="703"/>
      <c r="B625" s="703"/>
      <c r="C625" s="703"/>
      <c r="D625" s="703"/>
      <c r="E625" s="703"/>
      <c r="F625" s="703"/>
      <c r="G625" s="703"/>
      <c r="H625" s="703"/>
      <c r="I625" s="703"/>
    </row>
    <row r="626" spans="1:9">
      <c r="A626" s="703"/>
      <c r="B626" s="703"/>
      <c r="C626" s="703"/>
      <c r="D626" s="703"/>
      <c r="E626" s="703"/>
      <c r="F626" s="703"/>
      <c r="G626" s="703"/>
      <c r="H626" s="703"/>
      <c r="I626" s="703"/>
    </row>
    <row r="627" spans="1:9">
      <c r="A627" s="703"/>
      <c r="B627" s="703"/>
      <c r="C627" s="703"/>
      <c r="D627" s="703"/>
      <c r="E627" s="703"/>
      <c r="F627" s="703"/>
      <c r="G627" s="703"/>
      <c r="H627" s="703"/>
      <c r="I627" s="703"/>
    </row>
    <row r="628" spans="1:9">
      <c r="A628" s="703"/>
      <c r="B628" s="703"/>
      <c r="C628" s="703"/>
      <c r="D628" s="703"/>
      <c r="E628" s="703"/>
      <c r="F628" s="703"/>
      <c r="G628" s="703"/>
      <c r="H628" s="703"/>
      <c r="I628" s="703"/>
    </row>
    <row r="629" spans="1:9">
      <c r="A629" s="703"/>
      <c r="B629" s="703"/>
      <c r="C629" s="703"/>
      <c r="D629" s="703"/>
      <c r="E629" s="703"/>
      <c r="F629" s="703"/>
      <c r="G629" s="703"/>
      <c r="H629" s="703"/>
      <c r="I629" s="703"/>
    </row>
    <row r="630" spans="1:9">
      <c r="A630" s="703"/>
      <c r="B630" s="703"/>
      <c r="C630" s="703"/>
      <c r="D630" s="703"/>
      <c r="E630" s="703"/>
      <c r="F630" s="703"/>
      <c r="G630" s="703"/>
      <c r="H630" s="703"/>
      <c r="I630" s="703"/>
    </row>
    <row r="631" spans="1:9">
      <c r="A631" s="703"/>
      <c r="B631" s="703"/>
      <c r="C631" s="703"/>
      <c r="D631" s="703"/>
      <c r="E631" s="703"/>
      <c r="F631" s="703"/>
      <c r="G631" s="703"/>
      <c r="H631" s="703"/>
      <c r="I631" s="703"/>
    </row>
    <row r="632" spans="1:9">
      <c r="A632" s="703"/>
      <c r="B632" s="703"/>
      <c r="C632" s="703"/>
      <c r="D632" s="703"/>
      <c r="E632" s="703"/>
      <c r="F632" s="703"/>
      <c r="G632" s="703"/>
      <c r="H632" s="703"/>
      <c r="I632" s="703"/>
    </row>
    <row r="633" spans="1:9">
      <c r="A633" s="703"/>
      <c r="B633" s="703"/>
      <c r="C633" s="703"/>
      <c r="D633" s="703"/>
      <c r="E633" s="703"/>
      <c r="F633" s="703"/>
      <c r="G633" s="703"/>
      <c r="H633" s="703"/>
      <c r="I633" s="703"/>
    </row>
    <row r="634" spans="1:9">
      <c r="A634" s="703"/>
      <c r="B634" s="703"/>
      <c r="C634" s="703"/>
      <c r="D634" s="703"/>
      <c r="E634" s="703"/>
      <c r="F634" s="703"/>
      <c r="G634" s="703"/>
      <c r="H634" s="703"/>
      <c r="I634" s="703"/>
    </row>
    <row r="635" spans="1:9">
      <c r="A635" s="703"/>
      <c r="B635" s="703"/>
      <c r="C635" s="703"/>
      <c r="D635" s="703"/>
      <c r="E635" s="703"/>
      <c r="F635" s="703"/>
      <c r="G635" s="703"/>
      <c r="H635" s="703"/>
      <c r="I635" s="703"/>
    </row>
    <row r="636" spans="1:9">
      <c r="A636" s="703"/>
      <c r="B636" s="703"/>
      <c r="C636" s="703"/>
      <c r="D636" s="703"/>
      <c r="E636" s="703"/>
      <c r="F636" s="703"/>
      <c r="G636" s="703"/>
      <c r="H636" s="703"/>
      <c r="I636" s="703"/>
    </row>
    <row r="637" spans="1:9">
      <c r="A637" s="703"/>
      <c r="B637" s="703"/>
      <c r="C637" s="703"/>
      <c r="D637" s="703"/>
      <c r="E637" s="703"/>
      <c r="F637" s="703"/>
      <c r="G637" s="703"/>
      <c r="H637" s="703"/>
      <c r="I637" s="703"/>
    </row>
    <row r="638" spans="1:9">
      <c r="A638" s="703"/>
      <c r="B638" s="703"/>
      <c r="C638" s="703"/>
      <c r="D638" s="703"/>
      <c r="E638" s="703"/>
      <c r="F638" s="703"/>
      <c r="G638" s="703"/>
      <c r="H638" s="703"/>
      <c r="I638" s="703"/>
    </row>
    <row r="639" spans="1:9">
      <c r="A639" s="703"/>
      <c r="B639" s="703"/>
      <c r="C639" s="703"/>
      <c r="D639" s="703"/>
      <c r="E639" s="703"/>
      <c r="F639" s="703"/>
      <c r="G639" s="703"/>
      <c r="H639" s="703"/>
      <c r="I639" s="703"/>
    </row>
    <row r="640" spans="1:9">
      <c r="A640" s="703"/>
      <c r="B640" s="703"/>
      <c r="C640" s="703"/>
      <c r="D640" s="703"/>
      <c r="E640" s="703"/>
      <c r="F640" s="703"/>
      <c r="G640" s="703"/>
      <c r="H640" s="703"/>
      <c r="I640" s="703"/>
    </row>
    <row r="641" spans="1:9">
      <c r="A641" s="703"/>
      <c r="B641" s="703"/>
      <c r="C641" s="703"/>
      <c r="D641" s="703"/>
      <c r="E641" s="703"/>
      <c r="F641" s="703"/>
      <c r="G641" s="703"/>
      <c r="H641" s="703"/>
      <c r="I641" s="703"/>
    </row>
    <row r="642" spans="1:9">
      <c r="A642" s="703"/>
      <c r="B642" s="703"/>
      <c r="C642" s="703"/>
      <c r="D642" s="703"/>
      <c r="E642" s="703"/>
      <c r="F642" s="703"/>
      <c r="G642" s="703"/>
      <c r="H642" s="703"/>
      <c r="I642" s="703"/>
    </row>
    <row r="643" spans="1:9">
      <c r="A643" s="703"/>
      <c r="B643" s="703"/>
      <c r="C643" s="703"/>
      <c r="D643" s="703"/>
      <c r="E643" s="703"/>
      <c r="F643" s="703"/>
      <c r="G643" s="703"/>
      <c r="H643" s="703"/>
      <c r="I643" s="703"/>
    </row>
    <row r="644" spans="1:9">
      <c r="A644" s="703"/>
      <c r="B644" s="703"/>
      <c r="C644" s="703"/>
      <c r="D644" s="703"/>
      <c r="E644" s="703"/>
      <c r="F644" s="703"/>
      <c r="G644" s="703"/>
      <c r="H644" s="703"/>
      <c r="I644" s="703"/>
    </row>
    <row r="645" spans="1:9">
      <c r="A645" s="703"/>
      <c r="B645" s="703"/>
      <c r="C645" s="703"/>
      <c r="D645" s="703"/>
      <c r="E645" s="703"/>
      <c r="F645" s="703"/>
      <c r="G645" s="703"/>
      <c r="H645" s="703"/>
      <c r="I645" s="703"/>
    </row>
    <row r="646" spans="1:9">
      <c r="A646" s="703"/>
      <c r="B646" s="703"/>
      <c r="C646" s="703"/>
      <c r="D646" s="703"/>
      <c r="E646" s="703"/>
      <c r="F646" s="703"/>
      <c r="G646" s="703"/>
      <c r="H646" s="703"/>
      <c r="I646" s="703"/>
    </row>
    <row r="647" spans="1:9">
      <c r="A647" s="703"/>
      <c r="B647" s="703"/>
      <c r="C647" s="703"/>
      <c r="D647" s="703"/>
      <c r="E647" s="703"/>
      <c r="F647" s="703"/>
      <c r="G647" s="703"/>
      <c r="H647" s="703"/>
      <c r="I647" s="703"/>
    </row>
    <row r="648" spans="1:9">
      <c r="A648" s="703"/>
      <c r="B648" s="703"/>
      <c r="C648" s="703"/>
      <c r="D648" s="703"/>
      <c r="E648" s="703"/>
      <c r="F648" s="703"/>
      <c r="G648" s="703"/>
      <c r="H648" s="703"/>
      <c r="I648" s="703"/>
    </row>
    <row r="649" spans="1:9">
      <c r="A649" s="703"/>
      <c r="B649" s="703"/>
      <c r="C649" s="703"/>
      <c r="D649" s="703"/>
      <c r="E649" s="703"/>
      <c r="F649" s="703"/>
      <c r="G649" s="703"/>
      <c r="H649" s="703"/>
      <c r="I649" s="703"/>
    </row>
    <row r="650" spans="1:9">
      <c r="A650" s="703"/>
      <c r="B650" s="703"/>
      <c r="C650" s="703"/>
      <c r="D650" s="703"/>
      <c r="E650" s="703"/>
      <c r="F650" s="703"/>
      <c r="G650" s="703"/>
      <c r="H650" s="703"/>
      <c r="I650" s="703"/>
    </row>
    <row r="651" spans="1:9">
      <c r="A651" s="703"/>
      <c r="B651" s="703"/>
      <c r="C651" s="703"/>
      <c r="D651" s="703"/>
      <c r="E651" s="703"/>
      <c r="F651" s="703"/>
      <c r="G651" s="703"/>
      <c r="H651" s="703"/>
      <c r="I651" s="703"/>
    </row>
    <row r="652" spans="1:9">
      <c r="A652" s="703"/>
      <c r="B652" s="703"/>
      <c r="C652" s="703"/>
      <c r="D652" s="703"/>
      <c r="E652" s="703"/>
      <c r="F652" s="703"/>
      <c r="G652" s="703"/>
      <c r="H652" s="703"/>
      <c r="I652" s="703"/>
    </row>
    <row r="653" spans="1:9">
      <c r="A653" s="703"/>
      <c r="B653" s="703"/>
      <c r="C653" s="703"/>
      <c r="D653" s="703"/>
      <c r="E653" s="703"/>
      <c r="F653" s="703"/>
      <c r="G653" s="703"/>
      <c r="H653" s="703"/>
      <c r="I653" s="703"/>
    </row>
    <row r="654" spans="1:9">
      <c r="A654" s="703"/>
      <c r="B654" s="703"/>
      <c r="C654" s="703"/>
      <c r="D654" s="703"/>
      <c r="E654" s="703"/>
      <c r="F654" s="703"/>
      <c r="G654" s="703"/>
      <c r="H654" s="703"/>
      <c r="I654" s="703"/>
    </row>
    <row r="655" spans="1:9">
      <c r="A655" s="703"/>
      <c r="B655" s="703"/>
      <c r="C655" s="703"/>
      <c r="D655" s="703"/>
      <c r="E655" s="703"/>
      <c r="F655" s="703"/>
      <c r="G655" s="703"/>
      <c r="H655" s="703"/>
      <c r="I655" s="703"/>
    </row>
    <row r="656" spans="1:9">
      <c r="A656" s="703"/>
      <c r="B656" s="703"/>
      <c r="C656" s="703"/>
      <c r="D656" s="703"/>
      <c r="E656" s="703"/>
      <c r="F656" s="703"/>
      <c r="G656" s="703"/>
      <c r="H656" s="703"/>
      <c r="I656" s="703"/>
    </row>
    <row r="657" spans="1:9">
      <c r="A657" s="703"/>
      <c r="B657" s="703"/>
      <c r="C657" s="703"/>
      <c r="D657" s="703"/>
      <c r="E657" s="703"/>
      <c r="F657" s="703"/>
      <c r="G657" s="703"/>
      <c r="H657" s="703"/>
      <c r="I657" s="703"/>
    </row>
    <row r="658" spans="1:9">
      <c r="A658" s="703"/>
      <c r="B658" s="703"/>
      <c r="C658" s="703"/>
      <c r="D658" s="703"/>
      <c r="E658" s="703"/>
      <c r="F658" s="703"/>
      <c r="G658" s="703"/>
      <c r="H658" s="703"/>
      <c r="I658" s="703"/>
    </row>
    <row r="659" spans="1:9">
      <c r="A659" s="703"/>
      <c r="B659" s="703"/>
      <c r="C659" s="703"/>
      <c r="D659" s="703"/>
      <c r="E659" s="703"/>
      <c r="F659" s="703"/>
      <c r="G659" s="703"/>
      <c r="H659" s="703"/>
      <c r="I659" s="703"/>
    </row>
    <row r="660" spans="1:9">
      <c r="A660" s="703"/>
      <c r="B660" s="703"/>
      <c r="C660" s="703"/>
      <c r="D660" s="703"/>
      <c r="E660" s="703"/>
      <c r="F660" s="703"/>
      <c r="G660" s="703"/>
      <c r="H660" s="703"/>
      <c r="I660" s="703"/>
    </row>
    <row r="661" spans="1:9">
      <c r="A661" s="703"/>
      <c r="B661" s="703"/>
      <c r="C661" s="703"/>
      <c r="D661" s="703"/>
      <c r="E661" s="703"/>
      <c r="F661" s="703"/>
      <c r="G661" s="703"/>
      <c r="H661" s="703"/>
      <c r="I661" s="703"/>
    </row>
    <row r="662" spans="1:9">
      <c r="A662" s="703"/>
      <c r="B662" s="703"/>
      <c r="C662" s="703"/>
      <c r="D662" s="703"/>
      <c r="E662" s="703"/>
      <c r="F662" s="703"/>
      <c r="G662" s="703"/>
      <c r="H662" s="703"/>
      <c r="I662" s="703"/>
    </row>
    <row r="663" spans="1:9">
      <c r="A663" s="703"/>
      <c r="B663" s="703"/>
      <c r="C663" s="703"/>
      <c r="D663" s="703"/>
      <c r="E663" s="703"/>
      <c r="F663" s="703"/>
      <c r="G663" s="703"/>
      <c r="H663" s="703"/>
      <c r="I663" s="703"/>
    </row>
    <row r="664" spans="1:9">
      <c r="A664" s="703"/>
      <c r="B664" s="703"/>
      <c r="C664" s="703"/>
      <c r="D664" s="703"/>
      <c r="E664" s="703"/>
      <c r="F664" s="703"/>
      <c r="G664" s="703"/>
      <c r="H664" s="703"/>
      <c r="I664" s="703"/>
    </row>
    <row r="665" spans="1:9">
      <c r="A665" s="703"/>
      <c r="B665" s="703"/>
      <c r="C665" s="703"/>
      <c r="D665" s="703"/>
      <c r="E665" s="703"/>
      <c r="F665" s="703"/>
      <c r="G665" s="703"/>
      <c r="H665" s="703"/>
      <c r="I665" s="703"/>
    </row>
    <row r="666" spans="1:9">
      <c r="A666" s="703"/>
      <c r="B666" s="703"/>
      <c r="C666" s="703"/>
      <c r="D666" s="703"/>
      <c r="E666" s="703"/>
      <c r="F666" s="703"/>
      <c r="G666" s="703"/>
      <c r="H666" s="703"/>
      <c r="I666" s="703"/>
    </row>
    <row r="667" spans="1:9">
      <c r="A667" s="703"/>
      <c r="B667" s="703"/>
      <c r="C667" s="703"/>
      <c r="D667" s="703"/>
      <c r="E667" s="703"/>
      <c r="F667" s="703"/>
      <c r="G667" s="703"/>
      <c r="H667" s="703"/>
      <c r="I667" s="703"/>
    </row>
    <row r="668" spans="1:9">
      <c r="A668" s="703"/>
      <c r="B668" s="703"/>
      <c r="C668" s="703"/>
      <c r="D668" s="703"/>
      <c r="E668" s="703"/>
      <c r="F668" s="703"/>
      <c r="G668" s="703"/>
      <c r="H668" s="703"/>
      <c r="I668" s="703"/>
    </row>
    <row r="669" spans="1:9">
      <c r="A669" s="703"/>
      <c r="B669" s="703"/>
      <c r="C669" s="703"/>
      <c r="D669" s="703"/>
      <c r="E669" s="703"/>
      <c r="F669" s="703"/>
      <c r="G669" s="703"/>
      <c r="H669" s="703"/>
      <c r="I669" s="703"/>
    </row>
    <row r="670" spans="1:9">
      <c r="A670" s="703"/>
      <c r="B670" s="703"/>
      <c r="C670" s="703"/>
      <c r="D670" s="703"/>
      <c r="E670" s="703"/>
      <c r="F670" s="703"/>
      <c r="G670" s="703"/>
      <c r="H670" s="703"/>
      <c r="I670" s="703"/>
    </row>
    <row r="671" spans="1:9">
      <c r="A671" s="703"/>
      <c r="B671" s="703"/>
      <c r="C671" s="703"/>
      <c r="D671" s="703"/>
      <c r="E671" s="703"/>
      <c r="F671" s="703"/>
      <c r="G671" s="703"/>
      <c r="H671" s="703"/>
      <c r="I671" s="703"/>
    </row>
    <row r="672" spans="1:9">
      <c r="A672" s="703"/>
      <c r="B672" s="703"/>
      <c r="C672" s="703"/>
      <c r="D672" s="703"/>
      <c r="E672" s="703"/>
      <c r="F672" s="703"/>
      <c r="G672" s="703"/>
      <c r="H672" s="703"/>
      <c r="I672" s="703"/>
    </row>
    <row r="673" spans="1:9">
      <c r="A673" s="703"/>
      <c r="B673" s="703"/>
      <c r="C673" s="703"/>
      <c r="D673" s="703"/>
      <c r="E673" s="703"/>
      <c r="F673" s="703"/>
      <c r="G673" s="703"/>
      <c r="H673" s="703"/>
      <c r="I673" s="703"/>
    </row>
    <row r="674" spans="1:9">
      <c r="A674" s="703"/>
      <c r="B674" s="703"/>
      <c r="C674" s="703"/>
      <c r="D674" s="703"/>
      <c r="E674" s="703"/>
      <c r="F674" s="703"/>
      <c r="G674" s="703"/>
      <c r="H674" s="703"/>
      <c r="I674" s="703"/>
    </row>
    <row r="675" spans="1:9">
      <c r="A675" s="703"/>
      <c r="B675" s="703"/>
      <c r="C675" s="703"/>
      <c r="D675" s="703"/>
      <c r="E675" s="703"/>
      <c r="F675" s="703"/>
      <c r="G675" s="703"/>
      <c r="H675" s="703"/>
      <c r="I675" s="703"/>
    </row>
    <row r="676" spans="1:9">
      <c r="A676" s="703"/>
      <c r="B676" s="703"/>
      <c r="C676" s="703"/>
      <c r="D676" s="703"/>
      <c r="E676" s="703"/>
      <c r="F676" s="703"/>
      <c r="G676" s="703"/>
      <c r="H676" s="703"/>
      <c r="I676" s="703"/>
    </row>
    <row r="677" spans="1:9">
      <c r="A677" s="703"/>
      <c r="B677" s="703"/>
      <c r="C677" s="703"/>
      <c r="D677" s="703"/>
      <c r="E677" s="703"/>
      <c r="F677" s="703"/>
      <c r="G677" s="703"/>
      <c r="H677" s="703"/>
      <c r="I677" s="703"/>
    </row>
    <row r="678" spans="1:9">
      <c r="A678" s="703"/>
      <c r="B678" s="703"/>
      <c r="C678" s="703"/>
      <c r="D678" s="703"/>
      <c r="E678" s="703"/>
      <c r="F678" s="703"/>
      <c r="G678" s="703"/>
      <c r="H678" s="703"/>
      <c r="I678" s="703"/>
    </row>
    <row r="679" spans="1:9">
      <c r="A679" s="703"/>
      <c r="B679" s="703"/>
      <c r="C679" s="703"/>
      <c r="D679" s="703"/>
      <c r="E679" s="703"/>
      <c r="F679" s="703"/>
      <c r="G679" s="703"/>
      <c r="H679" s="703"/>
      <c r="I679" s="703"/>
    </row>
    <row r="680" spans="1:9">
      <c r="A680" s="703"/>
      <c r="B680" s="703"/>
      <c r="C680" s="703"/>
      <c r="D680" s="703"/>
      <c r="E680" s="703"/>
      <c r="F680" s="703"/>
      <c r="G680" s="703"/>
      <c r="H680" s="703"/>
      <c r="I680" s="703"/>
    </row>
    <row r="681" spans="1:9">
      <c r="A681" s="703"/>
      <c r="B681" s="703"/>
      <c r="C681" s="703"/>
      <c r="D681" s="703"/>
      <c r="E681" s="703"/>
      <c r="F681" s="703"/>
      <c r="G681" s="703"/>
      <c r="H681" s="703"/>
      <c r="I681" s="703"/>
    </row>
    <row r="682" spans="1:9">
      <c r="A682" s="703"/>
      <c r="B682" s="703"/>
      <c r="C682" s="703"/>
      <c r="D682" s="703"/>
      <c r="E682" s="703"/>
      <c r="F682" s="703"/>
      <c r="G682" s="703"/>
      <c r="H682" s="703"/>
      <c r="I682" s="703"/>
    </row>
    <row r="683" spans="1:9">
      <c r="A683" s="703"/>
      <c r="B683" s="703"/>
      <c r="C683" s="703"/>
      <c r="D683" s="703"/>
      <c r="E683" s="703"/>
      <c r="F683" s="703"/>
      <c r="G683" s="703"/>
      <c r="H683" s="703"/>
      <c r="I683" s="703"/>
    </row>
    <row r="684" spans="1:9">
      <c r="A684" s="703"/>
      <c r="B684" s="703"/>
      <c r="C684" s="703"/>
      <c r="D684" s="703"/>
      <c r="E684" s="703"/>
      <c r="F684" s="703"/>
      <c r="G684" s="703"/>
      <c r="H684" s="703"/>
      <c r="I684" s="703"/>
    </row>
    <row r="685" spans="1:9">
      <c r="A685" s="703"/>
      <c r="B685" s="703"/>
      <c r="C685" s="703"/>
      <c r="D685" s="703"/>
      <c r="E685" s="703"/>
      <c r="F685" s="703"/>
      <c r="G685" s="703"/>
      <c r="H685" s="703"/>
      <c r="I685" s="703"/>
    </row>
    <row r="686" spans="1:9">
      <c r="A686" s="703"/>
      <c r="B686" s="703"/>
      <c r="C686" s="703"/>
      <c r="D686" s="703"/>
      <c r="E686" s="703"/>
      <c r="F686" s="703"/>
      <c r="G686" s="703"/>
      <c r="H686" s="703"/>
      <c r="I686" s="703"/>
    </row>
    <row r="687" spans="1:9">
      <c r="A687" s="703"/>
      <c r="B687" s="703"/>
      <c r="C687" s="703"/>
      <c r="D687" s="703"/>
      <c r="E687" s="703"/>
      <c r="F687" s="703"/>
      <c r="G687" s="703"/>
      <c r="H687" s="703"/>
      <c r="I687" s="703"/>
    </row>
    <row r="688" spans="1:9">
      <c r="A688" s="703"/>
      <c r="B688" s="703"/>
      <c r="C688" s="703"/>
      <c r="D688" s="703"/>
      <c r="E688" s="703"/>
      <c r="F688" s="703"/>
      <c r="G688" s="703"/>
      <c r="H688" s="703"/>
      <c r="I688" s="703"/>
    </row>
    <row r="689" spans="1:9">
      <c r="A689" s="703"/>
      <c r="B689" s="703"/>
      <c r="C689" s="703"/>
      <c r="D689" s="703"/>
      <c r="E689" s="703"/>
      <c r="F689" s="703"/>
      <c r="G689" s="703"/>
      <c r="H689" s="703"/>
      <c r="I689" s="703"/>
    </row>
    <row r="690" spans="1:9">
      <c r="A690" s="703"/>
      <c r="B690" s="703"/>
      <c r="C690" s="703"/>
      <c r="D690" s="703"/>
      <c r="E690" s="703"/>
      <c r="F690" s="703"/>
      <c r="G690" s="703"/>
      <c r="H690" s="703"/>
      <c r="I690" s="703"/>
    </row>
    <row r="691" spans="1:9">
      <c r="A691" s="703"/>
      <c r="B691" s="703"/>
      <c r="C691" s="703"/>
      <c r="D691" s="703"/>
      <c r="E691" s="703"/>
      <c r="F691" s="703"/>
      <c r="G691" s="703"/>
      <c r="H691" s="703"/>
      <c r="I691" s="703"/>
    </row>
    <row r="692" spans="1:9">
      <c r="A692" s="703"/>
      <c r="B692" s="703"/>
      <c r="C692" s="703"/>
      <c r="D692" s="703"/>
      <c r="E692" s="703"/>
      <c r="F692" s="703"/>
      <c r="G692" s="703"/>
      <c r="H692" s="703"/>
      <c r="I692" s="703"/>
    </row>
    <row r="693" spans="1:9">
      <c r="A693" s="703"/>
      <c r="B693" s="703"/>
      <c r="C693" s="703"/>
      <c r="D693" s="703"/>
      <c r="E693" s="703"/>
      <c r="F693" s="703"/>
      <c r="G693" s="703"/>
      <c r="H693" s="703"/>
      <c r="I693" s="703"/>
    </row>
    <row r="694" spans="1:9">
      <c r="A694" s="703"/>
      <c r="B694" s="703"/>
      <c r="C694" s="703"/>
      <c r="D694" s="703"/>
      <c r="E694" s="703"/>
      <c r="F694" s="703"/>
      <c r="G694" s="703"/>
      <c r="H694" s="703"/>
      <c r="I694" s="703"/>
    </row>
    <row r="695" spans="1:9">
      <c r="A695" s="703"/>
      <c r="B695" s="703"/>
      <c r="C695" s="703"/>
      <c r="D695" s="703"/>
      <c r="E695" s="703"/>
      <c r="F695" s="703"/>
      <c r="G695" s="703"/>
      <c r="H695" s="703"/>
      <c r="I695" s="703"/>
    </row>
    <row r="696" spans="1:9">
      <c r="A696" s="703"/>
      <c r="B696" s="703"/>
      <c r="C696" s="703"/>
      <c r="D696" s="703"/>
      <c r="E696" s="703"/>
      <c r="F696" s="703"/>
      <c r="G696" s="703"/>
      <c r="H696" s="703"/>
      <c r="I696" s="703"/>
    </row>
    <row r="697" spans="1:9">
      <c r="A697" s="703"/>
      <c r="B697" s="703"/>
      <c r="C697" s="703"/>
      <c r="D697" s="703"/>
      <c r="E697" s="703"/>
      <c r="F697" s="703"/>
      <c r="G697" s="703"/>
      <c r="H697" s="703"/>
      <c r="I697" s="703"/>
    </row>
    <row r="698" spans="1:9">
      <c r="A698" s="703"/>
      <c r="B698" s="703"/>
      <c r="C698" s="703"/>
      <c r="D698" s="703"/>
      <c r="E698" s="703"/>
      <c r="F698" s="703"/>
      <c r="G698" s="703"/>
      <c r="H698" s="703"/>
      <c r="I698" s="703"/>
    </row>
    <row r="699" spans="1:9">
      <c r="A699" s="703"/>
      <c r="B699" s="703"/>
      <c r="C699" s="703"/>
      <c r="D699" s="703"/>
      <c r="E699" s="703"/>
      <c r="F699" s="703"/>
      <c r="G699" s="703"/>
      <c r="H699" s="703"/>
      <c r="I699" s="703"/>
    </row>
    <row r="700" spans="1:9">
      <c r="A700" s="703"/>
      <c r="B700" s="703"/>
      <c r="C700" s="703"/>
      <c r="D700" s="703"/>
      <c r="E700" s="703"/>
      <c r="F700" s="703"/>
      <c r="G700" s="703"/>
      <c r="H700" s="703"/>
      <c r="I700" s="703"/>
    </row>
    <row r="701" spans="1:9">
      <c r="A701" s="703"/>
      <c r="B701" s="703"/>
      <c r="C701" s="703"/>
      <c r="D701" s="703"/>
      <c r="E701" s="703"/>
      <c r="F701" s="703"/>
      <c r="G701" s="703"/>
      <c r="H701" s="703"/>
      <c r="I701" s="703"/>
    </row>
    <row r="702" spans="1:9">
      <c r="A702" s="703"/>
      <c r="B702" s="703"/>
      <c r="C702" s="703"/>
      <c r="D702" s="703"/>
      <c r="E702" s="703"/>
      <c r="F702" s="703"/>
      <c r="G702" s="703"/>
      <c r="H702" s="703"/>
      <c r="I702" s="703"/>
    </row>
    <row r="703" spans="1:9">
      <c r="A703" s="703"/>
      <c r="B703" s="703"/>
      <c r="C703" s="703"/>
      <c r="D703" s="703"/>
      <c r="E703" s="703"/>
      <c r="F703" s="703"/>
      <c r="G703" s="703"/>
      <c r="H703" s="703"/>
      <c r="I703" s="703"/>
    </row>
    <row r="704" spans="1:9">
      <c r="A704" s="703"/>
      <c r="B704" s="703"/>
      <c r="C704" s="703"/>
      <c r="D704" s="703"/>
      <c r="E704" s="703"/>
      <c r="F704" s="703"/>
      <c r="G704" s="703"/>
      <c r="H704" s="703"/>
      <c r="I704" s="703"/>
    </row>
    <row r="705" spans="1:9">
      <c r="A705" s="703"/>
      <c r="B705" s="703"/>
      <c r="C705" s="703"/>
      <c r="D705" s="703"/>
      <c r="E705" s="703"/>
      <c r="F705" s="703"/>
      <c r="G705" s="703"/>
      <c r="H705" s="703"/>
      <c r="I705" s="703"/>
    </row>
    <row r="706" spans="1:9">
      <c r="A706" s="703"/>
      <c r="B706" s="703"/>
      <c r="C706" s="703"/>
      <c r="D706" s="703"/>
      <c r="E706" s="703"/>
      <c r="F706" s="703"/>
      <c r="G706" s="703"/>
      <c r="H706" s="703"/>
      <c r="I706" s="703"/>
    </row>
    <row r="707" spans="1:9">
      <c r="A707" s="703"/>
      <c r="B707" s="703"/>
      <c r="C707" s="703"/>
      <c r="D707" s="703"/>
      <c r="E707" s="703"/>
      <c r="F707" s="703"/>
      <c r="G707" s="703"/>
      <c r="H707" s="703"/>
      <c r="I707" s="703"/>
    </row>
    <row r="708" spans="1:9">
      <c r="A708" s="703"/>
      <c r="B708" s="703"/>
      <c r="C708" s="703"/>
      <c r="D708" s="703"/>
      <c r="E708" s="703"/>
      <c r="F708" s="703"/>
      <c r="G708" s="703"/>
      <c r="H708" s="703"/>
      <c r="I708" s="703"/>
    </row>
    <row r="709" spans="1:9">
      <c r="A709" s="703"/>
      <c r="B709" s="703"/>
      <c r="C709" s="703"/>
      <c r="D709" s="703"/>
      <c r="E709" s="703"/>
      <c r="F709" s="703"/>
      <c r="G709" s="703"/>
      <c r="H709" s="703"/>
      <c r="I709" s="703"/>
    </row>
    <row r="710" spans="1:9">
      <c r="A710" s="703"/>
      <c r="B710" s="703"/>
      <c r="C710" s="703"/>
      <c r="D710" s="703"/>
      <c r="E710" s="703"/>
      <c r="F710" s="703"/>
      <c r="G710" s="703"/>
      <c r="H710" s="703"/>
      <c r="I710" s="703"/>
    </row>
    <row r="711" spans="1:9">
      <c r="A711" s="703"/>
      <c r="B711" s="703"/>
      <c r="C711" s="703"/>
      <c r="D711" s="703"/>
      <c r="E711" s="703"/>
      <c r="F711" s="703"/>
      <c r="G711" s="703"/>
      <c r="H711" s="703"/>
      <c r="I711" s="703"/>
    </row>
    <row r="712" spans="1:9">
      <c r="A712" s="703"/>
      <c r="B712" s="703"/>
      <c r="C712" s="703"/>
      <c r="D712" s="703"/>
      <c r="E712" s="703"/>
      <c r="F712" s="703"/>
      <c r="G712" s="703"/>
      <c r="H712" s="703"/>
      <c r="I712" s="703"/>
    </row>
    <row r="713" spans="1:9">
      <c r="A713" s="703"/>
      <c r="B713" s="703"/>
      <c r="C713" s="703"/>
      <c r="D713" s="703"/>
      <c r="E713" s="703"/>
      <c r="F713" s="703"/>
      <c r="G713" s="703"/>
      <c r="H713" s="703"/>
      <c r="I713" s="703"/>
    </row>
    <row r="714" spans="1:9">
      <c r="A714" s="703"/>
      <c r="B714" s="703"/>
      <c r="C714" s="703"/>
      <c r="D714" s="703"/>
      <c r="E714" s="703"/>
      <c r="F714" s="703"/>
      <c r="G714" s="703"/>
      <c r="H714" s="703"/>
      <c r="I714" s="703"/>
    </row>
    <row r="715" spans="1:9">
      <c r="A715" s="703"/>
      <c r="B715" s="703"/>
      <c r="C715" s="703"/>
      <c r="D715" s="703"/>
      <c r="E715" s="703"/>
      <c r="F715" s="703"/>
      <c r="G715" s="703"/>
      <c r="H715" s="703"/>
      <c r="I715" s="703"/>
    </row>
    <row r="716" spans="1:9">
      <c r="A716" s="703"/>
      <c r="B716" s="703"/>
      <c r="C716" s="703"/>
      <c r="D716" s="703"/>
      <c r="E716" s="703"/>
      <c r="F716" s="703"/>
      <c r="G716" s="703"/>
      <c r="H716" s="703"/>
      <c r="I716" s="703"/>
    </row>
    <row r="717" spans="1:9">
      <c r="A717" s="703"/>
      <c r="B717" s="703"/>
      <c r="C717" s="703"/>
      <c r="D717" s="703"/>
      <c r="E717" s="703"/>
      <c r="F717" s="703"/>
      <c r="G717" s="703"/>
      <c r="H717" s="703"/>
      <c r="I717" s="703"/>
    </row>
    <row r="718" spans="1:9">
      <c r="A718" s="703"/>
      <c r="B718" s="703"/>
      <c r="C718" s="703"/>
      <c r="D718" s="703"/>
      <c r="E718" s="703"/>
      <c r="F718" s="703"/>
      <c r="G718" s="703"/>
      <c r="H718" s="703"/>
      <c r="I718" s="703"/>
    </row>
    <row r="719" spans="1:9">
      <c r="A719" s="703"/>
      <c r="B719" s="703"/>
      <c r="C719" s="703"/>
      <c r="D719" s="703"/>
      <c r="E719" s="703"/>
      <c r="F719" s="703"/>
      <c r="G719" s="703"/>
      <c r="H719" s="703"/>
      <c r="I719" s="703"/>
    </row>
    <row r="720" spans="1:9">
      <c r="A720" s="703"/>
      <c r="B720" s="703"/>
      <c r="C720" s="703"/>
      <c r="D720" s="703"/>
      <c r="E720" s="703"/>
      <c r="F720" s="703"/>
      <c r="G720" s="703"/>
      <c r="H720" s="703"/>
      <c r="I720" s="703"/>
    </row>
    <row r="721" spans="1:9">
      <c r="A721" s="703"/>
      <c r="B721" s="703"/>
      <c r="C721" s="703"/>
      <c r="D721" s="703"/>
      <c r="E721" s="703"/>
      <c r="F721" s="703"/>
      <c r="G721" s="703"/>
      <c r="H721" s="703"/>
      <c r="I721" s="703"/>
    </row>
    <row r="722" spans="1:9">
      <c r="A722" s="703"/>
      <c r="B722" s="703"/>
      <c r="C722" s="703"/>
      <c r="D722" s="703"/>
      <c r="E722" s="703"/>
      <c r="F722" s="703"/>
      <c r="G722" s="703"/>
      <c r="H722" s="703"/>
      <c r="I722" s="703"/>
    </row>
    <row r="723" spans="1:9">
      <c r="A723" s="703"/>
      <c r="B723" s="703"/>
      <c r="C723" s="703"/>
      <c r="D723" s="703"/>
      <c r="E723" s="703"/>
      <c r="F723" s="703"/>
      <c r="G723" s="703"/>
      <c r="H723" s="703"/>
      <c r="I723" s="703"/>
    </row>
    <row r="724" spans="1:9">
      <c r="A724" s="703"/>
      <c r="B724" s="703"/>
      <c r="C724" s="703"/>
      <c r="D724" s="703"/>
      <c r="E724" s="703"/>
      <c r="F724" s="703"/>
      <c r="G724" s="703"/>
      <c r="H724" s="703"/>
      <c r="I724" s="703"/>
    </row>
    <row r="725" spans="1:9">
      <c r="A725" s="703"/>
      <c r="B725" s="703"/>
      <c r="C725" s="703"/>
      <c r="D725" s="703"/>
      <c r="E725" s="703"/>
      <c r="F725" s="703"/>
      <c r="G725" s="703"/>
      <c r="H725" s="703"/>
      <c r="I725" s="703"/>
    </row>
    <row r="726" spans="1:9">
      <c r="A726" s="703"/>
      <c r="B726" s="703"/>
      <c r="C726" s="703"/>
      <c r="D726" s="703"/>
      <c r="E726" s="703"/>
      <c r="F726" s="703"/>
      <c r="G726" s="703"/>
      <c r="H726" s="703"/>
      <c r="I726" s="703"/>
    </row>
    <row r="727" spans="1:9">
      <c r="A727" s="703"/>
      <c r="B727" s="703"/>
      <c r="C727" s="703"/>
      <c r="D727" s="703"/>
      <c r="E727" s="703"/>
      <c r="F727" s="703"/>
      <c r="G727" s="703"/>
      <c r="H727" s="703"/>
      <c r="I727" s="703"/>
    </row>
    <row r="728" spans="1:9">
      <c r="A728" s="703"/>
      <c r="B728" s="703"/>
      <c r="C728" s="703"/>
      <c r="D728" s="703"/>
      <c r="E728" s="703"/>
      <c r="F728" s="703"/>
      <c r="G728" s="703"/>
      <c r="H728" s="703"/>
      <c r="I728" s="703"/>
    </row>
    <row r="729" spans="1:9">
      <c r="A729" s="703"/>
      <c r="B729" s="703"/>
      <c r="C729" s="703"/>
      <c r="D729" s="703"/>
      <c r="E729" s="703"/>
      <c r="F729" s="703"/>
      <c r="G729" s="703"/>
      <c r="H729" s="703"/>
      <c r="I729" s="703"/>
    </row>
    <row r="730" spans="1:9">
      <c r="A730" s="703"/>
      <c r="B730" s="703"/>
      <c r="C730" s="703"/>
      <c r="D730" s="703"/>
      <c r="E730" s="703"/>
      <c r="F730" s="703"/>
      <c r="G730" s="703"/>
      <c r="H730" s="703"/>
      <c r="I730" s="703"/>
    </row>
    <row r="731" spans="1:9">
      <c r="A731" s="703"/>
      <c r="B731" s="703"/>
      <c r="C731" s="703"/>
      <c r="D731" s="703"/>
      <c r="E731" s="703"/>
      <c r="F731" s="703"/>
      <c r="G731" s="703"/>
      <c r="H731" s="703"/>
      <c r="I731" s="703"/>
    </row>
    <row r="732" spans="1:9">
      <c r="A732" s="703"/>
      <c r="B732" s="703"/>
      <c r="C732" s="703"/>
      <c r="D732" s="703"/>
      <c r="E732" s="703"/>
      <c r="F732" s="703"/>
      <c r="G732" s="703"/>
      <c r="H732" s="703"/>
      <c r="I732" s="703"/>
    </row>
    <row r="733" spans="1:9">
      <c r="A733" s="703"/>
      <c r="B733" s="703"/>
      <c r="C733" s="703"/>
      <c r="D733" s="703"/>
      <c r="E733" s="703"/>
      <c r="F733" s="703"/>
      <c r="G733" s="703"/>
      <c r="H733" s="703"/>
      <c r="I733" s="703"/>
    </row>
    <row r="734" spans="1:9">
      <c r="A734" s="703"/>
      <c r="B734" s="703"/>
      <c r="C734" s="703"/>
      <c r="D734" s="703"/>
      <c r="E734" s="703"/>
      <c r="F734" s="703"/>
      <c r="G734" s="703"/>
      <c r="H734" s="703"/>
      <c r="I734" s="703"/>
    </row>
    <row r="735" spans="1:9">
      <c r="A735" s="703"/>
      <c r="B735" s="703"/>
      <c r="C735" s="703"/>
      <c r="D735" s="703"/>
      <c r="E735" s="703"/>
      <c r="F735" s="703"/>
      <c r="G735" s="703"/>
      <c r="H735" s="703"/>
      <c r="I735" s="703"/>
    </row>
    <row r="736" spans="1:9">
      <c r="A736" s="703"/>
      <c r="B736" s="703"/>
      <c r="C736" s="703"/>
      <c r="D736" s="703"/>
      <c r="E736" s="703"/>
      <c r="F736" s="703"/>
      <c r="G736" s="703"/>
      <c r="H736" s="703"/>
      <c r="I736" s="703"/>
    </row>
    <row r="737" spans="1:9">
      <c r="A737" s="703"/>
      <c r="B737" s="703"/>
      <c r="C737" s="703"/>
      <c r="D737" s="703"/>
      <c r="E737" s="703"/>
      <c r="F737" s="703"/>
      <c r="G737" s="703"/>
      <c r="H737" s="703"/>
      <c r="I737" s="703"/>
    </row>
    <row r="738" spans="1:9">
      <c r="A738" s="703"/>
      <c r="B738" s="703"/>
      <c r="C738" s="703"/>
      <c r="D738" s="703"/>
      <c r="E738" s="703"/>
      <c r="F738" s="703"/>
      <c r="G738" s="703"/>
      <c r="H738" s="703"/>
      <c r="I738" s="703"/>
    </row>
    <row r="739" spans="1:9">
      <c r="A739" s="703"/>
      <c r="B739" s="703"/>
      <c r="C739" s="703"/>
      <c r="D739" s="703"/>
      <c r="E739" s="703"/>
      <c r="F739" s="703"/>
      <c r="G739" s="703"/>
      <c r="H739" s="703"/>
      <c r="I739" s="703"/>
    </row>
    <row r="740" spans="1:9">
      <c r="A740" s="703"/>
      <c r="B740" s="703"/>
      <c r="C740" s="703"/>
      <c r="D740" s="703"/>
      <c r="E740" s="703"/>
      <c r="F740" s="703"/>
      <c r="G740" s="703"/>
      <c r="H740" s="703"/>
      <c r="I740" s="703"/>
    </row>
    <row r="741" spans="1:9">
      <c r="A741" s="703"/>
      <c r="B741" s="703"/>
      <c r="C741" s="703"/>
      <c r="D741" s="703"/>
      <c r="E741" s="703"/>
      <c r="F741" s="703"/>
      <c r="G741" s="703"/>
      <c r="H741" s="703"/>
      <c r="I741" s="703"/>
    </row>
    <row r="742" spans="1:9">
      <c r="A742" s="703"/>
      <c r="B742" s="703"/>
      <c r="C742" s="703"/>
      <c r="D742" s="703"/>
      <c r="E742" s="703"/>
      <c r="F742" s="703"/>
      <c r="G742" s="703"/>
      <c r="H742" s="703"/>
      <c r="I742" s="703"/>
    </row>
    <row r="743" spans="1:9">
      <c r="A743" s="703"/>
      <c r="B743" s="703"/>
      <c r="C743" s="703"/>
      <c r="D743" s="703"/>
      <c r="E743" s="703"/>
      <c r="F743" s="703"/>
      <c r="G743" s="703"/>
      <c r="H743" s="703"/>
      <c r="I743" s="703"/>
    </row>
    <row r="744" spans="1:9">
      <c r="A744" s="703"/>
      <c r="B744" s="703"/>
      <c r="C744" s="703"/>
      <c r="D744" s="703"/>
      <c r="E744" s="703"/>
      <c r="F744" s="703"/>
      <c r="G744" s="703"/>
      <c r="H744" s="703"/>
      <c r="I744" s="703"/>
    </row>
    <row r="745" spans="1:9">
      <c r="A745" s="703"/>
      <c r="B745" s="703"/>
      <c r="C745" s="703"/>
      <c r="D745" s="703"/>
      <c r="E745" s="703"/>
      <c r="F745" s="703"/>
      <c r="G745" s="703"/>
      <c r="H745" s="703"/>
      <c r="I745" s="703"/>
    </row>
    <row r="746" spans="1:9">
      <c r="A746" s="703"/>
      <c r="B746" s="703"/>
      <c r="C746" s="703"/>
      <c r="D746" s="703"/>
      <c r="E746" s="703"/>
      <c r="F746" s="703"/>
      <c r="G746" s="703"/>
      <c r="H746" s="703"/>
      <c r="I746" s="703"/>
    </row>
    <row r="747" spans="1:9">
      <c r="A747" s="703"/>
      <c r="B747" s="703"/>
      <c r="C747" s="703"/>
      <c r="D747" s="703"/>
      <c r="E747" s="703"/>
      <c r="F747" s="703"/>
      <c r="G747" s="703"/>
      <c r="H747" s="703"/>
      <c r="I747" s="703"/>
    </row>
    <row r="748" spans="1:9">
      <c r="A748" s="703"/>
      <c r="B748" s="703"/>
      <c r="C748" s="703"/>
      <c r="D748" s="703"/>
      <c r="E748" s="703"/>
      <c r="F748" s="703"/>
      <c r="G748" s="703"/>
      <c r="H748" s="703"/>
      <c r="I748" s="703"/>
    </row>
    <row r="749" spans="1:9">
      <c r="A749" s="703"/>
      <c r="B749" s="703"/>
      <c r="C749" s="703"/>
      <c r="D749" s="703"/>
      <c r="E749" s="703"/>
      <c r="F749" s="703"/>
      <c r="G749" s="703"/>
      <c r="H749" s="703"/>
      <c r="I749" s="703"/>
    </row>
    <row r="750" spans="1:9">
      <c r="A750" s="703"/>
      <c r="B750" s="703"/>
      <c r="C750" s="703"/>
      <c r="D750" s="703"/>
      <c r="E750" s="703"/>
      <c r="F750" s="703"/>
      <c r="G750" s="703"/>
      <c r="H750" s="703"/>
      <c r="I750" s="703"/>
    </row>
    <row r="751" spans="1:9">
      <c r="A751" s="703"/>
      <c r="B751" s="703"/>
      <c r="C751" s="703"/>
      <c r="D751" s="703"/>
      <c r="E751" s="703"/>
      <c r="F751" s="703"/>
      <c r="G751" s="703"/>
      <c r="H751" s="703"/>
      <c r="I751" s="703"/>
    </row>
    <row r="752" spans="1:9">
      <c r="A752" s="703"/>
      <c r="B752" s="703"/>
      <c r="C752" s="703"/>
      <c r="D752" s="703"/>
      <c r="E752" s="703"/>
      <c r="F752" s="703"/>
      <c r="G752" s="703"/>
      <c r="H752" s="703"/>
      <c r="I752" s="703"/>
    </row>
    <row r="753" spans="1:9">
      <c r="A753" s="703"/>
      <c r="B753" s="703"/>
      <c r="C753" s="703"/>
      <c r="D753" s="703"/>
      <c r="E753" s="703"/>
      <c r="F753" s="703"/>
      <c r="G753" s="703"/>
      <c r="H753" s="703"/>
      <c r="I753" s="703"/>
    </row>
    <row r="754" spans="1:9">
      <c r="A754" s="703"/>
      <c r="B754" s="703"/>
      <c r="C754" s="703"/>
      <c r="D754" s="703"/>
      <c r="E754" s="703"/>
      <c r="F754" s="703"/>
      <c r="G754" s="703"/>
      <c r="H754" s="703"/>
      <c r="I754" s="703"/>
    </row>
    <row r="755" spans="1:9">
      <c r="A755" s="703"/>
      <c r="B755" s="703"/>
      <c r="C755" s="703"/>
      <c r="D755" s="703"/>
      <c r="E755" s="703"/>
      <c r="F755" s="703"/>
      <c r="G755" s="703"/>
      <c r="H755" s="703"/>
      <c r="I755" s="703"/>
    </row>
    <row r="756" spans="1:9">
      <c r="A756" s="703"/>
      <c r="B756" s="703"/>
      <c r="C756" s="703"/>
      <c r="D756" s="703"/>
      <c r="E756" s="703"/>
      <c r="F756" s="703"/>
      <c r="G756" s="703"/>
      <c r="H756" s="703"/>
      <c r="I756" s="703"/>
    </row>
    <row r="757" spans="1:9">
      <c r="A757" s="703"/>
      <c r="B757" s="703"/>
      <c r="C757" s="703"/>
      <c r="D757" s="703"/>
      <c r="E757" s="703"/>
      <c r="F757" s="703"/>
      <c r="G757" s="703"/>
      <c r="H757" s="703"/>
      <c r="I757" s="703"/>
    </row>
    <row r="758" spans="1:9">
      <c r="A758" s="703"/>
      <c r="B758" s="703"/>
      <c r="C758" s="703"/>
      <c r="D758" s="703"/>
      <c r="E758" s="703"/>
      <c r="F758" s="703"/>
      <c r="G758" s="703"/>
      <c r="H758" s="703"/>
      <c r="I758" s="703"/>
    </row>
    <row r="759" spans="1:9">
      <c r="A759" s="703"/>
      <c r="B759" s="703"/>
      <c r="C759" s="703"/>
      <c r="D759" s="703"/>
      <c r="E759" s="703"/>
      <c r="F759" s="703"/>
      <c r="G759" s="703"/>
      <c r="H759" s="703"/>
      <c r="I759" s="703"/>
    </row>
    <row r="760" spans="1:9">
      <c r="A760" s="703"/>
      <c r="B760" s="703"/>
      <c r="C760" s="703"/>
      <c r="D760" s="703"/>
      <c r="E760" s="703"/>
      <c r="F760" s="703"/>
      <c r="G760" s="703"/>
      <c r="H760" s="703"/>
      <c r="I760" s="703"/>
    </row>
    <row r="761" spans="1:9">
      <c r="A761" s="703"/>
      <c r="B761" s="703"/>
      <c r="C761" s="703"/>
      <c r="D761" s="703"/>
      <c r="E761" s="703"/>
      <c r="F761" s="703"/>
      <c r="G761" s="703"/>
      <c r="H761" s="703"/>
      <c r="I761" s="703"/>
    </row>
    <row r="762" spans="1:9">
      <c r="A762" s="703"/>
      <c r="B762" s="703"/>
      <c r="C762" s="703"/>
      <c r="D762" s="703"/>
      <c r="E762" s="703"/>
      <c r="F762" s="703"/>
      <c r="G762" s="703"/>
      <c r="H762" s="703"/>
      <c r="I762" s="703"/>
    </row>
    <row r="763" spans="1:9">
      <c r="A763" s="703"/>
      <c r="B763" s="703"/>
      <c r="C763" s="703"/>
      <c r="D763" s="703"/>
      <c r="E763" s="703"/>
      <c r="F763" s="703"/>
      <c r="G763" s="703"/>
      <c r="H763" s="703"/>
      <c r="I763" s="703"/>
    </row>
    <row r="764" spans="1:9">
      <c r="A764" s="703"/>
      <c r="B764" s="703"/>
      <c r="C764" s="703"/>
      <c r="D764" s="703"/>
      <c r="E764" s="703"/>
      <c r="F764" s="703"/>
      <c r="G764" s="703"/>
      <c r="H764" s="703"/>
      <c r="I764" s="703"/>
    </row>
    <row r="765" spans="1:9">
      <c r="A765" s="703"/>
      <c r="B765" s="703"/>
      <c r="C765" s="703"/>
      <c r="D765" s="703"/>
      <c r="E765" s="703"/>
      <c r="F765" s="703"/>
      <c r="G765" s="703"/>
      <c r="H765" s="703"/>
      <c r="I765" s="703"/>
    </row>
    <row r="766" spans="1:9">
      <c r="A766" s="703"/>
      <c r="B766" s="703"/>
      <c r="C766" s="703"/>
      <c r="D766" s="703"/>
      <c r="E766" s="703"/>
      <c r="F766" s="703"/>
      <c r="G766" s="703"/>
      <c r="H766" s="703"/>
      <c r="I766" s="703"/>
    </row>
    <row r="767" spans="1:9">
      <c r="A767" s="703"/>
      <c r="B767" s="703"/>
      <c r="C767" s="703"/>
      <c r="D767" s="703"/>
      <c r="E767" s="703"/>
      <c r="F767" s="703"/>
      <c r="G767" s="703"/>
      <c r="H767" s="703"/>
      <c r="I767" s="703"/>
    </row>
    <row r="768" spans="1:9">
      <c r="A768" s="703"/>
      <c r="B768" s="703"/>
      <c r="C768" s="703"/>
      <c r="D768" s="703"/>
      <c r="E768" s="703"/>
      <c r="F768" s="703"/>
      <c r="G768" s="703"/>
      <c r="H768" s="703"/>
      <c r="I768" s="703"/>
    </row>
    <row r="769" spans="1:9">
      <c r="A769" s="703"/>
      <c r="B769" s="703"/>
      <c r="C769" s="703"/>
      <c r="D769" s="703"/>
      <c r="E769" s="703"/>
      <c r="F769" s="703"/>
      <c r="G769" s="703"/>
      <c r="H769" s="703"/>
      <c r="I769" s="703"/>
    </row>
    <row r="770" spans="1:9">
      <c r="A770" s="703"/>
      <c r="B770" s="703"/>
      <c r="C770" s="703"/>
      <c r="D770" s="703"/>
      <c r="E770" s="703"/>
      <c r="F770" s="703"/>
      <c r="G770" s="703"/>
      <c r="H770" s="703"/>
      <c r="I770" s="703"/>
    </row>
    <row r="771" spans="1:9">
      <c r="A771" s="703"/>
      <c r="B771" s="703"/>
      <c r="C771" s="703"/>
      <c r="D771" s="703"/>
      <c r="E771" s="703"/>
      <c r="F771" s="703"/>
      <c r="G771" s="703"/>
      <c r="H771" s="703"/>
      <c r="I771" s="703"/>
    </row>
    <row r="772" spans="1:9">
      <c r="A772" s="703"/>
      <c r="B772" s="703"/>
      <c r="C772" s="703"/>
      <c r="D772" s="703"/>
      <c r="E772" s="703"/>
      <c r="F772" s="703"/>
      <c r="G772" s="703"/>
      <c r="H772" s="703"/>
      <c r="I772" s="703"/>
    </row>
    <row r="773" spans="1:9">
      <c r="A773" s="703"/>
      <c r="B773" s="703"/>
      <c r="C773" s="703"/>
      <c r="D773" s="703"/>
      <c r="E773" s="703"/>
      <c r="F773" s="703"/>
      <c r="G773" s="703"/>
      <c r="H773" s="703"/>
      <c r="I773" s="703"/>
    </row>
    <row r="774" spans="1:9">
      <c r="A774" s="703"/>
      <c r="B774" s="703"/>
      <c r="C774" s="703"/>
      <c r="D774" s="703"/>
      <c r="E774" s="703"/>
      <c r="F774" s="703"/>
      <c r="G774" s="703"/>
      <c r="H774" s="703"/>
      <c r="I774" s="703"/>
    </row>
    <row r="775" spans="1:9">
      <c r="A775" s="703"/>
      <c r="B775" s="703"/>
      <c r="C775" s="703"/>
      <c r="D775" s="703"/>
      <c r="E775" s="703"/>
      <c r="F775" s="703"/>
      <c r="G775" s="703"/>
      <c r="H775" s="703"/>
      <c r="I775" s="703"/>
    </row>
    <row r="776" spans="1:9">
      <c r="A776" s="703"/>
      <c r="B776" s="703"/>
      <c r="C776" s="703"/>
      <c r="D776" s="703"/>
      <c r="E776" s="703"/>
      <c r="F776" s="703"/>
      <c r="G776" s="703"/>
      <c r="H776" s="703"/>
      <c r="I776" s="703"/>
    </row>
    <row r="777" spans="1:9">
      <c r="A777" s="703"/>
      <c r="B777" s="703"/>
      <c r="C777" s="703"/>
      <c r="D777" s="703"/>
      <c r="E777" s="703"/>
      <c r="F777" s="703"/>
      <c r="G777" s="703"/>
      <c r="H777" s="703"/>
      <c r="I777" s="703"/>
    </row>
    <row r="778" spans="1:9">
      <c r="A778" s="703"/>
      <c r="B778" s="703"/>
      <c r="C778" s="703"/>
      <c r="D778" s="703"/>
      <c r="E778" s="703"/>
      <c r="F778" s="703"/>
      <c r="G778" s="703"/>
      <c r="H778" s="703"/>
      <c r="I778" s="703"/>
    </row>
    <row r="779" spans="1:9">
      <c r="A779" s="703"/>
      <c r="B779" s="703"/>
      <c r="C779" s="703"/>
      <c r="D779" s="703"/>
      <c r="E779" s="703"/>
      <c r="F779" s="703"/>
      <c r="G779" s="703"/>
      <c r="H779" s="703"/>
      <c r="I779" s="703"/>
    </row>
    <row r="780" spans="1:9">
      <c r="A780" s="703"/>
      <c r="B780" s="703"/>
      <c r="C780" s="703"/>
      <c r="D780" s="703"/>
      <c r="E780" s="703"/>
      <c r="F780" s="703"/>
      <c r="G780" s="703"/>
      <c r="H780" s="703"/>
      <c r="I780" s="703"/>
    </row>
    <row r="781" spans="1:9">
      <c r="A781" s="703"/>
      <c r="B781" s="703"/>
      <c r="C781" s="703"/>
      <c r="D781" s="703"/>
      <c r="E781" s="703"/>
      <c r="F781" s="703"/>
      <c r="G781" s="703"/>
      <c r="H781" s="703"/>
      <c r="I781" s="703"/>
    </row>
    <row r="782" spans="1:9">
      <c r="A782" s="703"/>
      <c r="B782" s="703"/>
      <c r="C782" s="703"/>
      <c r="D782" s="703"/>
      <c r="E782" s="703"/>
      <c r="F782" s="703"/>
      <c r="G782" s="703"/>
      <c r="H782" s="703"/>
      <c r="I782" s="703"/>
    </row>
    <row r="783" spans="1:9">
      <c r="A783" s="703"/>
      <c r="B783" s="703"/>
      <c r="C783" s="703"/>
      <c r="D783" s="703"/>
      <c r="E783" s="703"/>
      <c r="F783" s="703"/>
      <c r="G783" s="703"/>
      <c r="H783" s="703"/>
      <c r="I783" s="703"/>
    </row>
    <row r="784" spans="1:9">
      <c r="A784" s="703"/>
      <c r="B784" s="703"/>
      <c r="C784" s="703"/>
      <c r="D784" s="703"/>
      <c r="E784" s="703"/>
      <c r="F784" s="703"/>
      <c r="G784" s="703"/>
      <c r="H784" s="703"/>
      <c r="I784" s="703"/>
    </row>
    <row r="785" spans="1:9">
      <c r="A785" s="703"/>
      <c r="B785" s="703"/>
      <c r="C785" s="703"/>
      <c r="D785" s="703"/>
      <c r="E785" s="703"/>
      <c r="F785" s="703"/>
      <c r="G785" s="703"/>
      <c r="H785" s="703"/>
      <c r="I785" s="703"/>
    </row>
    <row r="786" spans="1:9">
      <c r="A786" s="703"/>
      <c r="B786" s="703"/>
      <c r="C786" s="703"/>
      <c r="D786" s="703"/>
      <c r="E786" s="703"/>
      <c r="F786" s="703"/>
      <c r="G786" s="703"/>
      <c r="H786" s="703"/>
      <c r="I786" s="703"/>
    </row>
    <row r="787" spans="1:9">
      <c r="A787" s="703"/>
      <c r="B787" s="703"/>
      <c r="C787" s="703"/>
      <c r="D787" s="703"/>
      <c r="E787" s="703"/>
      <c r="F787" s="703"/>
      <c r="G787" s="703"/>
      <c r="H787" s="703"/>
      <c r="I787" s="703"/>
    </row>
    <row r="788" spans="1:9">
      <c r="A788" s="703"/>
      <c r="B788" s="703"/>
      <c r="C788" s="703"/>
      <c r="D788" s="703"/>
      <c r="E788" s="703"/>
      <c r="F788" s="703"/>
      <c r="G788" s="703"/>
      <c r="H788" s="703"/>
      <c r="I788" s="703"/>
    </row>
    <row r="789" spans="1:9">
      <c r="A789" s="703"/>
      <c r="B789" s="703"/>
      <c r="C789" s="703"/>
      <c r="D789" s="703"/>
      <c r="E789" s="703"/>
      <c r="F789" s="703"/>
      <c r="G789" s="703"/>
      <c r="H789" s="703"/>
      <c r="I789" s="703"/>
    </row>
    <row r="790" spans="1:9">
      <c r="A790" s="703"/>
      <c r="B790" s="703"/>
      <c r="C790" s="703"/>
      <c r="D790" s="703"/>
      <c r="E790" s="703"/>
      <c r="F790" s="703"/>
      <c r="G790" s="703"/>
      <c r="H790" s="703"/>
      <c r="I790" s="703"/>
    </row>
    <row r="791" spans="1:9">
      <c r="A791" s="703"/>
      <c r="B791" s="703"/>
      <c r="C791" s="703"/>
      <c r="D791" s="703"/>
      <c r="E791" s="703"/>
      <c r="F791" s="703"/>
      <c r="G791" s="703"/>
      <c r="H791" s="703"/>
      <c r="I791" s="703"/>
    </row>
    <row r="792" spans="1:9">
      <c r="A792" s="703"/>
      <c r="B792" s="703"/>
      <c r="C792" s="703"/>
      <c r="D792" s="703"/>
      <c r="E792" s="703"/>
      <c r="F792" s="703"/>
      <c r="G792" s="703"/>
      <c r="H792" s="703"/>
      <c r="I792" s="703"/>
    </row>
    <row r="793" spans="1:9">
      <c r="A793" s="703"/>
      <c r="B793" s="703"/>
      <c r="C793" s="703"/>
      <c r="D793" s="703"/>
      <c r="E793" s="703"/>
      <c r="F793" s="703"/>
      <c r="G793" s="703"/>
      <c r="H793" s="703"/>
      <c r="I793" s="703"/>
    </row>
    <row r="794" spans="1:9">
      <c r="A794" s="703"/>
      <c r="B794" s="703"/>
      <c r="C794" s="703"/>
      <c r="D794" s="703"/>
      <c r="E794" s="703"/>
      <c r="F794" s="703"/>
      <c r="G794" s="703"/>
      <c r="H794" s="703"/>
      <c r="I794" s="703"/>
    </row>
    <row r="795" spans="1:9">
      <c r="A795" s="703"/>
      <c r="B795" s="703"/>
      <c r="C795" s="703"/>
      <c r="D795" s="703"/>
      <c r="E795" s="703"/>
      <c r="F795" s="703"/>
      <c r="G795" s="703"/>
      <c r="H795" s="703"/>
      <c r="I795" s="703"/>
    </row>
    <row r="796" spans="1:9">
      <c r="A796" s="703"/>
      <c r="B796" s="703"/>
      <c r="C796" s="703"/>
      <c r="D796" s="703"/>
      <c r="E796" s="703"/>
      <c r="F796" s="703"/>
      <c r="G796" s="703"/>
      <c r="H796" s="703"/>
      <c r="I796" s="703"/>
    </row>
    <row r="797" spans="1:9">
      <c r="A797" s="703"/>
      <c r="B797" s="703"/>
      <c r="C797" s="703"/>
      <c r="D797" s="703"/>
      <c r="E797" s="703"/>
      <c r="F797" s="703"/>
      <c r="G797" s="703"/>
      <c r="H797" s="703"/>
      <c r="I797" s="703"/>
    </row>
    <row r="798" spans="1:9">
      <c r="A798" s="703"/>
      <c r="B798" s="703"/>
      <c r="C798" s="703"/>
      <c r="D798" s="703"/>
      <c r="E798" s="703"/>
      <c r="F798" s="703"/>
      <c r="G798" s="703"/>
      <c r="H798" s="703"/>
      <c r="I798" s="703"/>
    </row>
    <row r="799" spans="1:9">
      <c r="A799" s="703"/>
      <c r="B799" s="703"/>
      <c r="C799" s="703"/>
      <c r="D799" s="703"/>
      <c r="E799" s="703"/>
      <c r="F799" s="703"/>
      <c r="G799" s="703"/>
      <c r="H799" s="703"/>
      <c r="I799" s="703"/>
    </row>
    <row r="800" spans="1:9">
      <c r="A800" s="703"/>
      <c r="B800" s="703"/>
      <c r="C800" s="703"/>
      <c r="D800" s="703"/>
      <c r="E800" s="703"/>
      <c r="F800" s="703"/>
      <c r="G800" s="703"/>
      <c r="H800" s="703"/>
      <c r="I800" s="703"/>
    </row>
    <row r="801" spans="1:9">
      <c r="A801" s="703"/>
      <c r="B801" s="703"/>
      <c r="C801" s="703"/>
      <c r="D801" s="703"/>
      <c r="E801" s="703"/>
      <c r="F801" s="703"/>
      <c r="G801" s="703"/>
      <c r="H801" s="703"/>
      <c r="I801" s="703"/>
    </row>
    <row r="802" spans="1:9">
      <c r="A802" s="703"/>
      <c r="B802" s="703"/>
      <c r="C802" s="703"/>
      <c r="D802" s="703"/>
      <c r="E802" s="703"/>
      <c r="F802" s="703"/>
      <c r="G802" s="703"/>
      <c r="H802" s="703"/>
      <c r="I802" s="703"/>
    </row>
    <row r="803" spans="1:9">
      <c r="A803" s="703"/>
      <c r="B803" s="703"/>
      <c r="C803" s="703"/>
      <c r="D803" s="703"/>
      <c r="E803" s="703"/>
      <c r="F803" s="703"/>
      <c r="G803" s="703"/>
      <c r="H803" s="703"/>
      <c r="I803" s="703"/>
    </row>
    <row r="804" spans="1:9">
      <c r="A804" s="703"/>
      <c r="B804" s="703"/>
      <c r="C804" s="703"/>
      <c r="D804" s="703"/>
      <c r="E804" s="703"/>
      <c r="F804" s="703"/>
      <c r="G804" s="703"/>
      <c r="H804" s="703"/>
      <c r="I804" s="703"/>
    </row>
    <row r="805" spans="1:9">
      <c r="A805" s="703"/>
      <c r="B805" s="703"/>
      <c r="C805" s="703"/>
      <c r="D805" s="703"/>
      <c r="E805" s="703"/>
      <c r="F805" s="703"/>
      <c r="G805" s="703"/>
      <c r="H805" s="703"/>
      <c r="I805" s="703"/>
    </row>
    <row r="806" spans="1:9">
      <c r="A806" s="703"/>
      <c r="B806" s="703"/>
      <c r="C806" s="703"/>
      <c r="D806" s="703"/>
      <c r="E806" s="703"/>
      <c r="F806" s="703"/>
      <c r="G806" s="703"/>
      <c r="H806" s="703"/>
      <c r="I806" s="703"/>
    </row>
    <row r="807" spans="1:9">
      <c r="A807" s="703"/>
      <c r="B807" s="703"/>
      <c r="C807" s="703"/>
      <c r="D807" s="703"/>
      <c r="E807" s="703"/>
      <c r="F807" s="703"/>
      <c r="G807" s="703"/>
      <c r="H807" s="703"/>
      <c r="I807" s="703"/>
    </row>
    <row r="808" spans="1:9">
      <c r="A808" s="703"/>
      <c r="B808" s="703"/>
      <c r="C808" s="703"/>
      <c r="D808" s="703"/>
      <c r="E808" s="703"/>
      <c r="F808" s="703"/>
      <c r="G808" s="703"/>
      <c r="H808" s="703"/>
      <c r="I808" s="703"/>
    </row>
    <row r="809" spans="1:9">
      <c r="A809" s="703"/>
      <c r="B809" s="703"/>
      <c r="C809" s="703"/>
      <c r="D809" s="703"/>
      <c r="E809" s="703"/>
      <c r="F809" s="703"/>
      <c r="G809" s="703"/>
      <c r="H809" s="703"/>
      <c r="I809" s="703"/>
    </row>
    <row r="810" spans="1:9">
      <c r="A810" s="703"/>
      <c r="B810" s="703"/>
      <c r="C810" s="703"/>
      <c r="D810" s="703"/>
      <c r="E810" s="703"/>
      <c r="F810" s="703"/>
      <c r="G810" s="703"/>
      <c r="H810" s="703"/>
      <c r="I810" s="703"/>
    </row>
    <row r="811" spans="1:9">
      <c r="A811" s="703"/>
      <c r="B811" s="703"/>
      <c r="C811" s="703"/>
      <c r="D811" s="703"/>
      <c r="E811" s="703"/>
      <c r="F811" s="703"/>
      <c r="G811" s="703"/>
      <c r="H811" s="703"/>
      <c r="I811" s="703"/>
    </row>
    <row r="812" spans="1:9">
      <c r="A812" s="703"/>
      <c r="B812" s="703"/>
      <c r="C812" s="703"/>
      <c r="D812" s="703"/>
      <c r="E812" s="703"/>
      <c r="F812" s="703"/>
      <c r="G812" s="703"/>
      <c r="H812" s="703"/>
      <c r="I812" s="703"/>
    </row>
    <row r="813" spans="1:9">
      <c r="A813" s="703"/>
      <c r="B813" s="703"/>
      <c r="C813" s="703"/>
      <c r="D813" s="703"/>
      <c r="E813" s="703"/>
      <c r="F813" s="703"/>
      <c r="G813" s="703"/>
      <c r="H813" s="703"/>
      <c r="I813" s="703"/>
    </row>
    <row r="814" spans="1:9">
      <c r="A814" s="703"/>
      <c r="B814" s="703"/>
      <c r="C814" s="703"/>
      <c r="D814" s="703"/>
      <c r="E814" s="703"/>
      <c r="F814" s="703"/>
      <c r="G814" s="703"/>
      <c r="H814" s="703"/>
      <c r="I814" s="703"/>
    </row>
    <row r="815" spans="1:9">
      <c r="A815" s="703"/>
      <c r="B815" s="703"/>
      <c r="C815" s="703"/>
      <c r="D815" s="703"/>
      <c r="E815" s="703"/>
      <c r="F815" s="703"/>
      <c r="G815" s="703"/>
      <c r="H815" s="703"/>
      <c r="I815" s="703"/>
    </row>
    <row r="816" spans="1:9">
      <c r="A816" s="703"/>
      <c r="B816" s="703"/>
      <c r="C816" s="703"/>
      <c r="D816" s="703"/>
      <c r="E816" s="703"/>
      <c r="F816" s="703"/>
      <c r="G816" s="703"/>
      <c r="H816" s="703"/>
      <c r="I816" s="703"/>
    </row>
    <row r="817" spans="1:9">
      <c r="A817" s="703"/>
      <c r="B817" s="703"/>
      <c r="C817" s="703"/>
      <c r="D817" s="703"/>
      <c r="E817" s="703"/>
      <c r="F817" s="703"/>
      <c r="G817" s="703"/>
      <c r="H817" s="703"/>
      <c r="I817" s="703"/>
    </row>
    <row r="818" spans="1:9">
      <c r="A818" s="703"/>
      <c r="B818" s="703"/>
      <c r="C818" s="703"/>
      <c r="D818" s="703"/>
      <c r="E818" s="703"/>
      <c r="F818" s="703"/>
      <c r="G818" s="703"/>
      <c r="H818" s="703"/>
      <c r="I818" s="703"/>
    </row>
    <row r="819" spans="1:9">
      <c r="A819" s="703"/>
      <c r="B819" s="703"/>
      <c r="C819" s="703"/>
      <c r="D819" s="703"/>
      <c r="E819" s="703"/>
      <c r="F819" s="703"/>
      <c r="G819" s="703"/>
      <c r="H819" s="703"/>
      <c r="I819" s="703"/>
    </row>
    <row r="820" spans="1:9">
      <c r="A820" s="703"/>
      <c r="B820" s="703"/>
      <c r="C820" s="703"/>
      <c r="D820" s="703"/>
      <c r="E820" s="703"/>
      <c r="F820" s="703"/>
      <c r="G820" s="703"/>
      <c r="H820" s="703"/>
      <c r="I820" s="703"/>
    </row>
    <row r="821" spans="1:9">
      <c r="A821" s="703"/>
      <c r="B821" s="703"/>
      <c r="C821" s="703"/>
      <c r="D821" s="703"/>
      <c r="E821" s="703"/>
      <c r="F821" s="703"/>
      <c r="G821" s="703"/>
      <c r="H821" s="703"/>
      <c r="I821" s="703"/>
    </row>
    <row r="822" spans="1:9">
      <c r="A822" s="703"/>
      <c r="B822" s="703"/>
      <c r="C822" s="703"/>
      <c r="D822" s="703"/>
      <c r="E822" s="703"/>
      <c r="F822" s="703"/>
      <c r="G822" s="703"/>
      <c r="H822" s="703"/>
      <c r="I822" s="703"/>
    </row>
    <row r="823" spans="1:9">
      <c r="A823" s="703"/>
      <c r="B823" s="703"/>
      <c r="C823" s="703"/>
      <c r="D823" s="703"/>
      <c r="E823" s="703"/>
      <c r="F823" s="703"/>
      <c r="G823" s="703"/>
      <c r="H823" s="703"/>
      <c r="I823" s="703"/>
    </row>
    <row r="824" spans="1:9">
      <c r="A824" s="703"/>
      <c r="B824" s="703"/>
      <c r="C824" s="703"/>
      <c r="D824" s="703"/>
      <c r="E824" s="703"/>
      <c r="F824" s="703"/>
      <c r="G824" s="703"/>
      <c r="H824" s="703"/>
      <c r="I824" s="703"/>
    </row>
    <row r="825" spans="1:9">
      <c r="A825" s="703"/>
      <c r="B825" s="703"/>
      <c r="C825" s="703"/>
      <c r="D825" s="703"/>
      <c r="E825" s="703"/>
      <c r="F825" s="703"/>
      <c r="G825" s="703"/>
      <c r="H825" s="703"/>
      <c r="I825" s="703"/>
    </row>
    <row r="826" spans="1:9">
      <c r="A826" s="703"/>
      <c r="B826" s="703"/>
      <c r="C826" s="703"/>
      <c r="D826" s="703"/>
      <c r="E826" s="703"/>
      <c r="F826" s="703"/>
      <c r="G826" s="703"/>
      <c r="H826" s="703"/>
      <c r="I826" s="703"/>
    </row>
    <row r="827" spans="1:9">
      <c r="A827" s="703"/>
      <c r="B827" s="703"/>
      <c r="C827" s="703"/>
      <c r="D827" s="703"/>
      <c r="E827" s="703"/>
      <c r="F827" s="703"/>
      <c r="G827" s="703"/>
      <c r="H827" s="703"/>
      <c r="I827" s="703"/>
    </row>
    <row r="828" spans="1:9">
      <c r="A828" s="703"/>
      <c r="B828" s="703"/>
      <c r="C828" s="703"/>
      <c r="D828" s="703"/>
      <c r="E828" s="703"/>
      <c r="F828" s="703"/>
      <c r="G828" s="703"/>
      <c r="H828" s="703"/>
      <c r="I828" s="703"/>
    </row>
    <row r="829" spans="1:9">
      <c r="A829" s="703"/>
      <c r="B829" s="703"/>
      <c r="C829" s="703"/>
      <c r="D829" s="703"/>
      <c r="E829" s="703"/>
      <c r="F829" s="703"/>
      <c r="G829" s="703"/>
      <c r="H829" s="703"/>
      <c r="I829" s="703"/>
    </row>
    <row r="830" spans="1:9">
      <c r="A830" s="703"/>
      <c r="B830" s="703"/>
      <c r="C830" s="703"/>
      <c r="D830" s="703"/>
      <c r="E830" s="703"/>
      <c r="F830" s="703"/>
      <c r="G830" s="703"/>
      <c r="H830" s="703"/>
      <c r="I830" s="703"/>
    </row>
    <row r="831" spans="1:9">
      <c r="A831" s="703"/>
      <c r="B831" s="703"/>
      <c r="C831" s="703"/>
      <c r="D831" s="703"/>
      <c r="E831" s="703"/>
      <c r="F831" s="703"/>
      <c r="G831" s="703"/>
      <c r="H831" s="703"/>
      <c r="I831" s="703"/>
    </row>
    <row r="832" spans="1:9">
      <c r="A832" s="703"/>
      <c r="B832" s="703"/>
      <c r="C832" s="703"/>
      <c r="D832" s="703"/>
      <c r="E832" s="703"/>
      <c r="F832" s="703"/>
      <c r="G832" s="703"/>
      <c r="H832" s="703"/>
      <c r="I832" s="703"/>
    </row>
    <row r="833" spans="1:9">
      <c r="A833" s="703"/>
      <c r="B833" s="703"/>
      <c r="C833" s="703"/>
      <c r="D833" s="703"/>
      <c r="E833" s="703"/>
      <c r="F833" s="703"/>
      <c r="G833" s="703"/>
      <c r="H833" s="703"/>
      <c r="I833" s="703"/>
    </row>
    <row r="834" spans="1:9">
      <c r="A834" s="703"/>
      <c r="B834" s="703"/>
      <c r="C834" s="703"/>
      <c r="D834" s="703"/>
      <c r="E834" s="703"/>
      <c r="F834" s="703"/>
      <c r="G834" s="703"/>
      <c r="H834" s="703"/>
      <c r="I834" s="703"/>
    </row>
    <row r="835" spans="1:9">
      <c r="A835" s="703"/>
      <c r="B835" s="703"/>
      <c r="C835" s="703"/>
      <c r="D835" s="703"/>
      <c r="E835" s="703"/>
      <c r="F835" s="703"/>
      <c r="G835" s="703"/>
      <c r="H835" s="703"/>
      <c r="I835" s="703"/>
    </row>
    <row r="836" spans="1:9">
      <c r="A836" s="703"/>
      <c r="B836" s="703"/>
      <c r="C836" s="703"/>
      <c r="D836" s="703"/>
      <c r="E836" s="703"/>
      <c r="F836" s="703"/>
      <c r="G836" s="703"/>
      <c r="H836" s="703"/>
      <c r="I836" s="703"/>
    </row>
    <row r="837" spans="1:9">
      <c r="A837" s="703"/>
      <c r="B837" s="703"/>
      <c r="C837" s="703"/>
      <c r="D837" s="703"/>
      <c r="E837" s="703"/>
      <c r="F837" s="703"/>
      <c r="G837" s="703"/>
      <c r="H837" s="703"/>
      <c r="I837" s="703"/>
    </row>
    <row r="838" spans="1:9">
      <c r="A838" s="703"/>
      <c r="B838" s="703"/>
      <c r="C838" s="703"/>
      <c r="D838" s="703"/>
      <c r="E838" s="703"/>
      <c r="F838" s="703"/>
      <c r="G838" s="703"/>
      <c r="H838" s="703"/>
      <c r="I838" s="703"/>
    </row>
    <row r="839" spans="1:9">
      <c r="A839" s="703"/>
      <c r="B839" s="703"/>
      <c r="C839" s="703"/>
      <c r="D839" s="703"/>
      <c r="E839" s="703"/>
      <c r="F839" s="703"/>
      <c r="G839" s="703"/>
      <c r="H839" s="703"/>
      <c r="I839" s="703"/>
    </row>
    <row r="840" spans="1:9">
      <c r="A840" s="703"/>
      <c r="B840" s="703"/>
      <c r="C840" s="703"/>
      <c r="D840" s="703"/>
      <c r="E840" s="703"/>
      <c r="F840" s="703"/>
      <c r="G840" s="703"/>
      <c r="H840" s="703"/>
      <c r="I840" s="703"/>
    </row>
    <row r="841" spans="1:9">
      <c r="A841" s="703"/>
      <c r="B841" s="703"/>
      <c r="C841" s="703"/>
      <c r="D841" s="703"/>
      <c r="E841" s="703"/>
      <c r="F841" s="703"/>
      <c r="G841" s="703"/>
      <c r="H841" s="703"/>
      <c r="I841" s="703"/>
    </row>
    <row r="842" spans="1:9">
      <c r="A842" s="703"/>
      <c r="B842" s="703"/>
      <c r="C842" s="703"/>
      <c r="D842" s="703"/>
      <c r="E842" s="703"/>
      <c r="F842" s="703"/>
      <c r="G842" s="703"/>
      <c r="H842" s="703"/>
      <c r="I842" s="703"/>
    </row>
    <row r="843" spans="1:9">
      <c r="A843" s="703"/>
      <c r="B843" s="703"/>
      <c r="C843" s="703"/>
      <c r="D843" s="703"/>
      <c r="E843" s="703"/>
      <c r="F843" s="703"/>
      <c r="G843" s="703"/>
      <c r="H843" s="703"/>
      <c r="I843" s="703"/>
    </row>
    <row r="844" spans="1:9">
      <c r="A844" s="703"/>
      <c r="B844" s="703"/>
      <c r="C844" s="703"/>
      <c r="D844" s="703"/>
      <c r="E844" s="703"/>
      <c r="F844" s="703"/>
      <c r="G844" s="703"/>
      <c r="H844" s="703"/>
      <c r="I844" s="703"/>
    </row>
    <row r="845" spans="1:9">
      <c r="A845" s="703"/>
      <c r="B845" s="703"/>
      <c r="C845" s="703"/>
      <c r="D845" s="703"/>
      <c r="E845" s="703"/>
      <c r="F845" s="703"/>
      <c r="G845" s="703"/>
      <c r="H845" s="703"/>
      <c r="I845" s="703"/>
    </row>
    <row r="846" spans="1:9">
      <c r="A846" s="703"/>
      <c r="B846" s="703"/>
      <c r="C846" s="703"/>
      <c r="D846" s="703"/>
      <c r="E846" s="703"/>
      <c r="F846" s="703"/>
      <c r="G846" s="703"/>
      <c r="H846" s="703"/>
      <c r="I846" s="703"/>
    </row>
    <row r="847" spans="1:9">
      <c r="A847" s="703"/>
      <c r="B847" s="703"/>
      <c r="C847" s="703"/>
      <c r="D847" s="703"/>
      <c r="E847" s="703"/>
      <c r="F847" s="703"/>
      <c r="G847" s="703"/>
      <c r="H847" s="703"/>
      <c r="I847" s="703"/>
    </row>
    <row r="848" spans="1:9">
      <c r="A848" s="703"/>
      <c r="B848" s="703"/>
      <c r="C848" s="703"/>
      <c r="D848" s="703"/>
      <c r="E848" s="703"/>
      <c r="F848" s="703"/>
      <c r="G848" s="703"/>
      <c r="H848" s="703"/>
      <c r="I848" s="703"/>
    </row>
    <row r="849" spans="1:9">
      <c r="A849" s="703"/>
      <c r="B849" s="703"/>
      <c r="C849" s="703"/>
      <c r="D849" s="703"/>
      <c r="E849" s="703"/>
      <c r="F849" s="703"/>
      <c r="G849" s="703"/>
      <c r="H849" s="703"/>
      <c r="I849" s="703"/>
    </row>
    <row r="850" spans="1:9">
      <c r="A850" s="703"/>
      <c r="B850" s="703"/>
      <c r="C850" s="703"/>
      <c r="D850" s="703"/>
      <c r="E850" s="703"/>
      <c r="F850" s="703"/>
      <c r="G850" s="703"/>
      <c r="H850" s="703"/>
      <c r="I850" s="703"/>
    </row>
    <row r="851" spans="1:9">
      <c r="A851" s="703"/>
      <c r="B851" s="703"/>
      <c r="C851" s="703"/>
      <c r="D851" s="703"/>
      <c r="E851" s="703"/>
      <c r="F851" s="703"/>
      <c r="G851" s="703"/>
      <c r="H851" s="703"/>
      <c r="I851" s="703"/>
    </row>
    <row r="852" spans="1:9">
      <c r="A852" s="703"/>
      <c r="B852" s="703"/>
      <c r="C852" s="703"/>
      <c r="D852" s="703"/>
      <c r="E852" s="703"/>
      <c r="F852" s="703"/>
      <c r="G852" s="703"/>
      <c r="H852" s="703"/>
      <c r="I852" s="703"/>
    </row>
    <row r="853" spans="1:9">
      <c r="A853" s="703"/>
      <c r="B853" s="703"/>
      <c r="C853" s="703"/>
      <c r="D853" s="703"/>
      <c r="E853" s="703"/>
      <c r="F853" s="703"/>
      <c r="G853" s="703"/>
      <c r="H853" s="703"/>
      <c r="I853" s="703"/>
    </row>
    <row r="854" spans="1:9">
      <c r="A854" s="703"/>
      <c r="B854" s="703"/>
      <c r="C854" s="703"/>
      <c r="D854" s="703"/>
      <c r="E854" s="703"/>
      <c r="F854" s="703"/>
      <c r="G854" s="703"/>
      <c r="H854" s="703"/>
      <c r="I854" s="703"/>
    </row>
    <row r="855" spans="1:9">
      <c r="A855" s="703"/>
      <c r="B855" s="703"/>
      <c r="C855" s="703"/>
      <c r="D855" s="703"/>
      <c r="E855" s="703"/>
      <c r="F855" s="703"/>
      <c r="G855" s="703"/>
      <c r="H855" s="703"/>
      <c r="I855" s="703"/>
    </row>
    <row r="856" spans="1:9">
      <c r="A856" s="703"/>
      <c r="B856" s="703"/>
      <c r="C856" s="703"/>
      <c r="D856" s="703"/>
      <c r="E856" s="703"/>
      <c r="F856" s="703"/>
      <c r="G856" s="703"/>
      <c r="H856" s="703"/>
      <c r="I856" s="703"/>
    </row>
    <row r="857" spans="1:9">
      <c r="A857" s="703"/>
      <c r="B857" s="703"/>
      <c r="C857" s="703"/>
      <c r="D857" s="703"/>
      <c r="E857" s="703"/>
      <c r="F857" s="703"/>
      <c r="G857" s="703"/>
      <c r="H857" s="703"/>
      <c r="I857" s="703"/>
    </row>
    <row r="858" spans="1:9">
      <c r="A858" s="703"/>
      <c r="B858" s="703"/>
      <c r="C858" s="703"/>
      <c r="D858" s="703"/>
      <c r="E858" s="703"/>
      <c r="F858" s="703"/>
      <c r="G858" s="703"/>
      <c r="H858" s="703"/>
      <c r="I858" s="703"/>
    </row>
    <row r="859" spans="1:9">
      <c r="A859" s="703"/>
      <c r="B859" s="703"/>
      <c r="C859" s="703"/>
      <c r="D859" s="703"/>
      <c r="E859" s="703"/>
      <c r="F859" s="703"/>
      <c r="G859" s="703"/>
      <c r="H859" s="703"/>
      <c r="I859" s="703"/>
    </row>
    <row r="860" spans="1:9">
      <c r="A860" s="703"/>
      <c r="B860" s="703"/>
      <c r="C860" s="703"/>
      <c r="D860" s="703"/>
      <c r="E860" s="703"/>
      <c r="F860" s="703"/>
      <c r="G860" s="703"/>
      <c r="H860" s="703"/>
      <c r="I860" s="703"/>
    </row>
    <row r="861" spans="1:9">
      <c r="A861" s="703"/>
      <c r="B861" s="703"/>
      <c r="C861" s="703"/>
      <c r="D861" s="703"/>
      <c r="E861" s="703"/>
      <c r="F861" s="703"/>
      <c r="G861" s="703"/>
      <c r="H861" s="703"/>
      <c r="I861" s="703"/>
    </row>
    <row r="862" spans="1:9">
      <c r="A862" s="703"/>
      <c r="B862" s="703"/>
      <c r="C862" s="703"/>
      <c r="D862" s="703"/>
      <c r="E862" s="703"/>
      <c r="F862" s="703"/>
      <c r="G862" s="703"/>
      <c r="H862" s="703"/>
      <c r="I862" s="703"/>
    </row>
    <row r="863" spans="1:9">
      <c r="A863" s="703"/>
      <c r="B863" s="703"/>
      <c r="C863" s="703"/>
      <c r="D863" s="703"/>
      <c r="E863" s="703"/>
      <c r="F863" s="703"/>
      <c r="G863" s="703"/>
      <c r="H863" s="703"/>
      <c r="I863" s="703"/>
    </row>
    <row r="864" spans="1:9">
      <c r="A864" s="703"/>
      <c r="B864" s="703"/>
      <c r="C864" s="703"/>
      <c r="D864" s="703"/>
      <c r="E864" s="703"/>
      <c r="F864" s="703"/>
      <c r="G864" s="703"/>
      <c r="H864" s="703"/>
      <c r="I864" s="703"/>
    </row>
    <row r="865" spans="1:9">
      <c r="A865" s="703"/>
      <c r="B865" s="703"/>
      <c r="C865" s="703"/>
      <c r="D865" s="703"/>
      <c r="E865" s="703"/>
      <c r="F865" s="703"/>
      <c r="G865" s="703"/>
      <c r="H865" s="703"/>
      <c r="I865" s="703"/>
    </row>
    <row r="866" spans="1:9">
      <c r="A866" s="703"/>
      <c r="B866" s="703"/>
      <c r="C866" s="703"/>
      <c r="D866" s="703"/>
      <c r="E866" s="703"/>
      <c r="F866" s="703"/>
      <c r="G866" s="703"/>
      <c r="H866" s="703"/>
      <c r="I866" s="703"/>
    </row>
    <row r="867" spans="1:9">
      <c r="A867" s="703"/>
      <c r="B867" s="703"/>
      <c r="C867" s="703"/>
      <c r="D867" s="703"/>
      <c r="E867" s="703"/>
      <c r="F867" s="703"/>
      <c r="G867" s="703"/>
      <c r="H867" s="703"/>
      <c r="I867" s="703"/>
    </row>
    <row r="868" spans="1:9">
      <c r="A868" s="703"/>
      <c r="B868" s="703"/>
      <c r="C868" s="703"/>
      <c r="D868" s="703"/>
      <c r="E868" s="703"/>
      <c r="F868" s="703"/>
      <c r="G868" s="703"/>
      <c r="H868" s="703"/>
      <c r="I868" s="703"/>
    </row>
    <row r="869" spans="1:9">
      <c r="A869" s="703"/>
      <c r="B869" s="703"/>
      <c r="C869" s="703"/>
      <c r="D869" s="703"/>
      <c r="E869" s="703"/>
      <c r="F869" s="703"/>
      <c r="G869" s="703"/>
      <c r="H869" s="703"/>
      <c r="I869" s="703"/>
    </row>
    <row r="870" spans="1:9">
      <c r="A870" s="703"/>
      <c r="B870" s="703"/>
      <c r="C870" s="703"/>
      <c r="D870" s="703"/>
      <c r="E870" s="703"/>
      <c r="F870" s="703"/>
      <c r="G870" s="703"/>
      <c r="H870" s="703"/>
      <c r="I870" s="703"/>
    </row>
    <row r="871" spans="1:9">
      <c r="A871" s="703"/>
      <c r="B871" s="703"/>
      <c r="C871" s="703"/>
      <c r="D871" s="703"/>
      <c r="E871" s="703"/>
      <c r="F871" s="703"/>
      <c r="G871" s="703"/>
      <c r="H871" s="703"/>
      <c r="I871" s="703"/>
    </row>
    <row r="872" spans="1:9">
      <c r="A872" s="703"/>
      <c r="B872" s="703"/>
      <c r="C872" s="703"/>
      <c r="D872" s="703"/>
      <c r="E872" s="703"/>
      <c r="F872" s="703"/>
      <c r="G872" s="703"/>
      <c r="H872" s="703"/>
      <c r="I872" s="703"/>
    </row>
    <row r="873" spans="1:9">
      <c r="A873" s="703"/>
      <c r="B873" s="703"/>
      <c r="C873" s="703"/>
      <c r="D873" s="703"/>
      <c r="E873" s="703"/>
      <c r="F873" s="703"/>
      <c r="G873" s="703"/>
      <c r="H873" s="703"/>
      <c r="I873" s="703"/>
    </row>
    <row r="874" spans="1:9">
      <c r="A874" s="703"/>
      <c r="B874" s="703"/>
      <c r="C874" s="703"/>
      <c r="D874" s="703"/>
      <c r="E874" s="703"/>
      <c r="F874" s="703"/>
      <c r="G874" s="703"/>
      <c r="H874" s="703"/>
      <c r="I874" s="703"/>
    </row>
    <row r="875" spans="1:9">
      <c r="A875" s="703"/>
      <c r="B875" s="703"/>
      <c r="C875" s="703"/>
      <c r="D875" s="703"/>
      <c r="E875" s="703"/>
      <c r="F875" s="703"/>
      <c r="G875" s="703"/>
      <c r="H875" s="703"/>
      <c r="I875" s="703"/>
    </row>
    <row r="876" spans="1:9">
      <c r="A876" s="703"/>
      <c r="B876" s="703"/>
      <c r="C876" s="703"/>
      <c r="D876" s="703"/>
      <c r="E876" s="703"/>
      <c r="F876" s="703"/>
      <c r="G876" s="703"/>
      <c r="H876" s="703"/>
      <c r="I876" s="703"/>
    </row>
    <row r="877" spans="1:9">
      <c r="A877" s="703"/>
      <c r="B877" s="703"/>
      <c r="C877" s="703"/>
      <c r="D877" s="703"/>
      <c r="E877" s="703"/>
      <c r="F877" s="703"/>
      <c r="G877" s="703"/>
      <c r="H877" s="703"/>
      <c r="I877" s="703"/>
    </row>
    <row r="878" spans="1:9">
      <c r="A878" s="703"/>
      <c r="B878" s="703"/>
      <c r="C878" s="703"/>
      <c r="D878" s="703"/>
      <c r="E878" s="703"/>
      <c r="F878" s="703"/>
      <c r="G878" s="703"/>
      <c r="H878" s="703"/>
      <c r="I878" s="703"/>
    </row>
    <row r="879" spans="1:9">
      <c r="A879" s="703"/>
      <c r="B879" s="703"/>
      <c r="C879" s="703"/>
      <c r="D879" s="703"/>
      <c r="E879" s="703"/>
      <c r="F879" s="703"/>
      <c r="G879" s="703"/>
      <c r="H879" s="703"/>
      <c r="I879" s="703"/>
    </row>
    <row r="880" spans="1:9">
      <c r="A880" s="703"/>
      <c r="B880" s="703"/>
      <c r="C880" s="703"/>
      <c r="D880" s="703"/>
      <c r="E880" s="703"/>
      <c r="F880" s="703"/>
      <c r="G880" s="703"/>
      <c r="H880" s="703"/>
      <c r="I880" s="703"/>
    </row>
    <row r="881" spans="1:9">
      <c r="A881" s="703"/>
      <c r="B881" s="703"/>
      <c r="C881" s="703"/>
      <c r="D881" s="703"/>
      <c r="E881" s="703"/>
      <c r="F881" s="703"/>
      <c r="G881" s="703"/>
      <c r="H881" s="703"/>
      <c r="I881" s="703"/>
    </row>
    <row r="882" spans="1:9">
      <c r="A882" s="703"/>
      <c r="B882" s="703"/>
      <c r="C882" s="703"/>
      <c r="D882" s="703"/>
      <c r="E882" s="703"/>
      <c r="F882" s="703"/>
      <c r="G882" s="703"/>
      <c r="H882" s="703"/>
      <c r="I882" s="703"/>
    </row>
    <row r="883" spans="1:9">
      <c r="A883" s="703"/>
      <c r="B883" s="703"/>
      <c r="C883" s="703"/>
      <c r="D883" s="703"/>
      <c r="E883" s="703"/>
      <c r="F883" s="703"/>
      <c r="G883" s="703"/>
      <c r="H883" s="703"/>
      <c r="I883" s="703"/>
    </row>
    <row r="884" spans="1:9">
      <c r="A884" s="703"/>
      <c r="B884" s="703"/>
      <c r="C884" s="703"/>
      <c r="D884" s="703"/>
      <c r="E884" s="703"/>
      <c r="F884" s="703"/>
      <c r="G884" s="703"/>
      <c r="H884" s="703"/>
      <c r="I884" s="703"/>
    </row>
    <row r="885" spans="1:9">
      <c r="A885" s="703"/>
      <c r="B885" s="703"/>
      <c r="C885" s="703"/>
      <c r="D885" s="703"/>
      <c r="E885" s="703"/>
      <c r="F885" s="703"/>
      <c r="G885" s="703"/>
      <c r="H885" s="703"/>
      <c r="I885" s="703"/>
    </row>
    <row r="886" spans="1:9">
      <c r="A886" s="703"/>
      <c r="B886" s="703"/>
      <c r="C886" s="703"/>
      <c r="D886" s="703"/>
      <c r="E886" s="703"/>
      <c r="F886" s="703"/>
      <c r="G886" s="703"/>
      <c r="H886" s="703"/>
      <c r="I886" s="703"/>
    </row>
    <row r="887" spans="1:9">
      <c r="A887" s="703"/>
      <c r="B887" s="703"/>
      <c r="C887" s="703"/>
      <c r="D887" s="703"/>
      <c r="E887" s="703"/>
      <c r="F887" s="703"/>
      <c r="G887" s="703"/>
      <c r="H887" s="703"/>
      <c r="I887" s="703"/>
    </row>
    <row r="888" spans="1:9">
      <c r="A888" s="703"/>
      <c r="B888" s="703"/>
      <c r="C888" s="703"/>
      <c r="D888" s="703"/>
      <c r="E888" s="703"/>
      <c r="F888" s="703"/>
      <c r="G888" s="703"/>
      <c r="H888" s="703"/>
      <c r="I888" s="703"/>
    </row>
    <row r="889" spans="1:9">
      <c r="A889" s="703"/>
      <c r="B889" s="703"/>
      <c r="C889" s="703"/>
      <c r="D889" s="703"/>
      <c r="E889" s="703"/>
      <c r="F889" s="703"/>
      <c r="G889" s="703"/>
      <c r="H889" s="703"/>
      <c r="I889" s="703"/>
    </row>
    <row r="890" spans="1:9">
      <c r="A890" s="703"/>
      <c r="B890" s="703"/>
      <c r="C890" s="703"/>
      <c r="D890" s="703"/>
      <c r="E890" s="703"/>
      <c r="F890" s="703"/>
      <c r="G890" s="703"/>
      <c r="H890" s="703"/>
      <c r="I890" s="703"/>
    </row>
    <row r="891" spans="1:9">
      <c r="A891" s="703"/>
      <c r="B891" s="703"/>
      <c r="C891" s="703"/>
      <c r="D891" s="703"/>
      <c r="E891" s="703"/>
      <c r="F891" s="703"/>
      <c r="G891" s="703"/>
      <c r="H891" s="703"/>
      <c r="I891" s="703"/>
    </row>
    <row r="892" spans="1:9">
      <c r="A892" s="703"/>
      <c r="B892" s="703"/>
      <c r="C892" s="703"/>
      <c r="D892" s="703"/>
      <c r="E892" s="703"/>
      <c r="F892" s="703"/>
      <c r="G892" s="703"/>
      <c r="H892" s="703"/>
      <c r="I892" s="703"/>
    </row>
    <row r="893" spans="1:9">
      <c r="A893" s="703"/>
      <c r="B893" s="703"/>
      <c r="C893" s="703"/>
      <c r="D893" s="703"/>
      <c r="E893" s="703"/>
      <c r="F893" s="703"/>
      <c r="G893" s="703"/>
      <c r="H893" s="703"/>
      <c r="I893" s="703"/>
    </row>
    <row r="894" spans="1:9">
      <c r="A894" s="703"/>
      <c r="B894" s="703"/>
      <c r="C894" s="703"/>
      <c r="D894" s="703"/>
      <c r="E894" s="703"/>
      <c r="F894" s="703"/>
      <c r="G894" s="703"/>
      <c r="H894" s="703"/>
      <c r="I894" s="703"/>
    </row>
    <row r="895" spans="1:9">
      <c r="A895" s="703"/>
      <c r="B895" s="703"/>
      <c r="C895" s="703"/>
      <c r="D895" s="703"/>
      <c r="E895" s="703"/>
      <c r="F895" s="703"/>
      <c r="G895" s="703"/>
      <c r="H895" s="703"/>
      <c r="I895" s="703"/>
    </row>
    <row r="896" spans="1:9">
      <c r="A896" s="703"/>
      <c r="B896" s="703"/>
      <c r="C896" s="703"/>
      <c r="D896" s="703"/>
      <c r="E896" s="703"/>
      <c r="F896" s="703"/>
      <c r="G896" s="703"/>
      <c r="H896" s="703"/>
      <c r="I896" s="703"/>
    </row>
    <row r="897" spans="1:9">
      <c r="A897" s="703"/>
      <c r="B897" s="703"/>
      <c r="C897" s="703"/>
      <c r="D897" s="703"/>
      <c r="E897" s="703"/>
      <c r="F897" s="703"/>
      <c r="G897" s="703"/>
      <c r="H897" s="703"/>
      <c r="I897" s="703"/>
    </row>
    <row r="898" spans="1:9">
      <c r="A898" s="703"/>
      <c r="B898" s="703"/>
      <c r="C898" s="703"/>
      <c r="D898" s="703"/>
      <c r="E898" s="703"/>
      <c r="F898" s="703"/>
      <c r="G898" s="703"/>
      <c r="H898" s="703"/>
      <c r="I898" s="703"/>
    </row>
    <row r="899" spans="1:9">
      <c r="A899" s="703"/>
      <c r="B899" s="703"/>
      <c r="C899" s="703"/>
      <c r="D899" s="703"/>
      <c r="E899" s="703"/>
      <c r="F899" s="703"/>
      <c r="G899" s="703"/>
      <c r="H899" s="703"/>
      <c r="I899" s="703"/>
    </row>
    <row r="900" spans="1:9">
      <c r="A900" s="703"/>
      <c r="B900" s="703"/>
      <c r="C900" s="703"/>
      <c r="D900" s="703"/>
      <c r="E900" s="703"/>
      <c r="F900" s="703"/>
      <c r="G900" s="703"/>
      <c r="H900" s="703"/>
      <c r="I900" s="703"/>
    </row>
    <row r="901" spans="1:9">
      <c r="A901" s="703"/>
      <c r="B901" s="703"/>
      <c r="C901" s="703"/>
      <c r="D901" s="703"/>
      <c r="E901" s="703"/>
      <c r="F901" s="703"/>
      <c r="G901" s="703"/>
      <c r="H901" s="703"/>
      <c r="I901" s="703"/>
    </row>
    <row r="902" spans="1:9">
      <c r="A902" s="703"/>
      <c r="B902" s="703"/>
      <c r="C902" s="703"/>
      <c r="D902" s="703"/>
      <c r="E902" s="703"/>
      <c r="F902" s="703"/>
      <c r="G902" s="703"/>
      <c r="H902" s="703"/>
      <c r="I902" s="703"/>
    </row>
    <row r="903" spans="1:9">
      <c r="A903" s="703"/>
      <c r="B903" s="703"/>
      <c r="C903" s="703"/>
      <c r="D903" s="703"/>
      <c r="E903" s="703"/>
      <c r="F903" s="703"/>
      <c r="G903" s="703"/>
      <c r="H903" s="703"/>
      <c r="I903" s="703"/>
    </row>
    <row r="904" spans="1:9">
      <c r="A904" s="703"/>
      <c r="B904" s="703"/>
      <c r="C904" s="703"/>
      <c r="D904" s="703"/>
      <c r="E904" s="703"/>
      <c r="F904" s="703"/>
      <c r="G904" s="703"/>
      <c r="H904" s="703"/>
      <c r="I904" s="703"/>
    </row>
    <row r="905" spans="1:9">
      <c r="A905" s="703"/>
      <c r="B905" s="703"/>
      <c r="C905" s="703"/>
      <c r="D905" s="703"/>
      <c r="E905" s="703"/>
      <c r="F905" s="703"/>
      <c r="G905" s="703"/>
      <c r="H905" s="703"/>
      <c r="I905" s="703"/>
    </row>
    <row r="906" spans="1:9">
      <c r="A906" s="703"/>
      <c r="B906" s="703"/>
      <c r="C906" s="703"/>
      <c r="D906" s="703"/>
      <c r="E906" s="703"/>
      <c r="F906" s="703"/>
      <c r="G906" s="703"/>
      <c r="H906" s="703"/>
      <c r="I906" s="703"/>
    </row>
    <row r="907" spans="1:9">
      <c r="A907" s="703"/>
      <c r="B907" s="703"/>
      <c r="C907" s="703"/>
      <c r="D907" s="703"/>
      <c r="E907" s="703"/>
      <c r="F907" s="703"/>
      <c r="G907" s="703"/>
      <c r="H907" s="703"/>
      <c r="I907" s="703"/>
    </row>
    <row r="908" spans="1:9">
      <c r="A908" s="703"/>
      <c r="B908" s="703"/>
      <c r="C908" s="703"/>
      <c r="D908" s="703"/>
      <c r="E908" s="703"/>
      <c r="F908" s="703"/>
      <c r="G908" s="703"/>
      <c r="H908" s="703"/>
      <c r="I908" s="703"/>
    </row>
    <row r="909" spans="1:9">
      <c r="A909" s="703"/>
      <c r="B909" s="703"/>
      <c r="C909" s="703"/>
      <c r="D909" s="703"/>
      <c r="E909" s="703"/>
      <c r="F909" s="703"/>
      <c r="G909" s="703"/>
      <c r="H909" s="703"/>
      <c r="I909" s="703"/>
    </row>
    <row r="910" spans="1:9">
      <c r="A910" s="703"/>
      <c r="B910" s="703"/>
      <c r="C910" s="703"/>
      <c r="D910" s="703"/>
      <c r="E910" s="703"/>
      <c r="F910" s="703"/>
      <c r="G910" s="703"/>
      <c r="H910" s="703"/>
      <c r="I910" s="703"/>
    </row>
    <row r="911" spans="1:9">
      <c r="A911" s="703"/>
      <c r="B911" s="703"/>
      <c r="C911" s="703"/>
      <c r="D911" s="703"/>
      <c r="E911" s="703"/>
      <c r="F911" s="703"/>
      <c r="G911" s="703"/>
      <c r="H911" s="703"/>
      <c r="I911" s="703"/>
    </row>
    <row r="912" spans="1:9">
      <c r="A912" s="703"/>
      <c r="B912" s="703"/>
      <c r="C912" s="703"/>
      <c r="D912" s="703"/>
      <c r="E912" s="703"/>
      <c r="F912" s="703"/>
      <c r="G912" s="703"/>
      <c r="H912" s="703"/>
      <c r="I912" s="703"/>
    </row>
    <row r="913" spans="1:9">
      <c r="A913" s="703"/>
      <c r="B913" s="703"/>
      <c r="C913" s="703"/>
      <c r="D913" s="703"/>
      <c r="E913" s="703"/>
      <c r="F913" s="703"/>
      <c r="G913" s="703"/>
      <c r="H913" s="703"/>
      <c r="I913" s="703"/>
    </row>
    <row r="914" spans="1:9">
      <c r="A914" s="703"/>
      <c r="B914" s="703"/>
      <c r="C914" s="703"/>
      <c r="D914" s="703"/>
      <c r="E914" s="703"/>
      <c r="F914" s="703"/>
      <c r="G914" s="703"/>
      <c r="H914" s="703"/>
      <c r="I914" s="703"/>
    </row>
    <row r="915" spans="1:9">
      <c r="A915" s="703"/>
      <c r="B915" s="703"/>
      <c r="C915" s="703"/>
      <c r="D915" s="703"/>
      <c r="E915" s="703"/>
      <c r="F915" s="703"/>
      <c r="G915" s="703"/>
      <c r="H915" s="703"/>
      <c r="I915" s="703"/>
    </row>
    <row r="916" spans="1:9">
      <c r="A916" s="703"/>
      <c r="B916" s="703"/>
      <c r="C916" s="703"/>
      <c r="D916" s="703"/>
      <c r="E916" s="703"/>
      <c r="F916" s="703"/>
      <c r="G916" s="703"/>
      <c r="H916" s="703"/>
      <c r="I916" s="703"/>
    </row>
    <row r="917" spans="1:9">
      <c r="A917" s="703"/>
      <c r="B917" s="703"/>
      <c r="C917" s="703"/>
      <c r="D917" s="703"/>
      <c r="E917" s="703"/>
      <c r="F917" s="703"/>
      <c r="G917" s="703"/>
      <c r="H917" s="703"/>
      <c r="I917" s="703"/>
    </row>
    <row r="918" spans="1:9">
      <c r="A918" s="703"/>
      <c r="B918" s="703"/>
      <c r="C918" s="703"/>
      <c r="D918" s="703"/>
      <c r="E918" s="703"/>
      <c r="F918" s="703"/>
      <c r="G918" s="703"/>
      <c r="H918" s="703"/>
      <c r="I918" s="703"/>
    </row>
    <row r="919" spans="1:9">
      <c r="A919" s="703"/>
      <c r="B919" s="703"/>
      <c r="C919" s="703"/>
      <c r="D919" s="703"/>
      <c r="E919" s="703"/>
      <c r="F919" s="703"/>
      <c r="G919" s="703"/>
      <c r="H919" s="703"/>
      <c r="I919" s="703"/>
    </row>
    <row r="920" spans="1:9">
      <c r="A920" s="703"/>
      <c r="B920" s="703"/>
      <c r="C920" s="703"/>
      <c r="D920" s="703"/>
      <c r="E920" s="703"/>
      <c r="F920" s="703"/>
      <c r="G920" s="703"/>
      <c r="H920" s="703"/>
      <c r="I920" s="703"/>
    </row>
    <row r="921" spans="1:9">
      <c r="A921" s="703"/>
      <c r="B921" s="703"/>
      <c r="C921" s="703"/>
      <c r="D921" s="703"/>
      <c r="E921" s="703"/>
      <c r="F921" s="703"/>
      <c r="G921" s="703"/>
      <c r="H921" s="703"/>
      <c r="I921" s="703"/>
    </row>
    <row r="922" spans="1:9">
      <c r="A922" s="703"/>
      <c r="B922" s="703"/>
      <c r="C922" s="703"/>
      <c r="D922" s="703"/>
      <c r="E922" s="703"/>
      <c r="F922" s="703"/>
      <c r="G922" s="703"/>
      <c r="H922" s="703"/>
      <c r="I922" s="703"/>
    </row>
    <row r="923" spans="1:9">
      <c r="A923" s="703"/>
      <c r="B923" s="703"/>
      <c r="C923" s="703"/>
      <c r="D923" s="703"/>
      <c r="E923" s="703"/>
      <c r="F923" s="703"/>
      <c r="G923" s="703"/>
      <c r="H923" s="703"/>
      <c r="I923" s="703"/>
    </row>
    <row r="924" spans="1:9">
      <c r="A924" s="703"/>
      <c r="B924" s="703"/>
      <c r="C924" s="703"/>
      <c r="D924" s="703"/>
      <c r="E924" s="703"/>
      <c r="F924" s="703"/>
      <c r="G924" s="703"/>
      <c r="H924" s="703"/>
      <c r="I924" s="703"/>
    </row>
    <row r="925" spans="1:9">
      <c r="A925" s="703"/>
      <c r="B925" s="703"/>
      <c r="C925" s="703"/>
      <c r="D925" s="703"/>
      <c r="E925" s="703"/>
      <c r="F925" s="703"/>
      <c r="G925" s="703"/>
      <c r="H925" s="703"/>
      <c r="I925" s="703"/>
    </row>
    <row r="926" spans="1:9">
      <c r="A926" s="703"/>
      <c r="B926" s="703"/>
      <c r="C926" s="703"/>
      <c r="D926" s="703"/>
      <c r="E926" s="703"/>
      <c r="F926" s="703"/>
      <c r="G926" s="703"/>
      <c r="H926" s="703"/>
      <c r="I926" s="703"/>
    </row>
    <row r="927" spans="1:9">
      <c r="A927" s="703"/>
      <c r="B927" s="703"/>
      <c r="C927" s="703"/>
      <c r="D927" s="703"/>
      <c r="E927" s="703"/>
      <c r="F927" s="703"/>
      <c r="G927" s="703"/>
      <c r="H927" s="703"/>
      <c r="I927" s="703"/>
    </row>
    <row r="928" spans="1:9">
      <c r="A928" s="703"/>
      <c r="B928" s="703"/>
      <c r="C928" s="703"/>
      <c r="D928" s="703"/>
      <c r="E928" s="703"/>
      <c r="F928" s="703"/>
      <c r="G928" s="703"/>
      <c r="H928" s="703"/>
      <c r="I928" s="703"/>
    </row>
    <row r="929" spans="1:9">
      <c r="A929" s="703"/>
      <c r="B929" s="703"/>
      <c r="C929" s="703"/>
      <c r="D929" s="703"/>
      <c r="E929" s="703"/>
      <c r="F929" s="703"/>
      <c r="G929" s="703"/>
      <c r="H929" s="703"/>
      <c r="I929" s="703"/>
    </row>
    <row r="930" spans="1:9">
      <c r="A930" s="703"/>
      <c r="B930" s="703"/>
      <c r="C930" s="703"/>
      <c r="D930" s="703"/>
      <c r="E930" s="703"/>
      <c r="F930" s="703"/>
      <c r="G930" s="703"/>
      <c r="H930" s="703"/>
      <c r="I930" s="703"/>
    </row>
    <row r="931" spans="1:9">
      <c r="A931" s="703"/>
      <c r="B931" s="703"/>
      <c r="C931" s="703"/>
      <c r="D931" s="703"/>
      <c r="E931" s="703"/>
      <c r="F931" s="703"/>
      <c r="G931" s="703"/>
      <c r="H931" s="703"/>
      <c r="I931" s="703"/>
    </row>
    <row r="932" spans="1:9">
      <c r="A932" s="703"/>
      <c r="B932" s="703"/>
      <c r="C932" s="703"/>
      <c r="D932" s="703"/>
      <c r="E932" s="703"/>
      <c r="F932" s="703"/>
      <c r="G932" s="703"/>
      <c r="H932" s="703"/>
      <c r="I932" s="703"/>
    </row>
    <row r="933" spans="1:9">
      <c r="A933" s="703"/>
      <c r="B933" s="703"/>
      <c r="C933" s="703"/>
      <c r="D933" s="703"/>
      <c r="E933" s="703"/>
      <c r="F933" s="703"/>
      <c r="G933" s="703"/>
      <c r="H933" s="703"/>
      <c r="I933" s="703"/>
    </row>
    <row r="934" spans="1:9">
      <c r="A934" s="703"/>
      <c r="B934" s="703"/>
      <c r="C934" s="703"/>
      <c r="D934" s="703"/>
      <c r="E934" s="703"/>
      <c r="F934" s="703"/>
      <c r="G934" s="703"/>
      <c r="H934" s="703"/>
      <c r="I934" s="703"/>
    </row>
    <row r="935" spans="1:9">
      <c r="A935" s="703"/>
      <c r="B935" s="703"/>
      <c r="C935" s="703"/>
      <c r="D935" s="703"/>
      <c r="E935" s="703"/>
      <c r="F935" s="703"/>
      <c r="G935" s="703"/>
      <c r="H935" s="703"/>
      <c r="I935" s="703"/>
    </row>
    <row r="936" spans="1:9">
      <c r="A936" s="703"/>
      <c r="B936" s="703"/>
      <c r="C936" s="703"/>
      <c r="D936" s="703"/>
      <c r="E936" s="703"/>
      <c r="F936" s="703"/>
      <c r="G936" s="703"/>
      <c r="H936" s="703"/>
      <c r="I936" s="703"/>
    </row>
    <row r="937" spans="1:9">
      <c r="A937" s="703"/>
      <c r="B937" s="703"/>
      <c r="C937" s="703"/>
      <c r="D937" s="703"/>
      <c r="E937" s="703"/>
      <c r="F937" s="703"/>
      <c r="G937" s="703"/>
      <c r="H937" s="703"/>
      <c r="I937" s="703"/>
    </row>
    <row r="938" spans="1:9">
      <c r="A938" s="703"/>
      <c r="B938" s="703"/>
      <c r="C938" s="703"/>
      <c r="D938" s="703"/>
      <c r="E938" s="703"/>
      <c r="F938" s="703"/>
      <c r="G938" s="703"/>
      <c r="H938" s="703"/>
      <c r="I938" s="703"/>
    </row>
    <row r="939" spans="1:9">
      <c r="A939" s="703"/>
      <c r="B939" s="703"/>
      <c r="C939" s="703"/>
      <c r="D939" s="703"/>
      <c r="E939" s="703"/>
      <c r="F939" s="703"/>
      <c r="G939" s="703"/>
      <c r="H939" s="703"/>
      <c r="I939" s="703"/>
    </row>
    <row r="940" spans="1:9">
      <c r="A940" s="703"/>
      <c r="B940" s="703"/>
      <c r="C940" s="703"/>
      <c r="D940" s="703"/>
      <c r="E940" s="703"/>
      <c r="F940" s="703"/>
      <c r="G940" s="703"/>
      <c r="H940" s="703"/>
      <c r="I940" s="703"/>
    </row>
    <row r="941" spans="1:9">
      <c r="A941" s="703"/>
      <c r="B941" s="703"/>
      <c r="C941" s="703"/>
      <c r="D941" s="703"/>
      <c r="E941" s="703"/>
      <c r="F941" s="703"/>
      <c r="G941" s="703"/>
      <c r="H941" s="703"/>
      <c r="I941" s="703"/>
    </row>
    <row r="942" spans="1:9">
      <c r="A942" s="703"/>
      <c r="B942" s="703"/>
      <c r="C942" s="703"/>
      <c r="D942" s="703"/>
      <c r="E942" s="703"/>
      <c r="F942" s="703"/>
      <c r="G942" s="703"/>
      <c r="H942" s="703"/>
      <c r="I942" s="703"/>
    </row>
    <row r="943" spans="1:9">
      <c r="A943" s="703"/>
      <c r="B943" s="703"/>
      <c r="C943" s="703"/>
      <c r="D943" s="703"/>
      <c r="E943" s="703"/>
      <c r="F943" s="703"/>
      <c r="G943" s="703"/>
      <c r="H943" s="703"/>
      <c r="I943" s="703"/>
    </row>
    <row r="944" spans="1:9">
      <c r="A944" s="703"/>
      <c r="B944" s="703"/>
      <c r="C944" s="703"/>
      <c r="D944" s="703"/>
      <c r="E944" s="703"/>
      <c r="F944" s="703"/>
      <c r="G944" s="703"/>
      <c r="H944" s="703"/>
      <c r="I944" s="703"/>
    </row>
    <row r="945" spans="1:9">
      <c r="A945" s="703"/>
      <c r="B945" s="703"/>
      <c r="C945" s="703"/>
      <c r="D945" s="703"/>
      <c r="E945" s="703"/>
      <c r="F945" s="703"/>
      <c r="G945" s="703"/>
      <c r="H945" s="703"/>
      <c r="I945" s="703"/>
    </row>
    <row r="946" spans="1:9">
      <c r="A946" s="703"/>
      <c r="B946" s="703"/>
      <c r="C946" s="703"/>
      <c r="D946" s="703"/>
      <c r="E946" s="703"/>
      <c r="F946" s="703"/>
      <c r="G946" s="703"/>
      <c r="H946" s="703"/>
      <c r="I946" s="703"/>
    </row>
    <row r="947" spans="1:9">
      <c r="A947" s="703"/>
      <c r="B947" s="703"/>
      <c r="C947" s="703"/>
      <c r="D947" s="703"/>
      <c r="E947" s="703"/>
      <c r="F947" s="703"/>
      <c r="G947" s="703"/>
      <c r="H947" s="703"/>
      <c r="I947" s="703"/>
    </row>
    <row r="948" spans="1:9">
      <c r="A948" s="703"/>
      <c r="B948" s="703"/>
      <c r="C948" s="703"/>
      <c r="D948" s="703"/>
      <c r="E948" s="703"/>
      <c r="F948" s="703"/>
      <c r="G948" s="703"/>
      <c r="H948" s="703"/>
      <c r="I948" s="703"/>
    </row>
    <row r="949" spans="1:9">
      <c r="A949" s="703"/>
      <c r="B949" s="703"/>
      <c r="C949" s="703"/>
      <c r="D949" s="703"/>
      <c r="E949" s="703"/>
      <c r="F949" s="703"/>
      <c r="G949" s="703"/>
      <c r="H949" s="703"/>
      <c r="I949" s="703"/>
    </row>
    <row r="950" spans="1:9">
      <c r="A950" s="703"/>
      <c r="B950" s="703"/>
      <c r="C950" s="703"/>
      <c r="D950" s="703"/>
      <c r="E950" s="703"/>
      <c r="F950" s="703"/>
      <c r="G950" s="703"/>
      <c r="H950" s="703"/>
      <c r="I950" s="703"/>
    </row>
    <row r="951" spans="1:9">
      <c r="A951" s="703"/>
      <c r="B951" s="703"/>
      <c r="C951" s="703"/>
      <c r="D951" s="703"/>
      <c r="E951" s="703"/>
      <c r="F951" s="703"/>
      <c r="G951" s="703"/>
      <c r="H951" s="703"/>
      <c r="I951" s="703"/>
    </row>
    <row r="952" spans="1:9">
      <c r="A952" s="703"/>
      <c r="B952" s="703"/>
      <c r="C952" s="703"/>
      <c r="D952" s="703"/>
      <c r="E952" s="703"/>
      <c r="F952" s="703"/>
      <c r="G952" s="703"/>
      <c r="H952" s="703"/>
      <c r="I952" s="703"/>
    </row>
    <row r="953" spans="1:9">
      <c r="A953" s="703"/>
      <c r="B953" s="703"/>
      <c r="C953" s="703"/>
      <c r="D953" s="703"/>
      <c r="E953" s="703"/>
      <c r="F953" s="703"/>
      <c r="G953" s="703"/>
      <c r="H953" s="703"/>
      <c r="I953" s="703"/>
    </row>
    <row r="954" spans="1:9">
      <c r="A954" s="703"/>
      <c r="B954" s="703"/>
      <c r="C954" s="703"/>
      <c r="D954" s="703"/>
      <c r="E954" s="703"/>
      <c r="F954" s="703"/>
      <c r="G954" s="703"/>
      <c r="H954" s="703"/>
      <c r="I954" s="703"/>
    </row>
    <row r="955" spans="1:9">
      <c r="A955" s="703"/>
      <c r="B955" s="703"/>
      <c r="C955" s="703"/>
      <c r="D955" s="703"/>
      <c r="E955" s="703"/>
      <c r="F955" s="703"/>
      <c r="G955" s="703"/>
      <c r="H955" s="703"/>
      <c r="I955" s="703"/>
    </row>
    <row r="956" spans="1:9">
      <c r="A956" s="703"/>
      <c r="B956" s="703"/>
      <c r="C956" s="703"/>
      <c r="D956" s="703"/>
      <c r="E956" s="703"/>
      <c r="F956" s="703"/>
      <c r="G956" s="703"/>
      <c r="H956" s="703"/>
      <c r="I956" s="703"/>
    </row>
    <row r="957" spans="1:9">
      <c r="A957" s="703"/>
      <c r="B957" s="703"/>
      <c r="C957" s="703"/>
      <c r="D957" s="703"/>
      <c r="E957" s="703"/>
      <c r="F957" s="703"/>
      <c r="G957" s="703"/>
      <c r="H957" s="703"/>
      <c r="I957" s="703"/>
    </row>
    <row r="958" spans="1:9">
      <c r="A958" s="703"/>
      <c r="B958" s="703"/>
      <c r="C958" s="703"/>
      <c r="D958" s="703"/>
      <c r="E958" s="703"/>
      <c r="F958" s="703"/>
      <c r="G958" s="703"/>
      <c r="H958" s="703"/>
      <c r="I958" s="703"/>
    </row>
    <row r="959" spans="1:9">
      <c r="A959" s="703"/>
      <c r="B959" s="703"/>
      <c r="C959" s="703"/>
      <c r="D959" s="703"/>
      <c r="E959" s="703"/>
      <c r="F959" s="703"/>
      <c r="G959" s="703"/>
      <c r="H959" s="703"/>
      <c r="I959" s="703"/>
    </row>
    <row r="960" spans="1:9">
      <c r="A960" s="703"/>
      <c r="B960" s="703"/>
      <c r="C960" s="703"/>
      <c r="D960" s="703"/>
      <c r="E960" s="703"/>
      <c r="F960" s="703"/>
      <c r="G960" s="703"/>
      <c r="H960" s="703"/>
      <c r="I960" s="703"/>
    </row>
    <row r="961" spans="1:9">
      <c r="A961" s="703"/>
      <c r="B961" s="703"/>
      <c r="C961" s="703"/>
      <c r="D961" s="703"/>
      <c r="E961" s="703"/>
      <c r="F961" s="703"/>
      <c r="G961" s="703"/>
      <c r="H961" s="703"/>
      <c r="I961" s="703"/>
    </row>
    <row r="962" spans="1:9">
      <c r="A962" s="703"/>
      <c r="B962" s="703"/>
      <c r="C962" s="703"/>
      <c r="D962" s="703"/>
      <c r="E962" s="703"/>
      <c r="F962" s="703"/>
      <c r="G962" s="703"/>
      <c r="H962" s="703"/>
      <c r="I962" s="703"/>
    </row>
    <row r="963" spans="1:9">
      <c r="A963" s="703"/>
      <c r="B963" s="703"/>
      <c r="C963" s="703"/>
      <c r="D963" s="703"/>
      <c r="E963" s="703"/>
      <c r="F963" s="703"/>
      <c r="G963" s="703"/>
      <c r="H963" s="703"/>
      <c r="I963" s="703"/>
    </row>
    <row r="964" spans="1:9">
      <c r="A964" s="703"/>
      <c r="B964" s="703"/>
      <c r="C964" s="703"/>
      <c r="D964" s="703"/>
      <c r="E964" s="703"/>
      <c r="F964" s="703"/>
      <c r="G964" s="703"/>
      <c r="H964" s="703"/>
      <c r="I964" s="703"/>
    </row>
    <row r="965" spans="1:9">
      <c r="A965" s="703"/>
      <c r="B965" s="703"/>
      <c r="C965" s="703"/>
      <c r="D965" s="703"/>
      <c r="E965" s="703"/>
      <c r="F965" s="703"/>
      <c r="G965" s="703"/>
      <c r="H965" s="703"/>
      <c r="I965" s="703"/>
    </row>
    <row r="966" spans="1:9">
      <c r="A966" s="703"/>
      <c r="B966" s="703"/>
      <c r="C966" s="703"/>
      <c r="D966" s="703"/>
      <c r="E966" s="703"/>
      <c r="F966" s="703"/>
      <c r="G966" s="703"/>
      <c r="H966" s="703"/>
      <c r="I966" s="703"/>
    </row>
    <row r="967" spans="1:9">
      <c r="A967" s="703"/>
      <c r="B967" s="703"/>
      <c r="C967" s="703"/>
      <c r="D967" s="703"/>
      <c r="E967" s="703"/>
      <c r="F967" s="703"/>
      <c r="G967" s="703"/>
      <c r="H967" s="703"/>
      <c r="I967" s="703"/>
    </row>
    <row r="968" spans="1:9">
      <c r="A968" s="703"/>
      <c r="B968" s="703"/>
      <c r="C968" s="703"/>
      <c r="D968" s="703"/>
      <c r="E968" s="703"/>
      <c r="F968" s="703"/>
      <c r="G968" s="703"/>
      <c r="H968" s="703"/>
      <c r="I968" s="703"/>
    </row>
    <row r="969" spans="1:9">
      <c r="A969" s="703"/>
      <c r="B969" s="703"/>
      <c r="C969" s="703"/>
      <c r="D969" s="703"/>
      <c r="E969" s="703"/>
      <c r="F969" s="703"/>
      <c r="G969" s="703"/>
      <c r="H969" s="703"/>
      <c r="I969" s="703"/>
    </row>
    <row r="970" spans="1:9">
      <c r="A970" s="703"/>
      <c r="B970" s="703"/>
      <c r="C970" s="703"/>
      <c r="D970" s="703"/>
      <c r="E970" s="703"/>
      <c r="F970" s="703"/>
      <c r="G970" s="703"/>
      <c r="H970" s="703"/>
      <c r="I970" s="703"/>
    </row>
    <row r="971" spans="1:9">
      <c r="A971" s="703"/>
      <c r="B971" s="703"/>
      <c r="C971" s="703"/>
      <c r="D971" s="703"/>
      <c r="E971" s="703"/>
      <c r="F971" s="703"/>
      <c r="G971" s="703"/>
      <c r="H971" s="703"/>
      <c r="I971" s="703"/>
    </row>
    <row r="972" spans="1:9">
      <c r="A972" s="703"/>
      <c r="B972" s="703"/>
      <c r="C972" s="703"/>
      <c r="D972" s="703"/>
      <c r="E972" s="703"/>
      <c r="F972" s="703"/>
      <c r="G972" s="703"/>
      <c r="H972" s="703"/>
      <c r="I972" s="703"/>
    </row>
    <row r="973" spans="1:9">
      <c r="A973" s="703"/>
      <c r="B973" s="703"/>
      <c r="C973" s="703"/>
      <c r="D973" s="703"/>
      <c r="E973" s="703"/>
      <c r="F973" s="703"/>
      <c r="G973" s="703"/>
      <c r="H973" s="703"/>
      <c r="I973" s="703"/>
    </row>
    <row r="974" spans="1:9">
      <c r="A974" s="703"/>
      <c r="B974" s="703"/>
      <c r="C974" s="703"/>
      <c r="D974" s="703"/>
      <c r="E974" s="703"/>
      <c r="F974" s="703"/>
      <c r="G974" s="703"/>
      <c r="H974" s="703"/>
      <c r="I974" s="703"/>
    </row>
    <row r="975" spans="1:9">
      <c r="A975" s="703"/>
      <c r="B975" s="703"/>
      <c r="C975" s="703"/>
      <c r="D975" s="703"/>
      <c r="E975" s="703"/>
      <c r="F975" s="703"/>
      <c r="G975" s="703"/>
      <c r="H975" s="703"/>
      <c r="I975" s="703"/>
    </row>
    <row r="976" spans="1:9">
      <c r="A976" s="703"/>
      <c r="B976" s="703"/>
      <c r="C976" s="703"/>
      <c r="D976" s="703"/>
      <c r="E976" s="703"/>
      <c r="F976" s="703"/>
      <c r="G976" s="703"/>
      <c r="H976" s="703"/>
      <c r="I976" s="703"/>
    </row>
    <row r="977" spans="1:9">
      <c r="A977" s="703"/>
      <c r="B977" s="703"/>
      <c r="C977" s="703"/>
      <c r="D977" s="703"/>
      <c r="E977" s="703"/>
      <c r="F977" s="703"/>
      <c r="G977" s="703"/>
      <c r="H977" s="703"/>
      <c r="I977" s="703"/>
    </row>
    <row r="978" spans="1:9">
      <c r="A978" s="703"/>
      <c r="B978" s="703"/>
      <c r="C978" s="703"/>
      <c r="D978" s="703"/>
      <c r="E978" s="703"/>
      <c r="F978" s="703"/>
      <c r="G978" s="703"/>
      <c r="H978" s="703"/>
      <c r="I978" s="703"/>
    </row>
    <row r="979" spans="1:9">
      <c r="A979" s="703"/>
      <c r="B979" s="703"/>
      <c r="C979" s="703"/>
      <c r="D979" s="703"/>
      <c r="E979" s="703"/>
      <c r="F979" s="703"/>
      <c r="G979" s="703"/>
      <c r="H979" s="703"/>
      <c r="I979" s="703"/>
    </row>
    <row r="980" spans="1:9">
      <c r="A980" s="703"/>
      <c r="B980" s="703"/>
      <c r="C980" s="703"/>
      <c r="D980" s="703"/>
      <c r="E980" s="703"/>
      <c r="F980" s="703"/>
      <c r="G980" s="703"/>
      <c r="H980" s="703"/>
      <c r="I980" s="703"/>
    </row>
    <row r="981" spans="1:9">
      <c r="A981" s="703"/>
      <c r="B981" s="703"/>
      <c r="C981" s="703"/>
      <c r="D981" s="703"/>
      <c r="E981" s="703"/>
      <c r="F981" s="703"/>
      <c r="G981" s="703"/>
      <c r="H981" s="703"/>
      <c r="I981" s="703"/>
    </row>
    <row r="982" spans="1:9">
      <c r="A982" s="703"/>
      <c r="B982" s="703"/>
      <c r="C982" s="703"/>
      <c r="D982" s="703"/>
      <c r="E982" s="703"/>
      <c r="F982" s="703"/>
      <c r="G982" s="703"/>
      <c r="H982" s="703"/>
      <c r="I982" s="703"/>
    </row>
    <row r="983" spans="1:9">
      <c r="A983" s="703"/>
      <c r="B983" s="703"/>
      <c r="C983" s="703"/>
      <c r="D983" s="703"/>
      <c r="E983" s="703"/>
      <c r="F983" s="703"/>
      <c r="G983" s="703"/>
      <c r="H983" s="703"/>
      <c r="I983" s="703"/>
    </row>
    <row r="984" spans="1:9">
      <c r="A984" s="703"/>
      <c r="B984" s="703"/>
      <c r="C984" s="703"/>
      <c r="D984" s="703"/>
      <c r="E984" s="703"/>
      <c r="F984" s="703"/>
      <c r="G984" s="703"/>
      <c r="H984" s="703"/>
      <c r="I984" s="703"/>
    </row>
    <row r="985" spans="1:9">
      <c r="A985" s="703"/>
      <c r="B985" s="703"/>
      <c r="C985" s="703"/>
      <c r="D985" s="703"/>
      <c r="E985" s="703"/>
      <c r="F985" s="703"/>
      <c r="G985" s="703"/>
      <c r="H985" s="703"/>
      <c r="I985" s="703"/>
    </row>
    <row r="986" spans="1:9">
      <c r="A986" s="703"/>
      <c r="B986" s="703"/>
      <c r="C986" s="703"/>
      <c r="D986" s="703"/>
      <c r="E986" s="703"/>
      <c r="F986" s="703"/>
      <c r="G986" s="703"/>
      <c r="H986" s="703"/>
      <c r="I986" s="703"/>
    </row>
    <row r="987" spans="1:9">
      <c r="A987" s="703"/>
      <c r="B987" s="703"/>
      <c r="C987" s="703"/>
      <c r="D987" s="703"/>
      <c r="E987" s="703"/>
      <c r="F987" s="703"/>
      <c r="G987" s="703"/>
      <c r="H987" s="703"/>
      <c r="I987" s="703"/>
    </row>
    <row r="988" spans="1:9">
      <c r="A988" s="703"/>
      <c r="B988" s="703"/>
      <c r="C988" s="703"/>
      <c r="D988" s="703"/>
      <c r="E988" s="703"/>
      <c r="F988" s="703"/>
      <c r="G988" s="703"/>
      <c r="H988" s="703"/>
      <c r="I988" s="703"/>
    </row>
    <row r="989" spans="1:9">
      <c r="A989" s="703"/>
      <c r="B989" s="703"/>
      <c r="C989" s="703"/>
      <c r="D989" s="703"/>
      <c r="E989" s="703"/>
      <c r="F989" s="703"/>
      <c r="G989" s="703"/>
      <c r="H989" s="703"/>
      <c r="I989" s="703"/>
    </row>
    <row r="990" spans="1:9">
      <c r="A990" s="703"/>
      <c r="B990" s="703"/>
      <c r="C990" s="703"/>
      <c r="D990" s="703"/>
      <c r="E990" s="703"/>
      <c r="F990" s="703"/>
      <c r="G990" s="703"/>
      <c r="H990" s="703"/>
      <c r="I990" s="703"/>
    </row>
    <row r="991" spans="1:9">
      <c r="A991" s="703"/>
      <c r="B991" s="703"/>
      <c r="C991" s="703"/>
      <c r="D991" s="703"/>
      <c r="E991" s="703"/>
      <c r="F991" s="703"/>
      <c r="G991" s="703"/>
      <c r="H991" s="703"/>
      <c r="I991" s="703"/>
    </row>
    <row r="992" spans="1:9">
      <c r="A992" s="703"/>
      <c r="B992" s="703"/>
      <c r="C992" s="703"/>
      <c r="D992" s="703"/>
      <c r="E992" s="703"/>
      <c r="F992" s="703"/>
      <c r="G992" s="703"/>
      <c r="H992" s="703"/>
      <c r="I992" s="703"/>
    </row>
    <row r="993" spans="1:9">
      <c r="A993" s="703"/>
      <c r="B993" s="703"/>
      <c r="C993" s="703"/>
      <c r="D993" s="703"/>
      <c r="E993" s="703"/>
      <c r="F993" s="703"/>
      <c r="G993" s="703"/>
      <c r="H993" s="703"/>
      <c r="I993" s="703"/>
    </row>
    <row r="994" spans="1:9">
      <c r="A994" s="703"/>
      <c r="B994" s="703"/>
      <c r="C994" s="703"/>
      <c r="D994" s="703"/>
      <c r="E994" s="703"/>
      <c r="F994" s="703"/>
      <c r="G994" s="703"/>
      <c r="H994" s="703"/>
      <c r="I994" s="703"/>
    </row>
    <row r="995" spans="1:9">
      <c r="A995" s="703"/>
      <c r="B995" s="703"/>
      <c r="C995" s="703"/>
      <c r="D995" s="703"/>
      <c r="E995" s="703"/>
      <c r="F995" s="703"/>
      <c r="G995" s="703"/>
      <c r="H995" s="703"/>
      <c r="I995" s="703"/>
    </row>
    <row r="996" spans="1:9">
      <c r="A996" s="703"/>
      <c r="B996" s="703"/>
      <c r="C996" s="703"/>
      <c r="D996" s="703"/>
      <c r="E996" s="703"/>
      <c r="F996" s="703"/>
      <c r="G996" s="703"/>
      <c r="H996" s="703"/>
      <c r="I996" s="703"/>
    </row>
    <row r="997" spans="1:9">
      <c r="A997" s="703"/>
      <c r="B997" s="703"/>
      <c r="C997" s="703"/>
      <c r="D997" s="703"/>
      <c r="E997" s="703"/>
      <c r="F997" s="703"/>
      <c r="G997" s="703"/>
      <c r="H997" s="703"/>
      <c r="I997" s="703"/>
    </row>
  </sheetData>
  <mergeCells count="7">
    <mergeCell ref="F6:F8"/>
    <mergeCell ref="A1:E1"/>
    <mergeCell ref="A2:B2"/>
    <mergeCell ref="C2:C3"/>
    <mergeCell ref="D2:D3"/>
    <mergeCell ref="E2:E3"/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7</vt:i4>
      </vt:variant>
    </vt:vector>
  </HeadingPairs>
  <TitlesOfParts>
    <vt:vector size="21" baseType="lpstr">
      <vt:lpstr>ASSUMPTIONS</vt:lpstr>
      <vt:lpstr>TOP SHEET</vt:lpstr>
      <vt:lpstr>CASH FLOW</vt:lpstr>
      <vt:lpstr>PRESUPUESTO</vt:lpstr>
      <vt:lpstr>Hoja3</vt:lpstr>
      <vt:lpstr>IMP.PRESUPUESTO</vt:lpstr>
      <vt:lpstr>Deposito Correa</vt:lpstr>
      <vt:lpstr>Taxi Premium</vt:lpstr>
      <vt:lpstr>ACTORES</vt:lpstr>
      <vt:lpstr>DOBLAJES</vt:lpstr>
      <vt:lpstr>PROTOCOLO COVID</vt:lpstr>
      <vt:lpstr>SICA</vt:lpstr>
      <vt:lpstr>SUTEP</vt:lpstr>
      <vt:lpstr>SADAIC</vt:lpstr>
      <vt:lpstr>IMP.PRESUPUESTO!Área_de_impresión</vt:lpstr>
      <vt:lpstr>PRESUPUESTO!Área_de_impresión</vt:lpstr>
      <vt:lpstr>'PROTOCOLO COVID'!Área_de_impresión</vt:lpstr>
      <vt:lpstr>SADAIC!Área_de_impresión</vt:lpstr>
      <vt:lpstr>SICA!Área_de_impresión</vt:lpstr>
      <vt:lpstr>SUTEP!Área_de_impresión</vt:lpstr>
      <vt:lpstr>'TOP SHEET'!Área_de_impresión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</dc:creator>
  <cp:lastModifiedBy>Microsoft Office User</cp:lastModifiedBy>
  <cp:lastPrinted>2022-06-21T13:01:29Z</cp:lastPrinted>
  <dcterms:created xsi:type="dcterms:W3CDTF">2019-06-27T18:19:04Z</dcterms:created>
  <dcterms:modified xsi:type="dcterms:W3CDTF">2022-08-25T19:18:27Z</dcterms:modified>
</cp:coreProperties>
</file>