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drawings/drawing2.xml" ContentType="application/vnd.openxmlformats-officedocument.drawing+xml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ustomProperty10.bin" ContentType="application/vnd.openxmlformats-officedocument.spreadsheetml.customProperty"/>
  <Override PartName="/xl/customProperty11.bin" ContentType="application/vnd.openxmlformats-officedocument.spreadsheetml.customProperty"/>
  <Override PartName="/xl/customProperty12.bin" ContentType="application/vnd.openxmlformats-officedocument.spreadsheetml.customProperty"/>
  <Override PartName="/xl/customProperty13.bin" ContentType="application/vnd.openxmlformats-officedocument.spreadsheetml.customProperty"/>
  <Override PartName="/xl/drawings/drawing3.xml" ContentType="application/vnd.openxmlformats-officedocument.drawing+xml"/>
  <Override PartName="/xl/customProperty14.bin" ContentType="application/vnd.openxmlformats-officedocument.spreadsheetml.customProperty"/>
  <Override PartName="/xl/drawings/drawing4.xml" ContentType="application/vnd.openxmlformats-officedocument.drawing+xml"/>
  <Override PartName="/xl/customProperty15.bin" ContentType="application/vnd.openxmlformats-officedocument.spreadsheetml.customProperty"/>
  <Override PartName="/xl/customProperty16.bin" ContentType="application/vnd.openxmlformats-officedocument.spreadsheetml.customProperty"/>
  <Override PartName="/xl/customProperty17.bin" ContentType="application/vnd.openxmlformats-officedocument.spreadsheetml.customProperty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ustomProperty18.bin" ContentType="application/vnd.openxmlformats-officedocument.spreadsheetml.customProperty"/>
  <Override PartName="/xl/drawings/drawing6.xml" ContentType="application/vnd.openxmlformats-officedocument.drawing+xml"/>
  <Override PartName="/xl/customProperty19.bin" ContentType="application/vnd.openxmlformats-officedocument.spreadsheetml.customProperty"/>
  <Override PartName="/xl/drawings/drawing7.xml" ContentType="application/vnd.openxmlformats-officedocument.drawing+xml"/>
  <Override PartName="/xl/customProperty20.bin" ContentType="application/vnd.openxmlformats-officedocument.spreadsheetml.customProperty"/>
  <Override PartName="/xl/customProperty21.bin" ContentType="application/vnd.openxmlformats-officedocument.spreadsheetml.customProperty"/>
  <Override PartName="/xl/customProperty22.bin" ContentType="application/vnd.openxmlformats-officedocument.spreadsheetml.customProperty"/>
  <Override PartName="/xl/customProperty23.bin" ContentType="application/vnd.openxmlformats-officedocument.spreadsheetml.customProperty"/>
  <Override PartName="/xl/drawings/drawing8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ustomProperty24.bin" ContentType="application/vnd.openxmlformats-officedocument.spreadsheetml.customProperty"/>
  <Override PartName="/xl/drawings/drawing9.xml" ContentType="application/vnd.openxmlformats-officedocument.drawing+xml"/>
  <Override PartName="/xl/customProperty25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https://arcelormittal.sharepoint.com/sites/EquipePCFN/Shared Documents/General/CRTL-NEGOCIOS/Processo mensal/2026/06-Junho/Monitoramento/Report/Monthly performance/Calculo/Bridge/"/>
    </mc:Choice>
  </mc:AlternateContent>
  <xr:revisionPtr revIDLastSave="493" documentId="8_{3234CACE-BA20-41EA-B105-7641C8AA9D65}" xr6:coauthVersionLast="47" xr6:coauthVersionMax="47" xr10:uidLastSave="{03011842-D7D9-4966-A70E-09EDADF1540B}"/>
  <bookViews>
    <workbookView xWindow="-120" yWindow="-120" windowWidth="29040" windowHeight="15720" tabRatio="746" activeTab="4" xr2:uid="{00000000-000D-0000-FFFF-FFFF00000000}"/>
  </bookViews>
  <sheets>
    <sheet name="Cálculo" sheetId="1" r:id="rId1"/>
    <sheet name="Analise mes carvão" sheetId="32" state="hidden" r:id="rId2"/>
    <sheet name="Box" sheetId="4" r:id="rId3"/>
    <sheet name="Box (resumo sem AMD)" sheetId="23" r:id="rId4"/>
    <sheet name="Box (resumo SAIDA)" sheetId="25" r:id="rId5"/>
    <sheet name="Check BPM" sheetId="24" r:id="rId6"/>
    <sheet name="BPM" sheetId="3" r:id="rId7"/>
    <sheet name="Analise mes minério" sheetId="33" state="hidden" r:id="rId8"/>
    <sheet name="jvS" sheetId="31" r:id="rId9"/>
    <sheet name="Bridge" sheetId="10" r:id="rId10"/>
    <sheet name="Box combinado" sheetId="28" r:id="rId11"/>
    <sheet name="Bridge combinada" sheetId="27" r:id="rId12"/>
    <sheet name="Bridge Consolidade modelo n (2)" sheetId="35" state="hidden" r:id="rId13"/>
    <sheet name="Bridge combinada (2)" sheetId="29" state="hidden" r:id="rId14"/>
    <sheet name="Box combinado (modleo novo)" sheetId="36" state="hidden" r:id="rId15"/>
    <sheet name="Invest-ES" sheetId="38" r:id="rId16"/>
    <sheet name="Bridge Book" sheetId="13" state="hidden" r:id="rId17"/>
    <sheet name="Wanick" sheetId="22" state="hidden" r:id="rId18"/>
    <sheet name="Box Book" sheetId="15" state="hidden" r:id="rId19"/>
    <sheet name="Footprint" sheetId="21" state="hidden" r:id="rId20"/>
    <sheet name="Premissas comercial B21" sheetId="19" state="hidden" r:id="rId21"/>
    <sheet name="Slab BR FOB" sheetId="20" state="hidden" r:id="rId22"/>
    <sheet name="SV" sheetId="14" state="hidden" r:id="rId23"/>
    <sheet name="Modelo" sheetId="17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</externalReferences>
  <definedNames>
    <definedName name="___thinkcell32FQAAAAAAAAAAAAAAAMSWDOHTMJOTCBW4IZ6RKA4PXKY" localSheetId="12" hidden="1">'Bridge Consolidade modelo n (2)'!$A$4:$O$6</definedName>
    <definedName name="___thinkcellCZWQAAAAAAAAAAAAAAAI2DUHTP55SYCNXT4TTEVBWMKQM" localSheetId="16" hidden="1">'Bridge Book'!$V$28:$AQ$31</definedName>
    <definedName name="___thinkcellFSLQAAAAAAAAAAAAAAADS5HR26URKRJ35PK7OUHAEYGI6" localSheetId="11" hidden="1">'Bridge combinada'!$A$19:$L$21</definedName>
    <definedName name="___thinkcellFSLQAAAAAAAAAAAAAAANMCJPNL6R2EUY67WGUJX3B6PUU" localSheetId="9" hidden="1">Bridge!$T$17:$AE$19</definedName>
    <definedName name="___thinkcellI2AQAAAAAAAAAAAAAAAA7KYABSPVHW2JTEE3GXAHNOIUU" localSheetId="13" hidden="1">'Bridge combinada (2)'!$A$34:$L$36</definedName>
    <definedName name="___thinkcellI2AQAAAAAAAAAAAAAAANUJHPFYPADYKOVT2KL4JSKNMEO" localSheetId="11" hidden="1">'Bridge combinada'!$A$61:$L$68</definedName>
    <definedName name="___thinkcellICAQAAAAAAAAAAAAAAAEXDJIBICT7WSKWVFZ4AORBWJH2" localSheetId="9" hidden="1">Bridge!$A$41</definedName>
    <definedName name="___thinkcellICAQAAAAAAAAAAAAAAAM2USKRTYJDMCLQNBTVLVMK4VVO" localSheetId="13" hidden="1">'Bridge combinada (2)'!$A$4:$L$7</definedName>
    <definedName name="___thinkcellOSAQAAAAAAAAAAAAAAAJJBBO57IXXBCFSRNQH62VFMH6S" localSheetId="11" hidden="1">'Bridge combinada'!$A$45:$L$52</definedName>
    <definedName name="_xlnm._FilterDatabase" localSheetId="0" hidden="1">Cálculo!$B$81:$S$180</definedName>
    <definedName name="_xlnm.Print_Area" localSheetId="2">Box!$B$2:$U$39</definedName>
    <definedName name="_xlnm.Print_Area" localSheetId="4">'Box (resumo SAIDA)'!$B$2:$N$18</definedName>
    <definedName name="_xlnm.Print_Area" localSheetId="3">'Box (resumo sem AMD)'!$B$2:$U$38</definedName>
    <definedName name="_xlnm.Print_Area" localSheetId="18">#REF!</definedName>
    <definedName name="_xlnm.Print_Area" localSheetId="9">#REF!</definedName>
    <definedName name="_xlnm.Print_Area" localSheetId="16">#REF!</definedName>
    <definedName name="_xlnm.Print_Area" localSheetId="11">#REF!</definedName>
    <definedName name="_xlnm.Print_Area" localSheetId="13">#REF!</definedName>
    <definedName name="_xlnm.Print_Area" localSheetId="12">#REF!</definedName>
    <definedName name="_xlnm.Print_Area" localSheetId="0">Cálculo!$B$2:$M$182</definedName>
    <definedName name="_xlnm.Print_Are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X16" i="4" l="1"/>
  <c r="AW16" i="4"/>
  <c r="AW17" i="4"/>
  <c r="M156" i="1" l="1"/>
  <c r="M155" i="1"/>
  <c r="L156" i="1"/>
  <c r="L155" i="1"/>
  <c r="D34" i="3"/>
  <c r="D33" i="3"/>
  <c r="D32" i="3"/>
  <c r="D31" i="3"/>
  <c r="D30" i="3"/>
  <c r="D29" i="3"/>
  <c r="D28" i="3"/>
  <c r="D27" i="3"/>
  <c r="D26" i="3"/>
  <c r="H116" i="1"/>
  <c r="H119" i="1"/>
  <c r="E119" i="1"/>
  <c r="E116" i="1"/>
  <c r="BJ5" i="4" l="1"/>
  <c r="BM25" i="4" l="1"/>
  <c r="BJ19" i="4"/>
  <c r="BJ18" i="4"/>
  <c r="BJ16" i="4"/>
  <c r="BJ15" i="4"/>
  <c r="BJ14" i="4"/>
  <c r="BI5" i="4"/>
  <c r="O11" i="38" l="1"/>
  <c r="N11" i="38"/>
  <c r="M11" i="38"/>
  <c r="L11" i="38"/>
  <c r="K11" i="38"/>
  <c r="J11" i="38"/>
  <c r="D11" i="38"/>
  <c r="I11" i="38" l="1"/>
  <c r="W19" i="4" l="1"/>
  <c r="X18" i="4"/>
  <c r="W18" i="4"/>
  <c r="X17" i="4"/>
  <c r="W17" i="4"/>
  <c r="X16" i="4"/>
  <c r="W16" i="4"/>
  <c r="X13" i="4"/>
  <c r="W13" i="4"/>
  <c r="X12" i="4"/>
  <c r="W12" i="4"/>
  <c r="X11" i="4"/>
  <c r="W11" i="4"/>
  <c r="X10" i="4"/>
  <c r="W10" i="4"/>
  <c r="X9" i="4"/>
  <c r="W9" i="4"/>
  <c r="X8" i="4"/>
  <c r="W8" i="4"/>
  <c r="X7" i="4"/>
  <c r="W7" i="4"/>
  <c r="X6" i="4"/>
  <c r="W6" i="4"/>
  <c r="X5" i="4"/>
  <c r="W5" i="4"/>
  <c r="J147" i="1"/>
  <c r="J140" i="1"/>
  <c r="J139" i="1"/>
  <c r="J138" i="1"/>
  <c r="J136" i="1"/>
  <c r="J135" i="1"/>
  <c r="AW14" i="4"/>
  <c r="AW13" i="4"/>
  <c r="AW9" i="4"/>
  <c r="AX7" i="4"/>
  <c r="AW7" i="4"/>
  <c r="AW5" i="4"/>
  <c r="H124" i="1"/>
  <c r="E124" i="1"/>
  <c r="E122" i="1"/>
  <c r="H121" i="1"/>
  <c r="H120" i="1"/>
  <c r="E120" i="1"/>
  <c r="H118" i="1"/>
  <c r="E118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F14" i="1"/>
  <c r="CO16" i="4" l="1"/>
  <c r="CO8" i="4"/>
  <c r="BS42" i="4" l="1"/>
  <c r="BS41" i="4"/>
  <c r="H10" i="38" l="1"/>
  <c r="H11" i="38" s="1"/>
  <c r="D80" i="1" l="1"/>
  <c r="D74" i="1"/>
  <c r="D75" i="1" s="1"/>
  <c r="D72" i="1"/>
  <c r="D78" i="1" s="1"/>
  <c r="D69" i="1"/>
  <c r="D70" i="1" s="1"/>
  <c r="D68" i="1"/>
  <c r="D66" i="1" s="1"/>
  <c r="D63" i="1"/>
  <c r="D62" i="1" s="1"/>
  <c r="D56" i="1"/>
  <c r="D55" i="1" s="1"/>
  <c r="D53" i="1"/>
  <c r="D52" i="1"/>
  <c r="D51" i="1"/>
  <c r="D54" i="1" s="1"/>
  <c r="D50" i="1"/>
  <c r="D57" i="1" l="1"/>
  <c r="D58" i="1" s="1"/>
  <c r="D59" i="1" s="1"/>
  <c r="D73" i="1"/>
  <c r="D71" i="1"/>
  <c r="D77" i="1" s="1"/>
  <c r="D79" i="1" s="1"/>
  <c r="D64" i="1"/>
  <c r="D65" i="1" s="1"/>
  <c r="D76" i="1"/>
  <c r="D67" i="1"/>
  <c r="D61" i="1"/>
  <c r="CH7" i="4" l="1"/>
  <c r="W34" i="1"/>
  <c r="BK17" i="4" l="1"/>
  <c r="CA8" i="4" l="1"/>
  <c r="CD8" i="4" s="1"/>
  <c r="CG6" i="4" s="1"/>
  <c r="CA7" i="4"/>
  <c r="CD7" i="4" s="1"/>
  <c r="CG5" i="4" s="1"/>
  <c r="CA6" i="4"/>
  <c r="CD6" i="4" s="1"/>
  <c r="CA5" i="4"/>
  <c r="CD5" i="4" s="1"/>
  <c r="CK5" i="4" s="1"/>
  <c r="O21" i="38" l="1"/>
  <c r="N9" i="38"/>
  <c r="I9" i="38"/>
  <c r="H9" i="38"/>
  <c r="H21" i="38" s="1"/>
  <c r="N21" i="38" l="1"/>
  <c r="I21" i="38"/>
  <c r="J9" i="38"/>
  <c r="K9" i="38"/>
  <c r="L9" i="38"/>
  <c r="M9" i="38"/>
  <c r="G25" i="38" s="1"/>
  <c r="L21" i="38" l="1"/>
  <c r="K21" i="38"/>
  <c r="F25" i="38"/>
  <c r="M21" i="38"/>
  <c r="J21" i="38"/>
  <c r="D137" i="1" l="1"/>
  <c r="Z10" i="4" l="1"/>
  <c r="AA10" i="4"/>
  <c r="G9" i="38" l="1"/>
  <c r="G10" i="38" s="1"/>
  <c r="E25" i="38" l="1"/>
  <c r="G11" i="38"/>
  <c r="W98" i="1"/>
  <c r="AU24" i="4" l="1"/>
  <c r="L17" i="35" l="1"/>
  <c r="AP7" i="4" l="1"/>
  <c r="AC7" i="4" l="1"/>
  <c r="AD7" i="4" l="1"/>
  <c r="F8" i="38"/>
  <c r="F9" i="38" s="1"/>
  <c r="F10" i="38" s="1"/>
  <c r="F11" i="38" s="1"/>
  <c r="AA9" i="4" l="1"/>
  <c r="Z9" i="4"/>
  <c r="Z8" i="4"/>
  <c r="Z7" i="4"/>
  <c r="AA8" i="4" l="1"/>
  <c r="AA7" i="4"/>
  <c r="X19" i="4"/>
  <c r="H3" i="1" l="1"/>
  <c r="H4" i="1"/>
  <c r="H5" i="1" l="1"/>
  <c r="BW6" i="4"/>
  <c r="BW8" i="4" s="1"/>
  <c r="E7" i="38" l="1"/>
  <c r="D7" i="38"/>
  <c r="D8" i="38" s="1"/>
  <c r="D9" i="38" s="1"/>
  <c r="D10" i="38" s="1"/>
  <c r="P7" i="38" l="1"/>
  <c r="E8" i="38"/>
  <c r="BS62" i="4"/>
  <c r="BR62" i="4"/>
  <c r="BS61" i="4"/>
  <c r="BR61" i="4"/>
  <c r="BR63" i="4" s="1"/>
  <c r="BS54" i="4"/>
  <c r="BR54" i="4"/>
  <c r="BT53" i="4"/>
  <c r="BT52" i="4"/>
  <c r="BS43" i="4"/>
  <c r="BR43" i="4"/>
  <c r="BT42" i="4"/>
  <c r="BT41" i="4"/>
  <c r="P8" i="38" l="1"/>
  <c r="E9" i="38"/>
  <c r="E10" i="38" s="1"/>
  <c r="E11" i="38" s="1"/>
  <c r="BT62" i="4"/>
  <c r="BS63" i="4"/>
  <c r="BT63" i="4" s="1"/>
  <c r="BT61" i="4"/>
  <c r="BT54" i="4"/>
  <c r="BT43" i="4"/>
  <c r="P11" i="38" l="1"/>
  <c r="H175" i="1" s="1"/>
  <c r="D25" i="38"/>
  <c r="P10" i="38"/>
  <c r="P9" i="38"/>
  <c r="I7" i="25"/>
  <c r="I6" i="25"/>
  <c r="D7" i="25"/>
  <c r="B7" i="25"/>
  <c r="B6" i="25"/>
  <c r="D7" i="23"/>
  <c r="H7" i="4"/>
  <c r="E19" i="1"/>
  <c r="E18" i="1"/>
  <c r="C19" i="1"/>
  <c r="C7" i="25" s="1"/>
  <c r="C18" i="1"/>
  <c r="F52" i="1"/>
  <c r="F85" i="1" s="1"/>
  <c r="R9" i="38" l="1"/>
  <c r="C7" i="4"/>
  <c r="C7" i="23"/>
  <c r="E7" i="23" s="1"/>
  <c r="C52" i="1"/>
  <c r="C85" i="1" s="1"/>
  <c r="E7" i="25"/>
  <c r="G19" i="1"/>
  <c r="D7" i="4"/>
  <c r="M7" i="4" s="1"/>
  <c r="J85" i="1"/>
  <c r="D19" i="1"/>
  <c r="E52" i="1" l="1"/>
  <c r="E85" i="1" s="1"/>
  <c r="D85" i="1"/>
  <c r="F7" i="23" s="1"/>
  <c r="G7" i="23" s="1"/>
  <c r="J7" i="25"/>
  <c r="J7" i="23"/>
  <c r="J7" i="4"/>
  <c r="E7" i="4"/>
  <c r="M7" i="25"/>
  <c r="M7" i="23"/>
  <c r="K7" i="25"/>
  <c r="K7" i="23"/>
  <c r="K7" i="4"/>
  <c r="K19" i="1"/>
  <c r="O19" i="1"/>
  <c r="P19" i="1" s="1"/>
  <c r="M19" i="1" l="1"/>
  <c r="Q19" i="1" s="1"/>
  <c r="L7" i="23"/>
  <c r="N7" i="23" s="1"/>
  <c r="F7" i="25"/>
  <c r="G7" i="25" s="1"/>
  <c r="K85" i="1"/>
  <c r="F7" i="4"/>
  <c r="G7" i="4" s="1"/>
  <c r="L7" i="25"/>
  <c r="N7" i="25" s="1"/>
  <c r="L7" i="4"/>
  <c r="N7" i="4" s="1"/>
  <c r="B12" i="25" l="1"/>
  <c r="I12" i="25"/>
  <c r="J12" i="25"/>
  <c r="K12" i="25"/>
  <c r="BI19" i="4" l="1"/>
  <c r="BI18" i="4"/>
  <c r="BI16" i="4"/>
  <c r="BI15" i="4"/>
  <c r="BI14" i="4"/>
  <c r="C16" i="27" l="1"/>
  <c r="D16" i="27"/>
  <c r="F8" i="28" s="1"/>
  <c r="E16" i="27"/>
  <c r="I8" i="28" s="1"/>
  <c r="F16" i="27"/>
  <c r="L8" i="28" s="1"/>
  <c r="G16" i="27"/>
  <c r="O8" i="28" s="1"/>
  <c r="H16" i="27"/>
  <c r="R8" i="28" s="1"/>
  <c r="I16" i="27"/>
  <c r="U8" i="28" s="1"/>
  <c r="J16" i="27"/>
  <c r="X8" i="28" s="1"/>
  <c r="K16" i="27"/>
  <c r="AA8" i="28" s="1"/>
  <c r="C8" i="28"/>
  <c r="D17" i="27"/>
  <c r="F9" i="28" s="1"/>
  <c r="E17" i="27"/>
  <c r="I9" i="28" s="1"/>
  <c r="F17" i="27"/>
  <c r="L9" i="28" s="1"/>
  <c r="G17" i="27"/>
  <c r="O9" i="28" s="1"/>
  <c r="H17" i="27"/>
  <c r="R9" i="28" s="1"/>
  <c r="I17" i="27"/>
  <c r="U9" i="28" s="1"/>
  <c r="J17" i="27"/>
  <c r="X9" i="28" s="1"/>
  <c r="K17" i="27"/>
  <c r="AA9" i="28" s="1"/>
  <c r="C17" i="27"/>
  <c r="C9" i="28" s="1"/>
  <c r="B17" i="27"/>
  <c r="B16" i="27"/>
  <c r="L8" i="27" l="1"/>
  <c r="L9" i="27"/>
  <c r="L17" i="27" s="1"/>
  <c r="L16" i="27" l="1"/>
  <c r="E175" i="1"/>
  <c r="G24" i="38"/>
  <c r="G26" i="38" s="1"/>
  <c r="F24" i="38"/>
  <c r="F26" i="38" s="1"/>
  <c r="E24" i="38"/>
  <c r="E26" i="38" s="1"/>
  <c r="D24" i="38"/>
  <c r="D26" i="38" s="1"/>
  <c r="H24" i="38" l="1"/>
  <c r="H26" i="38"/>
  <c r="H25" i="38"/>
  <c r="E46" i="1" l="1"/>
  <c r="C46" i="1"/>
  <c r="G46" i="1" l="1"/>
  <c r="D46" i="1" s="1"/>
  <c r="E152" i="1" l="1"/>
  <c r="C3" i="1"/>
  <c r="C64" i="15"/>
  <c r="F39" i="15"/>
  <c r="E39" i="15"/>
  <c r="D39" i="15"/>
  <c r="C39" i="15"/>
  <c r="F27" i="15"/>
  <c r="E27" i="15"/>
  <c r="D27" i="15"/>
  <c r="C27" i="15"/>
  <c r="F15" i="15"/>
  <c r="E15" i="15"/>
  <c r="D15" i="15"/>
  <c r="C15" i="15"/>
  <c r="E45" i="1"/>
  <c r="C45" i="1"/>
  <c r="E44" i="1"/>
  <c r="C44" i="1"/>
  <c r="E43" i="1"/>
  <c r="C43" i="1"/>
  <c r="E42" i="1"/>
  <c r="C42" i="1"/>
  <c r="E41" i="1"/>
  <c r="C41" i="1"/>
  <c r="E40" i="1"/>
  <c r="C40" i="1"/>
  <c r="E39" i="1"/>
  <c r="C39" i="1"/>
  <c r="E38" i="1"/>
  <c r="C38" i="1"/>
  <c r="E37" i="1"/>
  <c r="C37" i="1"/>
  <c r="E36" i="1"/>
  <c r="C36" i="1"/>
  <c r="E35" i="1"/>
  <c r="C35" i="1"/>
  <c r="E34" i="1"/>
  <c r="C34" i="1"/>
  <c r="E33" i="1"/>
  <c r="C33" i="1"/>
  <c r="E32" i="1"/>
  <c r="C32" i="1"/>
  <c r="E31" i="1"/>
  <c r="C31" i="1"/>
  <c r="E30" i="1"/>
  <c r="C30" i="1"/>
  <c r="E29" i="1"/>
  <c r="C29" i="1"/>
  <c r="E28" i="1"/>
  <c r="C28" i="1"/>
  <c r="E27" i="1"/>
  <c r="C27" i="1"/>
  <c r="E26" i="1"/>
  <c r="C26" i="1"/>
  <c r="E25" i="1"/>
  <c r="C25" i="1"/>
  <c r="E24" i="1"/>
  <c r="C24" i="1"/>
  <c r="E23" i="1"/>
  <c r="C23" i="1"/>
  <c r="E22" i="1"/>
  <c r="C22" i="1"/>
  <c r="E21" i="1"/>
  <c r="C21" i="1"/>
  <c r="E20" i="1"/>
  <c r="C20" i="1"/>
  <c r="E17" i="1"/>
  <c r="C17" i="1"/>
  <c r="D41" i="1" l="1"/>
  <c r="D38" i="1"/>
  <c r="D42" i="1"/>
  <c r="D39" i="1"/>
  <c r="D45" i="1"/>
  <c r="D36" i="1"/>
  <c r="D37" i="1"/>
  <c r="D40" i="1"/>
  <c r="D43" i="1"/>
  <c r="X31" i="4" l="1"/>
  <c r="AD204" i="1" l="1"/>
  <c r="C7" i="36" l="1"/>
  <c r="C6" i="36"/>
  <c r="C6" i="35" l="1"/>
  <c r="V7" i="36" l="1"/>
  <c r="V6" i="36"/>
  <c r="I20" i="35" l="1"/>
  <c r="I23" i="35"/>
  <c r="I30" i="35"/>
  <c r="I38" i="35"/>
  <c r="I22" i="35"/>
  <c r="D6" i="35" l="1"/>
  <c r="I34" i="35" l="1"/>
  <c r="I48" i="35" l="1"/>
  <c r="C78" i="35"/>
  <c r="C75" i="35"/>
  <c r="C59" i="35"/>
  <c r="C56" i="35"/>
  <c r="C53" i="35"/>
  <c r="AB7" i="36" l="1"/>
  <c r="I39" i="35"/>
  <c r="V8" i="36"/>
  <c r="I53" i="35"/>
  <c r="I37" i="35"/>
  <c r="AS9" i="4"/>
  <c r="AS7" i="4"/>
  <c r="AS6" i="4" s="1"/>
  <c r="AS5" i="4"/>
  <c r="A71" i="1"/>
  <c r="A67" i="1"/>
  <c r="A66" i="1"/>
  <c r="A62" i="1"/>
  <c r="A61" i="1"/>
  <c r="AR9" i="4"/>
  <c r="H196" i="1"/>
  <c r="E196" i="1"/>
  <c r="E192" i="1"/>
  <c r="J118" i="1"/>
  <c r="D35" i="4"/>
  <c r="F77" i="1"/>
  <c r="F110" i="1" s="1"/>
  <c r="F76" i="1"/>
  <c r="F109" i="1" s="1"/>
  <c r="S109" i="1" s="1"/>
  <c r="D30" i="23"/>
  <c r="G41" i="1"/>
  <c r="F70" i="1"/>
  <c r="F103" i="1" s="1"/>
  <c r="D27" i="23"/>
  <c r="M27" i="23" s="1"/>
  <c r="D26" i="23"/>
  <c r="M26" i="23" s="1"/>
  <c r="G34" i="1"/>
  <c r="F66" i="1"/>
  <c r="F99" i="1" s="1"/>
  <c r="T32" i="1"/>
  <c r="R32" i="1"/>
  <c r="D24" i="23"/>
  <c r="F62" i="1"/>
  <c r="F95" i="1" s="1"/>
  <c r="D9" i="23"/>
  <c r="D21" i="4"/>
  <c r="T25" i="1"/>
  <c r="D21" i="23"/>
  <c r="D20" i="23"/>
  <c r="D8" i="23"/>
  <c r="D18" i="4"/>
  <c r="M18" i="4" s="1"/>
  <c r="D6" i="23"/>
  <c r="D5" i="25"/>
  <c r="Q37" i="15"/>
  <c r="K75" i="35"/>
  <c r="N56" i="35"/>
  <c r="W21" i="31"/>
  <c r="U21" i="31"/>
  <c r="V21" i="31"/>
  <c r="T21" i="31"/>
  <c r="W20" i="31"/>
  <c r="V20" i="31"/>
  <c r="U20" i="31"/>
  <c r="T20" i="31"/>
  <c r="S20" i="31"/>
  <c r="G31" i="31"/>
  <c r="G32" i="31"/>
  <c r="K23" i="35"/>
  <c r="P10" i="25"/>
  <c r="P11" i="25"/>
  <c r="P16" i="25"/>
  <c r="M18" i="27"/>
  <c r="K15" i="27"/>
  <c r="J15" i="27"/>
  <c r="X7" i="28" s="1"/>
  <c r="AD3" i="36"/>
  <c r="AG3" i="36"/>
  <c r="AE6" i="36"/>
  <c r="AE8" i="36"/>
  <c r="AH6" i="36"/>
  <c r="AH8" i="36"/>
  <c r="AE7" i="36"/>
  <c r="AH7" i="36"/>
  <c r="F6" i="31"/>
  <c r="E6" i="31"/>
  <c r="E11" i="31" s="1"/>
  <c r="C77" i="1"/>
  <c r="C110" i="1" s="1"/>
  <c r="F9" i="31"/>
  <c r="F28" i="31"/>
  <c r="F32" i="31"/>
  <c r="T112" i="1"/>
  <c r="I167" i="1"/>
  <c r="I169" i="1"/>
  <c r="I171" i="1"/>
  <c r="I176" i="1"/>
  <c r="I25" i="35"/>
  <c r="I15" i="35" s="1"/>
  <c r="O15" i="35" s="1"/>
  <c r="G47" i="3"/>
  <c r="E47" i="3"/>
  <c r="AM7" i="36"/>
  <c r="H28" i="31"/>
  <c r="H32" i="31"/>
  <c r="I28" i="31"/>
  <c r="I32" i="31"/>
  <c r="J28" i="31"/>
  <c r="J32" i="31"/>
  <c r="K28" i="31"/>
  <c r="K32" i="31"/>
  <c r="L28" i="31"/>
  <c r="L32" i="31"/>
  <c r="M28" i="31"/>
  <c r="M32" i="31"/>
  <c r="N28" i="31"/>
  <c r="N32" i="31"/>
  <c r="G28" i="31"/>
  <c r="H27" i="31"/>
  <c r="I27" i="31"/>
  <c r="J27" i="31"/>
  <c r="K27" i="31"/>
  <c r="L27" i="31"/>
  <c r="M27" i="31"/>
  <c r="N27" i="31"/>
  <c r="G27" i="31"/>
  <c r="I21" i="35"/>
  <c r="I41" i="35"/>
  <c r="S38" i="35"/>
  <c r="G33" i="23"/>
  <c r="I83" i="35"/>
  <c r="G85" i="35"/>
  <c r="O85" i="35" s="1"/>
  <c r="I80" i="35"/>
  <c r="H80" i="35"/>
  <c r="H87" i="35" s="1"/>
  <c r="I62" i="35"/>
  <c r="I61" i="35"/>
  <c r="I60" i="35"/>
  <c r="V59" i="35"/>
  <c r="C35" i="4"/>
  <c r="B77" i="1"/>
  <c r="B110" i="1" s="1"/>
  <c r="B78" i="1"/>
  <c r="B111" i="1" s="1"/>
  <c r="G44" i="1"/>
  <c r="D44" i="1" s="1"/>
  <c r="J42" i="31"/>
  <c r="K41" i="31"/>
  <c r="J50" i="31"/>
  <c r="H31" i="31"/>
  <c r="I31" i="31"/>
  <c r="J31" i="31"/>
  <c r="K31" i="31"/>
  <c r="L31" i="31"/>
  <c r="M31" i="31"/>
  <c r="N31" i="31"/>
  <c r="L7" i="36"/>
  <c r="I7" i="36"/>
  <c r="F7" i="36"/>
  <c r="Y7" i="36"/>
  <c r="AJ3" i="36"/>
  <c r="AA3" i="36"/>
  <c r="X3" i="36"/>
  <c r="U3" i="36"/>
  <c r="R3" i="36"/>
  <c r="K3" i="36"/>
  <c r="H3" i="36"/>
  <c r="E3" i="36"/>
  <c r="B3" i="36"/>
  <c r="P83" i="35"/>
  <c r="B75" i="35"/>
  <c r="H75" i="35"/>
  <c r="S7" i="36" s="1"/>
  <c r="T78" i="35"/>
  <c r="P88" i="35"/>
  <c r="P86" i="35"/>
  <c r="P85" i="35"/>
  <c r="P84" i="35"/>
  <c r="Q84" i="35" s="1"/>
  <c r="P82" i="35"/>
  <c r="P81" i="35"/>
  <c r="Q81" i="35" s="1"/>
  <c r="P80" i="35"/>
  <c r="P78" i="35"/>
  <c r="D87" i="35"/>
  <c r="B87" i="35"/>
  <c r="L87" i="35"/>
  <c r="L88" i="35"/>
  <c r="K87" i="35"/>
  <c r="J87" i="35"/>
  <c r="O81" i="35"/>
  <c r="E87" i="35"/>
  <c r="O73" i="35"/>
  <c r="B73" i="35"/>
  <c r="E5" i="31"/>
  <c r="D88" i="35"/>
  <c r="F87" i="35"/>
  <c r="F88" i="35"/>
  <c r="J88" i="35"/>
  <c r="E88" i="35"/>
  <c r="O84" i="35"/>
  <c r="K88" i="35"/>
  <c r="V57" i="35"/>
  <c r="W5" i="25"/>
  <c r="B65" i="35"/>
  <c r="O51" i="35"/>
  <c r="B51" i="35"/>
  <c r="B18" i="35"/>
  <c r="G75" i="35"/>
  <c r="O7" i="36" s="1"/>
  <c r="G86" i="35"/>
  <c r="N86" i="35"/>
  <c r="O86" i="35" s="1"/>
  <c r="O12" i="35"/>
  <c r="A17" i="35"/>
  <c r="A64" i="35" s="1"/>
  <c r="A86" i="35" s="1"/>
  <c r="A13" i="35"/>
  <c r="A60" i="35" s="1"/>
  <c r="A82" i="35" s="1"/>
  <c r="A12" i="35"/>
  <c r="A59" i="35" s="1"/>
  <c r="A81" i="35" s="1"/>
  <c r="Z9" i="1"/>
  <c r="L65" i="35"/>
  <c r="L66" i="35"/>
  <c r="AC5" i="4"/>
  <c r="F44" i="15"/>
  <c r="E44" i="15"/>
  <c r="D44" i="15"/>
  <c r="C44" i="15"/>
  <c r="F32" i="15"/>
  <c r="E32" i="15"/>
  <c r="D32" i="15"/>
  <c r="C32" i="15"/>
  <c r="F20" i="15"/>
  <c r="E20" i="15"/>
  <c r="D20" i="15"/>
  <c r="C20" i="15"/>
  <c r="K17" i="15"/>
  <c r="F28" i="15"/>
  <c r="E28" i="15"/>
  <c r="D28" i="15"/>
  <c r="C30" i="23"/>
  <c r="C29" i="23"/>
  <c r="C30" i="4"/>
  <c r="C14" i="23"/>
  <c r="C29" i="4"/>
  <c r="C27" i="23"/>
  <c r="C26" i="23"/>
  <c r="J100" i="1"/>
  <c r="C64" i="1"/>
  <c r="C97" i="1" s="1"/>
  <c r="C63" i="1"/>
  <c r="J95" i="1"/>
  <c r="C61" i="1"/>
  <c r="C23" i="23"/>
  <c r="C22" i="4"/>
  <c r="C57" i="1"/>
  <c r="C90" i="1" s="1"/>
  <c r="C20" i="23"/>
  <c r="J88" i="1"/>
  <c r="C18" i="4"/>
  <c r="C17" i="4"/>
  <c r="C6" i="25"/>
  <c r="C5" i="4"/>
  <c r="A59" i="1"/>
  <c r="U3" i="1"/>
  <c r="W3" i="1" s="1"/>
  <c r="A43" i="35"/>
  <c r="I82" i="35"/>
  <c r="B6" i="35"/>
  <c r="B4" i="35"/>
  <c r="I75" i="35"/>
  <c r="I77" i="35" s="1"/>
  <c r="I87" i="35"/>
  <c r="I170" i="1"/>
  <c r="E57" i="25"/>
  <c r="E75" i="25" s="1"/>
  <c r="I159" i="1"/>
  <c r="I162" i="1"/>
  <c r="BT8" i="4"/>
  <c r="BT7" i="4"/>
  <c r="BT6" i="4"/>
  <c r="E76" i="25"/>
  <c r="E56" i="25"/>
  <c r="E69" i="25"/>
  <c r="M65" i="35"/>
  <c r="M66" i="35"/>
  <c r="F28" i="25"/>
  <c r="F33" i="25"/>
  <c r="Z5" i="4"/>
  <c r="U17" i="4"/>
  <c r="U18" i="4"/>
  <c r="O103" i="15" s="1"/>
  <c r="U15" i="4"/>
  <c r="S14" i="27"/>
  <c r="Q28" i="25"/>
  <c r="R28" i="25"/>
  <c r="Q27" i="25"/>
  <c r="AR5" i="4"/>
  <c r="U28" i="25"/>
  <c r="D15" i="27"/>
  <c r="F7" i="28" s="1"/>
  <c r="E15" i="27"/>
  <c r="I7" i="28" s="1"/>
  <c r="F15" i="27"/>
  <c r="L7" i="28" s="1"/>
  <c r="H15" i="27"/>
  <c r="N83" i="35" s="1"/>
  <c r="O83" i="35" s="1"/>
  <c r="I15" i="27"/>
  <c r="U7" i="28" s="1"/>
  <c r="AE17" i="10"/>
  <c r="L4" i="27" s="1"/>
  <c r="O4" i="35" s="1"/>
  <c r="K1" i="31"/>
  <c r="C15" i="27"/>
  <c r="C7" i="28" s="1"/>
  <c r="B15" i="27"/>
  <c r="I33" i="23"/>
  <c r="M33" i="23"/>
  <c r="I34" i="23"/>
  <c r="I35" i="23"/>
  <c r="B36" i="4"/>
  <c r="I36" i="4" s="1"/>
  <c r="C36" i="4"/>
  <c r="B37" i="4"/>
  <c r="I37" i="4" s="1"/>
  <c r="C37" i="4"/>
  <c r="DF21" i="23"/>
  <c r="DF22" i="23"/>
  <c r="DF23" i="23"/>
  <c r="DF24" i="23"/>
  <c r="DF25" i="23"/>
  <c r="DF26" i="23"/>
  <c r="DF27" i="23"/>
  <c r="DF28" i="23"/>
  <c r="DF29" i="23"/>
  <c r="DF30" i="23"/>
  <c r="DF31" i="23"/>
  <c r="DF32" i="23"/>
  <c r="DF33" i="23"/>
  <c r="DF34" i="23"/>
  <c r="DF35" i="23"/>
  <c r="K4" i="25"/>
  <c r="D4" i="25" s="1"/>
  <c r="D11" i="25" s="1"/>
  <c r="C34" i="23"/>
  <c r="DF8" i="23"/>
  <c r="DF9" i="23"/>
  <c r="DF10" i="23"/>
  <c r="DF11" i="23"/>
  <c r="DF12" i="23"/>
  <c r="DF14" i="23"/>
  <c r="C5" i="33"/>
  <c r="C4" i="33"/>
  <c r="C3" i="33"/>
  <c r="C2" i="33"/>
  <c r="F2" i="33" s="1"/>
  <c r="E7" i="33"/>
  <c r="E6" i="33"/>
  <c r="E5" i="33"/>
  <c r="E4" i="33"/>
  <c r="E3" i="33"/>
  <c r="E2" i="33"/>
  <c r="C6" i="33"/>
  <c r="N13" i="33"/>
  <c r="F13" i="33"/>
  <c r="E13" i="33"/>
  <c r="N13" i="32"/>
  <c r="F13" i="32"/>
  <c r="E13" i="32"/>
  <c r="E7" i="32"/>
  <c r="E6" i="32"/>
  <c r="C6" i="32"/>
  <c r="E5" i="32"/>
  <c r="C5" i="32"/>
  <c r="E4" i="32"/>
  <c r="C4" i="32"/>
  <c r="E3" i="32"/>
  <c r="E8" i="32" s="1"/>
  <c r="C3" i="32"/>
  <c r="E2" i="32"/>
  <c r="C2" i="32"/>
  <c r="F2" i="32" s="1"/>
  <c r="E8" i="33"/>
  <c r="B80" i="1"/>
  <c r="B113" i="1" s="1"/>
  <c r="C80" i="1"/>
  <c r="C113" i="1" s="1"/>
  <c r="U27" i="25"/>
  <c r="V28" i="25"/>
  <c r="V27" i="25"/>
  <c r="R27" i="25"/>
  <c r="O8" i="27"/>
  <c r="C35" i="23"/>
  <c r="K145" i="1"/>
  <c r="B79" i="1"/>
  <c r="B112" i="1" s="1"/>
  <c r="C79" i="1"/>
  <c r="C112" i="1" s="1"/>
  <c r="C27" i="27"/>
  <c r="L49" i="27" s="1"/>
  <c r="L65" i="27" s="1"/>
  <c r="C25" i="27"/>
  <c r="L29" i="29"/>
  <c r="C29" i="29" s="1"/>
  <c r="L28" i="29"/>
  <c r="C28" i="29" s="1"/>
  <c r="L27" i="29"/>
  <c r="L26" i="29"/>
  <c r="C26" i="29" s="1"/>
  <c r="L24" i="29"/>
  <c r="C24" i="29" s="1"/>
  <c r="B28" i="29"/>
  <c r="B26" i="29"/>
  <c r="C25" i="29"/>
  <c r="B25" i="29"/>
  <c r="B27" i="29" s="1"/>
  <c r="B24" i="29"/>
  <c r="B30" i="27"/>
  <c r="B42" i="27" s="1"/>
  <c r="C29" i="27"/>
  <c r="L41" i="27" s="1"/>
  <c r="B29" i="27"/>
  <c r="B41" i="27" s="1"/>
  <c r="B27" i="27"/>
  <c r="C26" i="27"/>
  <c r="C28" i="27" s="1"/>
  <c r="B26" i="27"/>
  <c r="B28" i="27" s="1"/>
  <c r="B25" i="27"/>
  <c r="B37" i="27" s="1"/>
  <c r="H30" i="27"/>
  <c r="H26" i="27"/>
  <c r="H25" i="27"/>
  <c r="F30" i="27"/>
  <c r="F26" i="27"/>
  <c r="F25" i="27"/>
  <c r="I165" i="1"/>
  <c r="BT22" i="4"/>
  <c r="BT20" i="4"/>
  <c r="BT17" i="4"/>
  <c r="BT19" i="4"/>
  <c r="BT18" i="4"/>
  <c r="BT21" i="4"/>
  <c r="J25" i="27"/>
  <c r="G19" i="27"/>
  <c r="G35" i="27"/>
  <c r="G45" i="27" s="1"/>
  <c r="E25" i="27"/>
  <c r="L15" i="29"/>
  <c r="L13" i="29"/>
  <c r="J11" i="29"/>
  <c r="J6" i="29"/>
  <c r="J36" i="29"/>
  <c r="K7" i="29"/>
  <c r="J7" i="29"/>
  <c r="I7" i="29"/>
  <c r="H7" i="29"/>
  <c r="G7" i="29"/>
  <c r="F7" i="29"/>
  <c r="E7" i="29"/>
  <c r="D7" i="29"/>
  <c r="C7" i="29"/>
  <c r="B7" i="29"/>
  <c r="L7" i="29"/>
  <c r="K4" i="29"/>
  <c r="K34" i="29"/>
  <c r="J4" i="29"/>
  <c r="J34" i="29"/>
  <c r="H4" i="29"/>
  <c r="H34" i="29"/>
  <c r="AA7" i="28"/>
  <c r="I4" i="27"/>
  <c r="A15" i="35" s="1"/>
  <c r="A62" i="35" s="1"/>
  <c r="A84" i="35" s="1"/>
  <c r="F35" i="27"/>
  <c r="F45" i="27"/>
  <c r="F61" i="27" s="1"/>
  <c r="F19" i="27"/>
  <c r="K35" i="27"/>
  <c r="K45" i="27" s="1"/>
  <c r="K61" i="27" s="1"/>
  <c r="K19" i="27"/>
  <c r="F7" i="1"/>
  <c r="J13" i="25"/>
  <c r="K13" i="25"/>
  <c r="J14" i="25"/>
  <c r="K14" i="25"/>
  <c r="I13" i="25"/>
  <c r="I14" i="25"/>
  <c r="C15" i="25"/>
  <c r="D15" i="25"/>
  <c r="B13" i="25"/>
  <c r="B14" i="25"/>
  <c r="J4" i="25"/>
  <c r="C4" i="25" s="1"/>
  <c r="D12" i="4"/>
  <c r="G42" i="1"/>
  <c r="G32" i="1"/>
  <c r="G45" i="1"/>
  <c r="F78" i="1"/>
  <c r="F111" i="1" s="1"/>
  <c r="G37" i="1"/>
  <c r="D5" i="23"/>
  <c r="V26" i="1"/>
  <c r="B47" i="23"/>
  <c r="B15" i="25" s="1"/>
  <c r="D13" i="4"/>
  <c r="BR5" i="4"/>
  <c r="BR9" i="4" s="1"/>
  <c r="AL4" i="4"/>
  <c r="AS4" i="4" s="1"/>
  <c r="AK4" i="4"/>
  <c r="AT4" i="4" s="1"/>
  <c r="BK5" i="4"/>
  <c r="D34" i="4"/>
  <c r="M34" i="4" s="1"/>
  <c r="D32" i="4"/>
  <c r="M32" i="4" s="1"/>
  <c r="AH39" i="15"/>
  <c r="D12" i="23"/>
  <c r="M12" i="23" s="1"/>
  <c r="D26" i="4"/>
  <c r="D25" i="4"/>
  <c r="M25" i="4" s="1"/>
  <c r="D23" i="4"/>
  <c r="M23" i="4" s="1"/>
  <c r="C70" i="1"/>
  <c r="C103" i="1" s="1"/>
  <c r="C66" i="1"/>
  <c r="C99" i="1" s="1"/>
  <c r="C10" i="23"/>
  <c r="C58" i="1"/>
  <c r="C91" i="1" s="1"/>
  <c r="B162" i="1"/>
  <c r="B161" i="1"/>
  <c r="B160" i="1"/>
  <c r="B158" i="1"/>
  <c r="B157" i="1"/>
  <c r="B156" i="1"/>
  <c r="I43" i="3"/>
  <c r="F74" i="1"/>
  <c r="F107" i="1" s="1"/>
  <c r="S107" i="1" s="1"/>
  <c r="T40" i="1"/>
  <c r="F57" i="1"/>
  <c r="F90" i="1" s="1"/>
  <c r="F53" i="1"/>
  <c r="F86" i="1" s="1"/>
  <c r="C6" i="21" s="1"/>
  <c r="AN19" i="10"/>
  <c r="G62" i="23"/>
  <c r="E62" i="23"/>
  <c r="B62" i="23"/>
  <c r="K4" i="23"/>
  <c r="K17" i="23" s="1"/>
  <c r="J4" i="23"/>
  <c r="J17" i="23" s="1"/>
  <c r="F8" i="1"/>
  <c r="BC6" i="4"/>
  <c r="AC11" i="15"/>
  <c r="AC9" i="15"/>
  <c r="AC8" i="15"/>
  <c r="C17" i="22"/>
  <c r="BE4" i="4"/>
  <c r="B99" i="15"/>
  <c r="I21" i="21"/>
  <c r="D71" i="15"/>
  <c r="D78" i="15"/>
  <c r="D77" i="15"/>
  <c r="D13" i="22"/>
  <c r="C71" i="15"/>
  <c r="C77" i="15"/>
  <c r="I13" i="21"/>
  <c r="F137" i="15"/>
  <c r="E137" i="15"/>
  <c r="D137" i="15"/>
  <c r="C137" i="15"/>
  <c r="F132" i="15"/>
  <c r="E132" i="15"/>
  <c r="D132" i="15"/>
  <c r="C132" i="15"/>
  <c r="B139" i="15"/>
  <c r="B131" i="15"/>
  <c r="B136" i="15"/>
  <c r="C70" i="15"/>
  <c r="F120" i="15"/>
  <c r="F133" i="15" s="1"/>
  <c r="E120" i="15"/>
  <c r="E133" i="15" s="1"/>
  <c r="D120" i="15"/>
  <c r="D133" i="15" s="1"/>
  <c r="C120" i="15"/>
  <c r="C133" i="15" s="1"/>
  <c r="F138" i="15"/>
  <c r="F125" i="15"/>
  <c r="D138" i="15"/>
  <c r="D125" i="15"/>
  <c r="E125" i="15"/>
  <c r="E138" i="15"/>
  <c r="C125" i="15"/>
  <c r="C138" i="15"/>
  <c r="F124" i="15"/>
  <c r="E124" i="15"/>
  <c r="D124" i="15"/>
  <c r="C124" i="15"/>
  <c r="F119" i="15"/>
  <c r="E119" i="15"/>
  <c r="D119" i="15"/>
  <c r="C119" i="15"/>
  <c r="B126" i="15"/>
  <c r="B118" i="15"/>
  <c r="B123" i="15"/>
  <c r="AH2" i="15"/>
  <c r="E12" i="21"/>
  <c r="C8" i="21"/>
  <c r="I19" i="21"/>
  <c r="I22" i="21"/>
  <c r="I20" i="21"/>
  <c r="D26" i="22"/>
  <c r="D14" i="22"/>
  <c r="D33" i="22"/>
  <c r="R40" i="15"/>
  <c r="R39" i="15"/>
  <c r="R41" i="15"/>
  <c r="AA19" i="15"/>
  <c r="AA17" i="15"/>
  <c r="AA16" i="15"/>
  <c r="AA10" i="15"/>
  <c r="AA9" i="15"/>
  <c r="AA8" i="15"/>
  <c r="AA7" i="15"/>
  <c r="AA18" i="15"/>
  <c r="B109" i="15"/>
  <c r="B107" i="15"/>
  <c r="B83" i="15"/>
  <c r="B82" i="15"/>
  <c r="G108" i="15"/>
  <c r="G109" i="15"/>
  <c r="G107" i="15"/>
  <c r="I35" i="21"/>
  <c r="E31" i="15"/>
  <c r="E33" i="15"/>
  <c r="F31" i="15"/>
  <c r="F33" i="15"/>
  <c r="D31" i="15"/>
  <c r="D33" i="15"/>
  <c r="C31" i="15"/>
  <c r="C33" i="15"/>
  <c r="F26" i="15"/>
  <c r="E26" i="15"/>
  <c r="D26" i="15"/>
  <c r="C26" i="15"/>
  <c r="AI8" i="15"/>
  <c r="AM8" i="15"/>
  <c r="O9" i="15"/>
  <c r="N9" i="15"/>
  <c r="N8" i="15"/>
  <c r="P8" i="15"/>
  <c r="P5" i="15"/>
  <c r="F19" i="15"/>
  <c r="F21" i="15" s="1"/>
  <c r="E19" i="15"/>
  <c r="E21" i="15" s="1"/>
  <c r="D19" i="15"/>
  <c r="D21" i="15" s="1"/>
  <c r="C19" i="15"/>
  <c r="C21" i="15" s="1"/>
  <c r="G21" i="15" s="1"/>
  <c r="G19" i="15" s="1"/>
  <c r="D6" i="15" s="1"/>
  <c r="R29" i="15" s="1"/>
  <c r="F14" i="15"/>
  <c r="E14" i="15"/>
  <c r="E16" i="15" s="1"/>
  <c r="D14" i="15"/>
  <c r="C14" i="15"/>
  <c r="B42" i="15"/>
  <c r="D43" i="15"/>
  <c r="D45" i="15" s="1"/>
  <c r="E43" i="15"/>
  <c r="E45" i="15" s="1"/>
  <c r="F43" i="15"/>
  <c r="F45" i="15" s="1"/>
  <c r="C43" i="15"/>
  <c r="C45" i="15" s="1"/>
  <c r="G45" i="15" s="1"/>
  <c r="G43" i="15" s="1"/>
  <c r="D8" i="15" s="1"/>
  <c r="D38" i="15"/>
  <c r="E38" i="15"/>
  <c r="F38" i="15"/>
  <c r="C38" i="15"/>
  <c r="T40" i="15"/>
  <c r="S38" i="15"/>
  <c r="N38" i="15"/>
  <c r="C79" i="15"/>
  <c r="D79" i="15"/>
  <c r="C78" i="15"/>
  <c r="B33" i="15"/>
  <c r="B21" i="15"/>
  <c r="B13" i="15"/>
  <c r="B18" i="15"/>
  <c r="Z36" i="15"/>
  <c r="Z41" i="15"/>
  <c r="Z42" i="15"/>
  <c r="Z26" i="15"/>
  <c r="Z37" i="15"/>
  <c r="Z30" i="15"/>
  <c r="AA24" i="15"/>
  <c r="AA25" i="15"/>
  <c r="AA26" i="15"/>
  <c r="Y26" i="15"/>
  <c r="AA34" i="15"/>
  <c r="AA35" i="15"/>
  <c r="AB35" i="15"/>
  <c r="AB39" i="15"/>
  <c r="AC39" i="15"/>
  <c r="AB40" i="15"/>
  <c r="AB34" i="15"/>
  <c r="AC34" i="15"/>
  <c r="K9" i="15"/>
  <c r="AA40" i="15"/>
  <c r="AA41" i="15"/>
  <c r="AA39" i="15"/>
  <c r="AA28" i="15"/>
  <c r="AA29" i="15"/>
  <c r="AA30" i="15"/>
  <c r="Y30" i="15"/>
  <c r="Z23" i="15"/>
  <c r="Z33" i="15"/>
  <c r="AA23" i="15"/>
  <c r="AA33" i="15"/>
  <c r="Y23" i="15"/>
  <c r="Y33" i="15"/>
  <c r="AB18" i="15"/>
  <c r="Z5" i="15"/>
  <c r="Y5" i="15"/>
  <c r="T39" i="15"/>
  <c r="U39" i="15"/>
  <c r="AB16" i="15"/>
  <c r="Z11" i="15"/>
  <c r="L34" i="15"/>
  <c r="X10" i="15"/>
  <c r="X19" i="15" s="1"/>
  <c r="X9" i="15"/>
  <c r="X18" i="15" s="1"/>
  <c r="X8" i="15"/>
  <c r="X17" i="15" s="1"/>
  <c r="X7" i="15"/>
  <c r="X16" i="15" s="1"/>
  <c r="Z20" i="15"/>
  <c r="Q34" i="15"/>
  <c r="Q36" i="15"/>
  <c r="D100" i="15"/>
  <c r="C100" i="15"/>
  <c r="E100" i="15"/>
  <c r="AH56" i="15"/>
  <c r="AG56" i="15"/>
  <c r="AH55" i="15"/>
  <c r="AG55" i="15"/>
  <c r="AI55" i="15"/>
  <c r="AH54" i="15"/>
  <c r="AI54" i="15"/>
  <c r="AG54" i="15"/>
  <c r="B81" i="15"/>
  <c r="D88" i="15"/>
  <c r="BB5" i="4"/>
  <c r="L31" i="15"/>
  <c r="K31" i="15"/>
  <c r="O27" i="15"/>
  <c r="O36" i="15"/>
  <c r="AK18" i="15"/>
  <c r="AJ18" i="15"/>
  <c r="AI18" i="15"/>
  <c r="O40" i="15"/>
  <c r="O39" i="15"/>
  <c r="L41" i="15"/>
  <c r="N40" i="15"/>
  <c r="Q41" i="15"/>
  <c r="Q42" i="15"/>
  <c r="N39" i="15"/>
  <c r="K41" i="15"/>
  <c r="R35" i="15"/>
  <c r="R33" i="15"/>
  <c r="T33" i="15"/>
  <c r="U33" i="15"/>
  <c r="T35" i="15"/>
  <c r="U35" i="15"/>
  <c r="M35" i="15"/>
  <c r="AH52" i="15"/>
  <c r="AG52" i="15"/>
  <c r="M33" i="15"/>
  <c r="T25" i="15"/>
  <c r="U25" i="15"/>
  <c r="T26" i="15"/>
  <c r="U26" i="15"/>
  <c r="Q27" i="15"/>
  <c r="S25" i="15"/>
  <c r="R26" i="15"/>
  <c r="R27" i="15"/>
  <c r="R25" i="15"/>
  <c r="Q5" i="15"/>
  <c r="R5" i="15"/>
  <c r="K5" i="15"/>
  <c r="F52" i="15"/>
  <c r="E52" i="15"/>
  <c r="S26" i="15"/>
  <c r="M25" i="15"/>
  <c r="L27" i="15"/>
  <c r="N26" i="15"/>
  <c r="M26" i="15"/>
  <c r="I179" i="1"/>
  <c r="I180" i="1"/>
  <c r="D35" i="22"/>
  <c r="BA5" i="4"/>
  <c r="BF6" i="4"/>
  <c r="G99" i="15"/>
  <c r="D17" i="22"/>
  <c r="AW5" i="15"/>
  <c r="AM17" i="15"/>
  <c r="D70" i="15"/>
  <c r="M12" i="17"/>
  <c r="K33" i="17"/>
  <c r="K36" i="17"/>
  <c r="F33" i="17"/>
  <c r="H33" i="17"/>
  <c r="H31" i="17"/>
  <c r="H30" i="17"/>
  <c r="H29" i="17"/>
  <c r="H28" i="17"/>
  <c r="J33" i="17"/>
  <c r="G5" i="17"/>
  <c r="F27" i="17"/>
  <c r="H27" i="17"/>
  <c r="J27" i="17"/>
  <c r="F5" i="17"/>
  <c r="F25" i="17"/>
  <c r="H23" i="17"/>
  <c r="H24" i="17"/>
  <c r="G23" i="17"/>
  <c r="K13" i="17"/>
  <c r="K15" i="17"/>
  <c r="H5" i="17"/>
  <c r="J13" i="17"/>
  <c r="J15" i="17"/>
  <c r="R5" i="17"/>
  <c r="Q5" i="17"/>
  <c r="Q3" i="17"/>
  <c r="O5" i="17"/>
  <c r="I5" i="17"/>
  <c r="D5" i="17"/>
  <c r="E5" i="17"/>
  <c r="O104" i="15"/>
  <c r="J104" i="15"/>
  <c r="B108" i="15"/>
  <c r="J103" i="15"/>
  <c r="J102" i="15"/>
  <c r="E98" i="15"/>
  <c r="F98" i="15"/>
  <c r="G98" i="15"/>
  <c r="B79" i="15"/>
  <c r="C88" i="15"/>
  <c r="AI56" i="15"/>
  <c r="AI48" i="15"/>
  <c r="AI49" i="15"/>
  <c r="AI50" i="15"/>
  <c r="AI47" i="15"/>
  <c r="D69" i="15"/>
  <c r="D76" i="15"/>
  <c r="D98" i="15"/>
  <c r="C69" i="15"/>
  <c r="C76" i="15"/>
  <c r="C98" i="15"/>
  <c r="D49" i="15"/>
  <c r="C49" i="15"/>
  <c r="J7" i="14"/>
  <c r="B18" i="14"/>
  <c r="C4" i="14"/>
  <c r="C5" i="14" s="1"/>
  <c r="C11" i="14" s="1"/>
  <c r="B4" i="14"/>
  <c r="B17" i="14" s="1"/>
  <c r="A9" i="14"/>
  <c r="B16" i="14"/>
  <c r="B7" i="14"/>
  <c r="B9" i="14"/>
  <c r="C3" i="14"/>
  <c r="C7" i="14"/>
  <c r="C9" i="14"/>
  <c r="AC17" i="10"/>
  <c r="AA17" i="10"/>
  <c r="F4" i="29"/>
  <c r="F34" i="29"/>
  <c r="X17" i="10"/>
  <c r="W17" i="10"/>
  <c r="V17" i="10"/>
  <c r="U17" i="10"/>
  <c r="B4" i="29" s="1"/>
  <c r="B34" i="29" s="1"/>
  <c r="BM13" i="4"/>
  <c r="BL13" i="4"/>
  <c r="BK13" i="4"/>
  <c r="BJ13" i="4"/>
  <c r="BI13" i="4"/>
  <c r="BH13" i="4"/>
  <c r="T12" i="1"/>
  <c r="T11" i="1"/>
  <c r="T10" i="1"/>
  <c r="T9" i="1"/>
  <c r="T8" i="1"/>
  <c r="T7" i="1"/>
  <c r="T6" i="1"/>
  <c r="T5" i="1"/>
  <c r="T4" i="1"/>
  <c r="AG44" i="15"/>
  <c r="AH49" i="1"/>
  <c r="AH4" i="4"/>
  <c r="K4" i="4"/>
  <c r="M4" i="4" s="1"/>
  <c r="M16" i="4" s="1"/>
  <c r="J4" i="4"/>
  <c r="J16" i="4" s="1"/>
  <c r="Q4" i="4" s="1"/>
  <c r="B13" i="1"/>
  <c r="T13" i="1" s="1"/>
  <c r="F4" i="1"/>
  <c r="B3" i="1"/>
  <c r="T3" i="1" s="1"/>
  <c r="F5" i="1"/>
  <c r="J8" i="14"/>
  <c r="K8" i="14"/>
  <c r="AE49" i="1"/>
  <c r="F10" i="1"/>
  <c r="I12" i="15"/>
  <c r="D16" i="22"/>
  <c r="AO19" i="10"/>
  <c r="F58" i="1"/>
  <c r="F91" i="1" s="1"/>
  <c r="AH31" i="15"/>
  <c r="D29" i="23"/>
  <c r="M29" i="23" s="1"/>
  <c r="I18" i="21"/>
  <c r="D27" i="22"/>
  <c r="I5" i="21"/>
  <c r="I29" i="21"/>
  <c r="AL19" i="10"/>
  <c r="AI19" i="10"/>
  <c r="AJ19" i="10"/>
  <c r="AM19" i="10"/>
  <c r="AH19" i="10"/>
  <c r="AK19" i="10"/>
  <c r="D34" i="22"/>
  <c r="D10" i="4"/>
  <c r="M10" i="4" s="1"/>
  <c r="D18" i="23"/>
  <c r="G17" i="1"/>
  <c r="D17" i="4"/>
  <c r="M17" i="4" s="1"/>
  <c r="G20" i="15"/>
  <c r="F50" i="1"/>
  <c r="AH37" i="15"/>
  <c r="F65" i="1"/>
  <c r="F98" i="1" s="1"/>
  <c r="D8" i="4"/>
  <c r="M8" i="4" s="1"/>
  <c r="M8" i="23" s="1"/>
  <c r="D23" i="23"/>
  <c r="M23" i="23" s="1"/>
  <c r="AH40" i="15"/>
  <c r="G32" i="15"/>
  <c r="F7" i="15"/>
  <c r="D31" i="23"/>
  <c r="D30" i="4"/>
  <c r="M30" i="4" s="1"/>
  <c r="G101" i="15"/>
  <c r="O100" i="15"/>
  <c r="P41" i="15"/>
  <c r="T41" i="15"/>
  <c r="U41" i="15"/>
  <c r="AC10" i="15"/>
  <c r="AC12" i="15"/>
  <c r="AA5" i="15"/>
  <c r="AC16" i="15"/>
  <c r="AA11" i="15"/>
  <c r="Y11" i="15"/>
  <c r="K34" i="15"/>
  <c r="AM18" i="15"/>
  <c r="AM19" i="15"/>
  <c r="P9" i="15"/>
  <c r="AA20" i="15"/>
  <c r="M27" i="15"/>
  <c r="AA36" i="15"/>
  <c r="S33" i="15"/>
  <c r="N13" i="15"/>
  <c r="S35" i="15"/>
  <c r="S36" i="15"/>
  <c r="S34" i="15"/>
  <c r="V40" i="15"/>
  <c r="J5" i="17"/>
  <c r="U5" i="17"/>
  <c r="R28" i="15"/>
  <c r="P27" i="15"/>
  <c r="L36" i="15"/>
  <c r="M16" i="15"/>
  <c r="R34" i="15"/>
  <c r="R36" i="15"/>
  <c r="P36" i="15"/>
  <c r="Y20" i="15"/>
  <c r="V39" i="15"/>
  <c r="K27" i="15"/>
  <c r="M28" i="15"/>
  <c r="Y41" i="15"/>
  <c r="Y42" i="15"/>
  <c r="AA42" i="15"/>
  <c r="AA37" i="15"/>
  <c r="Y36" i="15"/>
  <c r="Y37" i="15"/>
  <c r="Q28" i="15"/>
  <c r="J36" i="17"/>
  <c r="N25" i="15"/>
  <c r="S39" i="15"/>
  <c r="S40" i="15"/>
  <c r="U40" i="15"/>
  <c r="U42" i="15"/>
  <c r="K7" i="15"/>
  <c r="I4" i="29"/>
  <c r="I34" i="29"/>
  <c r="J4" i="27"/>
  <c r="J35" i="27" s="1"/>
  <c r="J45" i="27" s="1"/>
  <c r="J61" i="27" s="1"/>
  <c r="G4" i="29"/>
  <c r="G34" i="29"/>
  <c r="H4" i="27"/>
  <c r="H35" i="27" s="1"/>
  <c r="H45" i="27" s="1"/>
  <c r="H61" i="27" s="1"/>
  <c r="C4" i="29"/>
  <c r="C34" i="29"/>
  <c r="C4" i="27"/>
  <c r="A9" i="35" s="1"/>
  <c r="A56" i="35" s="1"/>
  <c r="A78" i="35" s="1"/>
  <c r="D4" i="29"/>
  <c r="D34" i="29"/>
  <c r="D4" i="27"/>
  <c r="D35" i="27" s="1"/>
  <c r="D45" i="27" s="1"/>
  <c r="D61" i="27" s="1"/>
  <c r="E4" i="29"/>
  <c r="E34" i="29"/>
  <c r="E4" i="27"/>
  <c r="A11" i="35" s="1"/>
  <c r="A58" i="35" s="1"/>
  <c r="A80" i="35" s="1"/>
  <c r="C4" i="23"/>
  <c r="C17" i="23" s="1"/>
  <c r="C62" i="23" s="1"/>
  <c r="C11" i="23"/>
  <c r="C10" i="4"/>
  <c r="C62" i="1"/>
  <c r="C95" i="1" s="1"/>
  <c r="C11" i="4"/>
  <c r="J43" i="3"/>
  <c r="C5" i="23"/>
  <c r="E182" i="1"/>
  <c r="T39" i="1"/>
  <c r="C51" i="1"/>
  <c r="C23" i="4"/>
  <c r="C27" i="4"/>
  <c r="C72" i="1"/>
  <c r="C60" i="1"/>
  <c r="C93" i="1" s="1"/>
  <c r="G44" i="15"/>
  <c r="D31" i="4"/>
  <c r="M31" i="4" s="1"/>
  <c r="F69" i="1"/>
  <c r="F102" i="1" s="1"/>
  <c r="F67" i="1"/>
  <c r="F100" i="1" s="1"/>
  <c r="R37" i="1"/>
  <c r="F60" i="1"/>
  <c r="F93" i="1" s="1"/>
  <c r="G33" i="15"/>
  <c r="G31" i="15"/>
  <c r="D7" i="15"/>
  <c r="AC18" i="15"/>
  <c r="M34" i="15"/>
  <c r="N35" i="15"/>
  <c r="N36" i="15"/>
  <c r="N33" i="15"/>
  <c r="M13" i="15"/>
  <c r="O13" i="15"/>
  <c r="P34" i="15"/>
  <c r="AB20" i="15"/>
  <c r="AC20" i="15"/>
  <c r="T27" i="15"/>
  <c r="U27" i="15"/>
  <c r="U28" i="15"/>
  <c r="K6" i="15"/>
  <c r="T28" i="15"/>
  <c r="N34" i="15"/>
  <c r="C35" i="27"/>
  <c r="C45" i="27"/>
  <c r="C61" i="27" s="1"/>
  <c r="E35" i="27"/>
  <c r="E45" i="27" s="1"/>
  <c r="E61" i="27" s="1"/>
  <c r="M36" i="15"/>
  <c r="K36" i="15"/>
  <c r="T36" i="15"/>
  <c r="U36" i="15"/>
  <c r="P13" i="15" a="1"/>
  <c r="P13" i="15"/>
  <c r="Q13" i="15"/>
  <c r="N16" i="15"/>
  <c r="O16" i="15"/>
  <c r="K10" i="15"/>
  <c r="T34" i="15"/>
  <c r="U34" i="15"/>
  <c r="U37" i="15"/>
  <c r="F6" i="1"/>
  <c r="F9" i="1"/>
  <c r="B29" i="29"/>
  <c r="C30" i="27"/>
  <c r="C32" i="27"/>
  <c r="BS5" i="4"/>
  <c r="BS9" i="4" s="1"/>
  <c r="U19" i="4"/>
  <c r="D22" i="3" s="1"/>
  <c r="I33" i="35"/>
  <c r="I11" i="35" s="1"/>
  <c r="O11" i="35" s="1"/>
  <c r="D37" i="4"/>
  <c r="M37" i="4" s="1"/>
  <c r="D34" i="23"/>
  <c r="E34" i="23" s="1"/>
  <c r="J113" i="1"/>
  <c r="F80" i="1"/>
  <c r="F113" i="1" s="1"/>
  <c r="D36" i="4"/>
  <c r="M36" i="4" s="1"/>
  <c r="D35" i="23"/>
  <c r="M35" i="23" s="1"/>
  <c r="J112" i="1"/>
  <c r="F79" i="1"/>
  <c r="F112" i="1" s="1"/>
  <c r="O46" i="1"/>
  <c r="P46" i="1" s="1"/>
  <c r="O47" i="1"/>
  <c r="P47" i="1" s="1"/>
  <c r="E80" i="1"/>
  <c r="E113" i="1" s="1"/>
  <c r="D113" i="1"/>
  <c r="C11" i="27"/>
  <c r="G15" i="27"/>
  <c r="O7" i="28" s="1"/>
  <c r="L7" i="27"/>
  <c r="C87" i="35"/>
  <c r="C88" i="35" s="1"/>
  <c r="O78" i="35"/>
  <c r="V55" i="35"/>
  <c r="C65" i="35"/>
  <c r="C66" i="35" s="1"/>
  <c r="C8" i="36"/>
  <c r="C9" i="35"/>
  <c r="N156" i="1"/>
  <c r="N76" i="35" l="1"/>
  <c r="G82" i="15"/>
  <c r="K113" i="1"/>
  <c r="C4" i="4"/>
  <c r="F4" i="4" s="1"/>
  <c r="F16" i="4" s="1"/>
  <c r="F34" i="23"/>
  <c r="G34" i="23" s="1"/>
  <c r="F37" i="4"/>
  <c r="J9" i="14"/>
  <c r="M34" i="23"/>
  <c r="F4" i="23"/>
  <c r="F17" i="23" s="1"/>
  <c r="F62" i="23" s="1"/>
  <c r="E37" i="4"/>
  <c r="E139" i="15"/>
  <c r="A16" i="35"/>
  <c r="A63" i="35" s="1"/>
  <c r="A85" i="35" s="1"/>
  <c r="C19" i="27"/>
  <c r="I35" i="27"/>
  <c r="I45" i="27" s="1"/>
  <c r="I61" i="27" s="1"/>
  <c r="J19" i="27"/>
  <c r="I19" i="27"/>
  <c r="Q83" i="35"/>
  <c r="E19" i="27"/>
  <c r="H19" i="27"/>
  <c r="A10" i="35"/>
  <c r="A57" i="35" s="1"/>
  <c r="A79" i="35" s="1"/>
  <c r="A14" i="35"/>
  <c r="A61" i="35" s="1"/>
  <c r="A83" i="35" s="1"/>
  <c r="D19" i="27"/>
  <c r="Q85" i="35"/>
  <c r="R7" i="28"/>
  <c r="O80" i="35"/>
  <c r="Q80" i="35" s="1"/>
  <c r="Q78" i="35"/>
  <c r="BT5" i="4"/>
  <c r="BT9" i="4" s="1"/>
  <c r="E35" i="23"/>
  <c r="E36" i="4"/>
  <c r="F134" i="15"/>
  <c r="B4" i="27"/>
  <c r="D4" i="23"/>
  <c r="D17" i="23" s="1"/>
  <c r="D62" i="23" s="1"/>
  <c r="K16" i="4"/>
  <c r="R4" i="4" s="1"/>
  <c r="M4" i="23"/>
  <c r="M17" i="23" s="1"/>
  <c r="D24" i="3"/>
  <c r="D21" i="22"/>
  <c r="D121" i="15"/>
  <c r="K13" i="23"/>
  <c r="F121" i="15"/>
  <c r="D32" i="22"/>
  <c r="K11" i="25"/>
  <c r="L4" i="29"/>
  <c r="L34" i="29" s="1"/>
  <c r="D2" i="33"/>
  <c r="E70" i="1"/>
  <c r="E103" i="1" s="1"/>
  <c r="B29" i="10"/>
  <c r="U19" i="10" s="1"/>
  <c r="B13" i="27" s="1"/>
  <c r="B6" i="27" s="1"/>
  <c r="B21" i="27" s="1"/>
  <c r="B38" i="27"/>
  <c r="E72" i="1"/>
  <c r="E105" i="1" s="1"/>
  <c r="D4" i="22"/>
  <c r="E51" i="1"/>
  <c r="E84" i="1" s="1"/>
  <c r="I46" i="35"/>
  <c r="I29" i="35"/>
  <c r="I31" i="35" s="1"/>
  <c r="Q86" i="35"/>
  <c r="N82" i="35"/>
  <c r="N87" i="35" s="1"/>
  <c r="P87" i="35"/>
  <c r="C24" i="23"/>
  <c r="E24" i="23" s="1"/>
  <c r="C5" i="25"/>
  <c r="E5" i="25" s="1"/>
  <c r="C71" i="1"/>
  <c r="C104" i="1" s="1"/>
  <c r="D17" i="1"/>
  <c r="J5" i="4" s="1"/>
  <c r="C67" i="1"/>
  <c r="C100" i="1" s="1"/>
  <c r="M100" i="1" s="1"/>
  <c r="J83" i="1"/>
  <c r="D33" i="1"/>
  <c r="J11" i="4" s="1"/>
  <c r="C126" i="15"/>
  <c r="C6" i="4"/>
  <c r="J93" i="1"/>
  <c r="M93" i="1" s="1"/>
  <c r="N17" i="1"/>
  <c r="D105" i="1"/>
  <c r="F30" i="4" s="1"/>
  <c r="C6" i="23"/>
  <c r="E6" i="23" s="1"/>
  <c r="E70" i="15"/>
  <c r="R31" i="1"/>
  <c r="C28" i="23"/>
  <c r="B5" i="14"/>
  <c r="B11" i="14" s="1"/>
  <c r="B13" i="14" s="1"/>
  <c r="S27" i="25"/>
  <c r="D134" i="15"/>
  <c r="D4" i="32"/>
  <c r="F4" i="32" s="1"/>
  <c r="J36" i="4"/>
  <c r="E88" i="15"/>
  <c r="E66" i="1"/>
  <c r="E99" i="1" s="1"/>
  <c r="C27" i="29"/>
  <c r="J34" i="23"/>
  <c r="BT23" i="4"/>
  <c r="D4" i="4"/>
  <c r="G83" i="15"/>
  <c r="D20" i="3"/>
  <c r="O102" i="15"/>
  <c r="M31" i="15"/>
  <c r="AB5" i="15" s="1"/>
  <c r="J31" i="4"/>
  <c r="C105" i="1"/>
  <c r="C20" i="4"/>
  <c r="E79" i="15"/>
  <c r="E77" i="15"/>
  <c r="L154" i="1"/>
  <c r="L158" i="1" s="1"/>
  <c r="L159" i="1" s="1"/>
  <c r="G44" i="3" s="1"/>
  <c r="G27" i="15"/>
  <c r="B52" i="27"/>
  <c r="B68" i="27" s="1"/>
  <c r="N38" i="23"/>
  <c r="AL5" i="4"/>
  <c r="H31" i="27"/>
  <c r="D18" i="1"/>
  <c r="J6" i="4" s="1"/>
  <c r="E63" i="1"/>
  <c r="E96" i="1" s="1"/>
  <c r="E62" i="1"/>
  <c r="E95" i="1" s="1"/>
  <c r="P89" i="35"/>
  <c r="E126" i="15"/>
  <c r="L52" i="27"/>
  <c r="L68" i="27" s="1"/>
  <c r="D126" i="15"/>
  <c r="B51" i="27"/>
  <c r="B67" i="27" s="1"/>
  <c r="C16" i="15"/>
  <c r="D4" i="33"/>
  <c r="F4" i="33" s="1"/>
  <c r="D16" i="15"/>
  <c r="D40" i="15"/>
  <c r="G125" i="15"/>
  <c r="E40" i="15"/>
  <c r="F139" i="15"/>
  <c r="L51" i="27"/>
  <c r="L67" i="27" s="1"/>
  <c r="I177" i="1"/>
  <c r="I13" i="35"/>
  <c r="O13" i="35" s="1"/>
  <c r="I47" i="35"/>
  <c r="I45" i="35" s="1"/>
  <c r="I88" i="35"/>
  <c r="N75" i="35"/>
  <c r="I6" i="35"/>
  <c r="I14" i="35"/>
  <c r="G87" i="35"/>
  <c r="G88" i="35" s="1"/>
  <c r="L15" i="27"/>
  <c r="AP7" i="36"/>
  <c r="Q87" i="35"/>
  <c r="Q88" i="35" s="1"/>
  <c r="H88" i="35"/>
  <c r="AK7" i="36"/>
  <c r="AN7" i="36" s="1"/>
  <c r="M18" i="23"/>
  <c r="C11" i="25"/>
  <c r="F4" i="25"/>
  <c r="F11" i="25" s="1"/>
  <c r="J11" i="25"/>
  <c r="W28" i="25"/>
  <c r="E59" i="25"/>
  <c r="L35" i="27"/>
  <c r="L45" i="27" s="1"/>
  <c r="L61" i="27" s="1"/>
  <c r="L19" i="27"/>
  <c r="E10" i="4"/>
  <c r="M4" i="25"/>
  <c r="F5" i="31"/>
  <c r="F11" i="31" s="1"/>
  <c r="AK40" i="15"/>
  <c r="J30" i="4"/>
  <c r="C73" i="1"/>
  <c r="C106" i="1" s="1"/>
  <c r="J86" i="1"/>
  <c r="C53" i="1"/>
  <c r="C86" i="1" s="1"/>
  <c r="C59" i="1"/>
  <c r="C92" i="1" s="1"/>
  <c r="R92" i="1" s="1"/>
  <c r="C28" i="15"/>
  <c r="G28" i="15" s="1"/>
  <c r="D20" i="1"/>
  <c r="D86" i="1" s="1"/>
  <c r="D26" i="1"/>
  <c r="J22" i="4" s="1"/>
  <c r="T31" i="1"/>
  <c r="C12" i="4"/>
  <c r="E12" i="4" s="1"/>
  <c r="C31" i="4"/>
  <c r="E31" i="4" s="1"/>
  <c r="C9" i="4"/>
  <c r="C13" i="4"/>
  <c r="E13" i="4" s="1"/>
  <c r="C19" i="4"/>
  <c r="C18" i="23"/>
  <c r="R39" i="1"/>
  <c r="S39" i="1" s="1"/>
  <c r="J28" i="23" s="1"/>
  <c r="C22" i="23"/>
  <c r="C9" i="23"/>
  <c r="C21" i="25" s="1"/>
  <c r="C8" i="23"/>
  <c r="D24" i="1"/>
  <c r="J20" i="4" s="1"/>
  <c r="D30" i="1"/>
  <c r="J24" i="23" s="1"/>
  <c r="AK39" i="15"/>
  <c r="C12" i="23"/>
  <c r="DG12" i="23" s="1"/>
  <c r="D25" i="1"/>
  <c r="J21" i="4" s="1"/>
  <c r="C55" i="1"/>
  <c r="C88" i="1" s="1"/>
  <c r="M88" i="1" s="1"/>
  <c r="J106" i="1"/>
  <c r="E23" i="4"/>
  <c r="D29" i="1"/>
  <c r="J10" i="23" s="1"/>
  <c r="O41" i="1"/>
  <c r="B13" i="23"/>
  <c r="D23" i="1"/>
  <c r="J20" i="23" s="1"/>
  <c r="D31" i="1"/>
  <c r="AK38" i="15" s="1"/>
  <c r="J29" i="4"/>
  <c r="K12" i="23"/>
  <c r="K12" i="4"/>
  <c r="J108" i="1"/>
  <c r="F73" i="1"/>
  <c r="F106" i="1" s="1"/>
  <c r="G33" i="1"/>
  <c r="G40" i="1"/>
  <c r="M12" i="4"/>
  <c r="AH32" i="15"/>
  <c r="D28" i="4"/>
  <c r="M28" i="4" s="1"/>
  <c r="F59" i="1"/>
  <c r="F92" i="1" s="1"/>
  <c r="S92" i="1" s="1"/>
  <c r="AH28" i="15"/>
  <c r="D24" i="4"/>
  <c r="M24" i="4" s="1"/>
  <c r="G23" i="1"/>
  <c r="G30" i="1"/>
  <c r="D10" i="23"/>
  <c r="E10" i="23" s="1"/>
  <c r="D22" i="4"/>
  <c r="M22" i="4" s="1"/>
  <c r="D11" i="23"/>
  <c r="E11" i="23" s="1"/>
  <c r="E23" i="23"/>
  <c r="S32" i="1"/>
  <c r="D6" i="4"/>
  <c r="M6" i="4" s="1"/>
  <c r="F55" i="1"/>
  <c r="F88" i="1" s="1"/>
  <c r="D29" i="4"/>
  <c r="D47" i="4" s="1"/>
  <c r="G38" i="1"/>
  <c r="H48" i="1"/>
  <c r="H14" i="1" s="1"/>
  <c r="G29" i="1"/>
  <c r="G36" i="1"/>
  <c r="G43" i="1"/>
  <c r="D22" i="23"/>
  <c r="D46" i="23" s="1"/>
  <c r="C24" i="4"/>
  <c r="D6" i="33"/>
  <c r="F6" i="33" s="1"/>
  <c r="C56" i="1"/>
  <c r="C89" i="1" s="1"/>
  <c r="R89" i="1" s="1"/>
  <c r="D22" i="1"/>
  <c r="D35" i="1"/>
  <c r="D101" i="1" s="1"/>
  <c r="D139" i="15"/>
  <c r="E78" i="15"/>
  <c r="O42" i="1"/>
  <c r="P42" i="1" s="1"/>
  <c r="F40" i="15"/>
  <c r="S28" i="25"/>
  <c r="L42" i="27"/>
  <c r="E134" i="15"/>
  <c r="N40" i="4"/>
  <c r="E48" i="1"/>
  <c r="E14" i="1" s="1"/>
  <c r="C25" i="23"/>
  <c r="F16" i="15"/>
  <c r="J104" i="1"/>
  <c r="J89" i="1"/>
  <c r="G133" i="15"/>
  <c r="L30" i="29"/>
  <c r="C30" i="29" s="1"/>
  <c r="B19" i="14"/>
  <c r="B20" i="14" s="1"/>
  <c r="C121" i="15"/>
  <c r="L47" i="27"/>
  <c r="L63" i="27" s="1"/>
  <c r="D2" i="32"/>
  <c r="J35" i="23"/>
  <c r="C25" i="4"/>
  <c r="E25" i="4" s="1"/>
  <c r="J90" i="1"/>
  <c r="C54" i="1"/>
  <c r="J105" i="1"/>
  <c r="W27" i="25"/>
  <c r="AR7" i="4"/>
  <c r="B35" i="4"/>
  <c r="I35" i="4" s="1"/>
  <c r="J37" i="4"/>
  <c r="J33" i="23"/>
  <c r="T24" i="1"/>
  <c r="C139" i="15"/>
  <c r="C32" i="23"/>
  <c r="D3" i="33"/>
  <c r="F3" i="33" s="1"/>
  <c r="G138" i="15"/>
  <c r="T36" i="1"/>
  <c r="F31" i="27"/>
  <c r="B30" i="29"/>
  <c r="D5" i="32"/>
  <c r="F5" i="32" s="1"/>
  <c r="E71" i="15"/>
  <c r="D5" i="33"/>
  <c r="F5" i="33" s="1"/>
  <c r="E74" i="25"/>
  <c r="E77" i="25" s="1"/>
  <c r="C40" i="15"/>
  <c r="L40" i="27"/>
  <c r="L50" i="27"/>
  <c r="L66" i="27" s="1"/>
  <c r="B31" i="27"/>
  <c r="E61" i="1"/>
  <c r="E94" i="1" s="1"/>
  <c r="C94" i="1"/>
  <c r="B50" i="27"/>
  <c r="B66" i="27" s="1"/>
  <c r="B40" i="27"/>
  <c r="AI5" i="15"/>
  <c r="AI7" i="15" s="1"/>
  <c r="AI9" i="15" s="1"/>
  <c r="C48" i="1"/>
  <c r="F126" i="15"/>
  <c r="C74" i="1"/>
  <c r="L39" i="27"/>
  <c r="J98" i="1"/>
  <c r="C45" i="4"/>
  <c r="C134" i="15"/>
  <c r="L23" i="15"/>
  <c r="J101" i="1"/>
  <c r="C65" i="1"/>
  <c r="C98" i="1" s="1"/>
  <c r="C76" i="1"/>
  <c r="C33" i="4"/>
  <c r="C19" i="23"/>
  <c r="J87" i="1"/>
  <c r="C78" i="1"/>
  <c r="C111" i="1" s="1"/>
  <c r="B48" i="27"/>
  <c r="B64" i="27" s="1"/>
  <c r="D32" i="1"/>
  <c r="D28" i="1"/>
  <c r="I172" i="1"/>
  <c r="J110" i="1"/>
  <c r="C21" i="23"/>
  <c r="C69" i="1"/>
  <c r="C102" i="1" s="1"/>
  <c r="J102" i="1"/>
  <c r="C8" i="4"/>
  <c r="E8" i="4" s="1"/>
  <c r="J107" i="1"/>
  <c r="B49" i="27"/>
  <c r="B65" i="27" s="1"/>
  <c r="M65" i="27" s="1"/>
  <c r="C13" i="23"/>
  <c r="J99" i="1"/>
  <c r="M99" i="1" s="1"/>
  <c r="C31" i="23"/>
  <c r="L37" i="27"/>
  <c r="C68" i="1"/>
  <c r="R24" i="1"/>
  <c r="E121" i="15"/>
  <c r="C21" i="4"/>
  <c r="E21" i="4" s="1"/>
  <c r="B39" i="27"/>
  <c r="B47" i="27"/>
  <c r="L38" i="27"/>
  <c r="D6" i="32"/>
  <c r="F6" i="32" s="1"/>
  <c r="D34" i="1"/>
  <c r="M95" i="1"/>
  <c r="C96" i="1"/>
  <c r="R36" i="1"/>
  <c r="C84" i="1"/>
  <c r="C50" i="1"/>
  <c r="D3" i="32"/>
  <c r="F3" i="32" s="1"/>
  <c r="J109" i="1"/>
  <c r="K23" i="15"/>
  <c r="G39" i="15"/>
  <c r="D21" i="1"/>
  <c r="C34" i="4"/>
  <c r="E34" i="4" s="1"/>
  <c r="C75" i="1"/>
  <c r="G15" i="15"/>
  <c r="C32" i="4"/>
  <c r="E32" i="4" s="1"/>
  <c r="C31" i="27"/>
  <c r="C26" i="4"/>
  <c r="E26" i="4" s="1"/>
  <c r="A60" i="1"/>
  <c r="E29" i="23"/>
  <c r="D27" i="27"/>
  <c r="G120" i="15"/>
  <c r="C28" i="4"/>
  <c r="E27" i="23"/>
  <c r="L48" i="27"/>
  <c r="L64" i="27" s="1"/>
  <c r="J124" i="1"/>
  <c r="M20" i="23"/>
  <c r="E20" i="23"/>
  <c r="M24" i="23"/>
  <c r="M21" i="23"/>
  <c r="M35" i="4"/>
  <c r="E35" i="4"/>
  <c r="D25" i="23"/>
  <c r="AH38" i="15"/>
  <c r="M26" i="4"/>
  <c r="J111" i="1"/>
  <c r="D13" i="23"/>
  <c r="T37" i="1"/>
  <c r="S37" i="1" s="1"/>
  <c r="E5" i="23"/>
  <c r="J103" i="1"/>
  <c r="M103" i="1" s="1"/>
  <c r="G24" i="1"/>
  <c r="G22" i="1"/>
  <c r="D14" i="23"/>
  <c r="F71" i="1"/>
  <c r="F104" i="1" s="1"/>
  <c r="R40" i="1"/>
  <c r="S40" i="1" s="1"/>
  <c r="D19" i="4"/>
  <c r="M19" i="4" s="1"/>
  <c r="D28" i="23"/>
  <c r="K16" i="15"/>
  <c r="D64" i="15" s="1"/>
  <c r="F63" i="1"/>
  <c r="F96" i="1" s="1"/>
  <c r="S96" i="1" s="1"/>
  <c r="F72" i="1"/>
  <c r="F105" i="1" s="1"/>
  <c r="F56" i="1"/>
  <c r="F89" i="1" s="1"/>
  <c r="S89" i="1" s="1"/>
  <c r="D20" i="4"/>
  <c r="G25" i="1"/>
  <c r="G31" i="1"/>
  <c r="G18" i="1"/>
  <c r="G26" i="1"/>
  <c r="E17" i="4"/>
  <c r="R17" i="1"/>
  <c r="R20" i="1" s="1"/>
  <c r="J91" i="1"/>
  <c r="AH27" i="15"/>
  <c r="G20" i="1"/>
  <c r="G27" i="1"/>
  <c r="D27" i="1" s="1"/>
  <c r="F48" i="1"/>
  <c r="AH29" i="15"/>
  <c r="F64" i="1"/>
  <c r="F97" i="1" s="1"/>
  <c r="D5" i="4"/>
  <c r="J97" i="1"/>
  <c r="R25" i="1"/>
  <c r="S25" i="1" s="1"/>
  <c r="D32" i="23"/>
  <c r="G39" i="1"/>
  <c r="E30" i="4"/>
  <c r="J96" i="1"/>
  <c r="M44" i="4"/>
  <c r="J196" i="1"/>
  <c r="J120" i="1"/>
  <c r="F83" i="1"/>
  <c r="M13" i="4"/>
  <c r="C18" i="35"/>
  <c r="C19" i="35" s="1"/>
  <c r="M21" i="4"/>
  <c r="K5" i="4"/>
  <c r="K5" i="25"/>
  <c r="K5" i="23"/>
  <c r="M31" i="23"/>
  <c r="E18" i="4"/>
  <c r="D45" i="4"/>
  <c r="M9" i="23"/>
  <c r="E26" i="23"/>
  <c r="M30" i="23"/>
  <c r="E30" i="23"/>
  <c r="F54" i="1"/>
  <c r="F87" i="1" s="1"/>
  <c r="C7" i="21" s="1"/>
  <c r="F75" i="1"/>
  <c r="F108" i="1" s="1"/>
  <c r="D11" i="4"/>
  <c r="J92" i="1"/>
  <c r="G35" i="1"/>
  <c r="AG20" i="15"/>
  <c r="D19" i="23"/>
  <c r="D44" i="23" s="1"/>
  <c r="D33" i="4"/>
  <c r="G21" i="1"/>
  <c r="H150" i="1"/>
  <c r="D6" i="25"/>
  <c r="K14" i="1"/>
  <c r="AJ6" i="4" s="1"/>
  <c r="K13" i="1"/>
  <c r="AJ5" i="4" s="1"/>
  <c r="J94" i="1"/>
  <c r="AG22" i="15"/>
  <c r="I157" i="1"/>
  <c r="F68" i="1"/>
  <c r="F101" i="1" s="1"/>
  <c r="S101" i="1" s="1"/>
  <c r="G28" i="1"/>
  <c r="AG23" i="15"/>
  <c r="F50" i="15" s="1"/>
  <c r="F61" i="1"/>
  <c r="F94" i="1" s="1"/>
  <c r="F51" i="1"/>
  <c r="F84" i="1" s="1"/>
  <c r="C5" i="21" s="1"/>
  <c r="D27" i="4"/>
  <c r="J84" i="1"/>
  <c r="AH30" i="15"/>
  <c r="D9" i="4"/>
  <c r="K44" i="1"/>
  <c r="M44" i="1" s="1"/>
  <c r="C14" i="1" l="1"/>
  <c r="L37" i="15" s="1"/>
  <c r="K52" i="1"/>
  <c r="D60" i="1"/>
  <c r="E60" i="1" s="1"/>
  <c r="E93" i="1" s="1"/>
  <c r="G37" i="4"/>
  <c r="K6" i="4"/>
  <c r="L6" i="4" s="1"/>
  <c r="N6" i="4" s="1"/>
  <c r="H6" i="1"/>
  <c r="H7" i="1" s="1"/>
  <c r="O82" i="35"/>
  <c r="Q82" i="35" s="1"/>
  <c r="AO7" i="36"/>
  <c r="C16" i="4"/>
  <c r="J19" i="1"/>
  <c r="I52" i="1" s="1"/>
  <c r="D45" i="23"/>
  <c r="D13" i="25" s="1"/>
  <c r="E18" i="23"/>
  <c r="C44" i="23"/>
  <c r="C12" i="25" s="1"/>
  <c r="C45" i="23"/>
  <c r="C13" i="25" s="1"/>
  <c r="D12" i="25"/>
  <c r="J6" i="23"/>
  <c r="E77" i="1"/>
  <c r="E110" i="1" s="1"/>
  <c r="K10" i="1"/>
  <c r="N13" i="1" s="1"/>
  <c r="K7" i="1"/>
  <c r="E9" i="23"/>
  <c r="M8" i="25"/>
  <c r="C29" i="10"/>
  <c r="J5" i="25"/>
  <c r="L5" i="25" s="1"/>
  <c r="L5" i="4"/>
  <c r="B35" i="27"/>
  <c r="B45" i="27" s="1"/>
  <c r="B61" i="27" s="1"/>
  <c r="B19" i="27"/>
  <c r="G26" i="15"/>
  <c r="C7" i="15" s="1"/>
  <c r="E7" i="15" s="1"/>
  <c r="G7" i="15" s="1"/>
  <c r="J5" i="23"/>
  <c r="L5" i="23" s="1"/>
  <c r="B11" i="29"/>
  <c r="B6" i="29" s="1"/>
  <c r="B36" i="29" s="1"/>
  <c r="E64" i="1"/>
  <c r="E97" i="1" s="1"/>
  <c r="E8" i="23"/>
  <c r="C8" i="25"/>
  <c r="J28" i="4"/>
  <c r="D83" i="1"/>
  <c r="O17" i="1"/>
  <c r="P17" i="1" s="1"/>
  <c r="D102" i="1"/>
  <c r="F28" i="4" s="1"/>
  <c r="K17" i="1"/>
  <c r="D99" i="1"/>
  <c r="F11" i="4" s="1"/>
  <c r="J11" i="23"/>
  <c r="D8" i="25"/>
  <c r="D9" i="25" s="1"/>
  <c r="K14" i="23"/>
  <c r="L18" i="35"/>
  <c r="L19" i="35" s="1"/>
  <c r="M68" i="27"/>
  <c r="E71" i="1"/>
  <c r="E104" i="1" s="1"/>
  <c r="D29" i="10"/>
  <c r="N88" i="35"/>
  <c r="G121" i="15"/>
  <c r="G119" i="15" s="1"/>
  <c r="J30" i="23"/>
  <c r="M105" i="1"/>
  <c r="E67" i="1"/>
  <c r="E100" i="1" s="1"/>
  <c r="S31" i="1"/>
  <c r="J25" i="23" s="1"/>
  <c r="J29" i="23"/>
  <c r="J32" i="4"/>
  <c r="D106" i="1"/>
  <c r="F31" i="4" s="1"/>
  <c r="G31" i="4" s="1"/>
  <c r="J22" i="23"/>
  <c r="D107" i="1"/>
  <c r="F29" i="23" s="1"/>
  <c r="G29" i="23" s="1"/>
  <c r="D103" i="1"/>
  <c r="F29" i="4" s="1"/>
  <c r="AK28" i="15"/>
  <c r="AK31" i="15"/>
  <c r="E13" i="23"/>
  <c r="O40" i="1"/>
  <c r="P40" i="1" s="1"/>
  <c r="C46" i="23"/>
  <c r="C14" i="25" s="1"/>
  <c r="R111" i="1" s="1"/>
  <c r="E58" i="1"/>
  <c r="E91" i="1" s="1"/>
  <c r="X28" i="25"/>
  <c r="G40" i="15"/>
  <c r="G38" i="15" s="1"/>
  <c r="C8" i="15" s="1"/>
  <c r="AM5" i="15" s="1"/>
  <c r="AM7" i="15" s="1"/>
  <c r="AM9" i="15" s="1"/>
  <c r="AM12" i="15" s="1"/>
  <c r="E57" i="1"/>
  <c r="E90" i="1" s="1"/>
  <c r="D91" i="1"/>
  <c r="F21" i="4" s="1"/>
  <c r="G21" i="4" s="1"/>
  <c r="W29" i="25"/>
  <c r="E73" i="1"/>
  <c r="E106" i="1" s="1"/>
  <c r="AK29" i="15"/>
  <c r="D90" i="1"/>
  <c r="F20" i="4" s="1"/>
  <c r="D16" i="4"/>
  <c r="J17" i="4"/>
  <c r="O36" i="1"/>
  <c r="AG39" i="15" s="1"/>
  <c r="AI39" i="15" s="1"/>
  <c r="J18" i="23"/>
  <c r="J8" i="23"/>
  <c r="D88" i="1"/>
  <c r="J10" i="4"/>
  <c r="K29" i="1"/>
  <c r="M29" i="1" s="1"/>
  <c r="J6" i="25"/>
  <c r="G30" i="4"/>
  <c r="D96" i="1"/>
  <c r="K96" i="1" s="1"/>
  <c r="O96" i="1" s="1"/>
  <c r="J28" i="1"/>
  <c r="I61" i="1" s="1"/>
  <c r="S24" i="1"/>
  <c r="J21" i="23" s="1"/>
  <c r="J24" i="4"/>
  <c r="M67" i="27"/>
  <c r="D84" i="1"/>
  <c r="D108" i="1"/>
  <c r="K108" i="1" s="1"/>
  <c r="G126" i="15"/>
  <c r="G124" i="15" s="1"/>
  <c r="G134" i="15"/>
  <c r="G132" i="15" s="1"/>
  <c r="G139" i="15"/>
  <c r="G137" i="15" s="1"/>
  <c r="M29" i="4"/>
  <c r="M46" i="4" s="1"/>
  <c r="L57" i="27"/>
  <c r="G16" i="15"/>
  <c r="G14" i="15" s="1"/>
  <c r="C6" i="15" s="1"/>
  <c r="E6" i="15" s="1"/>
  <c r="O14" i="35"/>
  <c r="I18" i="35"/>
  <c r="I19" i="35" s="1"/>
  <c r="E29" i="4"/>
  <c r="M11" i="23"/>
  <c r="M23" i="25" s="1"/>
  <c r="D21" i="25"/>
  <c r="E21" i="25" s="1"/>
  <c r="M10" i="23"/>
  <c r="O18" i="1"/>
  <c r="P18" i="1" s="1"/>
  <c r="E22" i="4"/>
  <c r="E22" i="23"/>
  <c r="M22" i="23"/>
  <c r="M45" i="23" s="1"/>
  <c r="K6" i="25"/>
  <c r="M106" i="1"/>
  <c r="E6" i="4"/>
  <c r="F6" i="15"/>
  <c r="K18" i="1"/>
  <c r="K6" i="23"/>
  <c r="K18" i="15"/>
  <c r="O43" i="1"/>
  <c r="P43" i="1" s="1"/>
  <c r="M86" i="1"/>
  <c r="J34" i="1"/>
  <c r="I34" i="1" s="1"/>
  <c r="K86" i="1"/>
  <c r="J38" i="1"/>
  <c r="I71" i="1" s="1"/>
  <c r="G48" i="1"/>
  <c r="K10" i="4"/>
  <c r="K10" i="23"/>
  <c r="L10" i="23" s="1"/>
  <c r="E24" i="4"/>
  <c r="M11" i="25"/>
  <c r="R25" i="25"/>
  <c r="V25" i="25" s="1"/>
  <c r="D48" i="1"/>
  <c r="E53" i="1"/>
  <c r="E86" i="1" s="1"/>
  <c r="D89" i="1"/>
  <c r="D9" i="21" s="1"/>
  <c r="J21" i="1"/>
  <c r="I21" i="1" s="1"/>
  <c r="J34" i="4"/>
  <c r="AK27" i="15"/>
  <c r="D109" i="1"/>
  <c r="K109" i="1" s="1"/>
  <c r="J19" i="4"/>
  <c r="J42" i="1"/>
  <c r="I75" i="1" s="1"/>
  <c r="J31" i="23"/>
  <c r="J37" i="1"/>
  <c r="I70" i="1" s="1"/>
  <c r="M102" i="1"/>
  <c r="AK32" i="15"/>
  <c r="J25" i="4"/>
  <c r="J41" i="1"/>
  <c r="I74" i="1" s="1"/>
  <c r="J26" i="1"/>
  <c r="I26" i="1" s="1"/>
  <c r="M98" i="1"/>
  <c r="M104" i="1"/>
  <c r="D97" i="1"/>
  <c r="F25" i="4" s="1"/>
  <c r="G25" i="4" s="1"/>
  <c r="E12" i="23"/>
  <c r="E59" i="1"/>
  <c r="E92" i="1" s="1"/>
  <c r="E55" i="1"/>
  <c r="E88" i="1" s="1"/>
  <c r="C15" i="23"/>
  <c r="J27" i="4"/>
  <c r="E31" i="23"/>
  <c r="E65" i="1"/>
  <c r="E98" i="1" s="1"/>
  <c r="O37" i="1"/>
  <c r="P37" i="1" s="1"/>
  <c r="D95" i="1"/>
  <c r="F10" i="4" s="1"/>
  <c r="G10" i="4" s="1"/>
  <c r="O23" i="1"/>
  <c r="P23" i="1" s="1"/>
  <c r="J43" i="1"/>
  <c r="I43" i="1" s="1"/>
  <c r="J23" i="1"/>
  <c r="I23" i="1" s="1"/>
  <c r="K13" i="4"/>
  <c r="O30" i="1"/>
  <c r="P30" i="1" s="1"/>
  <c r="O29" i="1"/>
  <c r="P29" i="1" s="1"/>
  <c r="J46" i="1"/>
  <c r="J29" i="1"/>
  <c r="I29" i="1" s="1"/>
  <c r="J36" i="1"/>
  <c r="I69" i="1" s="1"/>
  <c r="O243" i="1"/>
  <c r="J35" i="1"/>
  <c r="I35" i="1" s="1"/>
  <c r="J20" i="1"/>
  <c r="I20" i="1" s="1"/>
  <c r="G150" i="1"/>
  <c r="E28" i="4"/>
  <c r="K11" i="4"/>
  <c r="L11" i="4" s="1"/>
  <c r="O33" i="1"/>
  <c r="P33" i="1" s="1"/>
  <c r="J47" i="1"/>
  <c r="I47" i="1" s="1"/>
  <c r="J30" i="1"/>
  <c r="I63" i="1" s="1"/>
  <c r="J40" i="1"/>
  <c r="I73" i="1" s="1"/>
  <c r="J22" i="1"/>
  <c r="I55" i="1" s="1"/>
  <c r="J27" i="1"/>
  <c r="I27" i="1" s="1"/>
  <c r="M89" i="1"/>
  <c r="J25" i="1"/>
  <c r="I25" i="1" s="1"/>
  <c r="K11" i="14"/>
  <c r="S110" i="1"/>
  <c r="M97" i="1"/>
  <c r="AK30" i="15"/>
  <c r="S29" i="25"/>
  <c r="J26" i="23"/>
  <c r="K11" i="1"/>
  <c r="C39" i="4"/>
  <c r="M90" i="1"/>
  <c r="E78" i="1"/>
  <c r="E111" i="1" s="1"/>
  <c r="B22" i="14"/>
  <c r="B31" i="14" s="1"/>
  <c r="E21" i="23"/>
  <c r="S36" i="1"/>
  <c r="J27" i="23" s="1"/>
  <c r="X27" i="25"/>
  <c r="C87" i="1"/>
  <c r="M87" i="1" s="1"/>
  <c r="E54" i="1"/>
  <c r="E87" i="1" s="1"/>
  <c r="B32" i="23"/>
  <c r="I32" i="23" s="1"/>
  <c r="K105" i="1"/>
  <c r="J8" i="4"/>
  <c r="J33" i="4"/>
  <c r="C46" i="4"/>
  <c r="D92" i="1"/>
  <c r="Q92" i="1" s="1"/>
  <c r="E56" i="1"/>
  <c r="E89" i="1" s="1"/>
  <c r="P41" i="1"/>
  <c r="AK37" i="15"/>
  <c r="J23" i="4"/>
  <c r="J23" i="23"/>
  <c r="K101" i="1"/>
  <c r="E75" i="1"/>
  <c r="E108" i="1" s="1"/>
  <c r="C108" i="1"/>
  <c r="M108" i="1" s="1"/>
  <c r="E69" i="1"/>
  <c r="M23" i="15"/>
  <c r="C28" i="25"/>
  <c r="J11" i="14"/>
  <c r="J12" i="14" s="1"/>
  <c r="J26" i="4"/>
  <c r="D98" i="1"/>
  <c r="F26" i="23"/>
  <c r="G26" i="23" s="1"/>
  <c r="F27" i="4"/>
  <c r="J19" i="23"/>
  <c r="J18" i="4"/>
  <c r="D87" i="1"/>
  <c r="B53" i="35"/>
  <c r="J35" i="4"/>
  <c r="J32" i="23"/>
  <c r="D111" i="1"/>
  <c r="K111" i="1" s="1"/>
  <c r="AI12" i="15"/>
  <c r="AI11" i="15"/>
  <c r="AL7" i="15"/>
  <c r="AL8" i="15" s="1"/>
  <c r="D94" i="1"/>
  <c r="J9" i="4"/>
  <c r="J9" i="23"/>
  <c r="J12" i="4"/>
  <c r="L12" i="4" s="1"/>
  <c r="N12" i="4" s="1"/>
  <c r="K34" i="1"/>
  <c r="M34" i="1" s="1"/>
  <c r="O34" i="1"/>
  <c r="P34" i="1" s="1"/>
  <c r="D100" i="1"/>
  <c r="J12" i="23"/>
  <c r="L12" i="23" s="1"/>
  <c r="N12" i="23" s="1"/>
  <c r="E45" i="4"/>
  <c r="O32" i="1"/>
  <c r="P32" i="1" s="1"/>
  <c r="F17" i="4"/>
  <c r="G17" i="4" s="1"/>
  <c r="D6" i="21"/>
  <c r="E6" i="21" s="1"/>
  <c r="F18" i="23"/>
  <c r="C48" i="4"/>
  <c r="C47" i="4"/>
  <c r="E47" i="4" s="1"/>
  <c r="C37" i="23"/>
  <c r="C64" i="23" s="1"/>
  <c r="C81" i="1"/>
  <c r="C83" i="1"/>
  <c r="R96" i="1"/>
  <c r="M64" i="27"/>
  <c r="O45" i="1"/>
  <c r="P45" i="1" s="1"/>
  <c r="C101" i="1"/>
  <c r="E68" i="1"/>
  <c r="E101" i="1" s="1"/>
  <c r="E50" i="1"/>
  <c r="E74" i="1"/>
  <c r="E107" i="1" s="1"/>
  <c r="C107" i="1"/>
  <c r="M107" i="1" s="1"/>
  <c r="B56" i="27"/>
  <c r="B63" i="27"/>
  <c r="M63" i="27" s="1"/>
  <c r="C109" i="1"/>
  <c r="E76" i="1"/>
  <c r="E109" i="1" s="1"/>
  <c r="C14" i="4"/>
  <c r="M66" i="27"/>
  <c r="E5" i="4"/>
  <c r="M5" i="4"/>
  <c r="J17" i="1"/>
  <c r="E25" i="25"/>
  <c r="J31" i="1"/>
  <c r="J32" i="1"/>
  <c r="O26" i="1"/>
  <c r="E25" i="23"/>
  <c r="M25" i="23"/>
  <c r="M13" i="23"/>
  <c r="D48" i="4"/>
  <c r="O39" i="1"/>
  <c r="E19" i="4"/>
  <c r="O31" i="1"/>
  <c r="F13" i="1"/>
  <c r="J24" i="1"/>
  <c r="I57" i="1" s="1"/>
  <c r="O20" i="1"/>
  <c r="P20" i="1" s="1"/>
  <c r="O25" i="1"/>
  <c r="P25" i="1" s="1"/>
  <c r="M14" i="23"/>
  <c r="E14" i="23"/>
  <c r="O27" i="1"/>
  <c r="J39" i="1"/>
  <c r="I72" i="1" s="1"/>
  <c r="J45" i="1"/>
  <c r="I45" i="1" s="1"/>
  <c r="M20" i="4"/>
  <c r="E20" i="4"/>
  <c r="K8" i="23"/>
  <c r="K22" i="1"/>
  <c r="M22" i="1" s="1"/>
  <c r="K8" i="4"/>
  <c r="O22" i="1"/>
  <c r="P22" i="1" s="1"/>
  <c r="J33" i="1"/>
  <c r="I33" i="1" s="1"/>
  <c r="D28" i="25"/>
  <c r="M91" i="1"/>
  <c r="O24" i="1"/>
  <c r="P24" i="1" s="1"/>
  <c r="D15" i="23"/>
  <c r="M32" i="23"/>
  <c r="E32" i="23"/>
  <c r="J18" i="1"/>
  <c r="I18" i="1" s="1"/>
  <c r="J44" i="1"/>
  <c r="I44" i="1" s="1"/>
  <c r="M96" i="1"/>
  <c r="E28" i="23"/>
  <c r="M28" i="23"/>
  <c r="M9" i="4"/>
  <c r="E9" i="4"/>
  <c r="O21" i="1"/>
  <c r="M33" i="4"/>
  <c r="E33" i="4"/>
  <c r="M11" i="4"/>
  <c r="E11" i="4"/>
  <c r="M19" i="23"/>
  <c r="M43" i="23" s="1"/>
  <c r="M12" i="25" s="1"/>
  <c r="E19" i="23"/>
  <c r="D37" i="23"/>
  <c r="AG8" i="15"/>
  <c r="G51" i="15" s="1"/>
  <c r="F51" i="15"/>
  <c r="D14" i="4"/>
  <c r="M6" i="23"/>
  <c r="M6" i="25"/>
  <c r="M84" i="1"/>
  <c r="J114" i="1"/>
  <c r="C4" i="21" s="1"/>
  <c r="M27" i="4"/>
  <c r="M47" i="4" s="1"/>
  <c r="E27" i="4"/>
  <c r="D39" i="4"/>
  <c r="F81" i="1"/>
  <c r="F114" i="1"/>
  <c r="D110" i="1"/>
  <c r="J13" i="23"/>
  <c r="L13" i="23" s="1"/>
  <c r="O44" i="1"/>
  <c r="P44" i="1" s="1"/>
  <c r="Q44" i="1" s="1"/>
  <c r="O35" i="1"/>
  <c r="K9" i="4"/>
  <c r="O28" i="1"/>
  <c r="P28" i="1" s="1"/>
  <c r="E6" i="25"/>
  <c r="M92" i="1"/>
  <c r="F8" i="15"/>
  <c r="M94" i="1"/>
  <c r="K6" i="1"/>
  <c r="D46" i="4"/>
  <c r="D93" i="1" l="1"/>
  <c r="K93" i="1" s="1"/>
  <c r="M18" i="1"/>
  <c r="M17" i="1"/>
  <c r="E44" i="23"/>
  <c r="E12" i="25" s="1"/>
  <c r="F6" i="23"/>
  <c r="G6" i="23" s="1"/>
  <c r="I19" i="1"/>
  <c r="I85" i="1" s="1"/>
  <c r="L85" i="1" s="1"/>
  <c r="G18" i="23"/>
  <c r="I79" i="1"/>
  <c r="M44" i="23"/>
  <c r="M13" i="25" s="1"/>
  <c r="L6" i="23"/>
  <c r="N6" i="23" s="1"/>
  <c r="E79" i="1"/>
  <c r="E112" i="1" s="1"/>
  <c r="D112" i="1"/>
  <c r="N5" i="4"/>
  <c r="E8" i="25"/>
  <c r="E9" i="25" s="1"/>
  <c r="F19" i="4"/>
  <c r="G19" i="4" s="1"/>
  <c r="K83" i="1"/>
  <c r="G5" i="25" s="1"/>
  <c r="F5" i="25" s="1"/>
  <c r="F33" i="4"/>
  <c r="G33" i="4" s="1"/>
  <c r="F30" i="23"/>
  <c r="G30" i="23" s="1"/>
  <c r="L8" i="4"/>
  <c r="N8" i="4" s="1"/>
  <c r="D5" i="21"/>
  <c r="E5" i="21" s="1"/>
  <c r="F6" i="4"/>
  <c r="G6" i="4" s="1"/>
  <c r="F5" i="23"/>
  <c r="G5" i="23" s="1"/>
  <c r="K91" i="1"/>
  <c r="K84" i="1"/>
  <c r="G6" i="25" s="1"/>
  <c r="F6" i="25" s="1"/>
  <c r="G28" i="4"/>
  <c r="F11" i="23"/>
  <c r="G11" i="23" s="1"/>
  <c r="K107" i="1"/>
  <c r="O107" i="1" s="1"/>
  <c r="G11" i="4"/>
  <c r="F5" i="4"/>
  <c r="G5" i="4" s="1"/>
  <c r="E46" i="23"/>
  <c r="E14" i="25" s="1"/>
  <c r="K99" i="1"/>
  <c r="O99" i="1" s="1"/>
  <c r="K102" i="1"/>
  <c r="Q96" i="1"/>
  <c r="E46" i="4"/>
  <c r="AJ49" i="15"/>
  <c r="N10" i="23"/>
  <c r="F24" i="23"/>
  <c r="G24" i="23" s="1"/>
  <c r="F21" i="23"/>
  <c r="K89" i="1"/>
  <c r="O89" i="1" s="1"/>
  <c r="F24" i="4"/>
  <c r="G24" i="4" s="1"/>
  <c r="F34" i="4"/>
  <c r="G34" i="4" s="1"/>
  <c r="K103" i="1"/>
  <c r="F32" i="4"/>
  <c r="G32" i="4" s="1"/>
  <c r="K106" i="1"/>
  <c r="G29" i="4"/>
  <c r="Q89" i="1"/>
  <c r="F20" i="23"/>
  <c r="G20" i="23" s="1"/>
  <c r="K90" i="1"/>
  <c r="G28" i="23"/>
  <c r="F31" i="23"/>
  <c r="G31" i="23" s="1"/>
  <c r="L6" i="25"/>
  <c r="N6" i="25" s="1"/>
  <c r="Y28" i="25" s="1"/>
  <c r="L8" i="23"/>
  <c r="N8" i="23" s="1"/>
  <c r="E63" i="23"/>
  <c r="G20" i="4"/>
  <c r="G21" i="23" s="1"/>
  <c r="F28" i="23"/>
  <c r="K95" i="1"/>
  <c r="I28" i="1"/>
  <c r="I94" i="1" s="1"/>
  <c r="F25" i="23"/>
  <c r="W31" i="25"/>
  <c r="C17" i="25"/>
  <c r="C9" i="25"/>
  <c r="P36" i="1"/>
  <c r="D14" i="25"/>
  <c r="D17" i="25" s="1"/>
  <c r="D26" i="25" s="1"/>
  <c r="I68" i="1"/>
  <c r="I101" i="1" s="1"/>
  <c r="E8" i="15"/>
  <c r="AG31" i="15" s="1"/>
  <c r="AJ56" i="15" s="1"/>
  <c r="Q29" i="1"/>
  <c r="L10" i="4"/>
  <c r="N10" i="4" s="1"/>
  <c r="I41" i="1"/>
  <c r="I107" i="1" s="1"/>
  <c r="F10" i="23"/>
  <c r="G10" i="23" s="1"/>
  <c r="E45" i="23"/>
  <c r="E13" i="25" s="1"/>
  <c r="I22" i="1"/>
  <c r="I88" i="1" s="1"/>
  <c r="O6" i="23"/>
  <c r="DF6" i="23" s="1"/>
  <c r="I37" i="1"/>
  <c r="I103" i="1" s="1"/>
  <c r="I30" i="1"/>
  <c r="I96" i="1" s="1"/>
  <c r="I46" i="1"/>
  <c r="I67" i="1"/>
  <c r="I100" i="1" s="1"/>
  <c r="I38" i="1"/>
  <c r="I104" i="1" s="1"/>
  <c r="I54" i="1"/>
  <c r="I87" i="1" s="1"/>
  <c r="I36" i="1"/>
  <c r="I102" i="1" s="1"/>
  <c r="I58" i="1"/>
  <c r="I91" i="1" s="1"/>
  <c r="I62" i="1"/>
  <c r="I95" i="1" s="1"/>
  <c r="I76" i="1"/>
  <c r="I109" i="1" s="1"/>
  <c r="L109" i="1" s="1"/>
  <c r="P109" i="1" s="1"/>
  <c r="I42" i="1"/>
  <c r="I108" i="1" s="1"/>
  <c r="I59" i="1"/>
  <c r="I92" i="1" s="1"/>
  <c r="N11" i="4"/>
  <c r="G6" i="15"/>
  <c r="K4" i="15" s="1"/>
  <c r="K11" i="15" s="1"/>
  <c r="I80" i="1"/>
  <c r="I113" i="1" s="1"/>
  <c r="L113" i="1" s="1"/>
  <c r="I24" i="1"/>
  <c r="I90" i="1" s="1"/>
  <c r="I39" i="1"/>
  <c r="I105" i="1" s="1"/>
  <c r="I56" i="1"/>
  <c r="I89" i="1" s="1"/>
  <c r="C43" i="4"/>
  <c r="L9" i="4"/>
  <c r="N9" i="4" s="1"/>
  <c r="F22" i="23"/>
  <c r="G22" i="23" s="1"/>
  <c r="E15" i="23"/>
  <c r="K97" i="1"/>
  <c r="I40" i="1"/>
  <c r="I106" i="1" s="1"/>
  <c r="K92" i="1"/>
  <c r="O92" i="1" s="1"/>
  <c r="I60" i="1"/>
  <c r="I93" i="1" s="1"/>
  <c r="AH5" i="4"/>
  <c r="Q34" i="1"/>
  <c r="K12" i="1"/>
  <c r="K38" i="1"/>
  <c r="M38" i="1" s="1"/>
  <c r="J14" i="23"/>
  <c r="L14" i="23" s="1"/>
  <c r="N14" i="23" s="1"/>
  <c r="D104" i="1"/>
  <c r="J13" i="4"/>
  <c r="L13" i="4" s="1"/>
  <c r="N13" i="4" s="1"/>
  <c r="O38" i="1"/>
  <c r="P38" i="1" s="1"/>
  <c r="P6" i="1" s="1"/>
  <c r="I53" i="1"/>
  <c r="I86" i="1" s="1"/>
  <c r="I150" i="1"/>
  <c r="I66" i="1"/>
  <c r="I99" i="1" s="1"/>
  <c r="F22" i="4"/>
  <c r="G22" i="4" s="1"/>
  <c r="C41" i="23"/>
  <c r="C43" i="23" s="1"/>
  <c r="E51" i="23"/>
  <c r="G27" i="4"/>
  <c r="M29" i="15"/>
  <c r="T29" i="15" s="1"/>
  <c r="U29" i="15" s="1"/>
  <c r="E48" i="4"/>
  <c r="F8" i="4"/>
  <c r="G8" i="4" s="1"/>
  <c r="D8" i="21"/>
  <c r="E8" i="21" s="1"/>
  <c r="K88" i="1"/>
  <c r="F8" i="23"/>
  <c r="I51" i="1"/>
  <c r="I84" i="1" s="1"/>
  <c r="AN12" i="15"/>
  <c r="AI13" i="15"/>
  <c r="AK21" i="15" s="1"/>
  <c r="F26" i="4"/>
  <c r="G26" i="4" s="1"/>
  <c r="K98" i="1"/>
  <c r="F9" i="23"/>
  <c r="G9" i="23" s="1"/>
  <c r="F9" i="4"/>
  <c r="G9" i="4" s="1"/>
  <c r="F23" i="23"/>
  <c r="G23" i="23" s="1"/>
  <c r="F23" i="4"/>
  <c r="G23" i="4" s="1"/>
  <c r="R109" i="1"/>
  <c r="Q109" i="1"/>
  <c r="M109" i="1"/>
  <c r="F35" i="4"/>
  <c r="G35" i="4" s="1"/>
  <c r="F32" i="23"/>
  <c r="G32" i="23" s="1"/>
  <c r="F12" i="4"/>
  <c r="G12" i="4" s="1"/>
  <c r="K100" i="1"/>
  <c r="F12" i="23"/>
  <c r="G12" i="23" s="1"/>
  <c r="Q101" i="1"/>
  <c r="R101" i="1"/>
  <c r="I78" i="1"/>
  <c r="I111" i="1" s="1"/>
  <c r="L111" i="1" s="1"/>
  <c r="E83" i="1"/>
  <c r="AM6" i="36"/>
  <c r="E4" i="31"/>
  <c r="B2" i="27"/>
  <c r="M101" i="1"/>
  <c r="R107" i="1"/>
  <c r="Q107" i="1"/>
  <c r="D7" i="21"/>
  <c r="E7" i="21" s="1"/>
  <c r="F19" i="23"/>
  <c r="G19" i="23" s="1"/>
  <c r="F18" i="4"/>
  <c r="G18" i="4" s="1"/>
  <c r="G45" i="4" s="1"/>
  <c r="F45" i="4" s="1"/>
  <c r="K87" i="1"/>
  <c r="F27" i="23"/>
  <c r="E102" i="1"/>
  <c r="K94" i="1"/>
  <c r="Q22" i="1"/>
  <c r="C114" i="1"/>
  <c r="M115" i="1" s="1"/>
  <c r="M83" i="1"/>
  <c r="AG37" i="15"/>
  <c r="P27" i="1"/>
  <c r="I17" i="1"/>
  <c r="I50" i="1"/>
  <c r="M5" i="23"/>
  <c r="N5" i="23" s="1"/>
  <c r="M5" i="25"/>
  <c r="N5" i="25" s="1"/>
  <c r="J48" i="1"/>
  <c r="E52" i="4"/>
  <c r="I77" i="1"/>
  <c r="I110" i="1" s="1"/>
  <c r="AG38" i="15"/>
  <c r="P31" i="1"/>
  <c r="K8" i="1"/>
  <c r="P39" i="1"/>
  <c r="AG40" i="15"/>
  <c r="P26" i="1"/>
  <c r="I32" i="1"/>
  <c r="I65" i="1"/>
  <c r="N13" i="23"/>
  <c r="I31" i="1"/>
  <c r="I64" i="1"/>
  <c r="F13" i="23"/>
  <c r="G13" i="23" s="1"/>
  <c r="K110" i="1"/>
  <c r="P35" i="1"/>
  <c r="P21" i="1"/>
  <c r="O101" i="1"/>
  <c r="E51" i="15"/>
  <c r="E14" i="4"/>
  <c r="D64" i="23"/>
  <c r="D41" i="23"/>
  <c r="D43" i="23" s="1"/>
  <c r="M14" i="25"/>
  <c r="E37" i="23"/>
  <c r="E39" i="4"/>
  <c r="M45" i="4"/>
  <c r="D43" i="4"/>
  <c r="C9" i="21"/>
  <c r="E9" i="21" s="1"/>
  <c r="C11" i="21"/>
  <c r="Q18" i="1" l="1"/>
  <c r="Q17" i="1"/>
  <c r="O5" i="23"/>
  <c r="DF5" i="23" s="1"/>
  <c r="E81" i="1"/>
  <c r="D81" i="1" s="1"/>
  <c r="G44" i="23"/>
  <c r="I112" i="1"/>
  <c r="G21" i="25"/>
  <c r="F21" i="25" s="1"/>
  <c r="F36" i="4"/>
  <c r="G36" i="4" s="1"/>
  <c r="G46" i="4" s="1"/>
  <c r="F46" i="4" s="1"/>
  <c r="K112" i="1"/>
  <c r="L10" i="1" s="1"/>
  <c r="F35" i="23"/>
  <c r="G35" i="23" s="1"/>
  <c r="AG29" i="15"/>
  <c r="AJ54" i="15" s="1"/>
  <c r="L84" i="1"/>
  <c r="P84" i="1" s="1"/>
  <c r="H6" i="4" s="1"/>
  <c r="L107" i="1"/>
  <c r="P107" i="1" s="1"/>
  <c r="G27" i="23"/>
  <c r="AG28" i="15"/>
  <c r="AI28" i="15" s="1"/>
  <c r="N8" i="25"/>
  <c r="AG6" i="15"/>
  <c r="AG30" i="15"/>
  <c r="AJ55" i="15" s="1"/>
  <c r="AG5" i="15"/>
  <c r="AG13" i="15" s="1"/>
  <c r="L103" i="1"/>
  <c r="P103" i="1" s="1"/>
  <c r="C26" i="25"/>
  <c r="AH10" i="15"/>
  <c r="L95" i="1"/>
  <c r="P95" i="1" s="1"/>
  <c r="H10" i="4" s="1"/>
  <c r="G8" i="15"/>
  <c r="AG27" i="15"/>
  <c r="AI27" i="15" s="1"/>
  <c r="AI33" i="15" s="1"/>
  <c r="AG9" i="15" s="1"/>
  <c r="G50" i="15" s="1"/>
  <c r="G54" i="15" s="1"/>
  <c r="I28" i="21" s="1"/>
  <c r="D23" i="22" s="1"/>
  <c r="AG32" i="15"/>
  <c r="AI32" i="15" s="1"/>
  <c r="AJ21" i="15"/>
  <c r="AI31" i="15"/>
  <c r="I7" i="21"/>
  <c r="L11" i="1"/>
  <c r="G46" i="23"/>
  <c r="F46" i="23" s="1"/>
  <c r="P6" i="25"/>
  <c r="G9" i="15"/>
  <c r="I27" i="21" s="1"/>
  <c r="D6" i="22" s="1"/>
  <c r="E41" i="23"/>
  <c r="N14" i="4"/>
  <c r="E4" i="21"/>
  <c r="D4" i="21" s="1"/>
  <c r="G48" i="4"/>
  <c r="F48" i="4" s="1"/>
  <c r="O94" i="1"/>
  <c r="I48" i="1"/>
  <c r="G63" i="23"/>
  <c r="F63" i="23" s="1"/>
  <c r="L100" i="1"/>
  <c r="P100" i="1" s="1"/>
  <c r="H12" i="4" s="1"/>
  <c r="F14" i="23"/>
  <c r="G14" i="23" s="1"/>
  <c r="K104" i="1"/>
  <c r="L104" i="1" s="1"/>
  <c r="P104" i="1" s="1"/>
  <c r="H13" i="4" s="1"/>
  <c r="F13" i="4"/>
  <c r="G13" i="4" s="1"/>
  <c r="G14" i="4" s="1"/>
  <c r="M20" i="25"/>
  <c r="M21" i="25" s="1"/>
  <c r="AI6" i="4"/>
  <c r="AI5" i="4"/>
  <c r="L93" i="1"/>
  <c r="P93" i="1" s="1"/>
  <c r="Q38" i="1"/>
  <c r="L88" i="1"/>
  <c r="P88" i="1" s="1"/>
  <c r="H8" i="4" s="1"/>
  <c r="D27" i="25"/>
  <c r="R110" i="1"/>
  <c r="R112" i="1" s="1"/>
  <c r="G8" i="23"/>
  <c r="H5" i="23"/>
  <c r="G47" i="4"/>
  <c r="F47" i="4" s="1"/>
  <c r="G25" i="23"/>
  <c r="G52" i="4"/>
  <c r="E10" i="31"/>
  <c r="E12" i="31" s="1"/>
  <c r="E7" i="31"/>
  <c r="E114" i="1"/>
  <c r="D114" i="1" s="1"/>
  <c r="I81" i="1"/>
  <c r="Q110" i="1"/>
  <c r="I97" i="1"/>
  <c r="L97" i="1" s="1"/>
  <c r="P97" i="1" s="1"/>
  <c r="AJ50" i="15"/>
  <c r="AI40" i="15"/>
  <c r="Y27" i="25"/>
  <c r="P5" i="25"/>
  <c r="I98" i="1"/>
  <c r="I83" i="1"/>
  <c r="L110" i="1"/>
  <c r="AI38" i="15"/>
  <c r="AJ48" i="15"/>
  <c r="W33" i="25"/>
  <c r="W34" i="25" s="1"/>
  <c r="AI37" i="15"/>
  <c r="AJ47" i="15"/>
  <c r="P7" i="1"/>
  <c r="P8" i="1" s="1"/>
  <c r="P10" i="1"/>
  <c r="P48" i="1"/>
  <c r="L102" i="1"/>
  <c r="P102" i="1" s="1"/>
  <c r="K12" i="15"/>
  <c r="K13" i="15" s="1"/>
  <c r="K14" i="15" s="1"/>
  <c r="L101" i="1"/>
  <c r="P101" i="1" s="1"/>
  <c r="L87" i="1"/>
  <c r="P87" i="1" s="1"/>
  <c r="L90" i="1"/>
  <c r="P90" i="1" s="1"/>
  <c r="L96" i="1"/>
  <c r="P96" i="1" s="1"/>
  <c r="L105" i="1"/>
  <c r="P105" i="1" s="1"/>
  <c r="E43" i="23"/>
  <c r="E17" i="25"/>
  <c r="E19" i="25" s="1"/>
  <c r="L99" i="1"/>
  <c r="P99" i="1" s="1"/>
  <c r="H11" i="4" s="1"/>
  <c r="L108" i="1"/>
  <c r="P108" i="1" s="1"/>
  <c r="L89" i="1"/>
  <c r="P89" i="1" s="1"/>
  <c r="E43" i="4"/>
  <c r="L106" i="1"/>
  <c r="P106" i="1" s="1"/>
  <c r="L91" i="1"/>
  <c r="P91" i="1" s="1"/>
  <c r="C13" i="21"/>
  <c r="E13" i="21" s="1"/>
  <c r="D15" i="22" s="1"/>
  <c r="C15" i="21"/>
  <c r="L92" i="1"/>
  <c r="P92" i="1" s="1"/>
  <c r="L94" i="1"/>
  <c r="P94" i="1" s="1"/>
  <c r="H9" i="4" s="1"/>
  <c r="L86" i="1"/>
  <c r="P11" i="1"/>
  <c r="Q6" i="1" l="1"/>
  <c r="L8" i="25"/>
  <c r="F44" i="23"/>
  <c r="F12" i="25" s="1"/>
  <c r="G12" i="25"/>
  <c r="G45" i="23"/>
  <c r="G13" i="25" s="1"/>
  <c r="AI30" i="15"/>
  <c r="L7" i="1"/>
  <c r="L12" i="1" s="1"/>
  <c r="L112" i="1"/>
  <c r="AI29" i="15"/>
  <c r="L6" i="1"/>
  <c r="P8" i="25"/>
  <c r="G8" i="25"/>
  <c r="F8" i="25" s="1"/>
  <c r="V61" i="35"/>
  <c r="G58" i="15"/>
  <c r="I54" i="15"/>
  <c r="E50" i="15"/>
  <c r="AS5" i="15"/>
  <c r="G14" i="25"/>
  <c r="F14" i="25" s="1"/>
  <c r="I6" i="21"/>
  <c r="D11" i="22" s="1"/>
  <c r="G64" i="23"/>
  <c r="K114" i="1"/>
  <c r="V63" i="35"/>
  <c r="N9" i="25"/>
  <c r="P9" i="25" s="1"/>
  <c r="I114" i="1"/>
  <c r="G15" i="23"/>
  <c r="H15" i="23" s="1"/>
  <c r="T110" i="1"/>
  <c r="Q111" i="1"/>
  <c r="AI42" i="15"/>
  <c r="AG12" i="15" s="1"/>
  <c r="G51" i="23"/>
  <c r="L83" i="1"/>
  <c r="P83" i="1" s="1"/>
  <c r="H5" i="4" s="1"/>
  <c r="H14" i="4" s="1"/>
  <c r="L98" i="1"/>
  <c r="P98" i="1" s="1"/>
  <c r="T11" i="25"/>
  <c r="U11" i="25" s="1"/>
  <c r="L21" i="25"/>
  <c r="P13" i="1"/>
  <c r="P9" i="1"/>
  <c r="P86" i="1"/>
  <c r="AG15" i="15"/>
  <c r="AG17" i="15" s="1"/>
  <c r="AG18" i="15" s="1"/>
  <c r="P12" i="1"/>
  <c r="G17" i="25" l="1"/>
  <c r="L8" i="1"/>
  <c r="F45" i="23"/>
  <c r="F13" i="25" s="1"/>
  <c r="L114" i="1"/>
  <c r="E6" i="1" s="1"/>
  <c r="C6" i="1" s="1"/>
  <c r="C31" i="25" l="1"/>
  <c r="P114" i="1"/>
  <c r="D7" i="3"/>
  <c r="H17" i="24"/>
  <c r="U6" i="1"/>
  <c r="W6" i="1" s="1"/>
  <c r="I174" i="1" l="1"/>
  <c r="I175" i="1" l="1"/>
  <c r="AT5" i="4" l="1"/>
  <c r="H47" i="3"/>
  <c r="I47" i="3" s="1"/>
  <c r="D47" i="3"/>
  <c r="AU5" i="4"/>
  <c r="J64" i="35" l="1"/>
  <c r="J53" i="35"/>
  <c r="J6" i="35"/>
  <c r="J47" i="3"/>
  <c r="Y6" i="36" l="1"/>
  <c r="J65" i="35"/>
  <c r="J66" i="35" s="1"/>
  <c r="Y8" i="36" l="1"/>
  <c r="AC6" i="4" l="1"/>
  <c r="Z6" i="4"/>
  <c r="D9" i="35" l="1"/>
  <c r="D53" i="35"/>
  <c r="D56" i="35" l="1"/>
  <c r="F6" i="36"/>
  <c r="D18" i="35"/>
  <c r="D19" i="35" s="1"/>
  <c r="F8" i="36" l="1"/>
  <c r="D65" i="35"/>
  <c r="D66" i="35" s="1"/>
  <c r="I166" i="1" l="1"/>
  <c r="G38" i="4" l="1"/>
  <c r="G39" i="4" s="1"/>
  <c r="G43" i="4" s="1"/>
  <c r="E7" i="1"/>
  <c r="C7" i="1" s="1"/>
  <c r="B30" i="10" s="1"/>
  <c r="G36" i="23"/>
  <c r="G47" i="23" l="1"/>
  <c r="G37" i="23"/>
  <c r="G41" i="23" s="1"/>
  <c r="G49" i="23" s="1"/>
  <c r="U7" i="1"/>
  <c r="W7" i="1" s="1"/>
  <c r="I4" i="21"/>
  <c r="I8" i="21" s="1"/>
  <c r="D22" i="22" s="1"/>
  <c r="D28" i="22" s="1"/>
  <c r="G23" i="25"/>
  <c r="D8" i="3"/>
  <c r="AT5" i="15"/>
  <c r="AU5" i="15" s="1"/>
  <c r="I17" i="24"/>
  <c r="G54" i="23"/>
  <c r="G50" i="4"/>
  <c r="G51" i="4" s="1"/>
  <c r="F26" i="25"/>
  <c r="V22" i="10"/>
  <c r="G30" i="10" l="1"/>
  <c r="V19" i="10"/>
  <c r="C6" i="28" s="1"/>
  <c r="C30" i="10"/>
  <c r="C31" i="10"/>
  <c r="G15" i="25"/>
  <c r="G43" i="23"/>
  <c r="F31" i="10" l="1"/>
  <c r="E31" i="10"/>
  <c r="J31" i="10"/>
  <c r="H31" i="10"/>
  <c r="G31" i="10"/>
  <c r="I31" i="10"/>
  <c r="H30" i="10"/>
  <c r="E30" i="10"/>
  <c r="J30" i="10"/>
  <c r="F30" i="10"/>
  <c r="C13" i="27"/>
  <c r="C11" i="29"/>
  <c r="C6" i="27" l="1"/>
  <c r="C21" i="27" s="1"/>
  <c r="C6" i="29"/>
  <c r="C36" i="29" l="1"/>
  <c r="C2" i="27"/>
  <c r="C47" i="27"/>
  <c r="C37" i="27"/>
  <c r="C32" i="25" l="1"/>
  <c r="C33" i="25" s="1"/>
  <c r="Z17" i="25"/>
  <c r="F24" i="25"/>
  <c r="B26" i="25"/>
  <c r="L37" i="25"/>
  <c r="B28" i="25"/>
  <c r="F30" i="25"/>
  <c r="B29" i="25" l="1"/>
  <c r="V62" i="35" s="1"/>
  <c r="V67" i="35" s="1"/>
  <c r="V68" i="35" s="1"/>
  <c r="C10" i="28" l="1"/>
  <c r="U20" i="4" l="1"/>
  <c r="I173" i="1"/>
  <c r="U16" i="4" l="1"/>
  <c r="I58" i="35" s="1"/>
  <c r="I65" i="35" s="1"/>
  <c r="I66" i="35" s="1"/>
  <c r="I178" i="1" l="1"/>
  <c r="N62" i="35" l="1"/>
  <c r="O62" i="35" s="1"/>
  <c r="AA6" i="4" l="1"/>
  <c r="AA11" i="4" s="1"/>
  <c r="N60" i="35" l="1"/>
  <c r="O60" i="35" s="1"/>
  <c r="Z19" i="10"/>
  <c r="D25" i="22"/>
  <c r="AD6" i="4"/>
  <c r="X23" i="4"/>
  <c r="N59" i="35" l="1"/>
  <c r="O59" i="35" s="1"/>
  <c r="G13" i="27"/>
  <c r="G6" i="27" s="1"/>
  <c r="O6" i="28"/>
  <c r="O10" i="28" s="1"/>
  <c r="P60" i="35" l="1"/>
  <c r="Q60" i="35" s="1"/>
  <c r="G21" i="27"/>
  <c r="G2" i="27"/>
  <c r="G47" i="27"/>
  <c r="G37" i="27"/>
  <c r="AD5" i="4" l="1"/>
  <c r="AD8" i="4" s="1"/>
  <c r="Y19" i="10" s="1"/>
  <c r="L6" i="28" s="1"/>
  <c r="F13" i="27" l="1"/>
  <c r="F11" i="29"/>
  <c r="F6" i="29" s="1"/>
  <c r="F36" i="29" s="1"/>
  <c r="J148" i="1"/>
  <c r="E10" i="1" s="1"/>
  <c r="C10" i="1" s="1"/>
  <c r="E11" i="21"/>
  <c r="AA5" i="4"/>
  <c r="I12" i="21" l="1"/>
  <c r="D12" i="22" s="1"/>
  <c r="D18" i="22" s="1"/>
  <c r="D11" i="21"/>
  <c r="E15" i="21"/>
  <c r="D15" i="21" s="1"/>
  <c r="P59" i="35"/>
  <c r="Q59" i="35" s="1"/>
  <c r="F6" i="27"/>
  <c r="Y22" i="10"/>
  <c r="M17" i="24"/>
  <c r="B34" i="10"/>
  <c r="I11" i="21"/>
  <c r="U10" i="1"/>
  <c r="I14" i="21" l="1"/>
  <c r="D86" i="3"/>
  <c r="F21" i="27"/>
  <c r="P13" i="35" s="1"/>
  <c r="Q13" i="35" s="1"/>
  <c r="F37" i="27"/>
  <c r="L10" i="28"/>
  <c r="F2" i="27"/>
  <c r="F47" i="27"/>
  <c r="V15" i="1"/>
  <c r="W10" i="1"/>
  <c r="X27" i="4" l="1"/>
  <c r="W4" i="25" l="1"/>
  <c r="W6" i="25" s="1"/>
  <c r="H5" i="25"/>
  <c r="G9" i="25" l="1"/>
  <c r="G19" i="25" s="1"/>
  <c r="V54" i="35"/>
  <c r="V56" i="35" s="1"/>
  <c r="V58" i="35" s="1"/>
  <c r="V60" i="35" s="1"/>
  <c r="F27" i="25" l="1"/>
  <c r="G24" i="25"/>
  <c r="K23" i="27" l="1"/>
  <c r="BK18" i="4" l="1"/>
  <c r="BK19" i="4"/>
  <c r="BK16" i="4"/>
  <c r="BK15" i="4" l="1"/>
  <c r="BK14" i="4"/>
  <c r="H152" i="1" l="1"/>
  <c r="M154" i="1" l="1"/>
  <c r="M158" i="1" s="1"/>
  <c r="K23" i="4"/>
  <c r="L23" i="4" s="1"/>
  <c r="N23" i="4" s="1"/>
  <c r="AL40" i="15"/>
  <c r="AM40" i="15" s="1"/>
  <c r="AN40" i="15" s="1"/>
  <c r="K22" i="4"/>
  <c r="L22" i="4" s="1"/>
  <c r="N22" i="4" s="1"/>
  <c r="K17" i="4"/>
  <c r="L17" i="4" s="1"/>
  <c r="N17" i="4" s="1"/>
  <c r="L42" i="1"/>
  <c r="M42" i="1" s="1"/>
  <c r="Q42" i="1" s="1"/>
  <c r="K31" i="4"/>
  <c r="L31" i="4" s="1"/>
  <c r="N31" i="4" s="1"/>
  <c r="K27" i="23"/>
  <c r="L27" i="23" s="1"/>
  <c r="K25" i="23"/>
  <c r="L25" i="23" s="1"/>
  <c r="AL28" i="15"/>
  <c r="AM28" i="15" s="1"/>
  <c r="AN28" i="15" s="1"/>
  <c r="K19" i="23"/>
  <c r="L19" i="23" s="1"/>
  <c r="N19" i="23" s="1"/>
  <c r="K36" i="4"/>
  <c r="L36" i="4" s="1"/>
  <c r="N36" i="4" s="1"/>
  <c r="K30" i="4"/>
  <c r="L30" i="4" s="1"/>
  <c r="N30" i="4" s="1"/>
  <c r="K18" i="23"/>
  <c r="L18" i="23" s="1"/>
  <c r="N18" i="23" s="1"/>
  <c r="K11" i="23"/>
  <c r="L11" i="23" s="1"/>
  <c r="N11" i="23" s="1"/>
  <c r="L27" i="1"/>
  <c r="M27" i="1" s="1"/>
  <c r="Q27" i="1" s="1"/>
  <c r="L45" i="1"/>
  <c r="M45" i="1" s="1"/>
  <c r="Q45" i="1" s="1"/>
  <c r="L39" i="1"/>
  <c r="M39" i="1" s="1"/>
  <c r="Q39" i="1" s="1"/>
  <c r="K25" i="4"/>
  <c r="L25" i="4" s="1"/>
  <c r="N25" i="4" s="1"/>
  <c r="K34" i="4"/>
  <c r="L34" i="4" s="1"/>
  <c r="N34" i="4" s="1"/>
  <c r="L40" i="1"/>
  <c r="M40" i="1" s="1"/>
  <c r="Q40" i="1" s="1"/>
  <c r="L21" i="1"/>
  <c r="M21" i="1" s="1"/>
  <c r="AK5" i="4"/>
  <c r="L36" i="1"/>
  <c r="M36" i="1" s="1"/>
  <c r="Q36" i="1" s="1"/>
  <c r="K30" i="23"/>
  <c r="L30" i="23" s="1"/>
  <c r="N30" i="23" s="1"/>
  <c r="DG30" i="23" s="1"/>
  <c r="L26" i="1"/>
  <c r="M26" i="1" s="1"/>
  <c r="Q26" i="1" s="1"/>
  <c r="K20" i="23"/>
  <c r="L20" i="23" s="1"/>
  <c r="N20" i="23" s="1"/>
  <c r="K33" i="4"/>
  <c r="L33" i="4" s="1"/>
  <c r="N33" i="4" s="1"/>
  <c r="K35" i="4"/>
  <c r="L35" i="4" s="1"/>
  <c r="N35" i="4" s="1"/>
  <c r="L43" i="1"/>
  <c r="M43" i="1" s="1"/>
  <c r="Q43" i="1" s="1"/>
  <c r="K37" i="4"/>
  <c r="L37" i="4" s="1"/>
  <c r="N37" i="4" s="1"/>
  <c r="K24" i="4"/>
  <c r="L24" i="4" s="1"/>
  <c r="N24" i="4" s="1"/>
  <c r="L31" i="1"/>
  <c r="M31" i="1" s="1"/>
  <c r="Q31" i="1" s="1"/>
  <c r="K20" i="4"/>
  <c r="L20" i="4" s="1"/>
  <c r="N20" i="4" s="1"/>
  <c r="K32" i="4"/>
  <c r="L32" i="4" s="1"/>
  <c r="N32" i="4" s="1"/>
  <c r="AL27" i="15"/>
  <c r="AM27" i="15" s="1"/>
  <c r="AN27" i="15" s="1"/>
  <c r="AL39" i="15"/>
  <c r="AM39" i="15" s="1"/>
  <c r="AN39" i="15" s="1"/>
  <c r="K33" i="23"/>
  <c r="L33" i="23" s="1"/>
  <c r="N33" i="23" s="1"/>
  <c r="DG33" i="23" s="1"/>
  <c r="AL32" i="15"/>
  <c r="AM32" i="15" s="1"/>
  <c r="AN32" i="15" s="1"/>
  <c r="K31" i="23"/>
  <c r="L31" i="23" s="1"/>
  <c r="N31" i="23" s="1"/>
  <c r="DG31" i="23" s="1"/>
  <c r="L33" i="1"/>
  <c r="M33" i="1" s="1"/>
  <c r="Q33" i="1" s="1"/>
  <c r="K29" i="23"/>
  <c r="L29" i="23" s="1"/>
  <c r="N29" i="23" s="1"/>
  <c r="DG29" i="23" s="1"/>
  <c r="AL30" i="15"/>
  <c r="AM30" i="15" s="1"/>
  <c r="AN30" i="15" s="1"/>
  <c r="K32" i="23"/>
  <c r="L32" i="23" s="1"/>
  <c r="N32" i="23" s="1"/>
  <c r="DG32" i="23" s="1"/>
  <c r="K9" i="23"/>
  <c r="L9" i="23" s="1"/>
  <c r="N9" i="23" s="1"/>
  <c r="L47" i="1"/>
  <c r="M47" i="1" s="1"/>
  <c r="Q47" i="1" s="1"/>
  <c r="K29" i="4"/>
  <c r="L29" i="4" s="1"/>
  <c r="N29" i="4" s="1"/>
  <c r="AL37" i="15"/>
  <c r="AM37" i="15" s="1"/>
  <c r="AN37" i="15" s="1"/>
  <c r="K34" i="23"/>
  <c r="L34" i="23" s="1"/>
  <c r="N34" i="23" s="1"/>
  <c r="DG34" i="23" s="1"/>
  <c r="K24" i="23"/>
  <c r="L24" i="23" s="1"/>
  <c r="N24" i="23" s="1"/>
  <c r="DG24" i="23" s="1"/>
  <c r="L24" i="1"/>
  <c r="M24" i="1" s="1"/>
  <c r="Q24" i="1" s="1"/>
  <c r="K26" i="4"/>
  <c r="L26" i="4" s="1"/>
  <c r="N26" i="4" s="1"/>
  <c r="K28" i="23"/>
  <c r="L28" i="23" s="1"/>
  <c r="K28" i="4"/>
  <c r="L28" i="4" s="1"/>
  <c r="N28" i="4" s="1"/>
  <c r="L20" i="1"/>
  <c r="M20" i="1" s="1"/>
  <c r="K26" i="23"/>
  <c r="L26" i="23" s="1"/>
  <c r="N26" i="23" s="1"/>
  <c r="DG26" i="23" s="1"/>
  <c r="J150" i="1"/>
  <c r="L28" i="1"/>
  <c r="M28" i="1" s="1"/>
  <c r="K35" i="23"/>
  <c r="L35" i="23" s="1"/>
  <c r="N35" i="23" s="1"/>
  <c r="DG35" i="23" s="1"/>
  <c r="L23" i="1"/>
  <c r="M23" i="1" s="1"/>
  <c r="AL31" i="15"/>
  <c r="AM31" i="15" s="1"/>
  <c r="AN31" i="15" s="1"/>
  <c r="L30" i="1"/>
  <c r="M30" i="1" s="1"/>
  <c r="Q30" i="1" s="1"/>
  <c r="K19" i="4"/>
  <c r="L19" i="4" s="1"/>
  <c r="N19" i="4" s="1"/>
  <c r="L32" i="1"/>
  <c r="M32" i="1" s="1"/>
  <c r="Q32" i="1" s="1"/>
  <c r="K21" i="23"/>
  <c r="L21" i="23" s="1"/>
  <c r="L46" i="1"/>
  <c r="M46" i="1" s="1"/>
  <c r="Q46" i="1" s="1"/>
  <c r="L35" i="1"/>
  <c r="M35" i="1" s="1"/>
  <c r="Q35" i="1" s="1"/>
  <c r="L41" i="1"/>
  <c r="M41" i="1" s="1"/>
  <c r="Q41" i="1" s="1"/>
  <c r="K18" i="4"/>
  <c r="L18" i="4" s="1"/>
  <c r="N18" i="4" s="1"/>
  <c r="K23" i="23"/>
  <c r="L23" i="23" s="1"/>
  <c r="N23" i="23" s="1"/>
  <c r="DG23" i="23" s="1"/>
  <c r="K21" i="4"/>
  <c r="L21" i="4" s="1"/>
  <c r="N21" i="4" s="1"/>
  <c r="L37" i="1"/>
  <c r="M37" i="1" s="1"/>
  <c r="Q37" i="1" s="1"/>
  <c r="K27" i="4"/>
  <c r="L27" i="4" s="1"/>
  <c r="N27" i="4" s="1"/>
  <c r="L25" i="1"/>
  <c r="M25" i="1" s="1"/>
  <c r="Q25" i="1" s="1"/>
  <c r="K22" i="23"/>
  <c r="L22" i="23" s="1"/>
  <c r="N22" i="23" s="1"/>
  <c r="DG22" i="23" s="1"/>
  <c r="AL29" i="15"/>
  <c r="AM29" i="15" s="1"/>
  <c r="AN29" i="15" s="1"/>
  <c r="AL38" i="15"/>
  <c r="AM38" i="15" s="1"/>
  <c r="AN38" i="15" s="1"/>
  <c r="N15" i="23" l="1"/>
  <c r="N27" i="23"/>
  <c r="DG27" i="23" s="1"/>
  <c r="N47" i="4"/>
  <c r="L47" i="4" s="1"/>
  <c r="N43" i="23"/>
  <c r="AM14" i="4"/>
  <c r="AM15" i="4" s="1"/>
  <c r="AM16" i="4" s="1"/>
  <c r="AK11" i="4"/>
  <c r="N21" i="23"/>
  <c r="N45" i="4"/>
  <c r="L45" i="4" s="1"/>
  <c r="N25" i="23"/>
  <c r="DG25" i="23" s="1"/>
  <c r="N38" i="4"/>
  <c r="N42" i="4" s="1"/>
  <c r="N44" i="4"/>
  <c r="L44" i="4" s="1"/>
  <c r="N28" i="23"/>
  <c r="DG28" i="23" s="1"/>
  <c r="M11" i="1"/>
  <c r="Z11" i="1" s="1"/>
  <c r="Q23" i="1"/>
  <c r="O20" i="23"/>
  <c r="DF20" i="23" s="1"/>
  <c r="DG20" i="23" s="1"/>
  <c r="M10" i="1"/>
  <c r="M7" i="1"/>
  <c r="M48" i="1"/>
  <c r="E5" i="1" s="1"/>
  <c r="C5" i="1" s="1"/>
  <c r="Q20" i="1"/>
  <c r="O18" i="23"/>
  <c r="DF18" i="23" s="1"/>
  <c r="DG18" i="23" s="1"/>
  <c r="O19" i="23"/>
  <c r="DF19" i="23" s="1"/>
  <c r="DG19" i="23" s="1"/>
  <c r="Q21" i="1"/>
  <c r="M6" i="1"/>
  <c r="Q28" i="1"/>
  <c r="N45" i="23"/>
  <c r="N46" i="4"/>
  <c r="L46" i="4" s="1"/>
  <c r="N23" i="25"/>
  <c r="L23" i="25" s="1"/>
  <c r="N158" i="1"/>
  <c r="M159" i="1"/>
  <c r="H44" i="3" s="1"/>
  <c r="Z6" i="1" l="1"/>
  <c r="M8" i="1"/>
  <c r="Z8" i="1" s="1"/>
  <c r="DG21" i="23"/>
  <c r="N44" i="23"/>
  <c r="Q11" i="1"/>
  <c r="AM6" i="4" s="1"/>
  <c r="Q48" i="1"/>
  <c r="Q10" i="1"/>
  <c r="AM5" i="4" s="1"/>
  <c r="Q7" i="1"/>
  <c r="W22" i="10"/>
  <c r="B32" i="10"/>
  <c r="N20" i="25"/>
  <c r="D9" i="3"/>
  <c r="J17" i="24"/>
  <c r="U5" i="1"/>
  <c r="W5" i="1" s="1"/>
  <c r="N49" i="4"/>
  <c r="I26" i="21"/>
  <c r="I30" i="21" s="1"/>
  <c r="Z7" i="1"/>
  <c r="M12" i="1"/>
  <c r="N36" i="23"/>
  <c r="N14" i="25"/>
  <c r="L45" i="23"/>
  <c r="I44" i="3"/>
  <c r="N159" i="1"/>
  <c r="Z10" i="1"/>
  <c r="N11" i="1"/>
  <c r="Z12" i="1" s="1"/>
  <c r="L43" i="23"/>
  <c r="L12" i="25" s="1"/>
  <c r="N12" i="25"/>
  <c r="Z13" i="1" l="1"/>
  <c r="W19" i="10"/>
  <c r="C32" i="10"/>
  <c r="G32" i="10"/>
  <c r="Q8" i="1"/>
  <c r="Q12" i="1"/>
  <c r="L14" i="25"/>
  <c r="T13" i="25" s="1"/>
  <c r="U13" i="25" s="1"/>
  <c r="P14" i="25"/>
  <c r="O44" i="23"/>
  <c r="N40" i="23"/>
  <c r="N48" i="23" s="1"/>
  <c r="CB6" i="4"/>
  <c r="CE6" i="4" s="1"/>
  <c r="AO19" i="4"/>
  <c r="AO18" i="4"/>
  <c r="F63" i="35"/>
  <c r="F65" i="35" s="1"/>
  <c r="D65" i="3"/>
  <c r="CB5" i="4"/>
  <c r="CE5" i="4" s="1"/>
  <c r="F6" i="35"/>
  <c r="F16" i="35" s="1"/>
  <c r="F18" i="35" s="1"/>
  <c r="F19" i="35" s="1"/>
  <c r="F53" i="35"/>
  <c r="L6" i="36" s="1"/>
  <c r="L8" i="36" s="1"/>
  <c r="N13" i="25"/>
  <c r="L44" i="23"/>
  <c r="L13" i="25" s="1"/>
  <c r="P13" i="25" l="1"/>
  <c r="N15" i="25"/>
  <c r="N17" i="25" s="1"/>
  <c r="F66" i="35"/>
  <c r="J32" i="10"/>
  <c r="E32" i="10"/>
  <c r="H32" i="10"/>
  <c r="F32" i="10"/>
  <c r="D13" i="27"/>
  <c r="F6" i="28"/>
  <c r="F10" i="28" s="1"/>
  <c r="D11" i="29"/>
  <c r="D6" i="29" s="1"/>
  <c r="D36" i="29" s="1"/>
  <c r="E6" i="35" l="1"/>
  <c r="E9" i="35" s="1"/>
  <c r="P15" i="25"/>
  <c r="D6" i="27"/>
  <c r="P56" i="35"/>
  <c r="N21" i="25"/>
  <c r="P17" i="25"/>
  <c r="E53" i="35" l="1"/>
  <c r="I6" i="36" s="1"/>
  <c r="I8" i="36" s="1"/>
  <c r="O9" i="35"/>
  <c r="E18" i="35"/>
  <c r="E19" i="35" s="1"/>
  <c r="D2" i="27"/>
  <c r="D21" i="27"/>
  <c r="P9" i="35" s="1"/>
  <c r="D47" i="27"/>
  <c r="D37" i="27"/>
  <c r="E56" i="35" l="1"/>
  <c r="E65" i="35" s="1"/>
  <c r="E66" i="35" s="1"/>
  <c r="Q9" i="35"/>
  <c r="O56" i="35" l="1"/>
  <c r="Q56" i="35" s="1"/>
  <c r="C13" i="1"/>
  <c r="AE25" i="10" l="1"/>
  <c r="G151" i="1"/>
  <c r="T20" i="1"/>
  <c r="D39" i="22"/>
  <c r="D92" i="3"/>
  <c r="U13" i="1"/>
  <c r="W13" i="1" s="1"/>
  <c r="N54" i="35"/>
  <c r="H151" i="1" l="1"/>
  <c r="AH7" i="4"/>
  <c r="AJ7" i="4" l="1"/>
  <c r="J151" i="1"/>
  <c r="J153" i="1" s="1"/>
  <c r="E4" i="1" s="1"/>
  <c r="C4" i="1" s="1"/>
  <c r="U4" i="1" l="1"/>
  <c r="W4" i="1" s="1"/>
  <c r="D31" i="22"/>
  <c r="D36" i="22" s="1"/>
  <c r="B36" i="10"/>
  <c r="Q17" i="24"/>
  <c r="AI7" i="4"/>
  <c r="AM7" i="4"/>
  <c r="AM12" i="4" l="1"/>
  <c r="D66" i="3"/>
  <c r="D90" i="3" s="1"/>
  <c r="AO20" i="4"/>
  <c r="G63" i="35"/>
  <c r="CB7" i="4"/>
  <c r="G16" i="35"/>
  <c r="AM8" i="4"/>
  <c r="AO21" i="4" s="1"/>
  <c r="B34" i="14"/>
  <c r="AC19" i="10"/>
  <c r="O16" i="35" l="1"/>
  <c r="CE7" i="4"/>
  <c r="I11" i="29"/>
  <c r="X6" i="28"/>
  <c r="X10" i="28" s="1"/>
  <c r="J13" i="27"/>
  <c r="O63" i="35"/>
  <c r="I6" i="29" l="1"/>
  <c r="J6" i="27"/>
  <c r="P63" i="35"/>
  <c r="I36" i="29" l="1"/>
  <c r="Q63" i="35"/>
  <c r="J37" i="27"/>
  <c r="J21" i="27"/>
  <c r="J2" i="27"/>
  <c r="J47" i="27"/>
  <c r="P16" i="35" l="1"/>
  <c r="Q16" i="35" s="1"/>
  <c r="BM20" i="4" l="1"/>
  <c r="I155" i="1" l="1"/>
  <c r="F11" i="1" l="1"/>
  <c r="C11" i="1" s="1"/>
  <c r="AB19" i="10"/>
  <c r="D44" i="3"/>
  <c r="J44" i="3" s="1"/>
  <c r="I13" i="27" l="1"/>
  <c r="U6" i="28"/>
  <c r="U10" i="28" s="1"/>
  <c r="H11" i="29"/>
  <c r="U11" i="1"/>
  <c r="W11" i="1" s="1"/>
  <c r="P17" i="24"/>
  <c r="H6" i="29" l="1"/>
  <c r="I6" i="27"/>
  <c r="P62" i="35"/>
  <c r="Q62" i="35" l="1"/>
  <c r="I21" i="27"/>
  <c r="I47" i="27"/>
  <c r="I37" i="27"/>
  <c r="I2" i="27"/>
  <c r="H36" i="29"/>
  <c r="P15" i="35" l="1"/>
  <c r="Q15" i="35" s="1"/>
  <c r="AX6" i="4" l="1"/>
  <c r="AX12" i="4"/>
  <c r="AW12" i="4"/>
  <c r="AW11" i="4"/>
  <c r="AX8" i="4" l="1"/>
  <c r="AX15" i="4"/>
  <c r="AX11" i="4"/>
  <c r="AX5" i="4"/>
  <c r="AX14" i="4"/>
  <c r="AX17" i="4" l="1"/>
  <c r="AX13" i="4"/>
  <c r="E125" i="1" l="1"/>
  <c r="E123" i="1"/>
  <c r="E117" i="1"/>
  <c r="E121" i="1" l="1"/>
  <c r="E191" i="1" l="1"/>
  <c r="E126" i="1"/>
  <c r="E199" i="1" s="1"/>
  <c r="H195" i="1" l="1"/>
  <c r="E194" i="1"/>
  <c r="E195" i="1"/>
  <c r="E190" i="1"/>
  <c r="E193" i="1"/>
  <c r="H190" i="1" l="1"/>
  <c r="H194" i="1"/>
  <c r="E189" i="1"/>
  <c r="E198" i="1" s="1"/>
  <c r="E200" i="1" s="1"/>
  <c r="H193" i="1" l="1"/>
  <c r="H189" i="1"/>
  <c r="G133" i="1" l="1"/>
  <c r="R13" i="4" s="1"/>
  <c r="D129" i="1" l="1"/>
  <c r="G129" i="1"/>
  <c r="R7" i="4" s="1"/>
  <c r="D128" i="1"/>
  <c r="I131" i="1"/>
  <c r="T9" i="4" s="1"/>
  <c r="G130" i="1"/>
  <c r="R8" i="4" s="1"/>
  <c r="G144" i="1"/>
  <c r="I130" i="1"/>
  <c r="T8" i="4" s="1"/>
  <c r="D133" i="1"/>
  <c r="G134" i="1"/>
  <c r="R14" i="4" s="1"/>
  <c r="D134" i="1"/>
  <c r="G132" i="1"/>
  <c r="D132" i="1"/>
  <c r="D131" i="1"/>
  <c r="G131" i="1"/>
  <c r="R9" i="4" s="1"/>
  <c r="D130" i="1"/>
  <c r="G128" i="1"/>
  <c r="R6" i="4" s="1"/>
  <c r="R12" i="4" l="1"/>
  <c r="R10" i="4"/>
  <c r="Q7" i="4"/>
  <c r="S7" i="4" s="1"/>
  <c r="Q14" i="4"/>
  <c r="S14" i="4" s="1"/>
  <c r="Q13" i="4"/>
  <c r="S13" i="4" s="1"/>
  <c r="I128" i="1"/>
  <c r="T6" i="4" s="1"/>
  <c r="Q12" i="4"/>
  <c r="Q10" i="4"/>
  <c r="I133" i="1"/>
  <c r="J133" i="1" s="1"/>
  <c r="Q9" i="4"/>
  <c r="S9" i="4" s="1"/>
  <c r="J131" i="1"/>
  <c r="J130" i="1"/>
  <c r="Q8" i="4"/>
  <c r="S8" i="4" s="1"/>
  <c r="I134" i="1"/>
  <c r="F78" i="15" s="1"/>
  <c r="G78" i="15" s="1"/>
  <c r="I76" i="15" s="1"/>
  <c r="U23" i="4"/>
  <c r="K7" i="14"/>
  <c r="K9" i="14" s="1"/>
  <c r="K12" i="14" s="1"/>
  <c r="J15" i="14" s="1"/>
  <c r="J16" i="14" s="1"/>
  <c r="I129" i="1"/>
  <c r="T7" i="4" s="1"/>
  <c r="I132" i="1"/>
  <c r="T12" i="4" s="1"/>
  <c r="Q6" i="4"/>
  <c r="S6" i="4" s="1"/>
  <c r="BM7" i="4"/>
  <c r="U6" i="4" l="1"/>
  <c r="D15" i="3" s="1"/>
  <c r="J128" i="1"/>
  <c r="U8" i="4"/>
  <c r="F70" i="15"/>
  <c r="G70" i="15" s="1"/>
  <c r="F71" i="15"/>
  <c r="U9" i="4"/>
  <c r="F88" i="15"/>
  <c r="G88" i="15" s="1"/>
  <c r="J129" i="1"/>
  <c r="T14" i="4"/>
  <c r="U14" i="4" s="1"/>
  <c r="BL18" i="4"/>
  <c r="BM18" i="4" s="1"/>
  <c r="J134" i="1"/>
  <c r="F100" i="15"/>
  <c r="G100" i="15" s="1"/>
  <c r="G102" i="15" s="1"/>
  <c r="D24" i="22" s="1"/>
  <c r="BL16" i="4"/>
  <c r="T13" i="4"/>
  <c r="U13" i="4" s="1"/>
  <c r="U7" i="4"/>
  <c r="F77" i="15"/>
  <c r="G77" i="15" s="1"/>
  <c r="I75" i="15" s="1"/>
  <c r="BL5" i="4"/>
  <c r="BM5" i="4" s="1"/>
  <c r="J132" i="1"/>
  <c r="S12" i="4"/>
  <c r="U12" i="4" s="1"/>
  <c r="J70" i="15" l="1"/>
  <c r="V8" i="4"/>
  <c r="J71" i="15"/>
  <c r="C7" i="32"/>
  <c r="D7" i="32" s="1"/>
  <c r="F7" i="32" s="1"/>
  <c r="D17" i="3"/>
  <c r="G81" i="15"/>
  <c r="BM10" i="4"/>
  <c r="U11" i="4"/>
  <c r="C7" i="33" s="1"/>
  <c r="D7" i="33" s="1"/>
  <c r="BM22" i="4"/>
  <c r="D18" i="3"/>
  <c r="BL17" i="4"/>
  <c r="BM17" i="4" s="1"/>
  <c r="BL15" i="4"/>
  <c r="BM15" i="4" s="1"/>
  <c r="BM16" i="4"/>
  <c r="BL14" i="4"/>
  <c r="V6" i="4"/>
  <c r="D16" i="3"/>
  <c r="BM9" i="4"/>
  <c r="F79" i="15"/>
  <c r="G79" i="15" s="1"/>
  <c r="I77" i="15" s="1"/>
  <c r="G71" i="15"/>
  <c r="G72" i="15" s="1"/>
  <c r="I70" i="15"/>
  <c r="V9" i="4" l="1"/>
  <c r="K70" i="15"/>
  <c r="D8" i="32"/>
  <c r="G80" i="15"/>
  <c r="G84" i="15" s="1"/>
  <c r="G86" i="15" s="1"/>
  <c r="I34" i="21" s="1"/>
  <c r="D7" i="22" s="1"/>
  <c r="D8" i="22" s="1"/>
  <c r="D9" i="22" s="1"/>
  <c r="D19" i="22" s="1"/>
  <c r="D29" i="22" s="1"/>
  <c r="D37" i="22" s="1"/>
  <c r="D38" i="22" s="1"/>
  <c r="BL19" i="4"/>
  <c r="BM19" i="4" s="1"/>
  <c r="BM14" i="4"/>
  <c r="F7" i="33"/>
  <c r="D8" i="33"/>
  <c r="F8" i="33" s="1"/>
  <c r="BM21" i="4" l="1"/>
  <c r="BM30" i="4" s="1"/>
  <c r="I71" i="15"/>
  <c r="K71" i="15" s="1"/>
  <c r="K73" i="15" s="1"/>
  <c r="AS6" i="15"/>
  <c r="BO22" i="4" l="1"/>
  <c r="AW15" i="4" l="1"/>
  <c r="AW8" i="4"/>
  <c r="AW6" i="4"/>
  <c r="AX10" i="4"/>
  <c r="AW10" i="4"/>
  <c r="H117" i="1"/>
  <c r="H123" i="1"/>
  <c r="AX9" i="4"/>
  <c r="N61" i="35" s="1"/>
  <c r="O61" i="35" s="1"/>
  <c r="H125" i="1" l="1"/>
  <c r="I123" i="1" s="1"/>
  <c r="J123" i="1" s="1"/>
  <c r="H122" i="1"/>
  <c r="I121" i="1" l="1"/>
  <c r="J121" i="1" s="1"/>
  <c r="I197" i="1"/>
  <c r="J197" i="1" s="1"/>
  <c r="I190" i="1"/>
  <c r="J190" i="1" s="1"/>
  <c r="D37" i="3" s="1"/>
  <c r="I194" i="1"/>
  <c r="J194" i="1" s="1"/>
  <c r="D40" i="3" s="1"/>
  <c r="I193" i="1"/>
  <c r="J193" i="1" s="1"/>
  <c r="D39" i="3" s="1"/>
  <c r="I195" i="1"/>
  <c r="J195" i="1" s="1"/>
  <c r="D41" i="3" s="1"/>
  <c r="I189" i="1"/>
  <c r="J189" i="1" s="1"/>
  <c r="J122" i="1"/>
  <c r="H192" i="1"/>
  <c r="J192" i="1" s="1"/>
  <c r="I117" i="1"/>
  <c r="J117" i="1" s="1"/>
  <c r="H191" i="1"/>
  <c r="I119" i="1"/>
  <c r="J119" i="1" s="1"/>
  <c r="I116" i="1"/>
  <c r="J116" i="1" s="1"/>
  <c r="H126" i="1"/>
  <c r="H199" i="1" s="1"/>
  <c r="H198" i="1" l="1"/>
  <c r="H200" i="1" s="1"/>
  <c r="I191" i="1"/>
  <c r="J191" i="1" s="1"/>
  <c r="D38" i="3" s="1"/>
  <c r="D36" i="3"/>
  <c r="J18" i="14"/>
  <c r="J20" i="14" s="1"/>
  <c r="B30" i="14" s="1"/>
  <c r="B32" i="14" s="1"/>
  <c r="B35" i="14" s="1"/>
  <c r="J126" i="1"/>
  <c r="I126" i="1"/>
  <c r="J198" i="1" l="1"/>
  <c r="E8" i="1"/>
  <c r="C8" i="1" s="1"/>
  <c r="J199" i="1"/>
  <c r="J200" i="1" l="1"/>
  <c r="U8" i="1"/>
  <c r="W8" i="1" s="1"/>
  <c r="I17" i="21"/>
  <c r="J22" i="21" s="1"/>
  <c r="B35" i="10"/>
  <c r="D87" i="3"/>
  <c r="N17" i="24"/>
  <c r="AA19" i="10" l="1"/>
  <c r="G11" i="29" l="1"/>
  <c r="H13" i="27"/>
  <c r="R6" i="28"/>
  <c r="R10" i="28" s="1"/>
  <c r="P61" i="35" l="1"/>
  <c r="H6" i="27"/>
  <c r="G6" i="29"/>
  <c r="G36" i="29" l="1"/>
  <c r="H47" i="27"/>
  <c r="H37" i="27"/>
  <c r="H2" i="27"/>
  <c r="H21" i="27"/>
  <c r="Q61" i="35"/>
  <c r="P14" i="35" l="1"/>
  <c r="Q14" i="35" s="1"/>
  <c r="AU10" i="4" l="1"/>
  <c r="T26" i="35" l="1"/>
  <c r="CB8" i="4"/>
  <c r="CB9" i="4" l="1"/>
  <c r="CE8" i="4"/>
  <c r="CE9" i="4" s="1"/>
  <c r="G64" i="35"/>
  <c r="G17" i="35"/>
  <c r="G6" i="35"/>
  <c r="G53" i="35"/>
  <c r="G18" i="35" l="1"/>
  <c r="G19" i="35" s="1"/>
  <c r="O6" i="36"/>
  <c r="G65" i="35"/>
  <c r="G66" i="35" s="1"/>
  <c r="O8" i="36" l="1"/>
  <c r="G137" i="1" l="1"/>
  <c r="J137" i="1" s="1"/>
  <c r="U10" i="4" l="1"/>
  <c r="J145" i="1"/>
  <c r="E9" i="1" l="1"/>
  <c r="C9" i="1" s="1"/>
  <c r="L145" i="1"/>
  <c r="M145" i="1"/>
  <c r="Z20" i="4"/>
  <c r="D25" i="3"/>
  <c r="U5" i="4"/>
  <c r="U21" i="4" s="1"/>
  <c r="BM11" i="4"/>
  <c r="BM6" i="4" s="1"/>
  <c r="BO13" i="4" s="1"/>
  <c r="H53" i="35" l="1"/>
  <c r="X22" i="4"/>
  <c r="X24" i="4" s="1"/>
  <c r="X26" i="4" s="1"/>
  <c r="X29" i="4" s="1"/>
  <c r="X33" i="4" s="1"/>
  <c r="Z19" i="4"/>
  <c r="Z21" i="4" s="1"/>
  <c r="Z22" i="4"/>
  <c r="U24" i="4"/>
  <c r="U25" i="4" s="1"/>
  <c r="U9" i="1"/>
  <c r="W9" i="1" s="1"/>
  <c r="I33" i="21"/>
  <c r="I36" i="21" s="1"/>
  <c r="J36" i="21" s="1"/>
  <c r="D85" i="3"/>
  <c r="B33" i="10"/>
  <c r="X22" i="10"/>
  <c r="AT6" i="15"/>
  <c r="AU6" i="15" s="1"/>
  <c r="K17" i="24"/>
  <c r="C12" i="1"/>
  <c r="C34" i="10" l="1"/>
  <c r="X19" i="10"/>
  <c r="C33" i="10"/>
  <c r="G33" i="10"/>
  <c r="I33" i="10"/>
  <c r="C37" i="10"/>
  <c r="C38" i="10"/>
  <c r="C35" i="10"/>
  <c r="C36" i="10"/>
  <c r="B39" i="10"/>
  <c r="C39" i="10" s="1"/>
  <c r="AD19" i="10"/>
  <c r="D10" i="3"/>
  <c r="D93" i="3" s="1"/>
  <c r="D94" i="3" s="1"/>
  <c r="U12" i="1"/>
  <c r="W12" i="1" s="1"/>
  <c r="L17" i="24"/>
  <c r="H58" i="35"/>
  <c r="S6" i="36"/>
  <c r="S8" i="36" s="1"/>
  <c r="D84" i="3" l="1"/>
  <c r="B40" i="10"/>
  <c r="C40" i="10" s="1"/>
  <c r="O58" i="35"/>
  <c r="H65" i="35"/>
  <c r="H66" i="35" s="1"/>
  <c r="F37" i="10"/>
  <c r="E37" i="10"/>
  <c r="H37" i="10"/>
  <c r="H38" i="10"/>
  <c r="G39" i="10"/>
  <c r="E38" i="10"/>
  <c r="J38" i="10"/>
  <c r="F38" i="10"/>
  <c r="I39" i="10"/>
  <c r="K11" i="29"/>
  <c r="K6" i="29" s="1"/>
  <c r="K36" i="29" s="1"/>
  <c r="K13" i="27"/>
  <c r="K6" i="27" s="1"/>
  <c r="AA6" i="28"/>
  <c r="AA10" i="28" s="1"/>
  <c r="E11" i="29"/>
  <c r="E13" i="27"/>
  <c r="I6" i="28"/>
  <c r="I10" i="28" s="1"/>
  <c r="AE24" i="10"/>
  <c r="AE26" i="10" s="1"/>
  <c r="E36" i="10"/>
  <c r="I37" i="10"/>
  <c r="G37" i="10"/>
  <c r="H36" i="10"/>
  <c r="G38" i="10"/>
  <c r="F36" i="10"/>
  <c r="H35" i="10"/>
  <c r="F35" i="10"/>
  <c r="G36" i="10"/>
  <c r="I36" i="10"/>
  <c r="E35" i="10"/>
  <c r="E39" i="10"/>
  <c r="H39" i="10"/>
  <c r="F39" i="10"/>
  <c r="J39" i="10"/>
  <c r="H33" i="10"/>
  <c r="E33" i="10"/>
  <c r="F33" i="10"/>
  <c r="G34" i="10"/>
  <c r="H34" i="10"/>
  <c r="J34" i="10"/>
  <c r="E34" i="10"/>
  <c r="F34" i="10"/>
  <c r="I35" i="10"/>
  <c r="G35" i="10"/>
  <c r="B41" i="10" l="1"/>
  <c r="D40" i="10"/>
  <c r="P64" i="35"/>
  <c r="K47" i="27"/>
  <c r="K21" i="27"/>
  <c r="P17" i="35" s="1"/>
  <c r="K37" i="27"/>
  <c r="K2" i="27"/>
  <c r="E6" i="27"/>
  <c r="P58" i="35"/>
  <c r="L13" i="27"/>
  <c r="N13" i="27" s="1"/>
  <c r="E6" i="29"/>
  <c r="L11" i="29"/>
  <c r="E37" i="27" l="1"/>
  <c r="E2" i="27"/>
  <c r="E21" i="27"/>
  <c r="T24" i="35"/>
  <c r="E47" i="27"/>
  <c r="P67" i="35"/>
  <c r="L6" i="27"/>
  <c r="P65" i="35"/>
  <c r="Q65" i="35"/>
  <c r="Q66" i="35" s="1"/>
  <c r="P66" i="35"/>
  <c r="E36" i="29"/>
  <c r="L36" i="29" s="1"/>
  <c r="L6" i="29"/>
  <c r="Q58" i="35"/>
  <c r="M4" i="27" l="1"/>
  <c r="L2" i="27"/>
  <c r="S7" i="27"/>
  <c r="L10" i="27"/>
  <c r="M15" i="27" s="1"/>
  <c r="M6" i="27"/>
  <c r="L23" i="27"/>
  <c r="P7" i="27"/>
  <c r="AP6" i="36"/>
  <c r="M13" i="27"/>
  <c r="P12" i="35"/>
  <c r="Q12" i="35" s="1"/>
  <c r="P11" i="35"/>
  <c r="Q11" i="35" s="1"/>
  <c r="L22" i="27"/>
  <c r="F4" i="31"/>
  <c r="P7" i="35"/>
  <c r="P68" i="35"/>
  <c r="H5" i="31" l="1"/>
  <c r="F10" i="31"/>
  <c r="F12" i="31" s="1"/>
  <c r="F7" i="31"/>
  <c r="H7" i="31" s="1"/>
  <c r="H156" i="1" l="1"/>
  <c r="I156" i="1" l="1"/>
  <c r="H160" i="1"/>
  <c r="H168" i="1"/>
  <c r="H182" i="1" l="1"/>
  <c r="AT9" i="4"/>
  <c r="AU9" i="4"/>
  <c r="I168" i="1"/>
  <c r="I160" i="1"/>
  <c r="AT7" i="4"/>
  <c r="AT6" i="4" s="1"/>
  <c r="F12" i="1"/>
  <c r="I182" i="1" l="1"/>
  <c r="D88" i="3"/>
  <c r="AU7" i="4"/>
  <c r="K6" i="35" l="1"/>
  <c r="AU6" i="4"/>
  <c r="AO27" i="4"/>
  <c r="AW24" i="4"/>
  <c r="AB6" i="36"/>
  <c r="AB8" i="36" l="1"/>
  <c r="AK6" i="36"/>
  <c r="AK8" i="36" s="1"/>
  <c r="K64" i="35"/>
  <c r="K53" i="35"/>
  <c r="N53" i="35" s="1"/>
  <c r="AU8" i="4"/>
  <c r="N17" i="35" s="1"/>
  <c r="N18" i="35" s="1"/>
  <c r="AU11" i="4"/>
  <c r="N64" i="35" s="1"/>
  <c r="N65" i="35" s="1"/>
  <c r="J70" i="35" s="1"/>
  <c r="P6" i="35"/>
  <c r="K17" i="35"/>
  <c r="N6" i="35"/>
  <c r="AU12" i="4" l="1"/>
  <c r="N19" i="35"/>
  <c r="S52" i="35"/>
  <c r="N66" i="35"/>
  <c r="AN6" i="36"/>
  <c r="AO6" i="36" s="1"/>
  <c r="K18" i="35"/>
  <c r="K19" i="35" s="1"/>
  <c r="O17" i="35"/>
  <c r="Q17" i="35" s="1"/>
  <c r="K65" i="35"/>
  <c r="K66" i="35" s="1"/>
  <c r="O64" i="35"/>
  <c r="Q64" i="35" s="1"/>
  <c r="CL6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<sst xmlns="http://schemas.openxmlformats.org/spreadsheetml/2006/main" count="2222" uniqueCount="965">
  <si>
    <t>Cálculo</t>
  </si>
  <si>
    <t>Manual</t>
  </si>
  <si>
    <t>Atualizar</t>
  </si>
  <si>
    <t>Forex</t>
  </si>
  <si>
    <t>Price</t>
  </si>
  <si>
    <t>Sales</t>
  </si>
  <si>
    <t>Var Vol (kt)</t>
  </si>
  <si>
    <t>Vol/Mix impact</t>
  </si>
  <si>
    <t>Price impact</t>
  </si>
  <si>
    <t>Volume</t>
  </si>
  <si>
    <t>External</t>
  </si>
  <si>
    <t>Mix</t>
  </si>
  <si>
    <t>Domestic</t>
  </si>
  <si>
    <t>Fixed cost</t>
  </si>
  <si>
    <t>Total</t>
  </si>
  <si>
    <t>Input price</t>
  </si>
  <si>
    <t>Usage</t>
  </si>
  <si>
    <t>Others</t>
  </si>
  <si>
    <t>Stock variation</t>
  </si>
  <si>
    <t xml:space="preserve">Sales </t>
  </si>
  <si>
    <t>kt</t>
  </si>
  <si>
    <t>USD/t</t>
  </si>
  <si>
    <t>kUSD</t>
  </si>
  <si>
    <t>Sales Mix</t>
  </si>
  <si>
    <t>Mix Working</t>
  </si>
  <si>
    <t>Var Price USD</t>
  </si>
  <si>
    <t>Var Price BRL</t>
  </si>
  <si>
    <t xml:space="preserve">HRC Export </t>
  </si>
  <si>
    <t>Plates DM</t>
  </si>
  <si>
    <t>CRC DM Auto</t>
  </si>
  <si>
    <t>Check</t>
  </si>
  <si>
    <t>CRC DM Industry</t>
  </si>
  <si>
    <t>HDG DM Auto</t>
  </si>
  <si>
    <t>HDG DM Industry</t>
  </si>
  <si>
    <t>AlZn DM Industry</t>
  </si>
  <si>
    <t>Total Sales</t>
  </si>
  <si>
    <t>Variable Costs</t>
  </si>
  <si>
    <t>Cost Mix</t>
  </si>
  <si>
    <t>Total Variable Cost</t>
  </si>
  <si>
    <t xml:space="preserve">Contribution </t>
  </si>
  <si>
    <t>Var Vol</t>
  </si>
  <si>
    <t>Vol &amp; Mix</t>
  </si>
  <si>
    <t>Total Contribution</t>
  </si>
  <si>
    <t>Fixed Costs</t>
  </si>
  <si>
    <t>FC Forex</t>
  </si>
  <si>
    <t>Fixed Cost</t>
  </si>
  <si>
    <t>Labor</t>
  </si>
  <si>
    <t>R&amp;M</t>
  </si>
  <si>
    <t>SG&amp;A</t>
  </si>
  <si>
    <t>Production</t>
  </si>
  <si>
    <t>Total Fixed Costs</t>
  </si>
  <si>
    <t>Yield MRF</t>
  </si>
  <si>
    <t>Coal</t>
  </si>
  <si>
    <t>PCI</t>
  </si>
  <si>
    <t>Others (Antracito)</t>
  </si>
  <si>
    <t>Purchased coke</t>
  </si>
  <si>
    <t>Fines</t>
  </si>
  <si>
    <t>Pellets</t>
  </si>
  <si>
    <t>Lumps</t>
  </si>
  <si>
    <t>Alloys</t>
  </si>
  <si>
    <t>Zinc</t>
  </si>
  <si>
    <t>Crude Steel production</t>
  </si>
  <si>
    <t>Total Input price</t>
  </si>
  <si>
    <t>Total Usage</t>
  </si>
  <si>
    <t>Total kUSD</t>
  </si>
  <si>
    <t>DM kUSD</t>
  </si>
  <si>
    <t>% DM</t>
  </si>
  <si>
    <t>Revenue</t>
  </si>
  <si>
    <t>EBITDA Cost</t>
  </si>
  <si>
    <t>Total Forex</t>
  </si>
  <si>
    <t>Bridge</t>
  </si>
  <si>
    <t>BRL</t>
  </si>
  <si>
    <t>USD</t>
  </si>
  <si>
    <t>Total Others</t>
  </si>
  <si>
    <t>Selling price</t>
  </si>
  <si>
    <t>Amount</t>
  </si>
  <si>
    <t>Cumulated</t>
  </si>
  <si>
    <t>Ext. points</t>
  </si>
  <si>
    <t>Blank neg</t>
  </si>
  <si>
    <t>Red neg</t>
  </si>
  <si>
    <t>Green neg</t>
  </si>
  <si>
    <t>Blank pos</t>
  </si>
  <si>
    <t>Red pos</t>
  </si>
  <si>
    <t>Green pos</t>
  </si>
  <si>
    <t>Selling 
price</t>
  </si>
  <si>
    <t>Input 
price</t>
  </si>
  <si>
    <t>Fixed 
costs</t>
  </si>
  <si>
    <t>Non Steel</t>
  </si>
  <si>
    <t>Vol (kt)</t>
  </si>
  <si>
    <t>Var</t>
  </si>
  <si>
    <t>MUSD</t>
  </si>
  <si>
    <t>NRP $/t</t>
  </si>
  <si>
    <t>Price $/t</t>
  </si>
  <si>
    <t>Yield</t>
  </si>
  <si>
    <t>HRC</t>
  </si>
  <si>
    <t>COGS</t>
  </si>
  <si>
    <t>CRC</t>
  </si>
  <si>
    <t>HDG</t>
  </si>
  <si>
    <t>SG&amp;A USD</t>
  </si>
  <si>
    <t>Export</t>
  </si>
  <si>
    <t>SG&amp;A NC USD</t>
  </si>
  <si>
    <t>Production USD</t>
  </si>
  <si>
    <t>P&amp;O</t>
  </si>
  <si>
    <t>CRC Auto</t>
  </si>
  <si>
    <t>CRC Ind</t>
  </si>
  <si>
    <t>HDG Auto</t>
  </si>
  <si>
    <t>Crude Steel (kt)</t>
  </si>
  <si>
    <t>HDG Ind</t>
  </si>
  <si>
    <t>AlZn</t>
  </si>
  <si>
    <t>Auto imp</t>
  </si>
  <si>
    <t>Slab Calvert</t>
  </si>
  <si>
    <t>Slab Others</t>
  </si>
  <si>
    <t>Comment for exceptional delta</t>
  </si>
  <si>
    <t>ACCOUNT DESCRIPTION</t>
  </si>
  <si>
    <t>CODE</t>
  </si>
  <si>
    <t>Volume Effect MUSD</t>
  </si>
  <si>
    <t>VOLEF</t>
  </si>
  <si>
    <t>Mix Impact</t>
  </si>
  <si>
    <t>MIXIMPACT</t>
  </si>
  <si>
    <t>SellingPrice</t>
  </si>
  <si>
    <t>SELPRICE</t>
  </si>
  <si>
    <t>Fixed Cost Absorbtion / Release (inventory change)</t>
  </si>
  <si>
    <t>TSTOCKEF1</t>
  </si>
  <si>
    <t>Fixed Cost per Ton changes / Weighted avg FC impact</t>
  </si>
  <si>
    <t>TSTOCKEF2</t>
  </si>
  <si>
    <t>Weighted Average Variable Cost Impact</t>
  </si>
  <si>
    <t>TSTOCKEF3</t>
  </si>
  <si>
    <t>Idle Capacity</t>
  </si>
  <si>
    <t>TSTOCKEF4</t>
  </si>
  <si>
    <t>Other (physical inventory &amp; aging reserve)</t>
  </si>
  <si>
    <t>TSTOCKEF5</t>
  </si>
  <si>
    <t>Input price variance  - Coking coal</t>
  </si>
  <si>
    <t>INP-PRICIM1</t>
  </si>
  <si>
    <t>Input price variance  - PCI coal</t>
  </si>
  <si>
    <t>INP-PRICIM2</t>
  </si>
  <si>
    <t>Input price variance  - Coke</t>
  </si>
  <si>
    <t>INP-PRICIM3</t>
  </si>
  <si>
    <t>Input price variance  - Iron ore</t>
  </si>
  <si>
    <t>INP-PRICIM4</t>
  </si>
  <si>
    <t>Input price variance  - Scrap</t>
  </si>
  <si>
    <t>INP-PRICIM5</t>
  </si>
  <si>
    <t>Input price variance  - Ferro alloys</t>
  </si>
  <si>
    <t>INP-PRICIM6</t>
  </si>
  <si>
    <t>Input price variance  - Base metals</t>
  </si>
  <si>
    <t>INP-PRICIM7</t>
  </si>
  <si>
    <t>Input price variance  - Fluxes</t>
  </si>
  <si>
    <t>INP-PRICIM8</t>
  </si>
  <si>
    <t>Input price variance  - Electricity</t>
  </si>
  <si>
    <t>INP-PRICIM9</t>
  </si>
  <si>
    <t>Input price variance  - Gas</t>
  </si>
  <si>
    <t>INP-PRICIM10</t>
  </si>
  <si>
    <t>Input price variance  - Other</t>
  </si>
  <si>
    <t>INP-PRICIM11</t>
  </si>
  <si>
    <t>RM Mix - RM Mix - Iron Ores</t>
  </si>
  <si>
    <t>USAGEMIX1</t>
  </si>
  <si>
    <t>RM Mix - Coals/Coke</t>
  </si>
  <si>
    <t>USAGEMIX2</t>
  </si>
  <si>
    <t>RM Mix - Scrap / Hot Metal / DRI</t>
  </si>
  <si>
    <t>USAGEMIX3</t>
  </si>
  <si>
    <t>RM Mix - Ferro Alloys / Stoppages / Refractories / Other</t>
  </si>
  <si>
    <t>USAGEMIX4</t>
  </si>
  <si>
    <t>Usage - Metallic &amp; Charge (yields)</t>
  </si>
  <si>
    <t>USAGEMIX5</t>
  </si>
  <si>
    <t>Usage - Coke (BF)</t>
  </si>
  <si>
    <t>USAGEMIX6</t>
  </si>
  <si>
    <t>Usage - Energy</t>
  </si>
  <si>
    <t>USAGEMIX7</t>
  </si>
  <si>
    <t>By-product credits</t>
  </si>
  <si>
    <t>USAGEMIX8</t>
  </si>
  <si>
    <t>Other variable costs / Purchased slab penalty</t>
  </si>
  <si>
    <t>USAGEMIX9</t>
  </si>
  <si>
    <t>FC - Manpower costs - COGS</t>
  </si>
  <si>
    <t>T600FEB1</t>
  </si>
  <si>
    <t>FC - Manpower costs - SG&amp;A</t>
  </si>
  <si>
    <t>T600FEB2</t>
  </si>
  <si>
    <t>FC - Non-manpower costs - SG&amp;A</t>
  </si>
  <si>
    <t>T600FEB3</t>
  </si>
  <si>
    <t>FC - R&amp;M spares</t>
  </si>
  <si>
    <t>T600FEB4</t>
  </si>
  <si>
    <t>FC - Contractors &amp; Services (prod &amp; R&amp;M)</t>
  </si>
  <si>
    <t>T600FEB5</t>
  </si>
  <si>
    <t>FC - Structure costs</t>
  </si>
  <si>
    <t>T600FEB6</t>
  </si>
  <si>
    <t>FC - Other</t>
  </si>
  <si>
    <t>T600FEB7</t>
  </si>
  <si>
    <t>Unusual Item 1</t>
  </si>
  <si>
    <t>UNITEM1</t>
  </si>
  <si>
    <t>Unusual Item 2</t>
  </si>
  <si>
    <t>UNITEM2</t>
  </si>
  <si>
    <t>Unusual Item 3</t>
  </si>
  <si>
    <t>UNITEM3</t>
  </si>
  <si>
    <t>Unusual Item 4</t>
  </si>
  <si>
    <t>UNITEM4</t>
  </si>
  <si>
    <t>Unusual Item 5</t>
  </si>
  <si>
    <t>UNITEM5</t>
  </si>
  <si>
    <t>Unusual Item 6</t>
  </si>
  <si>
    <t>UNITEM6</t>
  </si>
  <si>
    <t>Unusual Item 7</t>
  </si>
  <si>
    <t>UNITEM7</t>
  </si>
  <si>
    <t>Unusual Item 8</t>
  </si>
  <si>
    <t>UNITEM8</t>
  </si>
  <si>
    <t>Unusual Item 9</t>
  </si>
  <si>
    <t>UNITEM9</t>
  </si>
  <si>
    <t>Unusual Item 10</t>
  </si>
  <si>
    <t>UNITEM10</t>
  </si>
  <si>
    <t>Unusual Item - Other</t>
  </si>
  <si>
    <t>UNITEMOTH</t>
  </si>
  <si>
    <t>NS-EBITDA  - Liquid steel sales to Long</t>
  </si>
  <si>
    <t>NSEBITDA1</t>
  </si>
  <si>
    <t>NS-EBITDA  - Coke sales</t>
  </si>
  <si>
    <t>NSEBITDA2</t>
  </si>
  <si>
    <t>NS-EBITDA  - Coal sales</t>
  </si>
  <si>
    <t>NSEBITDA3</t>
  </si>
  <si>
    <t>NS-EBITDA  - Scrap sales</t>
  </si>
  <si>
    <t>NSEBITDA4</t>
  </si>
  <si>
    <t>NS-EBITDA  - Iron ore &amp; Pellet sales</t>
  </si>
  <si>
    <t>NSEBITDA5</t>
  </si>
  <si>
    <t>NS-EBITDA  - Iron ore fines sales</t>
  </si>
  <si>
    <t>NSEBITDA6</t>
  </si>
  <si>
    <t>NS-EBITDA  - DRI sales</t>
  </si>
  <si>
    <t>NSEBITDA7</t>
  </si>
  <si>
    <t>NS-EBITDA  - Conversions</t>
  </si>
  <si>
    <t>NSEBITDA8</t>
  </si>
  <si>
    <t>NS-EBITDA  - By-Products</t>
  </si>
  <si>
    <t>NSEBITDA9</t>
  </si>
  <si>
    <t>NS-EBITDA  - Freight</t>
  </si>
  <si>
    <t>NSEBITDA10</t>
  </si>
  <si>
    <t>NS-EBITDA  - Other</t>
  </si>
  <si>
    <t>NSEBITDA11</t>
  </si>
  <si>
    <t>Forex on Revenue</t>
  </si>
  <si>
    <t>FOREXREV</t>
  </si>
  <si>
    <t>Forex on Costs</t>
  </si>
  <si>
    <t>FOREXCOST</t>
  </si>
  <si>
    <t>Forex on Other</t>
  </si>
  <si>
    <t>FOREXOTH</t>
  </si>
  <si>
    <t>VC Management gains A</t>
  </si>
  <si>
    <t>VCMGTGA</t>
  </si>
  <si>
    <t>FC Management gains A</t>
  </si>
  <si>
    <t>FCMGTGA</t>
  </si>
  <si>
    <t>Other MG A</t>
  </si>
  <si>
    <t>OTHMGTGA</t>
  </si>
  <si>
    <t>VC Management gains  B</t>
  </si>
  <si>
    <t>VCMGTGB</t>
  </si>
  <si>
    <t>FC Management gains  B</t>
  </si>
  <si>
    <t>FCMGTGB</t>
  </si>
  <si>
    <t>Other MG B</t>
  </si>
  <si>
    <t>OTHMGTGB</t>
  </si>
  <si>
    <t>Variance value between periods in mUSD/m€</t>
  </si>
  <si>
    <t>Absolute value for the periods in mUSD/m€</t>
  </si>
  <si>
    <t>Checks</t>
  </si>
  <si>
    <t>Others (Unusual)</t>
  </si>
  <si>
    <t xml:space="preserve">SG&amp;A NC </t>
  </si>
  <si>
    <t>Legal contingencies</t>
  </si>
  <si>
    <t>Antracite</t>
  </si>
  <si>
    <t>R&amp;M USD</t>
  </si>
  <si>
    <t>Industry</t>
  </si>
  <si>
    <t>Auto</t>
  </si>
  <si>
    <t>$/t</t>
  </si>
  <si>
    <t>Fluxes</t>
  </si>
  <si>
    <t>Exports</t>
  </si>
  <si>
    <t>Budget</t>
  </si>
  <si>
    <t>$m</t>
  </si>
  <si>
    <t>Difference</t>
  </si>
  <si>
    <t>Export (kt)</t>
  </si>
  <si>
    <t>Domestic (kt)</t>
  </si>
  <si>
    <t>Industry (kt)</t>
  </si>
  <si>
    <t>Auto (kt)</t>
  </si>
  <si>
    <t>Auto price increase</t>
  </si>
  <si>
    <t>Usibor Auto</t>
  </si>
  <si>
    <t>* Flat RM basket = 1.6 (Iron Ore CFR China) + 0.6 (HCC CFR China***) + 0.15 (East Asia scrap)</t>
  </si>
  <si>
    <t>Pellet premium</t>
  </si>
  <si>
    <t>Other RM prices</t>
  </si>
  <si>
    <t>Forex on costs</t>
  </si>
  <si>
    <t>Kt</t>
  </si>
  <si>
    <t>Slab DM</t>
  </si>
  <si>
    <t>HRC DM Auto</t>
  </si>
  <si>
    <t>HRC DM Industry</t>
  </si>
  <si>
    <t>P&amp;O DM Auto</t>
  </si>
  <si>
    <t>P&amp;O DM Industry</t>
  </si>
  <si>
    <t>CRC EM Auto</t>
  </si>
  <si>
    <t>CRC EM Industry</t>
  </si>
  <si>
    <t>HDG EM Auto</t>
  </si>
  <si>
    <t>HDG EM Industry</t>
  </si>
  <si>
    <t xml:space="preserve">AlZn Export </t>
  </si>
  <si>
    <t>Usibor DM Auto</t>
  </si>
  <si>
    <t>Auto imports</t>
  </si>
  <si>
    <t>Price var</t>
  </si>
  <si>
    <t>Impact $m</t>
  </si>
  <si>
    <t>Premium</t>
  </si>
  <si>
    <t>AlSi DM Industry</t>
  </si>
  <si>
    <t>AlZn Ind</t>
  </si>
  <si>
    <t>Slab</t>
  </si>
  <si>
    <t>Plates</t>
  </si>
  <si>
    <t>HRC Auto</t>
  </si>
  <si>
    <t>HRC Ind</t>
  </si>
  <si>
    <t>P&amp;O Auto</t>
  </si>
  <si>
    <t>P&amp;O Ind</t>
  </si>
  <si>
    <t>AlSi Ind</t>
  </si>
  <si>
    <t>Coke</t>
  </si>
  <si>
    <t>Commercial</t>
  </si>
  <si>
    <t>HRC Industry</t>
  </si>
  <si>
    <t>HRC reference</t>
  </si>
  <si>
    <t>Flat raw material basket</t>
  </si>
  <si>
    <t>Coal (1 quarter lag)</t>
  </si>
  <si>
    <t>Lump premium</t>
  </si>
  <si>
    <t>HRC DM Downstream</t>
  </si>
  <si>
    <t>CRC DM Downstream</t>
  </si>
  <si>
    <t>HDG DM Downstream</t>
  </si>
  <si>
    <t>Freight rate</t>
  </si>
  <si>
    <t>Variação</t>
  </si>
  <si>
    <t>Delta</t>
  </si>
  <si>
    <t>FY</t>
  </si>
  <si>
    <t>e</t>
  </si>
  <si>
    <t>Logistic / VAT</t>
  </si>
  <si>
    <t>Q1</t>
  </si>
  <si>
    <t>Q2</t>
  </si>
  <si>
    <t>Q3</t>
  </si>
  <si>
    <t>MRF7</t>
  </si>
  <si>
    <t>Non recurrent</t>
  </si>
  <si>
    <t>Ref</t>
  </si>
  <si>
    <t>Cur</t>
  </si>
  <si>
    <t>Inventory - MRF10 Q418 (R$m)</t>
  </si>
  <si>
    <t>FX 2018 MRF10 / Actual</t>
  </si>
  <si>
    <t>A</t>
  </si>
  <si>
    <t>B</t>
  </si>
  <si>
    <t>A - B</t>
  </si>
  <si>
    <t>C</t>
  </si>
  <si>
    <t>(A - B) - C</t>
  </si>
  <si>
    <t>Inventory forex impact</t>
  </si>
  <si>
    <t>Ebitda Cost $m (40% in BRL)</t>
  </si>
  <si>
    <t>Forex MRF10</t>
  </si>
  <si>
    <t>Forex Budget</t>
  </si>
  <si>
    <t>Ebitda Cost $m (% in dollar Budget)</t>
  </si>
  <si>
    <t>Delta FX - MRF10 vs Budget</t>
  </si>
  <si>
    <t>FOREX Stock Variation Impact</t>
  </si>
  <si>
    <t>Inventory - MRF10 Q418 ($m)</t>
  </si>
  <si>
    <t>Inventory - Actual Q418 (R$m)</t>
  </si>
  <si>
    <t>FX 2019 Budget/ MRF</t>
  </si>
  <si>
    <t>Rational Calculation</t>
  </si>
  <si>
    <t>Fixed Cost Impact - Stock Variation</t>
  </si>
  <si>
    <t>Production (Kt)</t>
  </si>
  <si>
    <t>Fixed cost w/o SG&amp;A R$m</t>
  </si>
  <si>
    <t>Fixed production cost R$/t</t>
  </si>
  <si>
    <t>Shipments kt</t>
  </si>
  <si>
    <t>Fixed cost w/o SG&amp;A in EBITDA R$m</t>
  </si>
  <si>
    <t>Var R$m</t>
  </si>
  <si>
    <t>Fixed cost impact w/o SG&amp;A in Bridge</t>
  </si>
  <si>
    <t>D</t>
  </si>
  <si>
    <t>C - D</t>
  </si>
  <si>
    <t>Var $m (/3,54)</t>
  </si>
  <si>
    <t>Main drivers</t>
  </si>
  <si>
    <t>FOREX</t>
  </si>
  <si>
    <t>Stock Variation total</t>
  </si>
  <si>
    <t>MRF10 / Budget</t>
  </si>
  <si>
    <t>Actual / MRF</t>
  </si>
  <si>
    <t>MRF10</t>
  </si>
  <si>
    <t>∆</t>
  </si>
  <si>
    <t>FY20</t>
  </si>
  <si>
    <t>Auto Imports/PP DM</t>
  </si>
  <si>
    <t>∆ R$/t</t>
  </si>
  <si>
    <t>∆ %</t>
  </si>
  <si>
    <t>Auto KUSD</t>
  </si>
  <si>
    <t>ok</t>
  </si>
  <si>
    <t>Industry Spreads</t>
  </si>
  <si>
    <t>Auto Spreads</t>
  </si>
  <si>
    <t>Usibor</t>
  </si>
  <si>
    <t>Ref.</t>
  </si>
  <si>
    <t>Lag IO 62%</t>
  </si>
  <si>
    <t>Tax (Imposto Imp.)</t>
  </si>
  <si>
    <t>Iron ore (w/o lag)</t>
  </si>
  <si>
    <t>For information only - Flat raw material basket</t>
  </si>
  <si>
    <t>Inflation</t>
  </si>
  <si>
    <t>Higher spreads</t>
  </si>
  <si>
    <t>a</t>
  </si>
  <si>
    <t>Footprint</t>
  </si>
  <si>
    <t>One time</t>
  </si>
  <si>
    <t>Stoppage</t>
  </si>
  <si>
    <t>2019 MRF10</t>
  </si>
  <si>
    <t>Inputprice</t>
  </si>
  <si>
    <t>Other</t>
  </si>
  <si>
    <t>Calvert</t>
  </si>
  <si>
    <t>Local</t>
  </si>
  <si>
    <t>DM vol</t>
  </si>
  <si>
    <t>FC</t>
  </si>
  <si>
    <t>BF 1 &amp; 3</t>
  </si>
  <si>
    <t>BF 2 BD</t>
  </si>
  <si>
    <t>Legal</t>
  </si>
  <si>
    <t>SV</t>
  </si>
  <si>
    <t>Normalized</t>
  </si>
  <si>
    <t>Corporate</t>
  </si>
  <si>
    <t>w/o  vol</t>
  </si>
  <si>
    <t>Expected</t>
  </si>
  <si>
    <t>price</t>
  </si>
  <si>
    <t>Conting.</t>
  </si>
  <si>
    <t>6,3Mt</t>
  </si>
  <si>
    <t>effect</t>
  </si>
  <si>
    <t>calvert</t>
  </si>
  <si>
    <t>Additional slab export</t>
  </si>
  <si>
    <t>415x391</t>
  </si>
  <si>
    <t>Average slab export</t>
  </si>
  <si>
    <t>Delta price</t>
  </si>
  <si>
    <t>Mix effect</t>
  </si>
  <si>
    <t>Full</t>
  </si>
  <si>
    <t>IO</t>
  </si>
  <si>
    <t>Lump</t>
  </si>
  <si>
    <t>Freight</t>
  </si>
  <si>
    <t>CM</t>
  </si>
  <si>
    <t>Comercial</t>
  </si>
  <si>
    <t>RM Basket</t>
  </si>
  <si>
    <t>Volumes de consumo de MP considerando 2019 com produção normalizada</t>
  </si>
  <si>
    <t>*</t>
  </si>
  <si>
    <t>Total DM vol.</t>
  </si>
  <si>
    <t xml:space="preserve">Volume &amp; Mix </t>
  </si>
  <si>
    <t>Premio DM</t>
  </si>
  <si>
    <t>Avr.</t>
  </si>
  <si>
    <t>Calvert impact</t>
  </si>
  <si>
    <t>Mandatory</t>
  </si>
  <si>
    <t>Iron ore (on month lag)</t>
  </si>
  <si>
    <t>Frete</t>
  </si>
  <si>
    <t>FY21</t>
  </si>
  <si>
    <t>Preço Ex-W</t>
  </si>
  <si>
    <t>BQ Latam</t>
  </si>
  <si>
    <t>BQ Asia</t>
  </si>
  <si>
    <t>MRF10 plano de vendas</t>
  </si>
  <si>
    <t>Exports volumes to normalize 2020</t>
  </si>
  <si>
    <t>$/t ∆</t>
  </si>
  <si>
    <t>Budget plano de vendas</t>
  </si>
  <si>
    <t>Slab Asia</t>
  </si>
  <si>
    <t>Slab America</t>
  </si>
  <si>
    <t>Slab Europe</t>
  </si>
  <si>
    <t>Calvert USIBOR</t>
  </si>
  <si>
    <t>Kt ∆</t>
  </si>
  <si>
    <t>Q4</t>
  </si>
  <si>
    <t>Diferença preço versus referencia</t>
  </si>
  <si>
    <t>Aumento Auto</t>
  </si>
  <si>
    <t>Slab CIS reference</t>
  </si>
  <si>
    <t>PRICES ME</t>
  </si>
  <si>
    <t>NEGOTIATION TIME</t>
  </si>
  <si>
    <t>NOV 2020</t>
  </si>
  <si>
    <t>DEC 2020</t>
  </si>
  <si>
    <t>JAN 2021</t>
  </si>
  <si>
    <t>FEB 2021</t>
  </si>
  <si>
    <t>MAR 2021</t>
  </si>
  <si>
    <t>APR 2021</t>
  </si>
  <si>
    <t>MAY 2021</t>
  </si>
  <si>
    <t>JUN 2021</t>
  </si>
  <si>
    <t>JUL 2021</t>
  </si>
  <si>
    <t>AUG 2021</t>
  </si>
  <si>
    <t>SEP 2021</t>
  </si>
  <si>
    <t>OCT 2021</t>
  </si>
  <si>
    <r>
      <t xml:space="preserve">SHIPMENT PRICE </t>
    </r>
    <r>
      <rPr>
        <sz val="10"/>
        <color rgb="FF000000"/>
        <rFont val="Trebuchet MS"/>
        <family val="2"/>
      </rPr>
      <t>(</t>
    </r>
    <r>
      <rPr>
        <sz val="10"/>
        <color rgb="FF000000"/>
        <rFont val="Trebuchet MS"/>
        <family val="2"/>
      </rPr>
      <t>2 months lag)</t>
    </r>
  </si>
  <si>
    <t>NOV 2021</t>
  </si>
  <si>
    <t>DEC 2021</t>
  </si>
  <si>
    <t>RMB</t>
  </si>
  <si>
    <t>IO China CFR</t>
  </si>
  <si>
    <t>HCC China CFR</t>
  </si>
  <si>
    <t>Scrap China CFR</t>
  </si>
  <si>
    <t>VAT China</t>
  </si>
  <si>
    <t>-</t>
  </si>
  <si>
    <t>Spread</t>
  </si>
  <si>
    <t>HRC CHINA FOB</t>
  </si>
  <si>
    <t>HRC CIS FOB</t>
  </si>
  <si>
    <t>SLAB</t>
  </si>
  <si>
    <t>SLAB CIS FOB</t>
  </si>
  <si>
    <t>% Fe, Si, Al &amp; P</t>
  </si>
  <si>
    <t>Local market</t>
  </si>
  <si>
    <t/>
  </si>
  <si>
    <t>BQ worst mix (higher Asia)</t>
  </si>
  <si>
    <t>Slab America MRF10</t>
  </si>
  <si>
    <t>Slab America Budget</t>
  </si>
  <si>
    <t>Mix Calvert</t>
  </si>
  <si>
    <t>Mix calvert</t>
  </si>
  <si>
    <t>Budget vs MRF10</t>
  </si>
  <si>
    <t>Coal unload rate (TUIP)</t>
  </si>
  <si>
    <t>SLAB BR FOB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</si>
  <si>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</si>
  <si>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</si>
  <si>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</si>
  <si>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</si>
  <si>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</si>
  <si>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</si>
  <si>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</si>
  <si>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</si>
  <si>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</si>
  <si>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>JAN</t>
  </si>
  <si>
    <t>DEC</t>
  </si>
  <si>
    <t>NOV</t>
  </si>
  <si>
    <t>Slab BR FOB</t>
  </si>
  <si>
    <t>Extra price MRF10</t>
  </si>
  <si>
    <t>Extra price Budget</t>
  </si>
  <si>
    <t>Dofasco 1</t>
  </si>
  <si>
    <t>Dofasco 2</t>
  </si>
  <si>
    <t>Total extra price</t>
  </si>
  <si>
    <t>Q120</t>
  </si>
  <si>
    <t>Vol. Kt</t>
  </si>
  <si>
    <t>Q220</t>
  </si>
  <si>
    <t>Q320</t>
  </si>
  <si>
    <t>Q420</t>
  </si>
  <si>
    <t>Q121</t>
  </si>
  <si>
    <t>Q221</t>
  </si>
  <si>
    <t>Q321</t>
  </si>
  <si>
    <t>Q421</t>
  </si>
  <si>
    <t>Sales $m</t>
  </si>
  <si>
    <t>Price $/t (1 quarter lag)</t>
  </si>
  <si>
    <t>For information only - HRC reference - Exports</t>
  </si>
  <si>
    <t>Export price reference</t>
  </si>
  <si>
    <t>% Mix</t>
  </si>
  <si>
    <t>Calvert MRF10</t>
  </si>
  <si>
    <t>Calvert Budget</t>
  </si>
  <si>
    <t>HRC CIS reference</t>
  </si>
  <si>
    <t>Mix HRC</t>
  </si>
  <si>
    <t>HRC MRF10</t>
  </si>
  <si>
    <t>HRC Budget</t>
  </si>
  <si>
    <t>Slabs w/o Calvert MRF10</t>
  </si>
  <si>
    <t>Slabs w/o Calvert Budget</t>
  </si>
  <si>
    <t>North america slab market</t>
  </si>
  <si>
    <t>Mix Slab</t>
  </si>
  <si>
    <t>Calvert price</t>
  </si>
  <si>
    <t>For information only - HRC reference - Domestic</t>
  </si>
  <si>
    <t>Mix $m</t>
  </si>
  <si>
    <t>Slab Dofasco Extra</t>
  </si>
  <si>
    <t>Ajustar China</t>
  </si>
  <si>
    <t>HRC China - Exports</t>
  </si>
  <si>
    <t>HRC CIS - Domestic</t>
  </si>
  <si>
    <t>Spread LATAM</t>
  </si>
  <si>
    <t>Spread China SEA</t>
  </si>
  <si>
    <t>Spread SEA BQ Placa</t>
  </si>
  <si>
    <t>Impostos e taxas</t>
  </si>
  <si>
    <t>Origem ligado vazamento</t>
  </si>
  <si>
    <t>Origem não ligado ate 2023 vale a laminação</t>
  </si>
  <si>
    <t>ALZn DM Downstream</t>
  </si>
  <si>
    <t>HRC Down</t>
  </si>
  <si>
    <t>CRC Down</t>
  </si>
  <si>
    <t>HDG Down</t>
  </si>
  <si>
    <t>AlZn Down</t>
  </si>
  <si>
    <t>Refractories</t>
  </si>
  <si>
    <t>Var. contractors</t>
  </si>
  <si>
    <t>Non
recurrent</t>
  </si>
  <si>
    <t>SV &amp; 
Others</t>
  </si>
  <si>
    <t>Expected EBITDA</t>
  </si>
  <si>
    <t>Vale
impact</t>
  </si>
  <si>
    <t>Spread Slab SEA</t>
  </si>
  <si>
    <t>Spread SEA - Slab</t>
  </si>
  <si>
    <t>For information only - Spread reference - Slab</t>
  </si>
  <si>
    <t>Premium (Distribution)</t>
  </si>
  <si>
    <t>Trazer costs on sales</t>
  </si>
  <si>
    <t>Trazer inflação</t>
  </si>
  <si>
    <t>CM $/t</t>
  </si>
  <si>
    <t>BQ LATAM</t>
  </si>
  <si>
    <t>Inflação</t>
  </si>
  <si>
    <t>Footprint effect</t>
  </si>
  <si>
    <t>Conciliações</t>
  </si>
  <si>
    <t>Tradicional</t>
  </si>
  <si>
    <t>Custo fixo</t>
  </si>
  <si>
    <t>Preço</t>
  </si>
  <si>
    <t>Other RM</t>
  </si>
  <si>
    <t>For information only - Coal</t>
  </si>
  <si>
    <t>For information only - Iron ore</t>
  </si>
  <si>
    <t>Price $/t (1 month lag)</t>
  </si>
  <si>
    <t>IO waste</t>
  </si>
  <si>
    <t>Logistic</t>
  </si>
  <si>
    <t>vrs.$461</t>
  </si>
  <si>
    <t>2020 MRF10</t>
  </si>
  <si>
    <t>Source:</t>
  </si>
  <si>
    <t>Corporate Assumptions</t>
  </si>
  <si>
    <t>. Selling price reference</t>
  </si>
  <si>
    <t>. Input price reference</t>
  </si>
  <si>
    <t>Footprint related</t>
  </si>
  <si>
    <t xml:space="preserve"> $100/t</t>
  </si>
  <si>
    <t xml:space="preserve">. Usage Mkt/Footprint </t>
  </si>
  <si>
    <t>. FC Mkt/Footprint</t>
  </si>
  <si>
    <t>Menores gastos em 2020 em função dos reflexos da Covid-19 (redução da produção, jornada, viagens, manutenções, acesso à planta, Covid...)</t>
  </si>
  <si>
    <t>. Reliability/Multiannual</t>
  </si>
  <si>
    <t>. Costs on sales</t>
  </si>
  <si>
    <t>Logística variavel</t>
  </si>
  <si>
    <t>. Stock variation</t>
  </si>
  <si>
    <t xml:space="preserve">Footprint adjusted </t>
  </si>
  <si>
    <t>Management actions</t>
  </si>
  <si>
    <t xml:space="preserve">. Calvert </t>
  </si>
  <si>
    <t>. Vol &amp; Mix - domestic</t>
  </si>
  <si>
    <t>. Pricing</t>
  </si>
  <si>
    <t>. RM negotiations</t>
  </si>
  <si>
    <t>. Performance usage</t>
  </si>
  <si>
    <t>. Fixed costs</t>
  </si>
  <si>
    <t>Business adjusted</t>
  </si>
  <si>
    <t>Non-controllable/non-recurrent</t>
  </si>
  <si>
    <t>. FX effect</t>
  </si>
  <si>
    <t>. Inflation</t>
  </si>
  <si>
    <t>Fixed + Variable</t>
  </si>
  <si>
    <t>. Non controllable FC</t>
  </si>
  <si>
    <t>Corporate costs, environmental</t>
  </si>
  <si>
    <t>. Non recurrent</t>
  </si>
  <si>
    <t>VSS, AMC</t>
  </si>
  <si>
    <t>. Legal, compliance</t>
  </si>
  <si>
    <t>. Vale impacts</t>
  </si>
  <si>
    <t>Incluir Vale impact</t>
  </si>
  <si>
    <t>FY 2021 BUDGET</t>
  </si>
  <si>
    <t>Outros a conciliar</t>
  </si>
  <si>
    <t>Selling price reference</t>
  </si>
  <si>
    <t>Input price reference</t>
  </si>
  <si>
    <t>Pricing</t>
  </si>
  <si>
    <t>RM negotiations</t>
  </si>
  <si>
    <t>. Volume</t>
  </si>
  <si>
    <t>Coal specific basket</t>
  </si>
  <si>
    <t>Volume &amp; Mix</t>
  </si>
  <si>
    <t>Non recurrent &amp; Legal/compliance</t>
  </si>
  <si>
    <t>Ore premiums &amp; other RM</t>
  </si>
  <si>
    <t>Sust reduction</t>
  </si>
  <si>
    <t>Sust.</t>
  </si>
  <si>
    <t>Non controllable</t>
  </si>
  <si>
    <t>AMS consolidation</t>
  </si>
  <si>
    <t>Local pricing</t>
  </si>
  <si>
    <t>RM factors</t>
  </si>
  <si>
    <t>Logistica</t>
  </si>
  <si>
    <t>2milhoes ajustados por conta das ligas</t>
  </si>
  <si>
    <t>Lower slab NA</t>
  </si>
  <si>
    <t>Considerado o menor volume para NA</t>
  </si>
  <si>
    <t>Slab customer mix (Dofasco)</t>
  </si>
  <si>
    <t>Vale negotiation</t>
  </si>
  <si>
    <t>Sales Ind</t>
  </si>
  <si>
    <t>Sales Auto</t>
  </si>
  <si>
    <t>Downstream</t>
  </si>
  <si>
    <t>Exchange 
rate</t>
  </si>
  <si>
    <t>Industry &amp; Down KUSD</t>
  </si>
  <si>
    <t>Slabs and Plates</t>
  </si>
  <si>
    <t>HDG Industry</t>
  </si>
  <si>
    <t>AlZn Industry</t>
  </si>
  <si>
    <t>CRC Industry</t>
  </si>
  <si>
    <t>Vale issues</t>
  </si>
  <si>
    <t>Exchange rate</t>
  </si>
  <si>
    <t>CPC47</t>
  </si>
  <si>
    <t>Demurrage</t>
  </si>
  <si>
    <t>FC - Non-manpower costs - SG&amp;A USD</t>
  </si>
  <si>
    <t>FC - Structure costs USD</t>
  </si>
  <si>
    <t>QT7000REF
Steel Sales (in MT)</t>
  </si>
  <si>
    <t>ASP
Average Selling Price</t>
  </si>
  <si>
    <t>EBITDAREF
EBITDA</t>
  </si>
  <si>
    <t>GAP Legal to Managerial</t>
  </si>
  <si>
    <t>EBITDAMREF
EBITDA Managerial</t>
  </si>
  <si>
    <t>VOLEF
Volume Effect</t>
  </si>
  <si>
    <t>MIXIMPACT
Mix Impact</t>
  </si>
  <si>
    <t>SELPRICE
Selling Price Impact</t>
  </si>
  <si>
    <t>INPUTPRICEIM
Input Price Impact</t>
  </si>
  <si>
    <t>TSTOCKEF
Stock effect</t>
  </si>
  <si>
    <t>USAGEMIX
Usage &amp; Mix Variance</t>
  </si>
  <si>
    <t>T600FEBTOT
Fixed Costs
 Variance</t>
  </si>
  <si>
    <t>NSEBITDATOT
Non Steel EBITDA
 Variance</t>
  </si>
  <si>
    <t>UNITEMVAR
Unusual Items Variance</t>
  </si>
  <si>
    <t>FOREXBRTOT
Forex Impact</t>
  </si>
  <si>
    <t>OTHER
Other (Bridge)</t>
  </si>
  <si>
    <t>OTHER-CONV
Other Converted (EUR entitie for Bridge)</t>
  </si>
  <si>
    <t>FOREX-EUR
Forex (EUR entitie for Bridge) Impact</t>
  </si>
  <si>
    <t>EBITDAMCUR
EBITDA Managerial</t>
  </si>
  <si>
    <t>Gap Legal to Managerial</t>
  </si>
  <si>
    <t>EBITDACUR
EBITDA</t>
  </si>
  <si>
    <t>QT7000CUR
Steel Sales (in MT)</t>
  </si>
  <si>
    <t>Reference Period</t>
  </si>
  <si>
    <t>Current/Projected period</t>
  </si>
  <si>
    <t>SCENARIO DESCRIPTION</t>
  </si>
  <si>
    <t>Act Q3'21 vs Act Q2'21 / Qn A vs Qn-1 A</t>
  </si>
  <si>
    <t>Fcst Q4’21 vs Act Q3’21 / Qn+1 F vs Qn A</t>
  </si>
  <si>
    <t>Act Q3'21 vs Act Q3'20 / Qn Y A vs Qn Y-1 A</t>
  </si>
  <si>
    <t>FY F 21 vs FY B 21 / FY F vs FY B</t>
  </si>
  <si>
    <t>FY F 21 vs FY A 20 / FYn F vs FYn-1 A</t>
  </si>
  <si>
    <t>Demurrage logistica</t>
  </si>
  <si>
    <t>Natural gas</t>
  </si>
  <si>
    <t>Netback freight</t>
  </si>
  <si>
    <t>For information only - Demurrage</t>
  </si>
  <si>
    <t xml:space="preserve">Inbound </t>
  </si>
  <si>
    <t>Outbound</t>
  </si>
  <si>
    <t xml:space="preserve">Demurrage </t>
  </si>
  <si>
    <t>Coke price</t>
  </si>
  <si>
    <t>MRF1</t>
  </si>
  <si>
    <t>Blacks</t>
  </si>
  <si>
    <t>Natural Gas</t>
  </si>
  <si>
    <t>Iron ore MB 62% (1m lag)</t>
  </si>
  <si>
    <t>Iron ore MB 65% (1m lag)</t>
  </si>
  <si>
    <t>For information only - Blacks &amp; Reds</t>
  </si>
  <si>
    <t>Reds</t>
  </si>
  <si>
    <t>DM Breakdown</t>
  </si>
  <si>
    <t>Revenue recognition</t>
  </si>
  <si>
    <t>FY23B</t>
  </si>
  <si>
    <t>FY23F</t>
  </si>
  <si>
    <t xml:space="preserve">Netback freight </t>
  </si>
  <si>
    <t>International ref.</t>
  </si>
  <si>
    <t>Iron ore</t>
  </si>
  <si>
    <t>Purchased Coke</t>
  </si>
  <si>
    <t>Tubarão</t>
  </si>
  <si>
    <t>Pecém</t>
  </si>
  <si>
    <t>Combined</t>
  </si>
  <si>
    <t>Fixed costs</t>
  </si>
  <si>
    <t>SLAB export</t>
  </si>
  <si>
    <t>HRC Export</t>
  </si>
  <si>
    <t xml:space="preserve">DM </t>
  </si>
  <si>
    <t xml:space="preserve">Legal and non-steel </t>
  </si>
  <si>
    <t>Consolidado</t>
  </si>
  <si>
    <t>Usage
Market driven</t>
  </si>
  <si>
    <t>Usage - Performance</t>
  </si>
  <si>
    <t>Usage - Market driven</t>
  </si>
  <si>
    <t>Usage 
Market driven</t>
  </si>
  <si>
    <t>% BRL</t>
  </si>
  <si>
    <t>For information only - Value Plan</t>
  </si>
  <si>
    <t>Value plan</t>
  </si>
  <si>
    <t xml:space="preserve">Volume </t>
  </si>
  <si>
    <t>Usage &amp; Mix</t>
  </si>
  <si>
    <t xml:space="preserve">Non steel </t>
  </si>
  <si>
    <t>Sales mix</t>
  </si>
  <si>
    <t>Pecem</t>
  </si>
  <si>
    <t>FC LATAM</t>
  </si>
  <si>
    <t>AM Pecém</t>
  </si>
  <si>
    <t>Input Price</t>
  </si>
  <si>
    <t>Starting balance</t>
  </si>
  <si>
    <t>Mix / others</t>
  </si>
  <si>
    <t>Zinc (Vega)</t>
  </si>
  <si>
    <t>TOTAL</t>
  </si>
  <si>
    <t>Change on VAT legislation</t>
  </si>
  <si>
    <t>Baily challenge</t>
  </si>
  <si>
    <t>MRF01</t>
  </si>
  <si>
    <t>For information only</t>
  </si>
  <si>
    <t>MRF02</t>
  </si>
  <si>
    <t>Legal and non-steel and others</t>
  </si>
  <si>
    <t>SV/Others</t>
  </si>
  <si>
    <t>Internacional reference</t>
  </si>
  <si>
    <t>VIU premium (Si, Al &amp; P)</t>
  </si>
  <si>
    <t>MRF2</t>
  </si>
  <si>
    <t>Scrap</t>
  </si>
  <si>
    <t>HRC Aperam</t>
  </si>
  <si>
    <t>KD</t>
  </si>
  <si>
    <t>Base</t>
  </si>
  <si>
    <t>For information only - Selling price (Base &amp; extra)</t>
  </si>
  <si>
    <t>Extra</t>
  </si>
  <si>
    <t>Total extra</t>
  </si>
  <si>
    <t>Total base</t>
  </si>
  <si>
    <t>HRC Aperam baixo carbono</t>
  </si>
  <si>
    <t>Slab from Pecem</t>
  </si>
  <si>
    <t>(Price) PCI index</t>
  </si>
  <si>
    <t>Var.</t>
  </si>
  <si>
    <t>IP</t>
  </si>
  <si>
    <t>Budget vs MRF1</t>
  </si>
  <si>
    <t>Budget vs MRF2</t>
  </si>
  <si>
    <t>Budget vs MRF3</t>
  </si>
  <si>
    <t>Budget vs MRF4</t>
  </si>
  <si>
    <t>Budget vs MRF5</t>
  </si>
  <si>
    <t>Budget vs MRF6</t>
  </si>
  <si>
    <t>mrf3</t>
  </si>
  <si>
    <t>mrf4</t>
  </si>
  <si>
    <t>mrf5</t>
  </si>
  <si>
    <t>Impact</t>
  </si>
  <si>
    <t>Price (may)</t>
  </si>
  <si>
    <t>Mix/Others</t>
  </si>
  <si>
    <t>Q2 PCI ratio</t>
  </si>
  <si>
    <t>Q3 PCI ratio</t>
  </si>
  <si>
    <t>AMS contract updates</t>
  </si>
  <si>
    <t>% Fe</t>
  </si>
  <si>
    <t>Pellet premium in Q2</t>
  </si>
  <si>
    <t>VIU Vale contract</t>
  </si>
  <si>
    <t>Vale contract specification H2</t>
  </si>
  <si>
    <t>HRC Aperam BC</t>
  </si>
  <si>
    <t>Physical inventories</t>
  </si>
  <si>
    <t>FC LATAM EBITDA including share of JVs</t>
  </si>
  <si>
    <t>FC Latam</t>
  </si>
  <si>
    <t>Extemporaneous credit</t>
  </si>
  <si>
    <t>Coal (2 month lag)</t>
  </si>
  <si>
    <t>PIS COFINS depreciation</t>
  </si>
  <si>
    <t>Invest-ES</t>
  </si>
  <si>
    <t>FY25B</t>
  </si>
  <si>
    <t>FY25F</t>
  </si>
  <si>
    <t>Usage 
Performance</t>
  </si>
  <si>
    <t>Usage
Operational Performance</t>
  </si>
  <si>
    <t>Auto ME</t>
  </si>
  <si>
    <t>Usage - Op. Performance</t>
  </si>
  <si>
    <t>Incluir no NRP</t>
  </si>
  <si>
    <t>sd</t>
  </si>
  <si>
    <t>Eliminação</t>
  </si>
  <si>
    <t>Value creation</t>
  </si>
  <si>
    <t>US tariffs impact</t>
  </si>
  <si>
    <t>MC ($/t)</t>
  </si>
  <si>
    <t>Selling Price</t>
  </si>
  <si>
    <t>Alloys market driven</t>
  </si>
  <si>
    <t>tvc</t>
  </si>
  <si>
    <t>AMP</t>
  </si>
  <si>
    <t>consolidado</t>
  </si>
  <si>
    <t>SV usage breakdown</t>
  </si>
  <si>
    <t>Slowmoving</t>
  </si>
  <si>
    <t>Shift collective complaint</t>
  </si>
  <si>
    <t>Cost reduction</t>
  </si>
  <si>
    <t>NRP R$/t</t>
  </si>
  <si>
    <t>US tariff impact</t>
  </si>
  <si>
    <t>Mix DM</t>
  </si>
  <si>
    <t>Price DM</t>
  </si>
  <si>
    <t>Forex Industry</t>
  </si>
  <si>
    <t>TVC</t>
  </si>
  <si>
    <t>TOTAL FC</t>
  </si>
  <si>
    <t>Procurement</t>
  </si>
  <si>
    <t>Gap &amp; Sinergy</t>
  </si>
  <si>
    <t>Total CV</t>
  </si>
  <si>
    <t xml:space="preserve">Usage </t>
  </si>
  <si>
    <t>GAP</t>
  </si>
  <si>
    <t>Forex others (Auto/cost/Inventories)</t>
  </si>
  <si>
    <t>Extemporaneous effects</t>
  </si>
  <si>
    <t>Tuper acquisition</t>
  </si>
  <si>
    <t>Diferença</t>
  </si>
  <si>
    <t>Incluir de Pecem e forex nos estoques</t>
  </si>
  <si>
    <t>Forex nos estoques</t>
  </si>
  <si>
    <t>Diferença Comercial</t>
  </si>
  <si>
    <t>Placas</t>
  </si>
  <si>
    <t>Ajuste Produção</t>
  </si>
  <si>
    <t>Preço HRC</t>
  </si>
  <si>
    <t>Preços MRF1</t>
  </si>
  <si>
    <t>Forex others
 (Auto/cost/Inventories)</t>
  </si>
  <si>
    <t>Unicon, MAG, Gonvarri e Perfilor de jan a dez</t>
  </si>
  <si>
    <t>Mai</t>
  </si>
  <si>
    <t>Jun</t>
  </si>
  <si>
    <t>Jul</t>
  </si>
  <si>
    <t>Ago</t>
  </si>
  <si>
    <t>Set</t>
  </si>
  <si>
    <t>Out</t>
  </si>
  <si>
    <t>Nov</t>
  </si>
  <si>
    <t>Dez</t>
  </si>
  <si>
    <t>R$</t>
  </si>
  <si>
    <t>$</t>
  </si>
  <si>
    <t>Share of JV's:</t>
  </si>
  <si>
    <t>Tuper de jan a abr (40%)</t>
  </si>
  <si>
    <t>AM Tuper (May-Dec)</t>
  </si>
  <si>
    <t>Share of JV's²</t>
  </si>
  <si>
    <t>Actual</t>
  </si>
  <si>
    <t>Jan</t>
  </si>
  <si>
    <t>Fev</t>
  </si>
  <si>
    <t>Mar</t>
  </si>
  <si>
    <t>Abr</t>
  </si>
  <si>
    <t>EBITDA BRL</t>
  </si>
  <si>
    <t>18,87 </t>
  </si>
  <si>
    <t>18,83 </t>
  </si>
  <si>
    <t>18,78 </t>
  </si>
  <si>
    <t>16,45 </t>
  </si>
  <si>
    <t>6,02 </t>
  </si>
  <si>
    <t>5,77 </t>
  </si>
  <si>
    <t>5,75 </t>
  </si>
  <si>
    <t>5,78 </t>
  </si>
  <si>
    <t>EBITDA USD</t>
  </si>
  <si>
    <t>3,13 </t>
  </si>
  <si>
    <t>3,27 </t>
  </si>
  <si>
    <t>2,85 </t>
  </si>
  <si>
    <t>Share</t>
  </si>
  <si>
    <t>EBITDA USD / share</t>
  </si>
  <si>
    <t>FY25</t>
  </si>
  <si>
    <t>13,31 </t>
  </si>
  <si>
    <t>12,02 </t>
  </si>
  <si>
    <t>17,53 </t>
  </si>
  <si>
    <t>15,76 </t>
  </si>
  <si>
    <t>16,82 </t>
  </si>
  <si>
    <t>24,32 </t>
  </si>
  <si>
    <t>17,45 </t>
  </si>
  <si>
    <t>18,54 </t>
  </si>
  <si>
    <t>23,49 </t>
  </si>
  <si>
    <t>18,90 </t>
  </si>
  <si>
    <t>20,64 </t>
  </si>
  <si>
    <t>16,40 </t>
  </si>
  <si>
    <t>5,60 </t>
  </si>
  <si>
    <t>2,38 </t>
  </si>
  <si>
    <t>2,15 </t>
  </si>
  <si>
    <t>2,81 </t>
  </si>
  <si>
    <t>3,00 </t>
  </si>
  <si>
    <t>4,34 </t>
  </si>
  <si>
    <t>3,12 </t>
  </si>
  <si>
    <t>3,31 </t>
  </si>
  <si>
    <t>4,19 </t>
  </si>
  <si>
    <t>3,37 </t>
  </si>
  <si>
    <t>3,69 </t>
  </si>
  <si>
    <t>2,93 </t>
  </si>
  <si>
    <t>=</t>
  </si>
  <si>
    <t>Forex Pecém</t>
  </si>
  <si>
    <t>Ajuste RMB</t>
  </si>
  <si>
    <t>AJUSTADO 2 COM REVISAO DE PAULA</t>
  </si>
  <si>
    <t>Forex others</t>
  </si>
  <si>
    <t>1. Consolidado</t>
  </si>
  <si>
    <t>FEV</t>
  </si>
  <si>
    <t>ABR</t>
  </si>
  <si>
    <t>MAI</t>
  </si>
  <si>
    <t>AGO</t>
  </si>
  <si>
    <t>SET</t>
  </si>
  <si>
    <t>OUT</t>
  </si>
  <si>
    <t>DEZ</t>
  </si>
  <si>
    <t>MR$</t>
  </si>
  <si>
    <t>Total 2025</t>
  </si>
  <si>
    <t>Desvio</t>
  </si>
  <si>
    <t>Jan.25</t>
  </si>
  <si>
    <t>Feb.25</t>
  </si>
  <si>
    <t>Mar.25</t>
  </si>
  <si>
    <t>Apr.25</t>
  </si>
  <si>
    <t>May.25</t>
  </si>
  <si>
    <t>Jun.25</t>
  </si>
  <si>
    <t>Jul.25</t>
  </si>
  <si>
    <t>Aug.25</t>
  </si>
  <si>
    <t>Sep.25</t>
  </si>
  <si>
    <t>Oct.25</t>
  </si>
  <si>
    <t>Nov.25</t>
  </si>
  <si>
    <t>Dec.25</t>
  </si>
  <si>
    <t>Link FFA</t>
  </si>
  <si>
    <t>Share of JV's/subs</t>
  </si>
  <si>
    <t>Extraordinary effects</t>
  </si>
  <si>
    <t>Forex from inventories</t>
  </si>
  <si>
    <t>REBATE VALE</t>
  </si>
  <si>
    <t>MRF9</t>
  </si>
  <si>
    <t>Reintegra Pecem</t>
  </si>
  <si>
    <t>Legal contingency pecem</t>
  </si>
  <si>
    <t>AMS allocation fee</t>
  </si>
  <si>
    <t>AMS fee</t>
  </si>
  <si>
    <t>Volume/mix</t>
  </si>
  <si>
    <t>Insurance claim¹</t>
  </si>
  <si>
    <t>AMG incident (insurance)</t>
  </si>
  <si>
    <t>Minério foex</t>
  </si>
  <si>
    <t>sv BD</t>
  </si>
  <si>
    <t>VeGa</t>
  </si>
  <si>
    <t xml:space="preserve">TOTAL </t>
  </si>
  <si>
    <t>SUBTOTAL</t>
  </si>
  <si>
    <t>SUBTOTAL2</t>
  </si>
  <si>
    <t>Var. HRC</t>
  </si>
  <si>
    <t>FY26'B</t>
  </si>
  <si>
    <t>FY26
Budget</t>
  </si>
  <si>
    <t>Magnelis DM Industry</t>
  </si>
  <si>
    <t>Industry Imports</t>
  </si>
  <si>
    <t>Magnelis DM Downstream</t>
  </si>
  <si>
    <t>Invest</t>
  </si>
  <si>
    <t>Dif.</t>
  </si>
  <si>
    <t>TUPER</t>
  </si>
  <si>
    <t>TEKNO</t>
  </si>
  <si>
    <t>AM Tuper</t>
  </si>
  <si>
    <t>AM Tekno</t>
  </si>
  <si>
    <t>FC Latam basket/mix/open balance</t>
  </si>
  <si>
    <t>LFR industry</t>
  </si>
  <si>
    <t>Slabs &amp; Plates</t>
  </si>
  <si>
    <t xml:space="preserve">Forex (contract) </t>
  </si>
  <si>
    <t>Others (Vale contract specification, VIU, open balance)</t>
  </si>
  <si>
    <t>For information only - Trade defense</t>
  </si>
  <si>
    <t>Trade defense</t>
  </si>
  <si>
    <t>FY26B</t>
  </si>
  <si>
    <t>FY26F</t>
  </si>
  <si>
    <t>Volume &amp; mix</t>
  </si>
  <si>
    <t>Energy (BPM)</t>
  </si>
  <si>
    <t>Energy</t>
  </si>
  <si>
    <t>Consolidated</t>
  </si>
  <si>
    <t>Slabs Others Intragroup</t>
  </si>
  <si>
    <t>Slabs 3rd Party</t>
  </si>
  <si>
    <t>Price industry</t>
  </si>
  <si>
    <t>Tekno</t>
  </si>
  <si>
    <t>MRF3</t>
  </si>
  <si>
    <t>Sales freight</t>
  </si>
  <si>
    <t>FIO - Middle East War (Iran)</t>
  </si>
  <si>
    <t>MRF4</t>
  </si>
  <si>
    <t>Ajuste QM (reclamação cliente)</t>
  </si>
  <si>
    <t>Stock Variation/Others</t>
  </si>
  <si>
    <t>EBITDA COST</t>
  </si>
  <si>
    <t>MRF5</t>
  </si>
  <si>
    <t>For information only - Forex</t>
  </si>
  <si>
    <t>Rebate (pellet premium)</t>
  </si>
  <si>
    <t>Tuper</t>
  </si>
  <si>
    <t>MRF6</t>
  </si>
  <si>
    <t>Slab sales</t>
  </si>
  <si>
    <t>Index cost</t>
  </si>
  <si>
    <t>Freight cost</t>
  </si>
  <si>
    <t>For information only - Middle East war</t>
  </si>
  <si>
    <t>FY26'F7</t>
  </si>
  <si>
    <t>FY26
MRF7</t>
  </si>
  <si>
    <t>Cabotage freight to 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</si>
</sst>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_);_(@_)"/>
    <numFmt numFmtId="166" formatCode="_(* #,##0_);_(* \(#,##0\);_(* &quot;-&quot;??_);_(@_)"/>
    <numFmt numFmtId="167" formatCode="_-* #,##0_-;\-* #,##0_-;_-* &quot;-&quot;??_-;_-@_-"/>
    <numFmt numFmtId="168" formatCode="0.000"/>
    <numFmt numFmtId="169" formatCode="_-* #,##0.00\ _€_-;\-* #,##0.00\ _€_-;_-* &quot;-&quot;??\ _€_-;_-@_-"/>
    <numFmt numFmtId="170" formatCode="#,##0\ &quot;F&quot;;[Red]\-#,##0\ &quot;F&quot;"/>
    <numFmt numFmtId="171" formatCode="0&quot;  &quot;"/>
    <numFmt numFmtId="172" formatCode="0&quot; &quot;%&quot; &quot;"/>
    <numFmt numFmtId="173" formatCode="0.0&quot;  &quot;"/>
    <numFmt numFmtId="174" formatCode="#,##0\ &quot;Kc&quot;;[Red]\-#,##0\ &quot;Kc&quot;"/>
    <numFmt numFmtId="175" formatCode="_-* #,##0\ &quot;DM&quot;_-;\-* #,##0\ &quot;DM&quot;_-;_-* &quot;-&quot;\ &quot;DM&quot;_-;_-@_-"/>
    <numFmt numFmtId="176" formatCode="_-* #,##0\ &quot;Kc&quot;_-;\-* #,##0\ &quot;Kc&quot;_-;_-* &quot;-&quot;\ &quot;Kc&quot;_-;_-@_-"/>
    <numFmt numFmtId="177" formatCode="_-* #,##0\ &quot;Kč&quot;_-;\-* #,##0\ &quot;Kč&quot;_-;_-* &quot;-&quot;\ &quot;Kč&quot;_-;_-@_-"/>
    <numFmt numFmtId="178" formatCode="#,##0.0_);\(#,##0.0\)"/>
    <numFmt numFmtId="179" formatCode="#,##0_ ;\-#,##0\ "/>
    <numFmt numFmtId="180" formatCode="_(* #,##0.0_);_(* \(#,##0.0\);_(* &quot;--- &quot;_)"/>
    <numFmt numFmtId="181" formatCode="&quot;Rp.&quot;#,##0.00_);[Red]\(&quot;Rp.&quot;#,##0.00\)"/>
    <numFmt numFmtId="182" formatCode="General_)"/>
    <numFmt numFmtId="183" formatCode="&quot;$&quot;#,##0_);\(&quot;$&quot;#,##0\)"/>
    <numFmt numFmtId="184" formatCode="&quot;$&quot;#,##0.00"/>
    <numFmt numFmtId="185" formatCode="#,##0.00&quot; F&quot;_);[Red]\(#,##0.00&quot; F&quot;\)"/>
    <numFmt numFmtId="186" formatCode="#,##0.00;[Red]\(#,##0.00\)"/>
    <numFmt numFmtId="187" formatCode="#,##0.000;[Red]\(#,##0.000\)"/>
    <numFmt numFmtId="188" formatCode="#,##0.0000;[Red]\(#,##0.0000\)"/>
    <numFmt numFmtId="189" formatCode="mmmm\-yy"/>
    <numFmt numFmtId="190" formatCode="_ * #,##0.00_ ;_ * \-#,##0.00_ ;_ * &quot;-&quot;??_ ;_ @_ "/>
    <numFmt numFmtId="191" formatCode="#,##0.0000_);\(#,##0.0000\)"/>
    <numFmt numFmtId="192" formatCode="_-* #,##0\ _D_M_-;\-* #,##0\ _D_M_-;_-* &quot;-&quot;\ _D_M_-;_-@_-"/>
    <numFmt numFmtId="193" formatCode="_-* #,##0\ _K_č_-;\-* #,##0\ _K_č_-;_-* &quot;-&quot;\ _K_č_-;_-@_-"/>
    <numFmt numFmtId="194" formatCode="_-* #,##0\ _K_c_-;\-* #,##0\ _K_c_-;_-* &quot;-&quot;\ _K_c_-;_-@_-"/>
    <numFmt numFmtId="195" formatCode="_-* #,##0.00\ _D_M_-;\-* #,##0.00\ _D_M_-;_-* &quot;-&quot;??\ _D_M_-;_-@_-"/>
    <numFmt numFmtId="196" formatCode="_-* #,##0.00\ _K_c_-;\-* #,##0.00\ _K_c_-;_-* &quot;-&quot;??\ _K_c_-;_-@_-"/>
    <numFmt numFmtId="197" formatCode="_-* #,##0.00\ _K_č_-;\-* #,##0.00\ _K_č_-;_-* &quot;-&quot;??\ _K_č_-;_-@_-"/>
    <numFmt numFmtId="198" formatCode="&quot;Kč&quot;#,##0.00"/>
    <numFmt numFmtId="199" formatCode="#,##0.0000"/>
    <numFmt numFmtId="200" formatCode="###\ ###\ ####"/>
    <numFmt numFmtId="201" formatCode="####\ ####\ ##"/>
    <numFmt numFmtId="202" formatCode="#.##"/>
    <numFmt numFmtId="203" formatCode="#,##0."/>
    <numFmt numFmtId="204" formatCode="\$#,##0.00;[Red]\-\$#,##0.00"/>
    <numFmt numFmtId="205" formatCode="&quot;lei&quot;#."/>
    <numFmt numFmtId="206" formatCode="d/\ m\Řs\ˇ\c\ yyyy"/>
    <numFmt numFmtId="207" formatCode="[=0]&quot;&quot;;#,##0.00\ "/>
    <numFmt numFmtId="208" formatCode="_-* #,##0\ _z_l_-;\-* #,##0\ _z_l_-;_-* &quot;-&quot;\ _z_l_-;_-@_-"/>
    <numFmt numFmtId="209" formatCode="_-* #,##0.00\ _z_l_-;\-* #,##0.00\ _z_l_-;_-* &quot;-&quot;??\ _z_l_-;_-@_-"/>
    <numFmt numFmtId="210" formatCode="_-* #,##0.00\ _z_ł_-;\-* #,##0.00\ _z_ł_-;_-* &quot;-&quot;??\ _z_ł_-;_-@_-"/>
    <numFmt numFmtId="211" formatCode="_-* #,##0.00\ &quot;€&quot;_-;\-* #,##0.00\ &quot;€&quot;_-;_-* &quot;-&quot;??\ &quot;€&quot;_-;_-@_-"/>
    <numFmt numFmtId="212" formatCode="#.00"/>
    <numFmt numFmtId="213" formatCode="0.0%"/>
    <numFmt numFmtId="214" formatCode="0."/>
    <numFmt numFmtId="215" formatCode="#,##0.00&quot; $&quot;;\-#,##0.00&quot; $&quot;"/>
    <numFmt numFmtId="216" formatCode="#,##0.00;\-#,##0.00;&quot;&quot;"/>
    <numFmt numFmtId="217" formatCode="#,##0;\-#,##0;&quot; &quot;"/>
    <numFmt numFmtId="218" formatCode="#,##0.00\ &quot;Kc&quot;;[Red]\-#,##0.00\ &quot;Kc&quot;"/>
    <numFmt numFmtId="219" formatCode="_-* #,##0.00\ &quot;DM&quot;_-;\-* #,##0.00\ &quot;DM&quot;_-;_-* &quot;-&quot;??\ &quot;DM&quot;_-;_-@_-"/>
    <numFmt numFmtId="220" formatCode="_-* #,##0.00\ &quot;Kč&quot;_-;\-* #,##0.00\ &quot;Kč&quot;_-;_-* &quot;-&quot;??\ &quot;Kč&quot;_-;_-@_-"/>
    <numFmt numFmtId="221" formatCode="_-* #,##0.00\ &quot;Kc&quot;_-;\-* #,##0.00\ &quot;Kc&quot;_-;_-* &quot;-&quot;??\ &quot;Kc&quot;_-;_-@_-"/>
    <numFmt numFmtId="222" formatCode="_(&quot;$&quot;* #,##0.00_);_(&quot;$&quot;* \(#,##0.00\);_(&quot;$&quot;* &quot;-&quot;??_);_(@_)"/>
    <numFmt numFmtId="223" formatCode="_-* #,##0\ _F_-;\-* #,##0\ _F_-;_-* &quot;-&quot;\ _F_-;_-@_-"/>
    <numFmt numFmtId="224" formatCode="_-* #,##0\ &quot;Pta&quot;_-;\-* #,##0\ &quot;Pta&quot;_-;_-* &quot;-&quot;\ &quot;Pta&quot;_-;_-@_-"/>
    <numFmt numFmtId="225" formatCode="_-* #,##0.00\ &quot;Pta&quot;_-;\-* #,##0.00\ &quot;Pta&quot;_-;_-* &quot;-&quot;??\ &quot;Pta&quot;_-;_-@_-"/>
    <numFmt numFmtId="226" formatCode="_(&quot;$&quot;* #,##0_);_(&quot;$&quot;* \(#,##0\);_(&quot;$&quot;* &quot;-&quot;_);_(@_)"/>
    <numFmt numFmtId="227" formatCode="#&quot; &quot;"/>
    <numFmt numFmtId="228" formatCode="_(* #,##0.0_);_(* \(#,##0.0\);_(* &quot;-&quot;?_);_(@_)"/>
    <numFmt numFmtId="229" formatCode="#,##0.00&quot; F&quot;;[Red]\-#,##0.00&quot; F&quot;"/>
    <numFmt numFmtId="230" formatCode="#,##0.00\ &quot;F&quot;;\-#,##0.00\ &quot;F&quot;"/>
    <numFmt numFmtId="231" formatCode="&quot;$&quot;#\-?/?"/>
    <numFmt numFmtId="232" formatCode="#,"/>
    <numFmt numFmtId="233" formatCode="\ &quot;$&quot;\ #,##0.0_);\ &quot;$&quot;\ \(#,##0.0\)"/>
    <numFmt numFmtId="234" formatCode="m/d"/>
    <numFmt numFmtId="235" formatCode="#,##0&quot;£&quot;_);\(#,##0&quot;£&quot;\)"/>
    <numFmt numFmtId="236" formatCode="000000\ "/>
    <numFmt numFmtId="237" formatCode="_-* #,##0\ &quot;F&quot;_-;\-* #,##0\ &quot;F&quot;_-;_-* &quot;-&quot;\ &quot;F&quot;_-;_-@_-"/>
    <numFmt numFmtId="238" formatCode="_-&quot;£&quot;* #,##0_-;\-&quot;£&quot;* #,##0_-;_-&quot;£&quot;* &quot;-&quot;_-;_-@_-"/>
    <numFmt numFmtId="239" formatCode="0&quot; Employees&quot;"/>
    <numFmt numFmtId="240" formatCode="#,##0.0;[Red]&quot;-&quot;#,##0.0"/>
    <numFmt numFmtId="241" formatCode="_-* #,##0&quot;ð.&quot;_-;\-* #,##0&quot;ð.&quot;_-;_-* &quot;-&quot;&quot;ð.&quot;_-;_-@_-"/>
    <numFmt numFmtId="242" formatCode="_-* #,##0.00&quot;ð.&quot;_-;\-* #,##0.00&quot;ð.&quot;_-;_-* &quot;-&quot;??&quot;ð.&quot;_-;_-@_-"/>
    <numFmt numFmtId="243" formatCode="_-* #,##0\ _р_._-;\-* #,##0\ _р_._-;_-* &quot;-&quot;\ _р_._-;_-@_-"/>
    <numFmt numFmtId="244" formatCode="_-* #,##0.00\ _р_._-;\-* #,##0.00\ _р_._-;_-* &quot;-&quot;??\ _р_._-;_-@_-"/>
    <numFmt numFmtId="245" formatCode="_-* #,##0_ð_._-;\-* #,##0_ð_._-;_-* &quot;-&quot;_ð_._-;_-@_-"/>
    <numFmt numFmtId="246" formatCode="_-* #,##0.00_ð_._-;\-* #,##0.00_ð_._-;_-* &quot;-&quot;??_ð_._-;_-@_-"/>
    <numFmt numFmtId="247" formatCode="_ * #,##0_ ;_ * \-#,##0_ ;_ * &quot;-&quot;??_ ;_ @_ "/>
    <numFmt numFmtId="248" formatCode="&quot;&quot;#,##0_);\(&quot;&quot;#,##0\)"/>
    <numFmt numFmtId="249" formatCode="&quot;$ &quot;#,##0_);\(&quot;$ &quot;#,##0\)"/>
    <numFmt numFmtId="250" formatCode="&quot;R$&quot;\ ###0_);\(&quot;R$&quot;\ ###0\)"/>
    <numFmt numFmtId="251" formatCode="0.0"/>
    <numFmt numFmtId="252" formatCode="#,##0.0;\-#,##0.0"/>
    <numFmt numFmtId="253" formatCode="&quot;$ &quot;#,##0.0_);\(&quot;$ &quot;#,##0.0\)"/>
    <numFmt numFmtId="254" formatCode="&quot;R$&quot;#,##0"/>
    <numFmt numFmtId="255" formatCode="&quot;$ &quot;#,##0.00_);\(&quot;$ &quot;#,##0.00\)"/>
    <numFmt numFmtId="256" formatCode="&quot;$&quot;#,##0.00_);\(&quot;$&quot;#,##0.00\)"/>
    <numFmt numFmtId="257" formatCode="###,###,##0"/>
    <numFmt numFmtId="258" formatCode="#,##0.0"/>
    <numFmt numFmtId="259" formatCode="_(* #,##0.0_);_(* \(#,##0.0\);_(* &quot;-&quot;??_);_(@_)"/>
    <numFmt numFmtId="260" formatCode="&quot;$&quot;#,##0.0_);\(&quot;$&quot;#,##0.0\)"/>
    <numFmt numFmtId="261" formatCode="_(* #,##0.000_);_(* \(#,##0.000\);_(* &quot;-&quot;??_);_(@_)"/>
    <numFmt numFmtId="262" formatCode="#,##0.000"/>
    <numFmt numFmtId="263" formatCode="_-* #,##0_-;\-* #,##0_-;_-* &quot;-&quot;???_-;_-@_-"/>
    <numFmt numFmtId="264" formatCode="&quot;$&quot;#,##0.000_);\(&quot;$&quot;#,##0.000\)"/>
    <numFmt numFmtId="265" formatCode="_-* #,##0.00_-;\-* #,##0.00_-;_-* &quot;-&quot;???_-;_-@_-"/>
    <numFmt numFmtId="266" formatCode="###,000"/>
    <numFmt numFmtId="267" formatCode="#,##0.00\ &quot;MIX&quot;"/>
    <numFmt numFmtId="268" formatCode="_ * #,##0.0_ ;_ * \-#,##0.0_ ;_ * &quot;-&quot;??_ ;_ @_ "/>
  </numFmts>
  <fonts count="24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u/>
      <sz val="10"/>
      <color rgb="FF0070C0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12"/>
      <name val="Calibri"/>
      <family val="2"/>
      <scheme val="minor"/>
    </font>
    <font>
      <i/>
      <sz val="10"/>
      <color indexed="12"/>
      <name val="Calibri"/>
      <family val="2"/>
      <scheme val="minor"/>
    </font>
    <font>
      <u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indexed="10"/>
      <name val="Calibri"/>
      <family val="2"/>
      <scheme val="minor"/>
    </font>
    <font>
      <b/>
      <u/>
      <sz val="10"/>
      <name val="Calibri"/>
      <family val="2"/>
      <scheme val="minor"/>
    </font>
    <font>
      <sz val="8"/>
      <color indexed="12"/>
      <name val="Arial"/>
      <family val="2"/>
    </font>
    <font>
      <sz val="10"/>
      <color indexed="8"/>
      <name val="MS Sans Serif"/>
      <family val="2"/>
    </font>
    <font>
      <sz val="10"/>
      <name val="Book Antiqua"/>
      <family val="1"/>
    </font>
    <font>
      <u/>
      <sz val="8.4"/>
      <color indexed="12"/>
      <name val="Arial"/>
      <family val="2"/>
    </font>
    <font>
      <sz val="12"/>
      <name val="???"/>
      <family val="1"/>
      <charset val="129"/>
    </font>
    <font>
      <sz val="10"/>
      <name val="Helv"/>
    </font>
    <font>
      <sz val="10"/>
      <color indexed="8"/>
      <name val="Arial"/>
      <family val="2"/>
    </font>
    <font>
      <sz val="10"/>
      <name val="Helv"/>
      <family val="2"/>
    </font>
    <font>
      <sz val="1"/>
      <color indexed="8"/>
      <name val="Courier"/>
      <family val="3"/>
    </font>
    <font>
      <sz val="10"/>
      <name val="MS Sans Serif"/>
      <family val="2"/>
    </font>
    <font>
      <sz val="10"/>
      <name val="Arial CE"/>
      <charset val="238"/>
    </font>
    <font>
      <sz val="11"/>
      <name val="Bez Patky"/>
      <charset val="238"/>
    </font>
    <font>
      <sz val="1"/>
      <color indexed="0"/>
      <name val="Courier"/>
      <family val="3"/>
    </font>
    <font>
      <sz val="8"/>
      <name val="Arial Narrow"/>
      <family val="2"/>
      <charset val="23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Arial MT"/>
    </font>
    <font>
      <sz val="9"/>
      <color indexed="12"/>
      <name val="Times New Roman"/>
      <family val="1"/>
    </font>
    <font>
      <sz val="8"/>
      <name val="Times New Roman"/>
      <family val="1"/>
    </font>
    <font>
      <sz val="11"/>
      <color indexed="20"/>
      <name val="Calibri"/>
      <family val="2"/>
    </font>
    <font>
      <sz val="8"/>
      <color indexed="12"/>
      <name val="Tms Rmn"/>
    </font>
    <font>
      <sz val="12"/>
      <name val="Tms Rmn"/>
    </font>
    <font>
      <sz val="8"/>
      <name val="SwitzerlandLight"/>
    </font>
    <font>
      <sz val="7"/>
      <name val="Times New Roman"/>
      <family val="1"/>
    </font>
    <font>
      <b/>
      <sz val="10"/>
      <name val="MS Sans Serif"/>
      <family val="2"/>
    </font>
    <font>
      <sz val="8"/>
      <name val="Arial"/>
      <family val="2"/>
    </font>
    <font>
      <b/>
      <sz val="14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24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9"/>
      <name val="Arial"/>
      <family val="2"/>
    </font>
    <font>
      <i/>
      <sz val="10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b/>
      <sz val="11"/>
      <color indexed="52"/>
      <name val="Calibri"/>
      <family val="2"/>
    </font>
    <font>
      <sz val="10"/>
      <name val="Trebuchet MS"/>
      <family val="2"/>
    </font>
    <font>
      <sz val="8"/>
      <name val="Arial"/>
      <family val="2"/>
      <charset val="238"/>
    </font>
    <font>
      <b/>
      <sz val="10"/>
      <name val="Univers CE"/>
      <family val="2"/>
      <charset val="238"/>
    </font>
    <font>
      <b/>
      <sz val="10"/>
      <name val="Helv"/>
    </font>
    <font>
      <sz val="8"/>
      <name val="Tms Rmn"/>
    </font>
    <font>
      <sz val="10"/>
      <color indexed="18"/>
      <name val="Times New Roman"/>
      <family val="1"/>
    </font>
    <font>
      <b/>
      <sz val="11"/>
      <color indexed="9"/>
      <name val="Calibri"/>
      <family val="2"/>
    </font>
    <font>
      <b/>
      <sz val="8"/>
      <name val="Arial"/>
      <family val="2"/>
    </font>
    <font>
      <b/>
      <sz val="11"/>
      <name val="Times New Roman"/>
      <family val="1"/>
    </font>
    <font>
      <b/>
      <u/>
      <sz val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b/>
      <sz val="11"/>
      <name val="Times New Roman CE"/>
      <family val="1"/>
      <charset val="238"/>
    </font>
    <font>
      <sz val="12"/>
      <name val="Tms Rmn"/>
      <charset val="238"/>
    </font>
    <font>
      <b/>
      <u/>
      <sz val="18"/>
      <color indexed="10"/>
      <name val="Times New Roman"/>
      <family val="1"/>
    </font>
    <font>
      <b/>
      <sz val="8"/>
      <name val="Helv"/>
    </font>
    <font>
      <i/>
      <sz val="11"/>
      <color indexed="23"/>
      <name val="Calibri"/>
      <family val="2"/>
    </font>
    <font>
      <i/>
      <sz val="1"/>
      <color indexed="8"/>
      <name val="Courier"/>
      <family val="3"/>
    </font>
    <font>
      <sz val="11"/>
      <color indexed="17"/>
      <name val="Calibri"/>
      <family val="2"/>
    </font>
    <font>
      <b/>
      <sz val="12"/>
      <color indexed="10"/>
      <name val="Arial"/>
      <family val="2"/>
    </font>
    <font>
      <b/>
      <sz val="20"/>
      <color indexed="17"/>
      <name val="Times New Roman"/>
      <family val="1"/>
    </font>
    <font>
      <sz val="9"/>
      <name val="Futura UBS Bk"/>
      <family val="2"/>
    </font>
    <font>
      <b/>
      <sz val="12"/>
      <name val="Helv"/>
    </font>
    <font>
      <b/>
      <sz val="12"/>
      <name val="Tahom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color indexed="12"/>
      <name val="Arial"/>
      <family val="2"/>
    </font>
    <font>
      <u/>
      <sz val="10"/>
      <color indexed="12"/>
      <name val="Arial CE"/>
      <charset val="238"/>
    </font>
    <font>
      <sz val="10"/>
      <name val="Tahoma"/>
      <family val="2"/>
    </font>
    <font>
      <sz val="11"/>
      <color indexed="62"/>
      <name val="Calibri"/>
      <family val="2"/>
    </font>
    <font>
      <sz val="12"/>
      <name val="Helv"/>
    </font>
    <font>
      <sz val="10"/>
      <color indexed="12"/>
      <name val="Times New Roman"/>
      <family val="1"/>
    </font>
    <font>
      <sz val="12"/>
      <color indexed="8"/>
      <name val="Arial"/>
      <family val="2"/>
    </font>
    <font>
      <sz val="11"/>
      <color indexed="52"/>
      <name val="Calibri"/>
      <family val="2"/>
    </font>
    <font>
      <b/>
      <sz val="11"/>
      <name val="Helv"/>
    </font>
    <font>
      <b/>
      <sz val="1"/>
      <color indexed="8"/>
      <name val="Courier"/>
      <family val="3"/>
    </font>
    <font>
      <b/>
      <sz val="14"/>
      <color indexed="9"/>
      <name val="Times New Roman CE"/>
      <family val="1"/>
      <charset val="238"/>
    </font>
    <font>
      <sz val="11"/>
      <color indexed="60"/>
      <name val="Calibri"/>
      <family val="2"/>
    </font>
    <font>
      <sz val="7"/>
      <name val="Small Fonts"/>
      <family val="2"/>
    </font>
    <font>
      <sz val="10"/>
      <name val="Courier"/>
      <family val="3"/>
    </font>
    <font>
      <b/>
      <u/>
      <sz val="14"/>
      <color indexed="12"/>
      <name val="Times New Roman"/>
      <family val="1"/>
    </font>
    <font>
      <b/>
      <sz val="18"/>
      <color indexed="12"/>
      <name val="Times New Roman"/>
      <family val="1"/>
    </font>
    <font>
      <b/>
      <sz val="24"/>
      <name val="Helv"/>
    </font>
    <font>
      <sz val="12"/>
      <name val="Helv"/>
      <charset val="238"/>
    </font>
    <font>
      <sz val="9"/>
      <name val="Arial CE"/>
      <charset val="238"/>
    </font>
    <font>
      <u/>
      <sz val="10"/>
      <color indexed="36"/>
      <name val="Arial CE"/>
      <charset val="238"/>
    </font>
    <font>
      <sz val="11"/>
      <name val="‚l‚r –¾’©"/>
      <charset val="128"/>
    </font>
    <font>
      <b/>
      <sz val="13.5"/>
      <name val="MS Sans Serif"/>
      <family val="2"/>
    </font>
    <font>
      <b/>
      <sz val="11"/>
      <color indexed="63"/>
      <name val="Calibri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sz val="10"/>
      <name val="GillSans"/>
    </font>
    <font>
      <u/>
      <sz val="8"/>
      <name val="Arial"/>
      <family val="2"/>
    </font>
    <font>
      <b/>
      <sz val="10"/>
      <name val="Frutiger 55 Roman"/>
      <family val="2"/>
    </font>
    <font>
      <sz val="8"/>
      <color indexed="38"/>
      <name val="Arial"/>
      <family val="2"/>
    </font>
    <font>
      <b/>
      <sz val="9"/>
      <name val="Arial"/>
      <family val="2"/>
    </font>
    <font>
      <b/>
      <i/>
      <sz val="16"/>
      <name val="Arial"/>
      <family val="2"/>
    </font>
    <font>
      <b/>
      <sz val="12"/>
      <color indexed="32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b/>
      <sz val="10"/>
      <color indexed="8"/>
      <name val="Arial"/>
      <family val="2"/>
    </font>
    <font>
      <i/>
      <sz val="12"/>
      <color indexed="8"/>
      <name val="Arial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sz val="8"/>
      <name val="Tahoma"/>
      <family val="2"/>
    </font>
    <font>
      <sz val="1"/>
      <color indexed="18"/>
      <name val="Courier"/>
      <family val="3"/>
    </font>
    <font>
      <b/>
      <sz val="10"/>
      <color indexed="32"/>
      <name val="Arial"/>
      <family val="2"/>
    </font>
    <font>
      <b/>
      <sz val="10"/>
      <name val="Tahoma"/>
      <family val="2"/>
    </font>
    <font>
      <b/>
      <sz val="9"/>
      <name val="Tahoma"/>
      <family val="2"/>
    </font>
    <font>
      <b/>
      <sz val="10"/>
      <color indexed="8"/>
      <name val="Times New Roman"/>
      <family val="1"/>
    </font>
    <font>
      <b/>
      <sz val="18"/>
      <color indexed="56"/>
      <name val="Cambria"/>
      <family val="2"/>
    </font>
    <font>
      <b/>
      <u/>
      <sz val="12"/>
      <name val="Arial"/>
      <family val="2"/>
    </font>
    <font>
      <sz val="10"/>
      <color indexed="32"/>
      <name val="Arial"/>
      <family val="2"/>
    </font>
    <font>
      <b/>
      <sz val="9"/>
      <color indexed="12"/>
      <name val="Arial"/>
      <family val="2"/>
    </font>
    <font>
      <sz val="8"/>
      <color indexed="10"/>
      <name val="Arial Narrow"/>
      <family val="2"/>
    </font>
    <font>
      <sz val="8"/>
      <color indexed="16"/>
      <name val="Helv"/>
    </font>
    <font>
      <sz val="11"/>
      <color indexed="10"/>
      <name val="Calibri"/>
      <family val="2"/>
    </font>
    <font>
      <b/>
      <sz val="20"/>
      <name val="Times New Roman CE"/>
      <family val="1"/>
      <charset val="238"/>
    </font>
    <font>
      <sz val="10"/>
      <name val="Courier New Cyr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sz val="11"/>
      <name val="明朝"/>
      <family val="1"/>
      <charset val="128"/>
    </font>
    <font>
      <b/>
      <i/>
      <sz val="10"/>
      <name val="Trebuchet MS"/>
      <family val="2"/>
    </font>
    <font>
      <b/>
      <sz val="10"/>
      <color indexed="9"/>
      <name val="Trebuchet MS"/>
      <family val="2"/>
    </font>
    <font>
      <b/>
      <sz val="10"/>
      <name val="Trebuchet MS"/>
      <family val="2"/>
    </font>
    <font>
      <sz val="10"/>
      <color rgb="FFFF0000"/>
      <name val="Trebuchet MS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8"/>
      <color theme="0"/>
      <name val="Calibri"/>
      <family val="2"/>
    </font>
    <font>
      <sz val="8"/>
      <name val="Calibri"/>
      <family val="2"/>
    </font>
    <font>
      <b/>
      <sz val="8"/>
      <name val="Calibri"/>
      <family val="2"/>
    </font>
    <font>
      <b/>
      <sz val="8"/>
      <color indexed="8"/>
      <name val="Calibri"/>
      <family val="2"/>
    </font>
    <font>
      <sz val="8"/>
      <color indexed="8"/>
      <name val="Calibri"/>
      <family val="2"/>
    </font>
    <font>
      <sz val="8"/>
      <color rgb="FFFF0000"/>
      <name val="Calibri"/>
      <family val="2"/>
    </font>
    <font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b/>
      <u/>
      <sz val="8"/>
      <name val="Calibri"/>
      <family val="2"/>
    </font>
    <font>
      <sz val="10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color rgb="FFFF0000"/>
      <name val="Trebuchet MS"/>
      <family val="2"/>
    </font>
    <font>
      <sz val="10"/>
      <color theme="1"/>
      <name val="Trebuchet MS"/>
      <family val="2"/>
    </font>
    <font>
      <sz val="10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10"/>
      <color rgb="FFFFFFFF"/>
      <name val="Trebuchet MS"/>
      <family val="2"/>
    </font>
    <font>
      <sz val="10"/>
      <color rgb="FF000000"/>
      <name val="Trebuchet MS"/>
      <family val="2"/>
    </font>
    <font>
      <b/>
      <sz val="11"/>
      <color theme="1"/>
      <name val="Trebuchet MS"/>
      <family val="2"/>
    </font>
    <font>
      <sz val="10"/>
      <color rgb="FF595959"/>
      <name val="Trebuchet MS"/>
      <family val="2"/>
    </font>
    <font>
      <b/>
      <sz val="11"/>
      <color theme="0"/>
      <name val="Trebuchet MS"/>
      <family val="2"/>
    </font>
    <font>
      <sz val="10"/>
      <color theme="3"/>
      <name val="Trebuchet MS"/>
      <family val="2"/>
    </font>
    <font>
      <sz val="10"/>
      <color theme="0"/>
      <name val="Trebuchet MS"/>
      <family val="2"/>
    </font>
    <font>
      <i/>
      <sz val="8"/>
      <name val="Calibri"/>
      <family val="2"/>
      <scheme val="minor"/>
    </font>
    <font>
      <i/>
      <sz val="8"/>
      <name val="Calibri"/>
      <family val="2"/>
    </font>
    <font>
      <b/>
      <i/>
      <sz val="8"/>
      <name val="Calibri"/>
      <family val="2"/>
      <scheme val="minor"/>
    </font>
    <font>
      <b/>
      <i/>
      <sz val="8"/>
      <name val="Calibri"/>
      <family val="2"/>
    </font>
    <font>
      <b/>
      <sz val="10"/>
      <color theme="0"/>
      <name val="Trebuchet MS"/>
      <family val="2"/>
    </font>
    <font>
      <i/>
      <sz val="10"/>
      <color rgb="FF0070C0"/>
      <name val="Trebuchet MS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Trebuchet MS"/>
      <family val="2"/>
    </font>
    <font>
      <b/>
      <sz val="8"/>
      <color rgb="FF000000"/>
      <name val="Arial"/>
      <family val="2"/>
    </font>
    <font>
      <b/>
      <sz val="8"/>
      <color rgb="FFFFFFFF"/>
      <name val="Arial"/>
      <family val="2"/>
    </font>
    <font>
      <b/>
      <i/>
      <sz val="8"/>
      <color rgb="FFFFFFFF"/>
      <name val="Arial"/>
      <family val="2"/>
    </font>
    <font>
      <b/>
      <i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000000"/>
      <name val="MS Sans Serif"/>
    </font>
    <font>
      <i/>
      <sz val="8"/>
      <color rgb="FFFFFFFF"/>
      <name val="Arial"/>
      <family val="2"/>
    </font>
    <font>
      <sz val="8"/>
      <color rgb="FF000000"/>
      <name val="Ct Font Dlg"/>
    </font>
    <font>
      <sz val="8"/>
      <color rgb="FF000000"/>
      <name val="Tahoma"/>
      <family val="2"/>
    </font>
    <font>
      <b/>
      <sz val="8"/>
      <name val="Trebuchet MS"/>
      <family val="2"/>
    </font>
    <font>
      <i/>
      <sz val="8"/>
      <name val="Trebuchet MS"/>
      <family val="2"/>
    </font>
    <font>
      <sz val="8"/>
      <name val="Trebuchet MS"/>
      <family val="2"/>
    </font>
    <font>
      <sz val="14"/>
      <color rgb="FF000000"/>
      <name val="Times New Roman"/>
      <family val="1"/>
    </font>
    <font>
      <b/>
      <sz val="8"/>
      <color theme="0"/>
      <name val="Trebuchet MS"/>
      <family val="2"/>
    </font>
    <font>
      <i/>
      <sz val="8"/>
      <color rgb="FFFF0000"/>
      <name val="Calibri"/>
      <family val="2"/>
    </font>
    <font>
      <b/>
      <sz val="11"/>
      <name val="Calibri"/>
      <family val="2"/>
      <scheme val="minor"/>
    </font>
    <font>
      <sz val="6"/>
      <name val="Calibri"/>
      <family val="2"/>
    </font>
    <font>
      <sz val="8"/>
      <color indexed="8"/>
      <name val="Trebuchet MS"/>
      <family val="2"/>
    </font>
    <font>
      <i/>
      <u/>
      <sz val="10"/>
      <name val="Trebuchet MS"/>
      <family val="2"/>
    </font>
    <font>
      <i/>
      <sz val="10"/>
      <color rgb="FFFF0000"/>
      <name val="Trebuchet MS"/>
      <family val="2"/>
    </font>
    <font>
      <sz val="8"/>
      <name val="Arial"/>
      <family val="2"/>
    </font>
    <font>
      <b/>
      <sz val="10"/>
      <color rgb="FF7030A0"/>
      <name val="Calibri"/>
      <family val="2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8"/>
      <name val="Arial"/>
      <family val="2"/>
    </font>
    <font>
      <sz val="8"/>
      <color theme="1"/>
      <name val="Calibri"/>
      <family val="2"/>
    </font>
    <font>
      <b/>
      <sz val="8"/>
      <color rgb="FF1F497D"/>
      <name val="Verdana"/>
      <family val="2"/>
    </font>
    <font>
      <sz val="8"/>
      <color rgb="FF1F497D"/>
      <name val="Verdana"/>
      <family val="2"/>
    </font>
    <font>
      <sz val="8"/>
      <color rgb="FF000000"/>
      <name val="Verdana"/>
      <family val="2"/>
    </font>
    <font>
      <sz val="10"/>
      <color indexed="9"/>
      <name val="Arial"/>
      <family val="2"/>
    </font>
    <font>
      <sz val="11"/>
      <color indexed="16"/>
      <name val="Calibri"/>
      <family val="2"/>
    </font>
    <font>
      <b/>
      <sz val="11"/>
      <color indexed="53"/>
      <name val="Calibri"/>
      <family val="2"/>
    </font>
    <font>
      <b/>
      <sz val="11"/>
      <color indexed="8"/>
      <name val="Calibri"/>
      <family val="2"/>
    </font>
    <font>
      <i/>
      <sz val="10"/>
      <color indexed="23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48"/>
      <name val="Calibri"/>
      <family val="2"/>
    </font>
    <font>
      <sz val="11"/>
      <color indexed="53"/>
      <name val="Calibri"/>
      <family val="2"/>
    </font>
    <font>
      <b/>
      <sz val="18"/>
      <color indexed="62"/>
      <name val="Cambria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8"/>
      <color indexed="62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sz val="11"/>
      <color theme="1"/>
      <name val="Ronnia Lt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9"/>
      <name val="Trebuchet MS"/>
      <family val="2"/>
    </font>
    <font>
      <u/>
      <sz val="11"/>
      <color theme="10"/>
      <name val="Calibri"/>
      <family val="2"/>
      <scheme val="minor"/>
    </font>
    <font>
      <b/>
      <sz val="8"/>
      <color rgb="FFFF0000"/>
      <name val="Calibri"/>
      <family val="2"/>
    </font>
    <font>
      <b/>
      <sz val="10"/>
      <name val="Arial"/>
      <family val="2"/>
    </font>
    <font>
      <sz val="8"/>
      <color theme="1"/>
      <name val="Trebuchet MS"/>
      <family val="2"/>
    </font>
  </fonts>
  <fills count="13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gray0625"/>
    </fill>
    <fill>
      <patternFill patternType="solid">
        <fgColor indexed="55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2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mediumGray">
        <fgColor indexed="22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1"/>
      </patternFill>
    </fill>
    <fill>
      <patternFill patternType="solid">
        <fgColor indexed="9"/>
        <bgColor indexed="19"/>
      </patternFill>
    </fill>
    <fill>
      <patternFill patternType="solid">
        <fgColor indexed="12"/>
      </patternFill>
    </fill>
    <fill>
      <patternFill patternType="solid">
        <fgColor indexed="13"/>
      </patternFill>
    </fill>
    <fill>
      <patternFill patternType="solid">
        <fgColor indexed="62"/>
        <bgColor indexed="64"/>
      </patternFill>
    </fill>
    <fill>
      <patternFill patternType="solid">
        <fgColor indexed="17"/>
        <bgColor indexed="64"/>
      </patternFill>
    </fill>
    <fill>
      <patternFill patternType="lightUp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249977111117893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gray125">
        <bgColor theme="7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0021"/>
        <bgColor indexed="64"/>
      </patternFill>
    </fill>
    <fill>
      <patternFill patternType="solid">
        <fgColor rgb="FF460A78"/>
        <bgColor indexed="64"/>
      </patternFill>
    </fill>
    <fill>
      <patternFill patternType="solid">
        <fgColor rgb="FFCFCCD6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DBE5F1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B7CFE8"/>
        <bgColor rgb="FF000000"/>
      </patternFill>
    </fill>
    <fill>
      <patternFill patternType="solid">
        <fgColor indexed="40"/>
      </patternFill>
    </fill>
    <fill>
      <patternFill patternType="solid">
        <fgColor indexed="9"/>
      </patternFill>
    </fill>
    <fill>
      <patternFill patternType="solid">
        <fgColor indexed="54"/>
      </patternFill>
    </fill>
    <fill>
      <patternFill patternType="solid">
        <fgColor indexed="48"/>
        <bgColor indexed="48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25"/>
        <bgColor indexed="25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23"/>
        <bgColor indexed="23"/>
      </patternFill>
    </fill>
    <fill>
      <patternFill patternType="solid">
        <fgColor indexed="49"/>
        <bgColor indexed="49"/>
      </patternFill>
    </fill>
    <fill>
      <patternFill patternType="solid">
        <fgColor indexed="52"/>
        <bgColor indexed="52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42"/>
        <bgColor indexed="42"/>
      </patternFill>
    </fill>
    <fill>
      <patternFill patternType="solid">
        <fgColor indexed="5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3"/>
        <bgColor indexed="64"/>
      </patternFill>
    </fill>
    <fill>
      <patternFill patternType="lightTrellis">
        <fgColor indexed="26"/>
        <bgColor indexed="26"/>
      </patternFill>
    </fill>
    <fill>
      <patternFill patternType="solid">
        <fgColor rgb="FFFFB947"/>
        <bgColor indexed="64"/>
      </patternFill>
    </fill>
    <fill>
      <patternFill patternType="lightUp">
        <fgColor theme="0"/>
        <bgColor theme="0" tint="-0.14993743705557422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DFCF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F1F5FB"/>
        <bgColor rgb="FF000000"/>
      </patternFill>
    </fill>
  </fills>
  <borders count="153">
    <border>
      <left/>
      <right/>
      <top/>
      <bottom/>
      <diagonal/>
    </border>
    <border>
      <left/>
      <right/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tted">
        <color indexed="23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/>
      <right/>
      <top style="medium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/>
      <bottom style="medium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 style="medium">
        <color theme="0" tint="-0.249977111117893"/>
      </bottom>
      <diagonal/>
    </border>
    <border>
      <left/>
      <right/>
      <top style="medium">
        <color theme="0" tint="-0.249977111117893"/>
      </top>
      <bottom/>
      <diagonal/>
    </border>
    <border>
      <left/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249977111117893"/>
      </left>
      <right style="medium">
        <color theme="0" tint="-0.249977111117893"/>
      </right>
      <top/>
      <bottom/>
      <diagonal/>
    </border>
    <border>
      <left/>
      <right style="medium">
        <color theme="0" tint="-0.249977111117893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hair">
        <color auto="1"/>
      </left>
      <right style="hair">
        <color indexed="64"/>
      </right>
      <top/>
      <bottom/>
      <diagonal/>
    </border>
    <border>
      <left/>
      <right/>
      <top style="dotted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dotted">
        <color indexed="64"/>
      </right>
      <top style="hair">
        <color indexed="64"/>
      </top>
      <bottom/>
      <diagonal/>
    </border>
    <border>
      <left style="dotted">
        <color indexed="64"/>
      </left>
      <right/>
      <top style="hair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53"/>
      </bottom>
      <diagonal/>
    </border>
    <border>
      <left style="thin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4"/>
      </left>
      <right style="thin">
        <color indexed="41"/>
      </right>
      <top style="medium">
        <color indexed="41"/>
      </top>
      <bottom style="thin">
        <color indexed="41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rgb="FF3C3C3C"/>
      </right>
      <top style="thin">
        <color rgb="FF3C3C3C"/>
      </top>
      <bottom style="thin">
        <color rgb="FF3C3C3C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979">
    <xf numFmtId="0" fontId="0" fillId="0" borderId="0"/>
    <xf numFmtId="164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5" fillId="0" borderId="0"/>
    <xf numFmtId="164" fontId="15" fillId="0" borderId="0" applyFont="0" applyFill="0" applyBorder="0" applyAlignment="0" applyProtection="0"/>
    <xf numFmtId="169" fontId="15" fillId="0" borderId="0" applyFont="0" applyFill="0" applyBorder="0" applyAlignment="0" applyProtection="0"/>
    <xf numFmtId="9" fontId="24" fillId="0" borderId="0">
      <alignment horizontal="right"/>
    </xf>
    <xf numFmtId="0" fontId="25" fillId="0" borderId="0"/>
    <xf numFmtId="164" fontId="15" fillId="0" borderId="0" applyFont="0" applyFill="0" applyBorder="0" applyAlignment="0" applyProtection="0"/>
    <xf numFmtId="170" fontId="26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8" fillId="0" borderId="0"/>
    <xf numFmtId="0" fontId="29" fillId="0" borderId="0"/>
    <xf numFmtId="0" fontId="29" fillId="0" borderId="0"/>
    <xf numFmtId="0" fontId="29" fillId="0" borderId="0"/>
    <xf numFmtId="0" fontId="25" fillId="0" borderId="0"/>
    <xf numFmtId="0" fontId="30" fillId="0" borderId="0">
      <alignment vertical="top"/>
    </xf>
    <xf numFmtId="0" fontId="30" fillId="0" borderId="0">
      <alignment vertical="top"/>
    </xf>
    <xf numFmtId="0" fontId="30" fillId="0" borderId="0">
      <alignment vertical="top"/>
    </xf>
    <xf numFmtId="0" fontId="25" fillId="0" borderId="0"/>
    <xf numFmtId="0" fontId="31" fillId="0" borderId="0"/>
    <xf numFmtId="0" fontId="29" fillId="0" borderId="0"/>
    <xf numFmtId="0" fontId="29" fillId="0" borderId="0"/>
    <xf numFmtId="0" fontId="15" fillId="0" borderId="0"/>
    <xf numFmtId="0" fontId="30" fillId="0" borderId="0">
      <alignment vertical="top"/>
    </xf>
    <xf numFmtId="0" fontId="30" fillId="0" borderId="0">
      <alignment vertical="top"/>
    </xf>
    <xf numFmtId="0" fontId="30" fillId="0" borderId="0">
      <alignment vertical="top"/>
    </xf>
    <xf numFmtId="0" fontId="29" fillId="0" borderId="0"/>
    <xf numFmtId="0" fontId="30" fillId="0" borderId="0">
      <alignment vertical="top"/>
    </xf>
    <xf numFmtId="0" fontId="30" fillId="0" borderId="0">
      <alignment vertical="top"/>
    </xf>
    <xf numFmtId="0" fontId="30" fillId="0" borderId="0">
      <alignment vertical="top"/>
    </xf>
    <xf numFmtId="0" fontId="29" fillId="0" borderId="0"/>
    <xf numFmtId="0" fontId="30" fillId="0" borderId="0">
      <alignment vertical="top"/>
    </xf>
    <xf numFmtId="0" fontId="30" fillId="0" borderId="0">
      <alignment vertical="top"/>
    </xf>
    <xf numFmtId="0" fontId="30" fillId="0" borderId="0">
      <alignment vertical="top"/>
    </xf>
    <xf numFmtId="0" fontId="30" fillId="0" borderId="0">
      <alignment vertical="top"/>
    </xf>
    <xf numFmtId="0" fontId="30" fillId="0" borderId="0">
      <alignment vertical="top"/>
    </xf>
    <xf numFmtId="0" fontId="30" fillId="0" borderId="0">
      <alignment vertical="top"/>
    </xf>
    <xf numFmtId="0" fontId="30" fillId="0" borderId="0">
      <alignment vertical="top"/>
    </xf>
    <xf numFmtId="0" fontId="30" fillId="0" borderId="0">
      <alignment vertical="top"/>
    </xf>
    <xf numFmtId="0" fontId="30" fillId="0" borderId="0">
      <alignment vertical="top"/>
    </xf>
    <xf numFmtId="164" fontId="15" fillId="0" borderId="0" applyFont="0" applyFill="0" applyBorder="0" applyAlignment="0" applyProtection="0"/>
    <xf numFmtId="0" fontId="32" fillId="0" borderId="0">
      <protection locked="0"/>
    </xf>
    <xf numFmtId="0" fontId="32" fillId="0" borderId="0">
      <protection locked="0"/>
    </xf>
    <xf numFmtId="171" fontId="15" fillId="0" borderId="0" applyFont="0" applyFill="0" applyBorder="0" applyProtection="0">
      <alignment horizontal="right" vertical="center"/>
    </xf>
    <xf numFmtId="172" fontId="15" fillId="0" borderId="0" applyFont="0" applyFill="0" applyBorder="0" applyProtection="0">
      <alignment horizontal="right" vertical="center"/>
    </xf>
    <xf numFmtId="173" fontId="15" fillId="0" borderId="0" applyFont="0" applyFill="0" applyBorder="0" applyProtection="0">
      <alignment horizontal="right" vertical="center"/>
    </xf>
    <xf numFmtId="0" fontId="33" fillId="0" borderId="0"/>
    <xf numFmtId="0" fontId="33" fillId="0" borderId="0"/>
    <xf numFmtId="2" fontId="33" fillId="0" borderId="0"/>
    <xf numFmtId="10" fontId="33" fillId="0" borderId="0"/>
    <xf numFmtId="0" fontId="33" fillId="0" borderId="0"/>
    <xf numFmtId="0" fontId="33" fillId="0" borderId="0"/>
    <xf numFmtId="171" fontId="15" fillId="0" borderId="0" applyFont="0" applyFill="0" applyBorder="0" applyProtection="0">
      <alignment horizontal="right" vertical="center"/>
    </xf>
    <xf numFmtId="174" fontId="34" fillId="0" borderId="0" applyFont="0" applyFill="0" applyBorder="0" applyAlignment="0" applyProtection="0"/>
    <xf numFmtId="175" fontId="35" fillId="0" borderId="0" applyFont="0" applyFill="0" applyBorder="0" applyAlignment="0" applyProtection="0"/>
    <xf numFmtId="175" fontId="15" fillId="0" borderId="0" applyFont="0" applyFill="0" applyBorder="0" applyAlignment="0" applyProtection="0"/>
    <xf numFmtId="176" fontId="34" fillId="0" borderId="0" applyFont="0" applyFill="0" applyBorder="0" applyAlignment="0" applyProtection="0"/>
    <xf numFmtId="177" fontId="34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5" fontId="15" fillId="0" borderId="0" applyFont="0" applyFill="0" applyBorder="0" applyAlignment="0" applyProtection="0"/>
    <xf numFmtId="175" fontId="15" fillId="0" borderId="0" applyFont="0" applyFill="0" applyBorder="0" applyAlignment="0" applyProtection="0"/>
    <xf numFmtId="0" fontId="36" fillId="0" borderId="0">
      <protection locked="0"/>
    </xf>
    <xf numFmtId="178" fontId="15" fillId="0" borderId="0"/>
    <xf numFmtId="179" fontId="37" fillId="7" borderId="26" applyBorder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11" borderId="0" applyNumberFormat="0" applyBorder="0" applyAlignment="0" applyProtection="0"/>
    <xf numFmtId="0" fontId="38" fillId="12" borderId="0" applyNumberFormat="0" applyBorder="0" applyAlignment="0" applyProtection="0"/>
    <xf numFmtId="0" fontId="38" fillId="13" borderId="0" applyNumberFormat="0" applyBorder="0" applyAlignment="0" applyProtection="0"/>
    <xf numFmtId="0" fontId="38" fillId="14" borderId="0" applyNumberFormat="0" applyBorder="0" applyAlignment="0" applyProtection="0"/>
    <xf numFmtId="0" fontId="38" fillId="15" borderId="0" applyNumberFormat="0" applyBorder="0" applyAlignment="0" applyProtection="0"/>
    <xf numFmtId="0" fontId="38" fillId="16" borderId="0" applyNumberFormat="0" applyBorder="0" applyAlignment="0" applyProtection="0"/>
    <xf numFmtId="0" fontId="38" fillId="11" borderId="0" applyNumberFormat="0" applyBorder="0" applyAlignment="0" applyProtection="0"/>
    <xf numFmtId="0" fontId="38" fillId="14" borderId="0" applyNumberFormat="0" applyBorder="0" applyAlignment="0" applyProtection="0"/>
    <xf numFmtId="0" fontId="38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15" borderId="0" applyNumberFormat="0" applyBorder="0" applyAlignment="0" applyProtection="0"/>
    <xf numFmtId="0" fontId="39" fillId="16" borderId="0" applyNumberFormat="0" applyBorder="0" applyAlignment="0" applyProtection="0"/>
    <xf numFmtId="0" fontId="39" fillId="19" borderId="0" applyNumberFormat="0" applyBorder="0" applyAlignment="0" applyProtection="0"/>
    <xf numFmtId="0" fontId="39" fillId="20" borderId="0" applyNumberFormat="0" applyBorder="0" applyAlignment="0" applyProtection="0"/>
    <xf numFmtId="0" fontId="39" fillId="21" borderId="0" applyNumberFormat="0" applyBorder="0" applyAlignment="0" applyProtection="0"/>
    <xf numFmtId="37" fontId="40" fillId="0" borderId="0">
      <alignment horizontal="center"/>
    </xf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4" borderId="0" applyNumberFormat="0" applyBorder="0" applyAlignment="0" applyProtection="0"/>
    <xf numFmtId="0" fontId="39" fillId="19" borderId="0" applyNumberFormat="0" applyBorder="0" applyAlignment="0" applyProtection="0"/>
    <xf numFmtId="0" fontId="39" fillId="20" borderId="0" applyNumberFormat="0" applyBorder="0" applyAlignment="0" applyProtection="0"/>
    <xf numFmtId="0" fontId="39" fillId="25" borderId="0" applyNumberFormat="0" applyBorder="0" applyAlignment="0" applyProtection="0"/>
    <xf numFmtId="180" fontId="41" fillId="0" borderId="0" applyFont="0" applyFill="0" applyBorder="0" applyAlignment="0" applyProtection="0"/>
    <xf numFmtId="181" fontId="26" fillId="26" borderId="27">
      <alignment horizontal="center" vertical="center"/>
    </xf>
    <xf numFmtId="0" fontId="42" fillId="0" borderId="0">
      <alignment horizontal="center" wrapText="1"/>
      <protection locked="0"/>
    </xf>
    <xf numFmtId="0" fontId="43" fillId="9" borderId="0" applyNumberFormat="0" applyBorder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82" fontId="46" fillId="0" borderId="0">
      <alignment vertical="top"/>
    </xf>
    <xf numFmtId="182" fontId="47" fillId="0" borderId="0">
      <alignment horizontal="right"/>
    </xf>
    <xf numFmtId="183" fontId="48" fillId="0" borderId="28" applyAlignment="0" applyProtection="0"/>
    <xf numFmtId="184" fontId="49" fillId="0" borderId="0" applyFill="0"/>
    <xf numFmtId="184" fontId="49" fillId="0" borderId="0">
      <alignment horizontal="center"/>
    </xf>
    <xf numFmtId="0" fontId="49" fillId="0" borderId="0" applyFill="0">
      <alignment horizontal="center"/>
    </xf>
    <xf numFmtId="184" fontId="50" fillId="0" borderId="29" applyFill="0"/>
    <xf numFmtId="0" fontId="15" fillId="0" borderId="0" applyFont="0" applyAlignment="0"/>
    <xf numFmtId="0" fontId="51" fillId="0" borderId="0" applyFill="0">
      <alignment vertical="top"/>
    </xf>
    <xf numFmtId="0" fontId="50" fillId="0" borderId="0" applyFill="0">
      <alignment horizontal="left" vertical="top"/>
    </xf>
    <xf numFmtId="184" fontId="52" fillId="0" borderId="28" applyFill="0"/>
    <xf numFmtId="0" fontId="15" fillId="0" borderId="0" applyNumberFormat="0" applyFont="0" applyAlignment="0"/>
    <xf numFmtId="0" fontId="51" fillId="0" borderId="0" applyFill="0">
      <alignment wrapText="1"/>
    </xf>
    <xf numFmtId="0" fontId="50" fillId="0" borderId="0" applyFill="0">
      <alignment horizontal="left" vertical="top" wrapText="1"/>
    </xf>
    <xf numFmtId="184" fontId="53" fillId="0" borderId="0" applyFill="0"/>
    <xf numFmtId="0" fontId="54" fillId="0" borderId="0" applyNumberFormat="0" applyFont="0" applyAlignment="0">
      <alignment horizontal="center"/>
    </xf>
    <xf numFmtId="0" fontId="55" fillId="0" borderId="0" applyFill="0">
      <alignment vertical="top" wrapText="1"/>
    </xf>
    <xf numFmtId="0" fontId="52" fillId="0" borderId="0" applyFill="0">
      <alignment horizontal="left" vertical="top" wrapText="1"/>
    </xf>
    <xf numFmtId="184" fontId="15" fillId="0" borderId="0" applyFill="0"/>
    <xf numFmtId="0" fontId="54" fillId="0" borderId="0" applyNumberFormat="0" applyFont="0" applyAlignment="0">
      <alignment horizontal="center"/>
    </xf>
    <xf numFmtId="0" fontId="56" fillId="0" borderId="0" applyFill="0">
      <alignment vertical="center" wrapText="1"/>
    </xf>
    <xf numFmtId="0" fontId="57" fillId="0" borderId="0">
      <alignment horizontal="left" vertical="center" wrapText="1"/>
    </xf>
    <xf numFmtId="184" fontId="58" fillId="0" borderId="0" applyFill="0"/>
    <xf numFmtId="0" fontId="54" fillId="0" borderId="0" applyNumberFormat="0" applyFont="0" applyAlignment="0">
      <alignment horizontal="center"/>
    </xf>
    <xf numFmtId="0" fontId="59" fillId="0" borderId="0" applyFill="0">
      <alignment horizontal="center" vertical="center" wrapText="1"/>
    </xf>
    <xf numFmtId="0" fontId="15" fillId="0" borderId="0" applyFill="0">
      <alignment horizontal="center" vertical="center" wrapText="1"/>
    </xf>
    <xf numFmtId="184" fontId="60" fillId="0" borderId="0" applyFill="0"/>
    <xf numFmtId="0" fontId="54" fillId="0" borderId="0" applyNumberFormat="0" applyFont="0" applyAlignment="0">
      <alignment horizontal="center"/>
    </xf>
    <xf numFmtId="0" fontId="61" fillId="0" borderId="0" applyFill="0">
      <alignment horizontal="center" vertical="center" wrapText="1"/>
    </xf>
    <xf numFmtId="0" fontId="62" fillId="0" borderId="0" applyFill="0">
      <alignment horizontal="center" vertical="center" wrapText="1"/>
    </xf>
    <xf numFmtId="184" fontId="63" fillId="0" borderId="0" applyFill="0"/>
    <xf numFmtId="0" fontId="54" fillId="0" borderId="0" applyNumberFormat="0" applyFont="0" applyAlignment="0">
      <alignment horizontal="center"/>
    </xf>
    <xf numFmtId="0" fontId="64" fillId="0" borderId="0">
      <alignment horizontal="center" wrapText="1"/>
    </xf>
    <xf numFmtId="0" fontId="60" fillId="0" borderId="0" applyFill="0">
      <alignment horizontal="center" wrapText="1"/>
    </xf>
    <xf numFmtId="185" fontId="34" fillId="0" borderId="0" applyFill="0" applyBorder="0" applyAlignment="0"/>
    <xf numFmtId="186" fontId="15" fillId="0" borderId="0" applyFill="0" applyBorder="0" applyAlignment="0"/>
    <xf numFmtId="187" fontId="15" fillId="0" borderId="0" applyFill="0" applyBorder="0" applyAlignment="0"/>
    <xf numFmtId="188" fontId="15" fillId="0" borderId="0" applyFill="0" applyBorder="0" applyAlignment="0"/>
    <xf numFmtId="189" fontId="15" fillId="0" borderId="0" applyFill="0" applyBorder="0" applyAlignment="0"/>
    <xf numFmtId="190" fontId="15" fillId="0" borderId="0" applyFill="0" applyBorder="0" applyAlignment="0"/>
    <xf numFmtId="191" fontId="15" fillId="0" borderId="0" applyFill="0" applyBorder="0" applyAlignment="0"/>
    <xf numFmtId="186" fontId="15" fillId="0" borderId="0" applyFill="0" applyBorder="0" applyAlignment="0"/>
    <xf numFmtId="0" fontId="65" fillId="27" borderId="30" applyNumberFormat="0" applyAlignment="0" applyProtection="0"/>
    <xf numFmtId="38" fontId="34" fillId="0" borderId="0" applyFont="0" applyFill="0" applyBorder="0" applyAlignment="0" applyProtection="0"/>
    <xf numFmtId="192" fontId="35" fillId="0" borderId="0" applyFont="0" applyFill="0" applyBorder="0" applyAlignment="0" applyProtection="0"/>
    <xf numFmtId="193" fontId="34" fillId="0" borderId="0" applyFont="0" applyFill="0" applyBorder="0" applyAlignment="0" applyProtection="0"/>
    <xf numFmtId="192" fontId="15" fillId="0" borderId="0" applyFont="0" applyFill="0" applyBorder="0" applyAlignment="0" applyProtection="0"/>
    <xf numFmtId="192" fontId="15" fillId="0" borderId="0" applyFont="0" applyFill="0" applyBorder="0" applyAlignment="0" applyProtection="0"/>
    <xf numFmtId="194" fontId="34" fillId="0" borderId="0" applyFont="0" applyFill="0" applyBorder="0" applyAlignment="0" applyProtection="0"/>
    <xf numFmtId="193" fontId="34" fillId="0" borderId="0" applyFont="0" applyFill="0" applyBorder="0" applyAlignment="0" applyProtection="0"/>
    <xf numFmtId="193" fontId="15" fillId="0" borderId="0" applyFont="0" applyFill="0" applyBorder="0" applyAlignment="0" applyProtection="0"/>
    <xf numFmtId="193" fontId="15" fillId="0" borderId="0" applyFont="0" applyFill="0" applyBorder="0" applyAlignment="0" applyProtection="0"/>
    <xf numFmtId="192" fontId="15" fillId="0" borderId="0" applyFont="0" applyFill="0" applyBorder="0" applyAlignment="0" applyProtection="0"/>
    <xf numFmtId="192" fontId="15" fillId="0" borderId="0" applyFont="0" applyFill="0" applyBorder="0" applyAlignment="0" applyProtection="0"/>
    <xf numFmtId="40" fontId="34" fillId="0" borderId="0" applyFont="0" applyFill="0" applyBorder="0" applyAlignment="0" applyProtection="0"/>
    <xf numFmtId="195" fontId="35" fillId="0" borderId="0" applyFont="0" applyFill="0" applyBorder="0" applyAlignment="0" applyProtection="0"/>
    <xf numFmtId="164" fontId="66" fillId="0" borderId="0" applyFont="0" applyFill="0" applyBorder="0" applyAlignment="0" applyProtection="0"/>
    <xf numFmtId="195" fontId="15" fillId="0" borderId="0" applyFont="0" applyFill="0" applyBorder="0" applyAlignment="0" applyProtection="0"/>
    <xf numFmtId="195" fontId="15" fillId="0" borderId="0" applyFont="0" applyFill="0" applyBorder="0" applyAlignment="0" applyProtection="0"/>
    <xf numFmtId="196" fontId="34" fillId="0" borderId="0" applyFont="0" applyFill="0" applyBorder="0" applyAlignment="0" applyProtection="0"/>
    <xf numFmtId="197" fontId="34" fillId="0" borderId="0" applyFont="0" applyFill="0" applyBorder="0" applyAlignment="0" applyProtection="0"/>
    <xf numFmtId="197" fontId="15" fillId="0" borderId="0" applyFont="0" applyFill="0" applyBorder="0" applyAlignment="0" applyProtection="0"/>
    <xf numFmtId="197" fontId="15" fillId="0" borderId="0" applyFont="0" applyFill="0" applyBorder="0" applyAlignment="0" applyProtection="0"/>
    <xf numFmtId="195" fontId="15" fillId="0" borderId="0" applyFont="0" applyFill="0" applyBorder="0" applyAlignment="0" applyProtection="0"/>
    <xf numFmtId="195" fontId="15" fillId="0" borderId="0" applyFont="0" applyFill="0" applyBorder="0" applyAlignment="0" applyProtection="0"/>
    <xf numFmtId="1" fontId="67" fillId="0" borderId="31" applyAlignment="0">
      <alignment horizontal="left" vertical="center"/>
    </xf>
    <xf numFmtId="198" fontId="68" fillId="28" borderId="32" applyNumberFormat="0" applyFont="0" applyFill="0" applyBorder="0" applyAlignment="0">
      <alignment horizontal="center"/>
    </xf>
    <xf numFmtId="0" fontId="69" fillId="0" borderId="0"/>
    <xf numFmtId="199" fontId="49" fillId="0" borderId="0"/>
    <xf numFmtId="199" fontId="49" fillId="29" borderId="0"/>
    <xf numFmtId="199" fontId="49" fillId="1" borderId="0"/>
    <xf numFmtId="0" fontId="32" fillId="0" borderId="33">
      <protection locked="0"/>
    </xf>
    <xf numFmtId="0" fontId="70" fillId="0" borderId="0">
      <alignment horizontal="right"/>
    </xf>
    <xf numFmtId="1" fontId="71" fillId="0" borderId="0"/>
    <xf numFmtId="0" fontId="72" fillId="30" borderId="34" applyNumberFormat="0" applyAlignment="0" applyProtection="0"/>
    <xf numFmtId="0" fontId="15" fillId="0" borderId="0" applyFont="0" applyFill="0" applyBorder="0" applyAlignment="0" applyProtection="0"/>
    <xf numFmtId="200" fontId="73" fillId="0" borderId="35"/>
    <xf numFmtId="201" fontId="49" fillId="0" borderId="35"/>
    <xf numFmtId="202" fontId="15" fillId="0" borderId="0"/>
    <xf numFmtId="202" fontId="15" fillId="0" borderId="0"/>
    <xf numFmtId="202" fontId="15" fillId="0" borderId="0"/>
    <xf numFmtId="202" fontId="15" fillId="0" borderId="0"/>
    <xf numFmtId="202" fontId="15" fillId="0" borderId="0"/>
    <xf numFmtId="202" fontId="15" fillId="0" borderId="0"/>
    <xf numFmtId="202" fontId="15" fillId="0" borderId="0"/>
    <xf numFmtId="202" fontId="15" fillId="0" borderId="0"/>
    <xf numFmtId="190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49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203" fontId="32" fillId="0" borderId="0">
      <protection locked="0"/>
    </xf>
    <xf numFmtId="0" fontId="74" fillId="0" borderId="0" applyFill="0" applyBorder="0">
      <alignment horizontal="left"/>
    </xf>
    <xf numFmtId="0" fontId="49" fillId="0" borderId="0"/>
    <xf numFmtId="0" fontId="49" fillId="29" borderId="0">
      <alignment horizontal="center"/>
    </xf>
    <xf numFmtId="0" fontId="49" fillId="0" borderId="0">
      <alignment horizontal="center"/>
    </xf>
    <xf numFmtId="0" fontId="49" fillId="29" borderId="0">
      <alignment horizontal="center"/>
    </xf>
    <xf numFmtId="0" fontId="49" fillId="1" borderId="0">
      <alignment horizontal="center"/>
    </xf>
    <xf numFmtId="0" fontId="75" fillId="0" borderId="0"/>
    <xf numFmtId="204" fontId="76" fillId="0" borderId="0">
      <alignment horizontal="center"/>
    </xf>
    <xf numFmtId="186" fontId="15" fillId="0" borderId="0" applyFont="0" applyFill="0" applyBorder="0" applyAlignment="0" applyProtection="0"/>
    <xf numFmtId="205" fontId="32" fillId="0" borderId="0">
      <protection locked="0"/>
    </xf>
    <xf numFmtId="178" fontId="15" fillId="6" borderId="0" applyFont="0" applyBorder="0"/>
    <xf numFmtId="0" fontId="77" fillId="6" borderId="0" applyNumberFormat="0" applyFont="0" applyFill="0" applyBorder="0" applyProtection="0">
      <alignment horizontal="left"/>
    </xf>
    <xf numFmtId="0" fontId="32" fillId="0" borderId="0">
      <protection locked="0"/>
    </xf>
    <xf numFmtId="14" fontId="30" fillId="0" borderId="0" applyFill="0" applyBorder="0" applyAlignment="0"/>
    <xf numFmtId="14" fontId="77" fillId="0" borderId="36" applyFont="0">
      <alignment horizontal="right"/>
    </xf>
    <xf numFmtId="0" fontId="76" fillId="0" borderId="0"/>
    <xf numFmtId="206" fontId="32" fillId="0" borderId="0">
      <protection locked="0"/>
    </xf>
    <xf numFmtId="0" fontId="42" fillId="0" borderId="0"/>
    <xf numFmtId="38" fontId="15" fillId="0" borderId="0" applyFont="0" applyFill="0" applyBorder="0" applyAlignment="0" applyProtection="0"/>
    <xf numFmtId="207" fontId="78" fillId="0" borderId="0" applyFont="0" applyFill="0" applyBorder="0" applyAlignment="0" applyProtection="0"/>
    <xf numFmtId="165" fontId="15" fillId="0" borderId="0" applyFont="0" applyFill="0" applyBorder="0" applyAlignment="0" applyProtection="0"/>
    <xf numFmtId="4" fontId="29" fillId="0" borderId="0" applyFont="0" applyFill="0" applyBorder="0" applyAlignment="0" applyProtection="0"/>
    <xf numFmtId="0" fontId="70" fillId="0" borderId="0"/>
    <xf numFmtId="183" fontId="30" fillId="0" borderId="0" applyFont="0" applyFill="0" applyBorder="0" applyAlignment="0" applyProtection="0">
      <protection locked="0"/>
    </xf>
    <xf numFmtId="182" fontId="59" fillId="0" borderId="0">
      <alignment horizontal="center"/>
    </xf>
    <xf numFmtId="208" fontId="34" fillId="0" borderId="0" applyFont="0" applyFill="0" applyBorder="0" applyAlignment="0" applyProtection="0"/>
    <xf numFmtId="164" fontId="66" fillId="0" borderId="0" applyFont="0" applyFill="0" applyBorder="0" applyAlignment="0" applyProtection="0"/>
    <xf numFmtId="209" fontId="34" fillId="0" borderId="0" applyFont="0" applyFill="0" applyBorder="0" applyAlignment="0" applyProtection="0"/>
    <xf numFmtId="210" fontId="15" fillId="0" borderId="0" applyFont="0" applyFill="0" applyBorder="0" applyAlignment="0" applyProtection="0"/>
    <xf numFmtId="0" fontId="79" fillId="0" borderId="0" applyNumberFormat="0" applyFill="0" applyBorder="0" applyAlignment="0" applyProtection="0"/>
    <xf numFmtId="0" fontId="36" fillId="0" borderId="0">
      <protection locked="0"/>
    </xf>
    <xf numFmtId="0" fontId="36" fillId="0" borderId="0">
      <protection locked="0"/>
    </xf>
    <xf numFmtId="0" fontId="36" fillId="0" borderId="0">
      <protection locked="0"/>
    </xf>
    <xf numFmtId="37" fontId="80" fillId="0" borderId="0" applyNumberFormat="0" applyFill="0" applyBorder="0">
      <alignment horizontal="centerContinuous"/>
    </xf>
    <xf numFmtId="190" fontId="15" fillId="0" borderId="0" applyFill="0" applyBorder="0" applyAlignment="0"/>
    <xf numFmtId="186" fontId="15" fillId="0" borderId="0" applyFill="0" applyBorder="0" applyAlignment="0"/>
    <xf numFmtId="190" fontId="15" fillId="0" borderId="0" applyFill="0" applyBorder="0" applyAlignment="0"/>
    <xf numFmtId="191" fontId="15" fillId="0" borderId="0" applyFill="0" applyBorder="0" applyAlignment="0"/>
    <xf numFmtId="186" fontId="15" fillId="0" borderId="0" applyFill="0" applyBorder="0" applyAlignment="0"/>
    <xf numFmtId="1" fontId="81" fillId="0" borderId="37">
      <alignment horizontal="center"/>
    </xf>
    <xf numFmtId="0" fontId="30" fillId="0" borderId="0">
      <alignment vertical="top"/>
    </xf>
    <xf numFmtId="0" fontId="15" fillId="0" borderId="0"/>
    <xf numFmtId="164" fontId="15" fillId="0" borderId="0" applyFont="0" applyFill="0" applyBorder="0" applyAlignment="0" applyProtection="0"/>
    <xf numFmtId="211" fontId="49" fillId="0" borderId="0" applyFont="0" applyFill="0" applyBorder="0" applyAlignment="0" applyProtection="0"/>
    <xf numFmtId="0" fontId="82" fillId="0" borderId="0" applyNumberFormat="0" applyFill="0" applyBorder="0" applyAlignment="0" applyProtection="0"/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32" fillId="0" borderId="0">
      <protection locked="0"/>
    </xf>
    <xf numFmtId="0" fontId="83" fillId="0" borderId="0">
      <protection locked="0"/>
    </xf>
    <xf numFmtId="212" fontId="32" fillId="0" borderId="0">
      <protection locked="0"/>
    </xf>
    <xf numFmtId="0" fontId="15" fillId="0" borderId="38">
      <alignment horizontal="center"/>
    </xf>
    <xf numFmtId="0" fontId="84" fillId="10" borderId="0" applyNumberFormat="0" applyBorder="0" applyAlignment="0" applyProtection="0"/>
    <xf numFmtId="38" fontId="49" fillId="6" borderId="0" applyNumberFormat="0" applyBorder="0" applyAlignment="0" applyProtection="0"/>
    <xf numFmtId="3" fontId="85" fillId="0" borderId="0"/>
    <xf numFmtId="37" fontId="86" fillId="0" borderId="0">
      <alignment horizontal="centerContinuous"/>
    </xf>
    <xf numFmtId="213" fontId="15" fillId="31" borderId="39" applyNumberFormat="0" applyFont="0" applyBorder="0" applyAlignment="0" applyProtection="0"/>
    <xf numFmtId="178" fontId="87" fillId="31" borderId="0" applyNumberFormat="0" applyFont="0" applyAlignment="0"/>
    <xf numFmtId="0" fontId="88" fillId="0" borderId="0">
      <alignment horizontal="left"/>
    </xf>
    <xf numFmtId="0" fontId="52" fillId="0" borderId="11" applyNumberFormat="0" applyAlignment="0" applyProtection="0">
      <alignment horizontal="left" vertical="center"/>
    </xf>
    <xf numFmtId="0" fontId="52" fillId="0" borderId="36">
      <alignment horizontal="left" vertical="center"/>
    </xf>
    <xf numFmtId="214" fontId="89" fillId="32" borderId="0">
      <alignment horizontal="left" vertical="top"/>
    </xf>
    <xf numFmtId="0" fontId="90" fillId="0" borderId="40" applyNumberFormat="0" applyFill="0" applyAlignment="0" applyProtection="0"/>
    <xf numFmtId="0" fontId="91" fillId="0" borderId="41" applyNumberFormat="0" applyFill="0" applyAlignment="0" applyProtection="0"/>
    <xf numFmtId="0" fontId="92" fillId="0" borderId="42" applyNumberFormat="0" applyFill="0" applyAlignment="0" applyProtection="0"/>
    <xf numFmtId="0" fontId="92" fillId="0" borderId="0" applyNumberFormat="0" applyFill="0" applyBorder="0" applyAlignment="0" applyProtection="0"/>
    <xf numFmtId="215" fontId="15" fillId="0" borderId="0">
      <protection locked="0"/>
    </xf>
    <xf numFmtId="215" fontId="15" fillId="0" borderId="0">
      <protection locked="0"/>
    </xf>
    <xf numFmtId="0" fontId="93" fillId="0" borderId="43" applyNumberFormat="0" applyFill="0" applyAlignment="0" applyProtection="0"/>
    <xf numFmtId="0" fontId="94" fillId="0" borderId="0" applyNumberFormat="0" applyFill="0" applyBorder="0" applyAlignment="0" applyProtection="0">
      <alignment vertical="top"/>
      <protection locked="0"/>
    </xf>
    <xf numFmtId="0" fontId="94" fillId="0" borderId="0" applyNumberFormat="0" applyFill="0" applyBorder="0" applyAlignment="0" applyProtection="0">
      <alignment vertical="top"/>
      <protection locked="0"/>
    </xf>
    <xf numFmtId="0" fontId="95" fillId="32" borderId="0">
      <alignment horizontal="left" wrapText="1" indent="2"/>
    </xf>
    <xf numFmtId="0" fontId="96" fillId="13" borderId="30" applyNumberFormat="0" applyAlignment="0" applyProtection="0"/>
    <xf numFmtId="10" fontId="49" fillId="32" borderId="39" applyNumberFormat="0" applyBorder="0" applyAlignment="0" applyProtection="0"/>
    <xf numFmtId="178" fontId="97" fillId="33" borderId="0"/>
    <xf numFmtId="3" fontId="15" fillId="34" borderId="44" applyNumberFormat="0" applyFill="0" applyBorder="0" applyAlignment="0">
      <protection locked="0"/>
    </xf>
    <xf numFmtId="0" fontId="98" fillId="0" borderId="0" applyNumberFormat="0" applyFill="0" applyBorder="0" applyAlignment="0">
      <protection locked="0"/>
    </xf>
    <xf numFmtId="0" fontId="70" fillId="0" borderId="0"/>
    <xf numFmtId="38" fontId="15" fillId="0" borderId="0" applyFill="0" applyBorder="0" applyProtection="0">
      <alignment horizontal="right"/>
      <protection locked="0"/>
    </xf>
    <xf numFmtId="3" fontId="99" fillId="7" borderId="0" applyFill="0" applyBorder="0">
      <alignment vertical="center"/>
      <protection locked="0"/>
    </xf>
    <xf numFmtId="190" fontId="15" fillId="0" borderId="0" applyFill="0" applyBorder="0" applyAlignment="0"/>
    <xf numFmtId="186" fontId="15" fillId="0" borderId="0" applyFill="0" applyBorder="0" applyAlignment="0"/>
    <xf numFmtId="190" fontId="15" fillId="0" borderId="0" applyFill="0" applyBorder="0" applyAlignment="0"/>
    <xf numFmtId="191" fontId="15" fillId="0" borderId="0" applyFill="0" applyBorder="0" applyAlignment="0"/>
    <xf numFmtId="186" fontId="15" fillId="0" borderId="0" applyFill="0" applyBorder="0" applyAlignment="0"/>
    <xf numFmtId="0" fontId="100" fillId="0" borderId="45" applyNumberFormat="0" applyFill="0" applyAlignment="0" applyProtection="0"/>
    <xf numFmtId="0" fontId="32" fillId="0" borderId="0">
      <protection locked="0"/>
    </xf>
    <xf numFmtId="0" fontId="32" fillId="0" borderId="0">
      <protection locked="0"/>
    </xf>
    <xf numFmtId="216" fontId="49" fillId="0" borderId="0"/>
    <xf numFmtId="217" fontId="49" fillId="0" borderId="0"/>
    <xf numFmtId="217" fontId="73" fillId="0" borderId="0"/>
    <xf numFmtId="218" fontId="34" fillId="0" borderId="0" applyFont="0" applyFill="0" applyBorder="0" applyAlignment="0" applyProtection="0"/>
    <xf numFmtId="219" fontId="35" fillId="0" borderId="0" applyFont="0" applyFill="0" applyBorder="0" applyAlignment="0" applyProtection="0"/>
    <xf numFmtId="220" fontId="34" fillId="0" borderId="0" applyFont="0" applyFill="0" applyBorder="0" applyAlignment="0" applyProtection="0"/>
    <xf numFmtId="219" fontId="15" fillId="0" borderId="0" applyFont="0" applyFill="0" applyBorder="0" applyAlignment="0" applyProtection="0"/>
    <xf numFmtId="219" fontId="15" fillId="0" borderId="0" applyFont="0" applyFill="0" applyBorder="0" applyAlignment="0" applyProtection="0"/>
    <xf numFmtId="221" fontId="34" fillId="0" borderId="0" applyFont="0" applyFill="0" applyBorder="0" applyAlignment="0" applyProtection="0"/>
    <xf numFmtId="220" fontId="34" fillId="0" borderId="0" applyFont="0" applyFill="0" applyBorder="0" applyAlignment="0" applyProtection="0"/>
    <xf numFmtId="221" fontId="34" fillId="0" borderId="0" applyFont="0" applyFill="0" applyBorder="0" applyAlignment="0" applyProtection="0"/>
    <xf numFmtId="220" fontId="15" fillId="0" borderId="0" applyFont="0" applyFill="0" applyBorder="0" applyAlignment="0" applyProtection="0"/>
    <xf numFmtId="220" fontId="15" fillId="0" borderId="0" applyFont="0" applyFill="0" applyBorder="0" applyAlignment="0" applyProtection="0"/>
    <xf numFmtId="220" fontId="15" fillId="0" borderId="0" applyFont="0" applyFill="0" applyBorder="0" applyAlignment="0" applyProtection="0"/>
    <xf numFmtId="222" fontId="15" fillId="0" borderId="0" applyFont="0" applyFill="0" applyBorder="0" applyAlignment="0" applyProtection="0"/>
    <xf numFmtId="222" fontId="15" fillId="0" borderId="0" applyFont="0" applyFill="0" applyBorder="0" applyAlignment="0" applyProtection="0"/>
    <xf numFmtId="220" fontId="15" fillId="0" borderId="0" applyFont="0" applyFill="0" applyBorder="0" applyAlignment="0" applyProtection="0"/>
    <xf numFmtId="220" fontId="15" fillId="0" borderId="0" applyFont="0" applyFill="0" applyBorder="0" applyAlignment="0" applyProtection="0"/>
    <xf numFmtId="220" fontId="15" fillId="0" borderId="0" applyFont="0" applyFill="0" applyBorder="0" applyAlignment="0" applyProtection="0"/>
    <xf numFmtId="220" fontId="15" fillId="0" borderId="0" applyFont="0" applyFill="0" applyBorder="0" applyAlignment="0" applyProtection="0"/>
    <xf numFmtId="222" fontId="15" fillId="0" borderId="0" applyFont="0" applyFill="0" applyBorder="0" applyAlignment="0" applyProtection="0"/>
    <xf numFmtId="222" fontId="15" fillId="0" borderId="0" applyFont="0" applyFill="0" applyBorder="0" applyAlignment="0" applyProtection="0"/>
    <xf numFmtId="222" fontId="15" fillId="0" borderId="0" applyFont="0" applyFill="0" applyBorder="0" applyAlignment="0" applyProtection="0"/>
    <xf numFmtId="222" fontId="15" fillId="0" borderId="0" applyFont="0" applyFill="0" applyBorder="0" applyAlignment="0" applyProtection="0"/>
    <xf numFmtId="220" fontId="15" fillId="0" borderId="0" applyFont="0" applyFill="0" applyBorder="0" applyAlignment="0" applyProtection="0"/>
    <xf numFmtId="220" fontId="15" fillId="0" borderId="0" applyFont="0" applyFill="0" applyBorder="0" applyAlignment="0" applyProtection="0"/>
    <xf numFmtId="222" fontId="15" fillId="0" borderId="0" applyFont="0" applyFill="0" applyBorder="0" applyAlignment="0" applyProtection="0"/>
    <xf numFmtId="222" fontId="15" fillId="0" borderId="0" applyFont="0" applyFill="0" applyBorder="0" applyAlignment="0" applyProtection="0"/>
    <xf numFmtId="219" fontId="15" fillId="0" borderId="0" applyFont="0" applyFill="0" applyBorder="0" applyAlignment="0" applyProtection="0"/>
    <xf numFmtId="219" fontId="15" fillId="0" borderId="0" applyFont="0" applyFill="0" applyBorder="0" applyAlignment="0" applyProtection="0"/>
    <xf numFmtId="223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36" fillId="0" borderId="0">
      <protection locked="0"/>
    </xf>
    <xf numFmtId="0" fontId="101" fillId="0" borderId="46"/>
    <xf numFmtId="224" fontId="15" fillId="0" borderId="0" applyFont="0" applyFill="0" applyBorder="0" applyAlignment="0" applyProtection="0"/>
    <xf numFmtId="225" fontId="15" fillId="0" borderId="0" applyFont="0" applyFill="0" applyBorder="0" applyAlignment="0" applyProtection="0"/>
    <xf numFmtId="226" fontId="15" fillId="0" borderId="0" applyFont="0" applyFill="0" applyBorder="0" applyAlignment="0" applyProtection="0"/>
    <xf numFmtId="222" fontId="15" fillId="0" borderId="0" applyFont="0" applyFill="0" applyBorder="0" applyAlignment="0" applyProtection="0"/>
    <xf numFmtId="4" fontId="49" fillId="29" borderId="0"/>
    <xf numFmtId="217" fontId="49" fillId="29" borderId="0"/>
    <xf numFmtId="4" fontId="49" fillId="1" borderId="0"/>
    <xf numFmtId="217" fontId="49" fillId="1" borderId="0"/>
    <xf numFmtId="0" fontId="102" fillId="0" borderId="0">
      <protection locked="0"/>
    </xf>
    <xf numFmtId="0" fontId="102" fillId="0" borderId="0">
      <protection locked="0"/>
    </xf>
    <xf numFmtId="3" fontId="103" fillId="35" borderId="0"/>
    <xf numFmtId="0" fontId="104" fillId="36" borderId="0" applyNumberFormat="0" applyBorder="0" applyAlignment="0" applyProtection="0"/>
    <xf numFmtId="40" fontId="33" fillId="0" borderId="0" applyFont="0" applyFill="0" applyBorder="0" applyAlignment="0" applyProtection="0"/>
    <xf numFmtId="37" fontId="105" fillId="0" borderId="0"/>
    <xf numFmtId="0" fontId="106" fillId="0" borderId="0"/>
    <xf numFmtId="37" fontId="107" fillId="0" borderId="0" applyNumberFormat="0" applyFill="0" applyBorder="0"/>
    <xf numFmtId="37" fontId="108" fillId="0" borderId="0">
      <alignment horizontal="centerContinuous"/>
    </xf>
    <xf numFmtId="0" fontId="106" fillId="0" borderId="0"/>
    <xf numFmtId="0" fontId="15" fillId="0" borderId="0"/>
    <xf numFmtId="182" fontId="109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5" fillId="0" borderId="0"/>
    <xf numFmtId="0" fontId="15" fillId="0" borderId="0"/>
    <xf numFmtId="0" fontId="15" fillId="0" borderId="0"/>
    <xf numFmtId="0" fontId="111" fillId="0" borderId="0"/>
    <xf numFmtId="0" fontId="34" fillId="0" borderId="0"/>
    <xf numFmtId="227" fontId="34" fillId="0" borderId="0">
      <alignment horizontal="right" vertical="center"/>
    </xf>
    <xf numFmtId="0" fontId="15" fillId="0" borderId="0"/>
    <xf numFmtId="0" fontId="15" fillId="37" borderId="47" applyNumberFormat="0" applyFont="0" applyAlignment="0" applyProtection="0"/>
    <xf numFmtId="228" fontId="24" fillId="0" borderId="0" applyFont="0" applyFill="0" applyBorder="0" applyProtection="0">
      <alignment horizontal="right"/>
    </xf>
    <xf numFmtId="0" fontId="112" fillId="0" borderId="0" applyNumberFormat="0" applyFill="0" applyBorder="0" applyAlignment="0" applyProtection="0">
      <alignment vertical="top"/>
      <protection locked="0"/>
    </xf>
    <xf numFmtId="40" fontId="113" fillId="0" borderId="0" applyFont="0" applyFill="0" applyBorder="0" applyAlignment="0" applyProtection="0"/>
    <xf numFmtId="38" fontId="113" fillId="0" borderId="0" applyFont="0" applyFill="0" applyBorder="0" applyAlignment="0" applyProtection="0"/>
    <xf numFmtId="229" fontId="29" fillId="0" borderId="0" applyFont="0" applyFill="0" applyBorder="0" applyAlignment="0" applyProtection="0"/>
    <xf numFmtId="0" fontId="114" fillId="0" borderId="0">
      <alignment horizontal="left"/>
    </xf>
    <xf numFmtId="0" fontId="115" fillId="27" borderId="48" applyNumberFormat="0" applyAlignment="0" applyProtection="0"/>
    <xf numFmtId="40" fontId="116" fillId="7" borderId="0">
      <alignment horizontal="right"/>
    </xf>
    <xf numFmtId="0" fontId="117" fillId="7" borderId="0">
      <alignment horizontal="right"/>
    </xf>
    <xf numFmtId="0" fontId="118" fillId="7" borderId="49"/>
    <xf numFmtId="0" fontId="118" fillId="0" borderId="0" applyBorder="0">
      <alignment horizontal="centerContinuous"/>
    </xf>
    <xf numFmtId="0" fontId="119" fillId="0" borderId="0" applyBorder="0">
      <alignment horizontal="centerContinuous"/>
    </xf>
    <xf numFmtId="14" fontId="42" fillId="0" borderId="0">
      <alignment horizontal="center" wrapText="1"/>
      <protection locked="0"/>
    </xf>
    <xf numFmtId="189" fontId="15" fillId="0" borderId="0" applyFont="0" applyFill="0" applyBorder="0" applyAlignment="0" applyProtection="0"/>
    <xf numFmtId="230" fontId="15" fillId="0" borderId="0" applyFont="0" applyFill="0" applyBorder="0" applyAlignment="0" applyProtection="0"/>
    <xf numFmtId="10" fontId="15" fillId="0" borderId="0" applyFont="0" applyFill="0" applyBorder="0" applyAlignment="0" applyProtection="0"/>
    <xf numFmtId="0" fontId="32" fillId="0" borderId="0">
      <protection locked="0"/>
    </xf>
    <xf numFmtId="0" fontId="32" fillId="0" borderId="0">
      <protection locked="0"/>
    </xf>
    <xf numFmtId="190" fontId="15" fillId="0" borderId="0" applyFill="0" applyBorder="0" applyAlignment="0"/>
    <xf numFmtId="186" fontId="15" fillId="0" borderId="0" applyFill="0" applyBorder="0" applyAlignment="0"/>
    <xf numFmtId="190" fontId="15" fillId="0" borderId="0" applyFill="0" applyBorder="0" applyAlignment="0"/>
    <xf numFmtId="191" fontId="15" fillId="0" borderId="0" applyFill="0" applyBorder="0" applyAlignment="0"/>
    <xf numFmtId="186" fontId="15" fillId="0" borderId="0" applyFill="0" applyBorder="0" applyAlignment="0"/>
    <xf numFmtId="231" fontId="120" fillId="0" borderId="0">
      <alignment horizontal="right"/>
    </xf>
    <xf numFmtId="0" fontId="32" fillId="0" borderId="0">
      <protection locked="0"/>
    </xf>
    <xf numFmtId="0" fontId="121" fillId="0" borderId="0"/>
    <xf numFmtId="0" fontId="33" fillId="0" borderId="0" applyNumberFormat="0" applyFont="0" applyFill="0" applyBorder="0" applyAlignment="0" applyProtection="0">
      <alignment horizontal="left"/>
    </xf>
    <xf numFmtId="15" fontId="33" fillId="0" borderId="0" applyFont="0" applyFill="0" applyBorder="0" applyAlignment="0" applyProtection="0"/>
    <xf numFmtId="4" fontId="33" fillId="0" borderId="0" applyFont="0" applyFill="0" applyBorder="0" applyAlignment="0" applyProtection="0"/>
    <xf numFmtId="0" fontId="48" fillId="0" borderId="46">
      <alignment horizontal="center"/>
    </xf>
    <xf numFmtId="3" fontId="33" fillId="0" borderId="0" applyFont="0" applyFill="0" applyBorder="0" applyAlignment="0" applyProtection="0"/>
    <xf numFmtId="0" fontId="33" fillId="38" borderId="0" applyNumberFormat="0" applyFont="0" applyBorder="0" applyAlignment="0" applyProtection="0"/>
    <xf numFmtId="0" fontId="122" fillId="6" borderId="37" applyFont="0" applyBorder="0" applyAlignment="0">
      <alignment horizontal="left"/>
    </xf>
    <xf numFmtId="4" fontId="49" fillId="6" borderId="0" applyFill="0"/>
    <xf numFmtId="0" fontId="123" fillId="0" borderId="0">
      <alignment horizontal="left" indent="7"/>
    </xf>
    <xf numFmtId="0" fontId="49" fillId="0" borderId="0" applyFill="0">
      <alignment horizontal="left" indent="7"/>
    </xf>
    <xf numFmtId="184" fontId="124" fillId="0" borderId="38" applyFill="0">
      <alignment horizontal="right"/>
    </xf>
    <xf numFmtId="0" fontId="77" fillId="0" borderId="39" applyNumberFormat="0" applyFont="0" applyBorder="0">
      <alignment horizontal="right"/>
    </xf>
    <xf numFmtId="0" fontId="125" fillId="0" borderId="0" applyFill="0"/>
    <xf numFmtId="0" fontId="52" fillId="0" borderId="0" applyFill="0"/>
    <xf numFmtId="4" fontId="124" fillId="0" borderId="38" applyFill="0"/>
    <xf numFmtId="0" fontId="15" fillId="0" borderId="0" applyNumberFormat="0" applyFont="0" applyBorder="0" applyAlignment="0"/>
    <xf numFmtId="0" fontId="55" fillId="0" borderId="0" applyFill="0">
      <alignment horizontal="left" indent="1"/>
    </xf>
    <xf numFmtId="0" fontId="126" fillId="0" borderId="0" applyFill="0">
      <alignment horizontal="left" indent="1"/>
    </xf>
    <xf numFmtId="4" fontId="58" fillId="0" borderId="0" applyFill="0"/>
    <xf numFmtId="0" fontId="15" fillId="0" borderId="0" applyNumberFormat="0" applyFont="0" applyFill="0" applyBorder="0" applyAlignment="0"/>
    <xf numFmtId="0" fontId="55" fillId="0" borderId="0" applyFill="0">
      <alignment horizontal="left" indent="2"/>
    </xf>
    <xf numFmtId="0" fontId="52" fillId="0" borderId="0" applyFill="0">
      <alignment horizontal="left" indent="2"/>
    </xf>
    <xf numFmtId="4" fontId="58" fillId="0" borderId="0" applyFill="0"/>
    <xf numFmtId="0" fontId="15" fillId="0" borderId="0" applyNumberFormat="0" applyFont="0" applyBorder="0" applyAlignment="0"/>
    <xf numFmtId="0" fontId="127" fillId="0" borderId="0">
      <alignment horizontal="left" indent="3"/>
    </xf>
    <xf numFmtId="0" fontId="128" fillId="0" borderId="0" applyFill="0">
      <alignment horizontal="left" indent="3"/>
    </xf>
    <xf numFmtId="4" fontId="58" fillId="0" borderId="0" applyFill="0"/>
    <xf numFmtId="0" fontId="15" fillId="0" borderId="0" applyNumberFormat="0" applyFont="0" applyBorder="0" applyAlignment="0"/>
    <xf numFmtId="0" fontId="59" fillId="0" borderId="0">
      <alignment horizontal="left" indent="4"/>
    </xf>
    <xf numFmtId="0" fontId="15" fillId="0" borderId="0" applyFill="0">
      <alignment horizontal="left" indent="4"/>
    </xf>
    <xf numFmtId="4" fontId="60" fillId="0" borderId="0" applyFill="0"/>
    <xf numFmtId="0" fontId="15" fillId="0" borderId="0" applyNumberFormat="0" applyFont="0" applyBorder="0" applyAlignment="0"/>
    <xf numFmtId="0" fontId="61" fillId="0" borderId="0">
      <alignment horizontal="left" indent="5"/>
    </xf>
    <xf numFmtId="0" fontId="62" fillId="0" borderId="0" applyFill="0">
      <alignment horizontal="left" indent="5"/>
    </xf>
    <xf numFmtId="4" fontId="63" fillId="0" borderId="0" applyFill="0"/>
    <xf numFmtId="0" fontId="15" fillId="0" borderId="0" applyNumberFormat="0" applyFont="0" applyFill="0" applyBorder="0" applyAlignment="0"/>
    <xf numFmtId="0" fontId="64" fillId="0" borderId="0" applyFill="0">
      <alignment horizontal="left" indent="6"/>
    </xf>
    <xf numFmtId="0" fontId="60" fillId="0" borderId="0" applyFill="0">
      <alignment horizontal="left" indent="6"/>
    </xf>
    <xf numFmtId="4" fontId="129" fillId="28" borderId="50" applyNumberFormat="0" applyProtection="0">
      <alignment vertical="center"/>
    </xf>
    <xf numFmtId="4" fontId="130" fillId="28" borderId="50" applyNumberFormat="0" applyProtection="0">
      <alignment vertical="center"/>
    </xf>
    <xf numFmtId="4" fontId="99" fillId="28" borderId="50" applyNumberFormat="0" applyProtection="0">
      <alignment horizontal="left" vertical="center" indent="1"/>
    </xf>
    <xf numFmtId="0" fontId="131" fillId="28" borderId="50" applyNumberFormat="0" applyProtection="0">
      <alignment horizontal="left" vertical="top" indent="1"/>
    </xf>
    <xf numFmtId="4" fontId="99" fillId="39" borderId="0" applyNumberFormat="0" applyProtection="0">
      <alignment horizontal="left" vertical="center" indent="1"/>
    </xf>
    <xf numFmtId="4" fontId="99" fillId="40" borderId="50" applyNumberFormat="0" applyProtection="0">
      <alignment horizontal="right" vertical="center"/>
    </xf>
    <xf numFmtId="4" fontId="99" fillId="41" borderId="50" applyNumberFormat="0" applyProtection="0">
      <alignment horizontal="right" vertical="center"/>
    </xf>
    <xf numFmtId="4" fontId="99" fillId="42" borderId="50" applyNumberFormat="0" applyProtection="0">
      <alignment horizontal="right" vertical="center"/>
    </xf>
    <xf numFmtId="4" fontId="99" fillId="31" borderId="50" applyNumberFormat="0" applyProtection="0">
      <alignment horizontal="right" vertical="center"/>
    </xf>
    <xf numFmtId="4" fontId="99" fillId="43" borderId="50" applyNumberFormat="0" applyProtection="0">
      <alignment horizontal="right" vertical="center"/>
    </xf>
    <xf numFmtId="4" fontId="99" fillId="44" borderId="50" applyNumberFormat="0" applyProtection="0">
      <alignment horizontal="right" vertical="center"/>
    </xf>
    <xf numFmtId="4" fontId="99" fillId="45" borderId="50" applyNumberFormat="0" applyProtection="0">
      <alignment horizontal="right" vertical="center"/>
    </xf>
    <xf numFmtId="4" fontId="99" fillId="46" borderId="50" applyNumberFormat="0" applyProtection="0">
      <alignment horizontal="right" vertical="center"/>
    </xf>
    <xf numFmtId="4" fontId="99" fillId="47" borderId="50" applyNumberFormat="0" applyProtection="0">
      <alignment horizontal="right" vertical="center"/>
    </xf>
    <xf numFmtId="4" fontId="129" fillId="48" borderId="51" applyNumberFormat="0" applyProtection="0">
      <alignment horizontal="left" vertical="center" indent="1"/>
    </xf>
    <xf numFmtId="4" fontId="129" fillId="26" borderId="0" applyNumberFormat="0" applyProtection="0">
      <alignment horizontal="left" vertical="center" indent="1"/>
    </xf>
    <xf numFmtId="4" fontId="129" fillId="39" borderId="0" applyNumberFormat="0" applyProtection="0">
      <alignment horizontal="left" vertical="center" indent="1"/>
    </xf>
    <xf numFmtId="4" fontId="99" fillId="26" borderId="50" applyNumberFormat="0" applyProtection="0">
      <alignment horizontal="right" vertical="center"/>
    </xf>
    <xf numFmtId="4" fontId="30" fillId="26" borderId="0" applyNumberFormat="0" applyProtection="0">
      <alignment horizontal="left" vertical="center" indent="1"/>
    </xf>
    <xf numFmtId="4" fontId="30" fillId="39" borderId="0" applyNumberFormat="0" applyProtection="0">
      <alignment horizontal="left" vertical="center" indent="1"/>
    </xf>
    <xf numFmtId="0" fontId="15" fillId="39" borderId="50" applyNumberFormat="0" applyProtection="0">
      <alignment horizontal="left" vertical="center" indent="1"/>
    </xf>
    <xf numFmtId="0" fontId="15" fillId="39" borderId="50" applyNumberFormat="0" applyProtection="0">
      <alignment horizontal="left" vertical="top" indent="1"/>
    </xf>
    <xf numFmtId="0" fontId="15" fillId="49" borderId="50" applyNumberFormat="0" applyProtection="0">
      <alignment horizontal="left" vertical="center" indent="1"/>
    </xf>
    <xf numFmtId="0" fontId="15" fillId="49" borderId="50" applyNumberFormat="0" applyProtection="0">
      <alignment horizontal="left" vertical="top" indent="1"/>
    </xf>
    <xf numFmtId="0" fontId="15" fillId="26" borderId="50" applyNumberFormat="0" applyProtection="0">
      <alignment horizontal="left" vertical="center" indent="1"/>
    </xf>
    <xf numFmtId="0" fontId="15" fillId="26" borderId="50" applyNumberFormat="0" applyProtection="0">
      <alignment horizontal="left" vertical="top" indent="1"/>
    </xf>
    <xf numFmtId="0" fontId="15" fillId="50" borderId="50" applyNumberFormat="0" applyProtection="0">
      <alignment horizontal="left" vertical="center" indent="1"/>
    </xf>
    <xf numFmtId="0" fontId="15" fillId="50" borderId="50" applyNumberFormat="0" applyProtection="0">
      <alignment horizontal="left" vertical="top" indent="1"/>
    </xf>
    <xf numFmtId="4" fontId="99" fillId="50" borderId="50" applyNumberFormat="0" applyProtection="0">
      <alignment vertical="center"/>
    </xf>
    <xf numFmtId="4" fontId="132" fillId="50" borderId="50" applyNumberFormat="0" applyProtection="0">
      <alignment vertical="center"/>
    </xf>
    <xf numFmtId="4" fontId="129" fillId="26" borderId="52" applyNumberFormat="0" applyProtection="0">
      <alignment horizontal="left" vertical="center" indent="1"/>
    </xf>
    <xf numFmtId="0" fontId="30" fillId="32" borderId="50" applyNumberFormat="0" applyProtection="0">
      <alignment horizontal="left" vertical="top" indent="1"/>
    </xf>
    <xf numFmtId="4" fontId="30" fillId="51" borderId="50" applyNumberFormat="0" applyProtection="0">
      <alignment horizontal="right" vertical="center"/>
    </xf>
    <xf numFmtId="4" fontId="132" fillId="50" borderId="50" applyNumberFormat="0" applyProtection="0">
      <alignment horizontal="right" vertical="center"/>
    </xf>
    <xf numFmtId="4" fontId="129" fillId="26" borderId="50" applyNumberFormat="0" applyProtection="0">
      <alignment horizontal="left" vertical="center" indent="1"/>
    </xf>
    <xf numFmtId="0" fontId="30" fillId="49" borderId="50" applyNumberFormat="0" applyProtection="0">
      <alignment horizontal="left" vertical="top" indent="1"/>
    </xf>
    <xf numFmtId="4" fontId="133" fillId="49" borderId="52" applyNumberFormat="0" applyProtection="0">
      <alignment horizontal="left" vertical="center" indent="1"/>
    </xf>
    <xf numFmtId="4" fontId="134" fillId="50" borderId="50" applyNumberFormat="0" applyProtection="0">
      <alignment horizontal="right" vertical="center"/>
    </xf>
    <xf numFmtId="0" fontId="135" fillId="0" borderId="0">
      <alignment horizontal="right"/>
    </xf>
    <xf numFmtId="232" fontId="136" fillId="0" borderId="0">
      <protection locked="0"/>
    </xf>
    <xf numFmtId="0" fontId="112" fillId="0" borderId="0" applyNumberFormat="0" applyFill="0" applyBorder="0" applyAlignment="0" applyProtection="0">
      <alignment vertical="top"/>
      <protection locked="0"/>
    </xf>
    <xf numFmtId="3" fontId="137" fillId="52" borderId="0">
      <alignment horizontal="left"/>
    </xf>
    <xf numFmtId="0" fontId="30" fillId="0" borderId="0"/>
    <xf numFmtId="233" fontId="15" fillId="0" borderId="0">
      <alignment horizont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30" fillId="0" borderId="0">
      <alignment vertical="top"/>
    </xf>
    <xf numFmtId="0" fontId="15" fillId="0" borderId="0"/>
    <xf numFmtId="164" fontId="15" fillId="0" borderId="0" applyFont="0" applyFill="0" applyBorder="0" applyAlignment="0" applyProtection="0"/>
    <xf numFmtId="0" fontId="101" fillId="0" borderId="0"/>
    <xf numFmtId="0" fontId="138" fillId="32" borderId="0">
      <alignment wrapText="1"/>
    </xf>
    <xf numFmtId="0" fontId="139" fillId="32" borderId="0" applyNumberFormat="0" applyBorder="0" applyAlignment="0" applyProtection="0"/>
    <xf numFmtId="49" fontId="30" fillId="0" borderId="0" applyFill="0" applyBorder="0" applyAlignment="0"/>
    <xf numFmtId="234" fontId="15" fillId="0" borderId="0" applyFill="0" applyBorder="0" applyAlignment="0"/>
    <xf numFmtId="235" fontId="15" fillId="0" borderId="0" applyFill="0" applyBorder="0" applyAlignment="0"/>
    <xf numFmtId="0" fontId="140" fillId="0" borderId="0">
      <alignment vertical="center"/>
    </xf>
    <xf numFmtId="0" fontId="141" fillId="0" borderId="0" applyNumberFormat="0" applyFill="0" applyBorder="0" applyAlignment="0" applyProtection="0"/>
    <xf numFmtId="3" fontId="142" fillId="52" borderId="0">
      <alignment horizontal="center"/>
    </xf>
    <xf numFmtId="3" fontId="143" fillId="52" borderId="0">
      <alignment horizontal="left"/>
    </xf>
    <xf numFmtId="3" fontId="144" fillId="0" borderId="0"/>
    <xf numFmtId="236" fontId="34" fillId="0" borderId="0" applyFont="0" applyFill="0" applyBorder="0" applyAlignment="0" applyProtection="0"/>
    <xf numFmtId="37" fontId="49" fillId="28" borderId="0" applyNumberFormat="0" applyBorder="0" applyAlignment="0" applyProtection="0"/>
    <xf numFmtId="37" fontId="49" fillId="0" borderId="0"/>
    <xf numFmtId="3" fontId="24" fillId="0" borderId="43" applyProtection="0"/>
    <xf numFmtId="0" fontId="145" fillId="0" borderId="0">
      <alignment vertical="top"/>
    </xf>
    <xf numFmtId="0" fontId="146" fillId="0" borderId="0" applyNumberFormat="0"/>
    <xf numFmtId="237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238" fontId="15" fillId="0" borderId="0" applyFont="0" applyFill="0" applyBorder="0" applyAlignment="0" applyProtection="0"/>
    <xf numFmtId="239" fontId="15" fillId="0" borderId="0" applyFont="0" applyFill="0" applyBorder="0" applyAlignment="0" applyProtection="0"/>
    <xf numFmtId="0" fontId="147" fillId="0" borderId="0" applyNumberFormat="0" applyFill="0" applyBorder="0" applyAlignment="0" applyProtection="0"/>
    <xf numFmtId="3" fontId="15" fillId="0" borderId="0">
      <alignment wrapText="1"/>
    </xf>
    <xf numFmtId="0" fontId="15" fillId="53" borderId="0" applyNumberFormat="0" applyFont="0" applyBorder="0" applyAlignment="0" applyProtection="0"/>
    <xf numFmtId="0" fontId="15" fillId="16" borderId="0" applyNumberFormat="0" applyFont="0" applyBorder="0" applyAlignment="0" applyProtection="0"/>
    <xf numFmtId="0" fontId="15" fillId="21" borderId="0" applyNumberFormat="0" applyFont="0" applyBorder="0" applyAlignment="0" applyProtection="0"/>
    <xf numFmtId="0" fontId="15" fillId="23" borderId="0" applyNumberFormat="0" applyFont="0" applyBorder="0" applyAlignment="0" applyProtection="0"/>
    <xf numFmtId="0" fontId="15" fillId="54" borderId="0" applyNumberFormat="0" applyFont="0" applyBorder="0" applyAlignment="0" applyProtection="0"/>
    <xf numFmtId="0" fontId="15" fillId="0" borderId="0" applyNumberFormat="0" applyFill="0" applyBorder="0" applyAlignment="0" applyProtection="0"/>
    <xf numFmtId="240" fontId="148" fillId="0" borderId="53" applyBorder="0"/>
    <xf numFmtId="241" fontId="149" fillId="0" borderId="0" applyFont="0" applyFill="0" applyBorder="0" applyAlignment="0" applyProtection="0"/>
    <xf numFmtId="242" fontId="149" fillId="0" borderId="0" applyFont="0" applyFill="0" applyBorder="0" applyAlignment="0" applyProtection="0"/>
    <xf numFmtId="0" fontId="150" fillId="0" borderId="0"/>
    <xf numFmtId="0" fontId="151" fillId="0" borderId="0"/>
    <xf numFmtId="243" fontId="151" fillId="0" borderId="0" applyFont="0" applyFill="0" applyBorder="0" applyAlignment="0" applyProtection="0"/>
    <xf numFmtId="244" fontId="151" fillId="0" borderId="0" applyFont="0" applyFill="0" applyBorder="0" applyAlignment="0" applyProtection="0"/>
    <xf numFmtId="245" fontId="149" fillId="0" borderId="0" applyFont="0" applyFill="0" applyBorder="0" applyAlignment="0" applyProtection="0"/>
    <xf numFmtId="246" fontId="149" fillId="0" borderId="0" applyFont="0" applyFill="0" applyBorder="0" applyAlignment="0" applyProtection="0"/>
    <xf numFmtId="0" fontId="76" fillId="0" borderId="0" applyAlignment="0"/>
    <xf numFmtId="164" fontId="15" fillId="0" borderId="0" applyFont="0" applyFill="0" applyBorder="0" applyAlignment="0" applyProtection="0"/>
    <xf numFmtId="0" fontId="15" fillId="0" borderId="0"/>
    <xf numFmtId="0" fontId="152" fillId="0" borderId="0"/>
    <xf numFmtId="0" fontId="13" fillId="0" borderId="0"/>
    <xf numFmtId="164" fontId="13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1" fillId="0" borderId="0"/>
    <xf numFmtId="0" fontId="10" fillId="0" borderId="0"/>
    <xf numFmtId="16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9" fillId="0" borderId="0"/>
    <xf numFmtId="0" fontId="8" fillId="0" borderId="0"/>
    <xf numFmtId="43" fontId="8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15" fillId="0" borderId="0" applyFont="0" applyFill="0" applyBorder="0" applyAlignment="0" applyProtection="0"/>
    <xf numFmtId="169" fontId="1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15" fillId="0" borderId="0" applyFont="0" applyFill="0" applyBorder="0" applyAlignment="0" applyProtection="0"/>
    <xf numFmtId="0" fontId="5" fillId="0" borderId="0"/>
    <xf numFmtId="4" fontId="30" fillId="93" borderId="48" applyNumberFormat="0" applyProtection="0">
      <alignment horizontal="right" vertical="center"/>
    </xf>
    <xf numFmtId="0" fontId="15" fillId="0" borderId="0"/>
    <xf numFmtId="43" fontId="15" fillId="0" borderId="0" applyFont="0" applyFill="0" applyBorder="0" applyAlignment="0" applyProtection="0"/>
    <xf numFmtId="0" fontId="216" fillId="95" borderId="139" applyNumberFormat="0" applyAlignment="0" applyProtection="0">
      <alignment horizontal="left" vertical="center" indent="1"/>
    </xf>
    <xf numFmtId="266" fontId="217" fillId="96" borderId="139" applyNumberFormat="0" applyAlignment="0" applyProtection="0">
      <alignment horizontal="left" vertical="center" indent="1"/>
    </xf>
    <xf numFmtId="0" fontId="218" fillId="97" borderId="139" applyNumberFormat="0" applyAlignment="0" applyProtection="0">
      <alignment horizontal="left" vertical="center" indent="1"/>
    </xf>
    <xf numFmtId="266" fontId="217" fillId="0" borderId="140" applyNumberFormat="0" applyProtection="0">
      <alignment horizontal="right" vertical="center"/>
    </xf>
    <xf numFmtId="0" fontId="158" fillId="0" borderId="0"/>
    <xf numFmtId="0" fontId="158" fillId="0" borderId="0"/>
    <xf numFmtId="0" fontId="30" fillId="98" borderId="0" applyNumberFormat="0" applyBorder="0" applyAlignment="0" applyProtection="0"/>
    <xf numFmtId="0" fontId="30" fillId="15" borderId="0" applyNumberFormat="0" applyBorder="0" applyAlignment="0" applyProtection="0"/>
    <xf numFmtId="0" fontId="30" fillId="37" borderId="0" applyNumberFormat="0" applyBorder="0" applyAlignment="0" applyProtection="0"/>
    <xf numFmtId="0" fontId="30" fillId="99" borderId="0" applyNumberFormat="0" applyBorder="0" applyAlignment="0" applyProtection="0"/>
    <xf numFmtId="0" fontId="30" fillId="14" borderId="0" applyNumberFormat="0" applyBorder="0" applyAlignment="0" applyProtection="0"/>
    <xf numFmtId="0" fontId="30" fillId="9" borderId="0" applyNumberFormat="0" applyBorder="0" applyAlignment="0" applyProtection="0"/>
    <xf numFmtId="0" fontId="30" fillId="100" borderId="0" applyNumberFormat="0" applyBorder="0" applyAlignment="0" applyProtection="0"/>
    <xf numFmtId="0" fontId="30" fillId="15" borderId="0" applyNumberFormat="0" applyBorder="0" applyAlignment="0" applyProtection="0"/>
    <xf numFmtId="0" fontId="30" fillId="24" borderId="0" applyNumberFormat="0" applyBorder="0" applyAlignment="0" applyProtection="0"/>
    <xf numFmtId="0" fontId="30" fillId="27" borderId="0" applyNumberFormat="0" applyBorder="0" applyAlignment="0" applyProtection="0"/>
    <xf numFmtId="0" fontId="30" fillId="100" borderId="0" applyNumberFormat="0" applyBorder="0" applyAlignment="0" applyProtection="0"/>
    <xf numFmtId="0" fontId="30" fillId="13" borderId="0" applyNumberFormat="0" applyBorder="0" applyAlignment="0" applyProtection="0"/>
    <xf numFmtId="0" fontId="219" fillId="100" borderId="0" applyNumberFormat="0" applyBorder="0" applyAlignment="0" applyProtection="0"/>
    <xf numFmtId="0" fontId="219" fillId="15" borderId="0" applyNumberFormat="0" applyBorder="0" applyAlignment="0" applyProtection="0"/>
    <xf numFmtId="0" fontId="219" fillId="24" borderId="0" applyNumberFormat="0" applyBorder="0" applyAlignment="0" applyProtection="0"/>
    <xf numFmtId="0" fontId="219" fillId="27" borderId="0" applyNumberFormat="0" applyBorder="0" applyAlignment="0" applyProtection="0"/>
    <xf numFmtId="0" fontId="219" fillId="100" borderId="0" applyNumberFormat="0" applyBorder="0" applyAlignment="0" applyProtection="0"/>
    <xf numFmtId="0" fontId="219" fillId="13" borderId="0" applyNumberFormat="0" applyBorder="0" applyAlignment="0" applyProtection="0"/>
    <xf numFmtId="0" fontId="39" fillId="101" borderId="0" applyNumberFormat="0" applyBorder="0" applyAlignment="0" applyProtection="0"/>
    <xf numFmtId="0" fontId="38" fillId="102" borderId="0" applyNumberFormat="0" applyBorder="0" applyAlignment="0" applyProtection="0"/>
    <xf numFmtId="0" fontId="38" fillId="103" borderId="0" applyNumberFormat="0" applyBorder="0" applyAlignment="0" applyProtection="0"/>
    <xf numFmtId="0" fontId="39" fillId="104" borderId="0" applyNumberFormat="0" applyBorder="0" applyAlignment="0" applyProtection="0"/>
    <xf numFmtId="0" fontId="39" fillId="105" borderId="0" applyNumberFormat="0" applyBorder="0" applyAlignment="0" applyProtection="0"/>
    <xf numFmtId="0" fontId="38" fillId="106" borderId="0" applyNumberFormat="0" applyBorder="0" applyAlignment="0" applyProtection="0"/>
    <xf numFmtId="0" fontId="38" fillId="107" borderId="0" applyNumberFormat="0" applyBorder="0" applyAlignment="0" applyProtection="0"/>
    <xf numFmtId="0" fontId="39" fillId="108" borderId="0" applyNumberFormat="0" applyBorder="0" applyAlignment="0" applyProtection="0"/>
    <xf numFmtId="0" fontId="39" fillId="108" borderId="0" applyNumberFormat="0" applyBorder="0" applyAlignment="0" applyProtection="0"/>
    <xf numFmtId="0" fontId="38" fillId="109" borderId="0" applyNumberFormat="0" applyBorder="0" applyAlignment="0" applyProtection="0"/>
    <xf numFmtId="0" fontId="38" fillId="110" borderId="0" applyNumberFormat="0" applyBorder="0" applyAlignment="0" applyProtection="0"/>
    <xf numFmtId="0" fontId="39" fillId="111" borderId="0" applyNumberFormat="0" applyBorder="0" applyAlignment="0" applyProtection="0"/>
    <xf numFmtId="0" fontId="39" fillId="112" borderId="0" applyNumberFormat="0" applyBorder="0" applyAlignment="0" applyProtection="0"/>
    <xf numFmtId="0" fontId="38" fillId="110" borderId="0" applyNumberFormat="0" applyBorder="0" applyAlignment="0" applyProtection="0"/>
    <xf numFmtId="0" fontId="38" fillId="111" borderId="0" applyNumberFormat="0" applyBorder="0" applyAlignment="0" applyProtection="0"/>
    <xf numFmtId="0" fontId="39" fillId="111" borderId="0" applyNumberFormat="0" applyBorder="0" applyAlignment="0" applyProtection="0"/>
    <xf numFmtId="0" fontId="39" fillId="113" borderId="0" applyNumberFormat="0" applyBorder="0" applyAlignment="0" applyProtection="0"/>
    <xf numFmtId="0" fontId="38" fillId="102" borderId="0" applyNumberFormat="0" applyBorder="0" applyAlignment="0" applyProtection="0"/>
    <xf numFmtId="0" fontId="38" fillId="103" borderId="0" applyNumberFormat="0" applyBorder="0" applyAlignment="0" applyProtection="0"/>
    <xf numFmtId="0" fontId="39" fillId="103" borderId="0" applyNumberFormat="0" applyBorder="0" applyAlignment="0" applyProtection="0"/>
    <xf numFmtId="0" fontId="39" fillId="114" borderId="0" applyNumberFormat="0" applyBorder="0" applyAlignment="0" applyProtection="0"/>
    <xf numFmtId="0" fontId="38" fillId="115" borderId="0" applyNumberFormat="0" applyBorder="0" applyAlignment="0" applyProtection="0"/>
    <xf numFmtId="0" fontId="38" fillId="107" borderId="0" applyNumberFormat="0" applyBorder="0" applyAlignment="0" applyProtection="0"/>
    <xf numFmtId="0" fontId="39" fillId="116" borderId="0" applyNumberFormat="0" applyBorder="0" applyAlignment="0" applyProtection="0"/>
    <xf numFmtId="0" fontId="220" fillId="107" borderId="0" applyNumberFormat="0" applyBorder="0" applyAlignment="0" applyProtection="0"/>
    <xf numFmtId="0" fontId="221" fillId="117" borderId="30" applyNumberFormat="0" applyAlignment="0" applyProtection="0"/>
    <xf numFmtId="0" fontId="72" fillId="108" borderId="34" applyNumberFormat="0" applyAlignment="0" applyProtection="0"/>
    <xf numFmtId="0" fontId="222" fillId="118" borderId="0" applyNumberFormat="0" applyBorder="0" applyAlignment="0" applyProtection="0"/>
    <xf numFmtId="0" fontId="222" fillId="119" borderId="0" applyNumberFormat="0" applyBorder="0" applyAlignment="0" applyProtection="0"/>
    <xf numFmtId="0" fontId="222" fillId="120" borderId="0" applyNumberFormat="0" applyBorder="0" applyAlignment="0" applyProtection="0"/>
    <xf numFmtId="0" fontId="230" fillId="49" borderId="30">
      <alignment horizontal="left" vertical="center" indent="1"/>
    </xf>
    <xf numFmtId="0" fontId="230" fillId="50" borderId="30">
      <alignment horizontal="left" vertical="center" indent="1"/>
    </xf>
    <xf numFmtId="0" fontId="223" fillId="0" borderId="0" applyNumberFormat="0" applyFill="0" applyBorder="0" applyAlignment="0" applyProtection="0"/>
    <xf numFmtId="0" fontId="84" fillId="121" borderId="0" applyNumberFormat="0" applyBorder="0" applyAlignment="0" applyProtection="0"/>
    <xf numFmtId="0" fontId="224" fillId="0" borderId="141" applyNumberFormat="0" applyFill="0" applyAlignment="0" applyProtection="0"/>
    <xf numFmtId="0" fontId="225" fillId="0" borderId="41" applyNumberFormat="0" applyFill="0" applyAlignment="0" applyProtection="0"/>
    <xf numFmtId="0" fontId="226" fillId="0" borderId="142" applyNumberFormat="0" applyFill="0" applyAlignment="0" applyProtection="0"/>
    <xf numFmtId="0" fontId="226" fillId="0" borderId="0" applyNumberFormat="0" applyFill="0" applyBorder="0" applyAlignment="0" applyProtection="0"/>
    <xf numFmtId="0" fontId="227" fillId="116" borderId="30" applyNumberFormat="0" applyAlignment="0" applyProtection="0"/>
    <xf numFmtId="0" fontId="228" fillId="0" borderId="143" applyNumberFormat="0" applyFill="0" applyAlignment="0" applyProtection="0"/>
    <xf numFmtId="4" fontId="233" fillId="128" borderId="149" applyProtection="0">
      <alignment horizontal="left" vertical="center"/>
    </xf>
    <xf numFmtId="4" fontId="234" fillId="129" borderId="149" applyProtection="0">
      <alignment horizontal="left" vertical="center"/>
    </xf>
    <xf numFmtId="0" fontId="104" fillId="116" borderId="0" applyNumberFormat="0" applyBorder="0" applyAlignment="0" applyProtection="0"/>
    <xf numFmtId="0" fontId="15" fillId="115" borderId="47" applyNumberFormat="0" applyFont="0" applyAlignment="0" applyProtection="0"/>
    <xf numFmtId="0" fontId="115" fillId="117" borderId="48" applyNumberFormat="0" applyAlignment="0" applyProtection="0"/>
    <xf numFmtId="4" fontId="49" fillId="28" borderId="144" applyNumberFormat="0" applyProtection="0">
      <alignment vertical="center"/>
    </xf>
    <xf numFmtId="4" fontId="129" fillId="28" borderId="50" applyNumberFormat="0" applyProtection="0">
      <alignment vertical="center"/>
    </xf>
    <xf numFmtId="4" fontId="232" fillId="28" borderId="145" applyNumberFormat="0" applyProtection="0">
      <alignment vertical="center"/>
    </xf>
    <xf numFmtId="4" fontId="130" fillId="28" borderId="50" applyNumberFormat="0" applyProtection="0">
      <alignment vertical="center"/>
    </xf>
    <xf numFmtId="4" fontId="49" fillId="28" borderId="144" applyNumberFormat="0" applyProtection="0">
      <alignment horizontal="left" vertical="center" indent="1"/>
    </xf>
    <xf numFmtId="4" fontId="99" fillId="28" borderId="50" applyNumberFormat="0" applyProtection="0">
      <alignment horizontal="left" vertical="center" indent="1"/>
    </xf>
    <xf numFmtId="0" fontId="131" fillId="36" borderId="50" applyNumberFormat="0" applyProtection="0">
      <alignment horizontal="left" vertical="top"/>
    </xf>
    <xf numFmtId="0" fontId="49" fillId="123" borderId="39" applyProtection="0">
      <alignment horizontal="left" vertical="center" wrapText="1"/>
    </xf>
    <xf numFmtId="4" fontId="99" fillId="39" borderId="0" applyNumberFormat="0" applyProtection="0">
      <alignment horizontal="left" vertical="center" indent="1"/>
    </xf>
    <xf numFmtId="4" fontId="49" fillId="41" borderId="145" applyNumberFormat="0" applyProtection="0">
      <alignment horizontal="right" vertical="center"/>
    </xf>
    <xf numFmtId="4" fontId="99" fillId="40" borderId="50" applyNumberFormat="0" applyProtection="0">
      <alignment horizontal="right" vertical="center"/>
    </xf>
    <xf numFmtId="4" fontId="49" fillId="124" borderId="145" applyNumberFormat="0" applyProtection="0">
      <alignment horizontal="right" vertical="center"/>
    </xf>
    <xf numFmtId="4" fontId="99" fillId="41" borderId="50" applyNumberFormat="0" applyProtection="0">
      <alignment horizontal="right" vertical="center"/>
    </xf>
    <xf numFmtId="4" fontId="49" fillId="40" borderId="145" applyNumberFormat="0" applyProtection="0">
      <alignment horizontal="right" vertical="center"/>
    </xf>
    <xf numFmtId="4" fontId="99" fillId="42" borderId="50" applyNumberFormat="0" applyProtection="0">
      <alignment horizontal="right" vertical="center"/>
    </xf>
    <xf numFmtId="4" fontId="49" fillId="43" borderId="145" applyNumberFormat="0" applyProtection="0">
      <alignment horizontal="right" vertical="center"/>
    </xf>
    <xf numFmtId="4" fontId="99" fillId="31" borderId="50" applyNumberFormat="0" applyProtection="0">
      <alignment horizontal="right" vertical="center"/>
    </xf>
    <xf numFmtId="4" fontId="49" fillId="94" borderId="150" applyNumberFormat="0" applyProtection="0">
      <alignment horizontal="left" vertical="center"/>
    </xf>
    <xf numFmtId="4" fontId="99" fillId="43" borderId="50" applyNumberFormat="0" applyProtection="0">
      <alignment horizontal="right" vertical="center"/>
    </xf>
    <xf numFmtId="4" fontId="49" fillId="122" borderId="145" applyNumberFormat="0" applyProtection="0">
      <alignment horizontal="right" vertical="center"/>
    </xf>
    <xf numFmtId="4" fontId="99" fillId="44" borderId="50" applyNumberFormat="0" applyProtection="0">
      <alignment horizontal="right" vertical="center"/>
    </xf>
    <xf numFmtId="4" fontId="49" fillId="46" borderId="145" applyNumberFormat="0" applyProtection="0">
      <alignment horizontal="right" vertical="center"/>
    </xf>
    <xf numFmtId="4" fontId="99" fillId="45" borderId="50" applyNumberFormat="0" applyProtection="0">
      <alignment horizontal="right" vertical="center"/>
    </xf>
    <xf numFmtId="4" fontId="49" fillId="45" borderId="145" applyNumberFormat="0" applyProtection="0">
      <alignment horizontal="right" vertical="center"/>
    </xf>
    <xf numFmtId="4" fontId="99" fillId="46" borderId="50" applyNumberFormat="0" applyProtection="0">
      <alignment horizontal="right" vertical="center"/>
    </xf>
    <xf numFmtId="4" fontId="49" fillId="125" borderId="145" applyNumberFormat="0" applyProtection="0">
      <alignment horizontal="right" vertical="center"/>
    </xf>
    <xf numFmtId="4" fontId="99" fillId="47" borderId="50" applyNumberFormat="0" applyProtection="0">
      <alignment horizontal="right" vertical="center"/>
    </xf>
    <xf numFmtId="4" fontId="49" fillId="50" borderId="146" applyNumberFormat="0" applyProtection="0">
      <alignment horizontal="left" vertical="center" indent="1"/>
    </xf>
    <xf numFmtId="4" fontId="129" fillId="48" borderId="51" applyNumberFormat="0" applyProtection="0">
      <alignment horizontal="left" vertical="center" indent="1"/>
    </xf>
    <xf numFmtId="4" fontId="15" fillId="39" borderId="35" applyNumberFormat="0" applyProtection="0">
      <alignment horizontal="left" vertical="center" indent="1"/>
    </xf>
    <xf numFmtId="4" fontId="129" fillId="26" borderId="0" applyNumberFormat="0" applyProtection="0">
      <alignment horizontal="left" vertical="center" indent="1"/>
    </xf>
    <xf numFmtId="4" fontId="15" fillId="39" borderId="35" applyNumberFormat="0" applyProtection="0">
      <alignment horizontal="left" vertical="center" indent="1"/>
    </xf>
    <xf numFmtId="4" fontId="129" fillId="39" borderId="0" applyNumberFormat="0" applyProtection="0">
      <alignment horizontal="left" vertical="center" indent="1"/>
    </xf>
    <xf numFmtId="4" fontId="49" fillId="49" borderId="145" applyNumberFormat="0" applyProtection="0">
      <alignment horizontal="right" vertical="center"/>
    </xf>
    <xf numFmtId="4" fontId="99" fillId="26" borderId="50" applyNumberFormat="0" applyProtection="0">
      <alignment horizontal="right" vertical="center"/>
    </xf>
    <xf numFmtId="4" fontId="49" fillId="50" borderId="35" applyNumberFormat="0" applyProtection="0">
      <alignment horizontal="left" vertical="center" indent="1"/>
    </xf>
    <xf numFmtId="4" fontId="30" fillId="26" borderId="0" applyNumberFormat="0" applyProtection="0">
      <alignment horizontal="left" vertical="center" indent="1"/>
    </xf>
    <xf numFmtId="4" fontId="49" fillId="49" borderId="35" applyNumberFormat="0" applyProtection="0">
      <alignment horizontal="left" vertical="center" indent="1"/>
    </xf>
    <xf numFmtId="4" fontId="30" fillId="39" borderId="0" applyNumberFormat="0" applyProtection="0">
      <alignment horizontal="left" vertical="center" indent="1"/>
    </xf>
    <xf numFmtId="0" fontId="49" fillId="6" borderId="145" applyNumberFormat="0" applyProtection="0">
      <alignment horizontal="left" vertical="center" indent="1"/>
    </xf>
    <xf numFmtId="0" fontId="15" fillId="100" borderId="50" applyNumberFormat="0" applyProtection="0">
      <alignment horizontal="left" vertical="top" indent="1"/>
    </xf>
    <xf numFmtId="0" fontId="49" fillId="126" borderId="145" applyNumberFormat="0" applyProtection="0">
      <alignment horizontal="left" vertical="center" indent="1"/>
    </xf>
    <xf numFmtId="0" fontId="15" fillId="98" borderId="50" applyNumberFormat="0" applyProtection="0">
      <alignment horizontal="left" vertical="top" indent="1"/>
    </xf>
    <xf numFmtId="0" fontId="49" fillId="26" borderId="145" applyNumberFormat="0" applyProtection="0">
      <alignment horizontal="left" vertical="center" indent="1"/>
    </xf>
    <xf numFmtId="0" fontId="15" fillId="14" borderId="50" applyNumberFormat="0" applyProtection="0">
      <alignment horizontal="left" vertical="top" indent="1"/>
    </xf>
    <xf numFmtId="0" fontId="49" fillId="50" borderId="145" applyNumberFormat="0" applyProtection="0">
      <alignment horizontal="left" vertical="center" indent="1"/>
    </xf>
    <xf numFmtId="0" fontId="15" fillId="51" borderId="50" applyNumberFormat="0" applyProtection="0">
      <alignment horizontal="left" vertical="top" indent="1"/>
    </xf>
    <xf numFmtId="0" fontId="15" fillId="99" borderId="39" applyNumberFormat="0">
      <protection locked="0"/>
    </xf>
    <xf numFmtId="4" fontId="230" fillId="127" borderId="80" applyNumberFormat="0" applyProtection="0">
      <alignment vertical="center"/>
    </xf>
    <xf numFmtId="4" fontId="99" fillId="50" borderId="50" applyNumberFormat="0" applyProtection="0">
      <alignment vertical="center"/>
    </xf>
    <xf numFmtId="4" fontId="49" fillId="0" borderId="85" applyNumberFormat="0" applyProtection="0">
      <alignment vertical="center"/>
    </xf>
    <xf numFmtId="4" fontId="132" fillId="50" borderId="50" applyNumberFormat="0" applyProtection="0">
      <alignment vertical="center"/>
    </xf>
    <xf numFmtId="4" fontId="30" fillId="39" borderId="50" applyNumberFormat="0" applyProtection="0">
      <alignment horizontal="left" vertical="center" indent="1"/>
    </xf>
    <xf numFmtId="4" fontId="129" fillId="26" borderId="52" applyNumberFormat="0" applyProtection="0">
      <alignment horizontal="left" vertical="center" indent="1"/>
    </xf>
    <xf numFmtId="0" fontId="30" fillId="37" borderId="50" applyNumberFormat="0" applyProtection="0">
      <alignment horizontal="left" vertical="top" indent="1"/>
    </xf>
    <xf numFmtId="4" fontId="49" fillId="0" borderId="151" applyProtection="0">
      <alignment horizontal="right" vertical="center"/>
    </xf>
    <xf numFmtId="4" fontId="99" fillId="50" borderId="50" applyNumberFormat="0" applyProtection="0">
      <alignment horizontal="right" vertical="center"/>
    </xf>
    <xf numFmtId="4" fontId="232" fillId="7" borderId="145" applyNumberFormat="0" applyProtection="0">
      <alignment horizontal="right" vertical="center"/>
    </xf>
    <xf numFmtId="4" fontId="132" fillId="50" borderId="50" applyNumberFormat="0" applyProtection="0">
      <alignment horizontal="right" vertical="center"/>
    </xf>
    <xf numFmtId="4" fontId="49" fillId="123" borderId="151" applyNumberFormat="0" applyProtection="0">
      <alignment horizontal="left" vertical="center" indent="1"/>
    </xf>
    <xf numFmtId="267" fontId="230" fillId="50" borderId="30" applyProtection="0">
      <alignment horizontal="right" vertical="center"/>
    </xf>
    <xf numFmtId="4" fontId="129" fillId="26" borderId="50" applyNumberFormat="0" applyProtection="0">
      <alignment horizontal="left" vertical="center" indent="1"/>
    </xf>
    <xf numFmtId="0" fontId="233" fillId="49" borderId="145" applyNumberFormat="0" applyProtection="0">
      <alignment horizontal="left" vertical="top" indent="1"/>
    </xf>
    <xf numFmtId="4" fontId="235" fillId="133" borderId="35" applyNumberFormat="0" applyProtection="0">
      <alignment horizontal="left" vertical="center" indent="1"/>
    </xf>
    <xf numFmtId="4" fontId="133" fillId="49" borderId="52" applyNumberFormat="0" applyProtection="0">
      <alignment horizontal="left" vertical="center" indent="1"/>
    </xf>
    <xf numFmtId="0" fontId="57" fillId="0" borderId="0"/>
    <xf numFmtId="4" fontId="236" fillId="7" borderId="145" applyNumberFormat="0" applyProtection="0">
      <alignment horizontal="right" vertical="center"/>
    </xf>
    <xf numFmtId="4" fontId="134" fillId="50" borderId="50" applyNumberFormat="0" applyProtection="0">
      <alignment horizontal="right" vertical="center"/>
    </xf>
    <xf numFmtId="43" fontId="15" fillId="0" borderId="0" applyFont="0" applyFill="0" applyBorder="0" applyAlignment="0" applyProtection="0"/>
    <xf numFmtId="0" fontId="229" fillId="0" borderId="0" applyNumberFormat="0" applyFill="0" applyBorder="0" applyAlignment="0" applyProtection="0"/>
    <xf numFmtId="0" fontId="58" fillId="0" borderId="147">
      <alignment horizontal="left" vertical="center"/>
    </xf>
    <xf numFmtId="0" fontId="230" fillId="130" borderId="30" applyProtection="0">
      <alignment horizontal="left" vertical="center" wrapText="1"/>
    </xf>
    <xf numFmtId="0" fontId="230" fillId="131" borderId="30" applyProtection="0">
      <alignment horizontal="left" vertical="center" wrapText="1"/>
    </xf>
    <xf numFmtId="4" fontId="231" fillId="132" borderId="50" applyProtection="0">
      <alignment horizontal="right" vertical="center"/>
    </xf>
    <xf numFmtId="0" fontId="233" fillId="36" borderId="80" applyProtection="0">
      <alignment horizontal="left" vertical="top"/>
    </xf>
    <xf numFmtId="4" fontId="49" fillId="0" borderId="85" applyProtection="0">
      <alignment vertical="center"/>
    </xf>
    <xf numFmtId="0" fontId="147" fillId="0" borderId="0" applyNumberFormat="0" applyFill="0" applyBorder="0" applyAlignment="0" applyProtection="0"/>
    <xf numFmtId="0" fontId="229" fillId="0" borderId="0" applyNumberFormat="0" applyFill="0" applyBorder="0" applyAlignment="0" applyProtection="0"/>
    <xf numFmtId="0" fontId="222" fillId="0" borderId="148" applyNumberFormat="0" applyFill="0" applyAlignment="0" applyProtection="0"/>
    <xf numFmtId="0" fontId="39" fillId="101" borderId="0" applyNumberFormat="0" applyBorder="0" applyAlignment="0" applyProtection="0"/>
    <xf numFmtId="0" fontId="39" fillId="105" borderId="0" applyNumberFormat="0" applyBorder="0" applyAlignment="0" applyProtection="0"/>
    <xf numFmtId="0" fontId="39" fillId="108" borderId="0" applyNumberFormat="0" applyBorder="0" applyAlignment="0" applyProtection="0"/>
    <xf numFmtId="0" fontId="39" fillId="112" borderId="0" applyNumberFormat="0" applyBorder="0" applyAlignment="0" applyProtection="0"/>
    <xf numFmtId="0" fontId="39" fillId="113" borderId="0" applyNumberFormat="0" applyBorder="0" applyAlignment="0" applyProtection="0"/>
    <xf numFmtId="0" fontId="39" fillId="114" borderId="0" applyNumberFormat="0" applyBorder="0" applyAlignment="0" applyProtection="0"/>
    <xf numFmtId="0" fontId="39" fillId="114" borderId="0" applyNumberFormat="0" applyBorder="0" applyAlignment="0" applyProtection="0"/>
    <xf numFmtId="0" fontId="39" fillId="113" borderId="0" applyNumberFormat="0" applyBorder="0" applyAlignment="0" applyProtection="0"/>
    <xf numFmtId="0" fontId="39" fillId="112" borderId="0" applyNumberFormat="0" applyBorder="0" applyAlignment="0" applyProtection="0"/>
    <xf numFmtId="0" fontId="39" fillId="108" borderId="0" applyNumberFormat="0" applyBorder="0" applyAlignment="0" applyProtection="0"/>
    <xf numFmtId="0" fontId="39" fillId="105" borderId="0" applyNumberFormat="0" applyBorder="0" applyAlignment="0" applyProtection="0"/>
    <xf numFmtId="0" fontId="39" fillId="101" borderId="0" applyNumberFormat="0" applyBorder="0" applyAlignment="0" applyProtection="0"/>
    <xf numFmtId="0" fontId="15" fillId="0" borderId="0"/>
    <xf numFmtId="0" fontId="39" fillId="101" borderId="0" applyNumberFormat="0" applyBorder="0" applyAlignment="0" applyProtection="0"/>
    <xf numFmtId="0" fontId="39" fillId="105" borderId="0" applyNumberFormat="0" applyBorder="0" applyAlignment="0" applyProtection="0"/>
    <xf numFmtId="0" fontId="39" fillId="101" borderId="0" applyNumberFormat="0" applyBorder="0" applyAlignment="0" applyProtection="0"/>
    <xf numFmtId="0" fontId="39" fillId="105" borderId="0" applyNumberFormat="0" applyBorder="0" applyAlignment="0" applyProtection="0"/>
    <xf numFmtId="0" fontId="39" fillId="108" borderId="0" applyNumberFormat="0" applyBorder="0" applyAlignment="0" applyProtection="0"/>
    <xf numFmtId="0" fontId="39" fillId="108" borderId="0" applyNumberFormat="0" applyBorder="0" applyAlignment="0" applyProtection="0"/>
    <xf numFmtId="0" fontId="39" fillId="112" borderId="0" applyNumberFormat="0" applyBorder="0" applyAlignment="0" applyProtection="0"/>
    <xf numFmtId="0" fontId="39" fillId="112" borderId="0" applyNumberFormat="0" applyBorder="0" applyAlignment="0" applyProtection="0"/>
    <xf numFmtId="0" fontId="39" fillId="113" borderId="0" applyNumberFormat="0" applyBorder="0" applyAlignment="0" applyProtection="0"/>
    <xf numFmtId="0" fontId="39" fillId="113" borderId="0" applyNumberFormat="0" applyBorder="0" applyAlignment="0" applyProtection="0"/>
    <xf numFmtId="0" fontId="39" fillId="114" borderId="0" applyNumberFormat="0" applyBorder="0" applyAlignment="0" applyProtection="0"/>
    <xf numFmtId="0" fontId="39" fillId="114" borderId="0" applyNumberFormat="0" applyBorder="0" applyAlignment="0" applyProtection="0"/>
    <xf numFmtId="0" fontId="39" fillId="114" borderId="0" applyNumberFormat="0" applyBorder="0" applyAlignment="0" applyProtection="0"/>
    <xf numFmtId="0" fontId="39" fillId="113" borderId="0" applyNumberFormat="0" applyBorder="0" applyAlignment="0" applyProtection="0"/>
    <xf numFmtId="0" fontId="39" fillId="112" borderId="0" applyNumberFormat="0" applyBorder="0" applyAlignment="0" applyProtection="0"/>
    <xf numFmtId="0" fontId="39" fillId="108" borderId="0" applyNumberFormat="0" applyBorder="0" applyAlignment="0" applyProtection="0"/>
    <xf numFmtId="0" fontId="39" fillId="105" borderId="0" applyNumberFormat="0" applyBorder="0" applyAlignment="0" applyProtection="0"/>
    <xf numFmtId="0" fontId="39" fillId="101" borderId="0" applyNumberFormat="0" applyBorder="0" applyAlignment="0" applyProtection="0"/>
    <xf numFmtId="0" fontId="15" fillId="0" borderId="0"/>
    <xf numFmtId="0" fontId="39" fillId="101" borderId="0" applyNumberFormat="0" applyBorder="0" applyAlignment="0" applyProtection="0"/>
    <xf numFmtId="0" fontId="39" fillId="105" borderId="0" applyNumberFormat="0" applyBorder="0" applyAlignment="0" applyProtection="0"/>
    <xf numFmtId="0" fontId="39" fillId="108" borderId="0" applyNumberFormat="0" applyBorder="0" applyAlignment="0" applyProtection="0"/>
    <xf numFmtId="0" fontId="39" fillId="112" borderId="0" applyNumberFormat="0" applyBorder="0" applyAlignment="0" applyProtection="0"/>
    <xf numFmtId="0" fontId="39" fillId="113" borderId="0" applyNumberFormat="0" applyBorder="0" applyAlignment="0" applyProtection="0"/>
    <xf numFmtId="0" fontId="39" fillId="114" borderId="0" applyNumberFormat="0" applyBorder="0" applyAlignment="0" applyProtection="0"/>
    <xf numFmtId="0" fontId="39" fillId="114" borderId="0" applyNumberFormat="0" applyBorder="0" applyAlignment="0" applyProtection="0"/>
    <xf numFmtId="0" fontId="39" fillId="113" borderId="0" applyNumberFormat="0" applyBorder="0" applyAlignment="0" applyProtection="0"/>
    <xf numFmtId="0" fontId="39" fillId="112" borderId="0" applyNumberFormat="0" applyBorder="0" applyAlignment="0" applyProtection="0"/>
    <xf numFmtId="0" fontId="39" fillId="108" borderId="0" applyNumberFormat="0" applyBorder="0" applyAlignment="0" applyProtection="0"/>
    <xf numFmtId="0" fontId="39" fillId="105" borderId="0" applyNumberFormat="0" applyBorder="0" applyAlignment="0" applyProtection="0"/>
    <xf numFmtId="0" fontId="39" fillId="101" borderId="0" applyNumberFormat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39" fillId="101" borderId="0" applyNumberFormat="0" applyBorder="0" applyAlignment="0" applyProtection="0"/>
    <xf numFmtId="0" fontId="39" fillId="105" borderId="0" applyNumberFormat="0" applyBorder="0" applyAlignment="0" applyProtection="0"/>
    <xf numFmtId="0" fontId="39" fillId="108" borderId="0" applyNumberFormat="0" applyBorder="0" applyAlignment="0" applyProtection="0"/>
    <xf numFmtId="0" fontId="39" fillId="112" borderId="0" applyNumberFormat="0" applyBorder="0" applyAlignment="0" applyProtection="0"/>
    <xf numFmtId="0" fontId="39" fillId="113" borderId="0" applyNumberFormat="0" applyBorder="0" applyAlignment="0" applyProtection="0"/>
    <xf numFmtId="0" fontId="39" fillId="114" borderId="0" applyNumberFormat="0" applyBorder="0" applyAlignment="0" applyProtection="0"/>
    <xf numFmtId="0" fontId="39" fillId="101" borderId="0" applyNumberFormat="0" applyBorder="0" applyAlignment="0" applyProtection="0"/>
    <xf numFmtId="0" fontId="39" fillId="105" borderId="0" applyNumberFormat="0" applyBorder="0" applyAlignment="0" applyProtection="0"/>
    <xf numFmtId="0" fontId="39" fillId="101" borderId="0" applyNumberFormat="0" applyBorder="0" applyAlignment="0" applyProtection="0"/>
    <xf numFmtId="0" fontId="39" fillId="105" borderId="0" applyNumberFormat="0" applyBorder="0" applyAlignment="0" applyProtection="0"/>
    <xf numFmtId="0" fontId="39" fillId="108" borderId="0" applyNumberFormat="0" applyBorder="0" applyAlignment="0" applyProtection="0"/>
    <xf numFmtId="0" fontId="39" fillId="108" borderId="0" applyNumberFormat="0" applyBorder="0" applyAlignment="0" applyProtection="0"/>
    <xf numFmtId="0" fontId="39" fillId="112" borderId="0" applyNumberFormat="0" applyBorder="0" applyAlignment="0" applyProtection="0"/>
    <xf numFmtId="0" fontId="39" fillId="112" borderId="0" applyNumberFormat="0" applyBorder="0" applyAlignment="0" applyProtection="0"/>
    <xf numFmtId="0" fontId="39" fillId="113" borderId="0" applyNumberFormat="0" applyBorder="0" applyAlignment="0" applyProtection="0"/>
    <xf numFmtId="0" fontId="39" fillId="113" borderId="0" applyNumberFormat="0" applyBorder="0" applyAlignment="0" applyProtection="0"/>
    <xf numFmtId="0" fontId="39" fillId="114" borderId="0" applyNumberFormat="0" applyBorder="0" applyAlignment="0" applyProtection="0"/>
    <xf numFmtId="0" fontId="39" fillId="114" borderId="0" applyNumberFormat="0" applyBorder="0" applyAlignment="0" applyProtection="0"/>
    <xf numFmtId="0" fontId="39" fillId="114" borderId="0" applyNumberFormat="0" applyBorder="0" applyAlignment="0" applyProtection="0"/>
    <xf numFmtId="0" fontId="39" fillId="113" borderId="0" applyNumberFormat="0" applyBorder="0" applyAlignment="0" applyProtection="0"/>
    <xf numFmtId="0" fontId="39" fillId="112" borderId="0" applyNumberFormat="0" applyBorder="0" applyAlignment="0" applyProtection="0"/>
    <xf numFmtId="0" fontId="39" fillId="108" borderId="0" applyNumberFormat="0" applyBorder="0" applyAlignment="0" applyProtection="0"/>
    <xf numFmtId="0" fontId="39" fillId="105" borderId="0" applyNumberFormat="0" applyBorder="0" applyAlignment="0" applyProtection="0"/>
    <xf numFmtId="0" fontId="39" fillId="101" borderId="0" applyNumberFormat="0" applyBorder="0" applyAlignment="0" applyProtection="0"/>
    <xf numFmtId="0" fontId="39" fillId="101" borderId="0" applyNumberFormat="0" applyBorder="0" applyAlignment="0" applyProtection="0"/>
    <xf numFmtId="0" fontId="39" fillId="105" borderId="0" applyNumberFormat="0" applyBorder="0" applyAlignment="0" applyProtection="0"/>
    <xf numFmtId="0" fontId="39" fillId="101" borderId="0" applyNumberFormat="0" applyBorder="0" applyAlignment="0" applyProtection="0"/>
    <xf numFmtId="0" fontId="39" fillId="108" borderId="0" applyNumberFormat="0" applyBorder="0" applyAlignment="0" applyProtection="0"/>
    <xf numFmtId="0" fontId="39" fillId="105" borderId="0" applyNumberFormat="0" applyBorder="0" applyAlignment="0" applyProtection="0"/>
    <xf numFmtId="0" fontId="39" fillId="108" borderId="0" applyNumberFormat="0" applyBorder="0" applyAlignment="0" applyProtection="0"/>
    <xf numFmtId="0" fontId="39" fillId="112" borderId="0" applyNumberFormat="0" applyBorder="0" applyAlignment="0" applyProtection="0"/>
    <xf numFmtId="0" fontId="39" fillId="112" borderId="0" applyNumberFormat="0" applyBorder="0" applyAlignment="0" applyProtection="0"/>
    <xf numFmtId="0" fontId="39" fillId="113" borderId="0" applyNumberFormat="0" applyBorder="0" applyAlignment="0" applyProtection="0"/>
    <xf numFmtId="0" fontId="39" fillId="113" borderId="0" applyNumberFormat="0" applyBorder="0" applyAlignment="0" applyProtection="0"/>
    <xf numFmtId="0" fontId="39" fillId="114" borderId="0" applyNumberFormat="0" applyBorder="0" applyAlignment="0" applyProtection="0"/>
    <xf numFmtId="0" fontId="39" fillId="114" borderId="0" applyNumberFormat="0" applyBorder="0" applyAlignment="0" applyProtection="0"/>
    <xf numFmtId="0" fontId="39" fillId="114" borderId="0" applyNumberFormat="0" applyBorder="0" applyAlignment="0" applyProtection="0"/>
    <xf numFmtId="0" fontId="39" fillId="114" borderId="0" applyNumberFormat="0" applyBorder="0" applyAlignment="0" applyProtection="0"/>
    <xf numFmtId="0" fontId="39" fillId="113" borderId="0" applyNumberFormat="0" applyBorder="0" applyAlignment="0" applyProtection="0"/>
    <xf numFmtId="0" fontId="39" fillId="113" borderId="0" applyNumberFormat="0" applyBorder="0" applyAlignment="0" applyProtection="0"/>
    <xf numFmtId="0" fontId="39" fillId="112" borderId="0" applyNumberFormat="0" applyBorder="0" applyAlignment="0" applyProtection="0"/>
    <xf numFmtId="0" fontId="39" fillId="112" borderId="0" applyNumberFormat="0" applyBorder="0" applyAlignment="0" applyProtection="0"/>
    <xf numFmtId="0" fontId="39" fillId="108" borderId="0" applyNumberFormat="0" applyBorder="0" applyAlignment="0" applyProtection="0"/>
    <xf numFmtId="0" fontId="39" fillId="108" borderId="0" applyNumberFormat="0" applyBorder="0" applyAlignment="0" applyProtection="0"/>
    <xf numFmtId="0" fontId="39" fillId="105" borderId="0" applyNumberFormat="0" applyBorder="0" applyAlignment="0" applyProtection="0"/>
    <xf numFmtId="0" fontId="39" fillId="105" borderId="0" applyNumberFormat="0" applyBorder="0" applyAlignment="0" applyProtection="0"/>
    <xf numFmtId="0" fontId="39" fillId="101" borderId="0" applyNumberFormat="0" applyBorder="0" applyAlignment="0" applyProtection="0"/>
    <xf numFmtId="0" fontId="39" fillId="101" borderId="0" applyNumberFormat="0" applyBorder="0" applyAlignment="0" applyProtection="0"/>
    <xf numFmtId="43" fontId="15" fillId="0" borderId="0" applyFont="0" applyFill="0" applyBorder="0" applyAlignment="0" applyProtection="0"/>
    <xf numFmtId="0" fontId="39" fillId="101" borderId="0" applyNumberFormat="0" applyBorder="0" applyAlignment="0" applyProtection="0"/>
    <xf numFmtId="0" fontId="39" fillId="105" borderId="0" applyNumberFormat="0" applyBorder="0" applyAlignment="0" applyProtection="0"/>
    <xf numFmtId="0" fontId="39" fillId="108" borderId="0" applyNumberFormat="0" applyBorder="0" applyAlignment="0" applyProtection="0"/>
    <xf numFmtId="0" fontId="39" fillId="112" borderId="0" applyNumberFormat="0" applyBorder="0" applyAlignment="0" applyProtection="0"/>
    <xf numFmtId="0" fontId="39" fillId="113" borderId="0" applyNumberFormat="0" applyBorder="0" applyAlignment="0" applyProtection="0"/>
    <xf numFmtId="0" fontId="39" fillId="114" borderId="0" applyNumberFormat="0" applyBorder="0" applyAlignment="0" applyProtection="0"/>
    <xf numFmtId="0" fontId="39" fillId="114" borderId="0" applyNumberFormat="0" applyBorder="0" applyAlignment="0" applyProtection="0"/>
    <xf numFmtId="0" fontId="39" fillId="113" borderId="0" applyNumberFormat="0" applyBorder="0" applyAlignment="0" applyProtection="0"/>
    <xf numFmtId="0" fontId="39" fillId="112" borderId="0" applyNumberFormat="0" applyBorder="0" applyAlignment="0" applyProtection="0"/>
    <xf numFmtId="0" fontId="39" fillId="108" borderId="0" applyNumberFormat="0" applyBorder="0" applyAlignment="0" applyProtection="0"/>
    <xf numFmtId="0" fontId="39" fillId="105" borderId="0" applyNumberFormat="0" applyBorder="0" applyAlignment="0" applyProtection="0"/>
    <xf numFmtId="0" fontId="39" fillId="101" borderId="0" applyNumberFormat="0" applyBorder="0" applyAlignment="0" applyProtection="0"/>
    <xf numFmtId="0" fontId="15" fillId="0" borderId="0"/>
    <xf numFmtId="0" fontId="39" fillId="101" borderId="0" applyNumberFormat="0" applyBorder="0" applyAlignment="0" applyProtection="0"/>
    <xf numFmtId="0" fontId="39" fillId="105" borderId="0" applyNumberFormat="0" applyBorder="0" applyAlignment="0" applyProtection="0"/>
    <xf numFmtId="0" fontId="39" fillId="108" borderId="0" applyNumberFormat="0" applyBorder="0" applyAlignment="0" applyProtection="0"/>
    <xf numFmtId="0" fontId="39" fillId="112" borderId="0" applyNumberFormat="0" applyBorder="0" applyAlignment="0" applyProtection="0"/>
    <xf numFmtId="0" fontId="39" fillId="113" borderId="0" applyNumberFormat="0" applyBorder="0" applyAlignment="0" applyProtection="0"/>
    <xf numFmtId="0" fontId="39" fillId="114" borderId="0" applyNumberFormat="0" applyBorder="0" applyAlignment="0" applyProtection="0"/>
    <xf numFmtId="0" fontId="15" fillId="0" borderId="0"/>
    <xf numFmtId="0" fontId="39" fillId="101" borderId="0" applyNumberFormat="0" applyBorder="0" applyAlignment="0" applyProtection="0"/>
    <xf numFmtId="0" fontId="39" fillId="105" borderId="0" applyNumberFormat="0" applyBorder="0" applyAlignment="0" applyProtection="0"/>
    <xf numFmtId="0" fontId="39" fillId="108" borderId="0" applyNumberFormat="0" applyBorder="0" applyAlignment="0" applyProtection="0"/>
    <xf numFmtId="0" fontId="39" fillId="112" borderId="0" applyNumberFormat="0" applyBorder="0" applyAlignment="0" applyProtection="0"/>
    <xf numFmtId="0" fontId="39" fillId="113" borderId="0" applyNumberFormat="0" applyBorder="0" applyAlignment="0" applyProtection="0"/>
    <xf numFmtId="0" fontId="39" fillId="114" borderId="0" applyNumberFormat="0" applyBorder="0" applyAlignment="0" applyProtection="0"/>
    <xf numFmtId="0" fontId="39" fillId="114" borderId="0" applyNumberFormat="0" applyBorder="0" applyAlignment="0" applyProtection="0"/>
    <xf numFmtId="0" fontId="39" fillId="113" borderId="0" applyNumberFormat="0" applyBorder="0" applyAlignment="0" applyProtection="0"/>
    <xf numFmtId="0" fontId="39" fillId="112" borderId="0" applyNumberFormat="0" applyBorder="0" applyAlignment="0" applyProtection="0"/>
    <xf numFmtId="0" fontId="39" fillId="108" borderId="0" applyNumberFormat="0" applyBorder="0" applyAlignment="0" applyProtection="0"/>
    <xf numFmtId="0" fontId="39" fillId="105" borderId="0" applyNumberFormat="0" applyBorder="0" applyAlignment="0" applyProtection="0"/>
    <xf numFmtId="0" fontId="39" fillId="101" borderId="0" applyNumberFormat="0" applyBorder="0" applyAlignment="0" applyProtection="0"/>
    <xf numFmtId="0" fontId="15" fillId="0" borderId="0"/>
    <xf numFmtId="0" fontId="15" fillId="0" borderId="0"/>
    <xf numFmtId="0" fontId="39" fillId="101" borderId="0" applyNumberFormat="0" applyBorder="0" applyAlignment="0" applyProtection="0"/>
    <xf numFmtId="0" fontId="39" fillId="105" borderId="0" applyNumberFormat="0" applyBorder="0" applyAlignment="0" applyProtection="0"/>
    <xf numFmtId="0" fontId="39" fillId="108" borderId="0" applyNumberFormat="0" applyBorder="0" applyAlignment="0" applyProtection="0"/>
    <xf numFmtId="0" fontId="39" fillId="112" borderId="0" applyNumberFormat="0" applyBorder="0" applyAlignment="0" applyProtection="0"/>
    <xf numFmtId="0" fontId="39" fillId="113" borderId="0" applyNumberFormat="0" applyBorder="0" applyAlignment="0" applyProtection="0"/>
    <xf numFmtId="0" fontId="39" fillId="114" borderId="0" applyNumberFormat="0" applyBorder="0" applyAlignment="0" applyProtection="0"/>
    <xf numFmtId="0" fontId="39" fillId="114" borderId="0" applyNumberFormat="0" applyBorder="0" applyAlignment="0" applyProtection="0"/>
    <xf numFmtId="0" fontId="39" fillId="113" borderId="0" applyNumberFormat="0" applyBorder="0" applyAlignment="0" applyProtection="0"/>
    <xf numFmtId="0" fontId="39" fillId="112" borderId="0" applyNumberFormat="0" applyBorder="0" applyAlignment="0" applyProtection="0"/>
    <xf numFmtId="0" fontId="39" fillId="108" borderId="0" applyNumberFormat="0" applyBorder="0" applyAlignment="0" applyProtection="0"/>
    <xf numFmtId="0" fontId="39" fillId="105" borderId="0" applyNumberFormat="0" applyBorder="0" applyAlignment="0" applyProtection="0"/>
    <xf numFmtId="0" fontId="39" fillId="101" borderId="0" applyNumberFormat="0" applyBorder="0" applyAlignment="0" applyProtection="0"/>
    <xf numFmtId="0" fontId="15" fillId="0" borderId="0"/>
    <xf numFmtId="0" fontId="39" fillId="101" borderId="0" applyNumberFormat="0" applyBorder="0" applyAlignment="0" applyProtection="0"/>
    <xf numFmtId="0" fontId="39" fillId="105" borderId="0" applyNumberFormat="0" applyBorder="0" applyAlignment="0" applyProtection="0"/>
    <xf numFmtId="0" fontId="39" fillId="108" borderId="0" applyNumberFormat="0" applyBorder="0" applyAlignment="0" applyProtection="0"/>
    <xf numFmtId="0" fontId="39" fillId="112" borderId="0" applyNumberFormat="0" applyBorder="0" applyAlignment="0" applyProtection="0"/>
    <xf numFmtId="0" fontId="39" fillId="113" borderId="0" applyNumberFormat="0" applyBorder="0" applyAlignment="0" applyProtection="0"/>
    <xf numFmtId="0" fontId="39" fillId="114" borderId="0" applyNumberFormat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0" fontId="39" fillId="101" borderId="0" applyNumberFormat="0" applyBorder="0" applyAlignment="0" applyProtection="0"/>
    <xf numFmtId="0" fontId="39" fillId="105" borderId="0" applyNumberFormat="0" applyBorder="0" applyAlignment="0" applyProtection="0"/>
    <xf numFmtId="0" fontId="39" fillId="108" borderId="0" applyNumberFormat="0" applyBorder="0" applyAlignment="0" applyProtection="0"/>
    <xf numFmtId="0" fontId="39" fillId="112" borderId="0" applyNumberFormat="0" applyBorder="0" applyAlignment="0" applyProtection="0"/>
    <xf numFmtId="0" fontId="39" fillId="113" borderId="0" applyNumberFormat="0" applyBorder="0" applyAlignment="0" applyProtection="0"/>
    <xf numFmtId="0" fontId="39" fillId="114" borderId="0" applyNumberFormat="0" applyBorder="0" applyAlignment="0" applyProtection="0"/>
    <xf numFmtId="43" fontId="1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237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3" fontId="1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239" fillId="0" borderId="0"/>
    <xf numFmtId="43" fontId="239" fillId="0" borderId="0" applyFont="0" applyFill="0" applyBorder="0" applyAlignment="0" applyProtection="0"/>
    <xf numFmtId="0" fontId="238" fillId="0" borderId="0"/>
    <xf numFmtId="0" fontId="4" fillId="0" borderId="0"/>
    <xf numFmtId="0" fontId="4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15" fillId="0" borderId="0"/>
    <xf numFmtId="0" fontId="3" fillId="0" borderId="0"/>
    <xf numFmtId="0" fontId="66" fillId="0" borderId="0"/>
    <xf numFmtId="43" fontId="66" fillId="0" borderId="0" applyFont="0" applyFill="0" applyBorder="0" applyAlignment="0" applyProtection="0"/>
    <xf numFmtId="0" fontId="66" fillId="0" borderId="0"/>
    <xf numFmtId="44" fontId="66" fillId="0" borderId="0" applyFont="0" applyFill="0" applyBorder="0" applyAlignment="0" applyProtection="0"/>
    <xf numFmtId="0" fontId="66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3" fillId="0" borderId="0"/>
    <xf numFmtId="0" fontId="240" fillId="0" borderId="0"/>
    <xf numFmtId="43" fontId="240" fillId="0" borderId="0" applyFont="0" applyFill="0" applyBorder="0" applyAlignment="0" applyProtection="0"/>
    <xf numFmtId="0" fontId="158" fillId="0" borderId="0"/>
    <xf numFmtId="0" fontId="3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15" fillId="0" borderId="0"/>
    <xf numFmtId="43" fontId="2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" fontId="30" fillId="51" borderId="50" applyNumberFormat="0" applyProtection="0">
      <alignment horizontal="right" vertical="center"/>
    </xf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6" fillId="0" borderId="0" applyFont="0" applyFill="0" applyBorder="0" applyAlignment="0" applyProtection="0"/>
    <xf numFmtId="44" fontId="66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2" fillId="0" borderId="0"/>
    <xf numFmtId="4" fontId="30" fillId="98" borderId="50" applyNumberFormat="0" applyProtection="0">
      <alignment horizontal="left" vertical="center" indent="1"/>
    </xf>
    <xf numFmtId="4" fontId="30" fillId="98" borderId="50" applyNumberFormat="0" applyProtection="0">
      <alignment horizontal="left" vertical="center" indent="1"/>
    </xf>
    <xf numFmtId="4" fontId="30" fillId="98" borderId="50" applyNumberFormat="0" applyProtection="0">
      <alignment horizontal="left" vertical="center" indent="1"/>
    </xf>
    <xf numFmtId="4" fontId="30" fillId="98" borderId="50" applyNumberFormat="0" applyProtection="0">
      <alignment horizontal="left" vertical="center" indent="1"/>
    </xf>
    <xf numFmtId="266" fontId="216" fillId="0" borderId="152" applyNumberFormat="0" applyProtection="0">
      <alignment horizontal="right" vertical="center"/>
    </xf>
    <xf numFmtId="0" fontId="218" fillId="134" borderId="139" applyNumberFormat="0" applyAlignment="0" applyProtection="0">
      <alignment horizontal="left" vertical="center" indent="1"/>
    </xf>
    <xf numFmtId="0" fontId="218" fillId="135" borderId="139" applyNumberFormat="0" applyAlignment="0" applyProtection="0">
      <alignment horizontal="left" vertical="center" indent="1"/>
    </xf>
    <xf numFmtId="0" fontId="218" fillId="136" borderId="139" applyNumberFormat="0" applyAlignment="0" applyProtection="0">
      <alignment horizontal="left" vertical="center" indent="1"/>
    </xf>
    <xf numFmtId="0" fontId="218" fillId="137" borderId="152" applyNumberFormat="0" applyAlignment="0" applyProtection="0">
      <alignment horizontal="left" vertical="center" indent="1"/>
    </xf>
    <xf numFmtId="0" fontId="216" fillId="95" borderId="152" applyNumberFormat="0" applyAlignment="0" applyProtection="0">
      <alignment horizontal="left" vertical="center" indent="1"/>
    </xf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42" fillId="0" borderId="0" applyNumberFormat="0" applyFill="0" applyBorder="0" applyAlignment="0" applyProtection="0"/>
    <xf numFmtId="0" fontId="15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40" fillId="0" borderId="0" applyFont="0" applyFill="0" applyBorder="0" applyAlignment="0" applyProtection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5" fillId="0" borderId="0"/>
  </cellStyleXfs>
  <cellXfs count="1100">
    <xf numFmtId="0" fontId="0" fillId="0" borderId="0" xfId="0"/>
    <xf numFmtId="1" fontId="14" fillId="0" borderId="0" xfId="0" applyNumberFormat="1" applyFont="1"/>
    <xf numFmtId="1" fontId="16" fillId="0" borderId="1" xfId="3" applyNumberFormat="1" applyFont="1" applyBorder="1" applyAlignment="1">
      <alignment horizontal="center"/>
    </xf>
    <xf numFmtId="1" fontId="17" fillId="0" borderId="0" xfId="0" applyNumberFormat="1" applyFont="1"/>
    <xf numFmtId="1" fontId="14" fillId="0" borderId="0" xfId="0" applyNumberFormat="1" applyFont="1" applyAlignment="1">
      <alignment horizontal="right"/>
    </xf>
    <xf numFmtId="1" fontId="17" fillId="2" borderId="2" xfId="3" applyNumberFormat="1" applyFont="1" applyFill="1" applyBorder="1"/>
    <xf numFmtId="3" fontId="14" fillId="0" borderId="0" xfId="0" applyNumberFormat="1" applyFont="1"/>
    <xf numFmtId="1" fontId="14" fillId="3" borderId="0" xfId="0" applyNumberFormat="1" applyFont="1" applyFill="1" applyAlignment="1">
      <alignment horizontal="center"/>
    </xf>
    <xf numFmtId="1" fontId="14" fillId="0" borderId="3" xfId="3" applyNumberFormat="1" applyFont="1" applyBorder="1"/>
    <xf numFmtId="37" fontId="14" fillId="0" borderId="3" xfId="4" applyNumberFormat="1" applyFont="1" applyFill="1" applyBorder="1"/>
    <xf numFmtId="37" fontId="14" fillId="0" borderId="2" xfId="4" applyNumberFormat="1" applyFont="1" applyFill="1" applyBorder="1"/>
    <xf numFmtId="1" fontId="16" fillId="0" borderId="2" xfId="3" applyNumberFormat="1" applyFont="1" applyBorder="1" applyAlignment="1">
      <alignment horizontal="center"/>
    </xf>
    <xf numFmtId="1" fontId="16" fillId="0" borderId="4" xfId="3" applyNumberFormat="1" applyFont="1" applyBorder="1" applyAlignment="1">
      <alignment horizontal="center"/>
    </xf>
    <xf numFmtId="3" fontId="14" fillId="0" borderId="3" xfId="0" applyNumberFormat="1" applyFont="1" applyBorder="1"/>
    <xf numFmtId="3" fontId="14" fillId="4" borderId="3" xfId="0" applyNumberFormat="1" applyFont="1" applyFill="1" applyBorder="1"/>
    <xf numFmtId="3" fontId="14" fillId="5" borderId="3" xfId="0" applyNumberFormat="1" applyFont="1" applyFill="1" applyBorder="1"/>
    <xf numFmtId="1" fontId="17" fillId="0" borderId="5" xfId="3" applyNumberFormat="1" applyFont="1" applyBorder="1"/>
    <xf numFmtId="3" fontId="17" fillId="0" borderId="5" xfId="0" applyNumberFormat="1" applyFont="1" applyBorder="1"/>
    <xf numFmtId="166" fontId="14" fillId="0" borderId="0" xfId="1" applyNumberFormat="1" applyFont="1"/>
    <xf numFmtId="1" fontId="14" fillId="0" borderId="6" xfId="3" applyNumberFormat="1" applyFont="1" applyBorder="1"/>
    <xf numFmtId="37" fontId="14" fillId="0" borderId="6" xfId="4" applyNumberFormat="1" applyFont="1" applyFill="1" applyBorder="1"/>
    <xf numFmtId="37" fontId="14" fillId="0" borderId="5" xfId="4" applyNumberFormat="1" applyFont="1" applyFill="1" applyBorder="1"/>
    <xf numFmtId="1" fontId="17" fillId="2" borderId="5" xfId="3" applyNumberFormat="1" applyFont="1" applyFill="1" applyBorder="1"/>
    <xf numFmtId="3" fontId="18" fillId="0" borderId="0" xfId="0" applyNumberFormat="1" applyFont="1"/>
    <xf numFmtId="3" fontId="19" fillId="0" borderId="0" xfId="0" applyNumberFormat="1" applyFont="1"/>
    <xf numFmtId="1" fontId="19" fillId="0" borderId="0" xfId="0" applyNumberFormat="1" applyFont="1"/>
    <xf numFmtId="1" fontId="17" fillId="6" borderId="7" xfId="3" applyNumberFormat="1" applyFont="1" applyFill="1" applyBorder="1"/>
    <xf numFmtId="1" fontId="17" fillId="6" borderId="9" xfId="3" applyNumberFormat="1" applyFont="1" applyFill="1" applyBorder="1"/>
    <xf numFmtId="1" fontId="17" fillId="6" borderId="7" xfId="3" applyNumberFormat="1" applyFont="1" applyFill="1" applyBorder="1" applyAlignment="1">
      <alignment horizontal="center"/>
    </xf>
    <xf numFmtId="1" fontId="17" fillId="6" borderId="9" xfId="3" applyNumberFormat="1" applyFont="1" applyFill="1" applyBorder="1" applyAlignment="1">
      <alignment horizontal="center"/>
    </xf>
    <xf numFmtId="1" fontId="14" fillId="0" borderId="0" xfId="0" quotePrefix="1" applyNumberFormat="1" applyFont="1" applyAlignment="1">
      <alignment horizontal="right"/>
    </xf>
    <xf numFmtId="1" fontId="16" fillId="0" borderId="2" xfId="3" applyNumberFormat="1" applyFont="1" applyBorder="1"/>
    <xf numFmtId="1" fontId="16" fillId="0" borderId="13" xfId="3" applyNumberFormat="1" applyFont="1" applyBorder="1" applyAlignment="1">
      <alignment horizontal="center"/>
    </xf>
    <xf numFmtId="1" fontId="16" fillId="0" borderId="14" xfId="3" applyNumberFormat="1" applyFont="1" applyBorder="1" applyAlignment="1">
      <alignment horizontal="center"/>
    </xf>
    <xf numFmtId="37" fontId="14" fillId="0" borderId="15" xfId="4" applyNumberFormat="1" applyFont="1" applyFill="1" applyBorder="1"/>
    <xf numFmtId="37" fontId="14" fillId="0" borderId="16" xfId="4" applyNumberFormat="1" applyFont="1" applyFill="1" applyBorder="1"/>
    <xf numFmtId="37" fontId="14" fillId="0" borderId="17" xfId="4" applyNumberFormat="1" applyFont="1" applyFill="1" applyBorder="1"/>
    <xf numFmtId="3" fontId="14" fillId="1" borderId="3" xfId="0" applyNumberFormat="1" applyFont="1" applyFill="1" applyBorder="1"/>
    <xf numFmtId="1" fontId="21" fillId="0" borderId="0" xfId="0" applyNumberFormat="1" applyFont="1"/>
    <xf numFmtId="1" fontId="14" fillId="0" borderId="5" xfId="3" applyNumberFormat="1" applyFont="1" applyBorder="1"/>
    <xf numFmtId="1" fontId="17" fillId="6" borderId="19" xfId="3" applyNumberFormat="1" applyFont="1" applyFill="1" applyBorder="1"/>
    <xf numFmtId="37" fontId="17" fillId="6" borderId="10" xfId="4" applyNumberFormat="1" applyFont="1" applyFill="1" applyBorder="1" applyAlignment="1"/>
    <xf numFmtId="37" fontId="17" fillId="6" borderId="11" xfId="4" applyNumberFormat="1" applyFont="1" applyFill="1" applyBorder="1" applyAlignment="1"/>
    <xf numFmtId="37" fontId="17" fillId="6" borderId="12" xfId="4" applyNumberFormat="1" applyFont="1" applyFill="1" applyBorder="1" applyAlignment="1"/>
    <xf numFmtId="37" fontId="17" fillId="6" borderId="19" xfId="4" applyNumberFormat="1" applyFont="1" applyFill="1" applyBorder="1" applyAlignment="1"/>
    <xf numFmtId="1" fontId="16" fillId="0" borderId="20" xfId="3" applyNumberFormat="1" applyFont="1" applyBorder="1"/>
    <xf numFmtId="1" fontId="16" fillId="0" borderId="20" xfId="3" applyNumberFormat="1" applyFont="1" applyBorder="1" applyAlignment="1">
      <alignment horizontal="center"/>
    </xf>
    <xf numFmtId="1" fontId="16" fillId="0" borderId="21" xfId="3" applyNumberFormat="1" applyFont="1" applyBorder="1" applyAlignment="1">
      <alignment horizontal="center"/>
    </xf>
    <xf numFmtId="37" fontId="14" fillId="1" borderId="16" xfId="4" applyNumberFormat="1" applyFont="1" applyFill="1" applyBorder="1"/>
    <xf numFmtId="37" fontId="14" fillId="1" borderId="17" xfId="4" applyNumberFormat="1" applyFont="1" applyFill="1" applyBorder="1"/>
    <xf numFmtId="1" fontId="17" fillId="6" borderId="10" xfId="3" applyNumberFormat="1" applyFont="1" applyFill="1" applyBorder="1"/>
    <xf numFmtId="37" fontId="14" fillId="7" borderId="13" xfId="3" applyNumberFormat="1" applyFont="1" applyFill="1" applyBorder="1"/>
    <xf numFmtId="37" fontId="14" fillId="7" borderId="14" xfId="3" applyNumberFormat="1" applyFont="1" applyFill="1" applyBorder="1"/>
    <xf numFmtId="37" fontId="22" fillId="7" borderId="20" xfId="4" applyNumberFormat="1" applyFont="1" applyFill="1" applyBorder="1"/>
    <xf numFmtId="37" fontId="22" fillId="7" borderId="1" xfId="4" applyNumberFormat="1" applyFont="1" applyFill="1" applyBorder="1"/>
    <xf numFmtId="37" fontId="14" fillId="0" borderId="0" xfId="0" applyNumberFormat="1" applyFont="1" applyAlignment="1">
      <alignment horizontal="right"/>
    </xf>
    <xf numFmtId="37" fontId="14" fillId="1" borderId="15" xfId="4" applyNumberFormat="1" applyFont="1" applyFill="1" applyBorder="1"/>
    <xf numFmtId="37" fontId="14" fillId="0" borderId="17" xfId="4" applyNumberFormat="1" applyFont="1" applyFill="1" applyBorder="1" applyAlignment="1">
      <alignment horizontal="right" vertical="center"/>
    </xf>
    <xf numFmtId="37" fontId="14" fillId="0" borderId="3" xfId="4" applyNumberFormat="1" applyFont="1" applyFill="1" applyBorder="1" applyAlignment="1">
      <alignment horizontal="right" vertical="center"/>
    </xf>
    <xf numFmtId="37" fontId="14" fillId="0" borderId="22" xfId="4" applyNumberFormat="1" applyFont="1" applyFill="1" applyBorder="1" applyAlignment="1">
      <alignment horizontal="right" vertical="center"/>
    </xf>
    <xf numFmtId="37" fontId="17" fillId="6" borderId="10" xfId="3" applyNumberFormat="1" applyFont="1" applyFill="1" applyBorder="1"/>
    <xf numFmtId="37" fontId="14" fillId="3" borderId="16" xfId="4" applyNumberFormat="1" applyFont="1" applyFill="1" applyBorder="1"/>
    <xf numFmtId="37" fontId="14" fillId="0" borderId="5" xfId="4" applyNumberFormat="1" applyFont="1" applyFill="1" applyBorder="1" applyAlignment="1">
      <alignment horizontal="right" vertical="center"/>
    </xf>
    <xf numFmtId="37" fontId="14" fillId="0" borderId="18" xfId="4" applyNumberFormat="1" applyFont="1" applyFill="1" applyBorder="1" applyAlignment="1">
      <alignment horizontal="right" vertical="center"/>
    </xf>
    <xf numFmtId="37" fontId="14" fillId="6" borderId="11" xfId="4" applyNumberFormat="1" applyFont="1" applyFill="1" applyBorder="1"/>
    <xf numFmtId="1" fontId="16" fillId="0" borderId="22" xfId="3" applyNumberFormat="1" applyFont="1" applyBorder="1" applyAlignment="1">
      <alignment horizontal="center"/>
    </xf>
    <xf numFmtId="1" fontId="23" fillId="7" borderId="23" xfId="3" applyNumberFormat="1" applyFont="1" applyFill="1" applyBorder="1"/>
    <xf numFmtId="37" fontId="14" fillId="0" borderId="23" xfId="0" applyNumberFormat="1" applyFont="1" applyBorder="1"/>
    <xf numFmtId="37" fontId="14" fillId="0" borderId="0" xfId="0" applyNumberFormat="1" applyFont="1"/>
    <xf numFmtId="37" fontId="14" fillId="0" borderId="24" xfId="4" applyNumberFormat="1" applyFont="1" applyBorder="1"/>
    <xf numFmtId="37" fontId="14" fillId="0" borderId="23" xfId="4" applyNumberFormat="1" applyFont="1" applyBorder="1"/>
    <xf numFmtId="37" fontId="14" fillId="0" borderId="0" xfId="4" applyNumberFormat="1" applyFont="1" applyBorder="1"/>
    <xf numFmtId="9" fontId="14" fillId="0" borderId="3" xfId="2" applyFont="1" applyFill="1" applyBorder="1"/>
    <xf numFmtId="3" fontId="14" fillId="0" borderId="3" xfId="2" applyNumberFormat="1" applyFont="1" applyFill="1" applyBorder="1"/>
    <xf numFmtId="9" fontId="14" fillId="3" borderId="3" xfId="2" applyFont="1" applyFill="1" applyBorder="1"/>
    <xf numFmtId="1" fontId="14" fillId="0" borderId="23" xfId="3" applyNumberFormat="1" applyFont="1" applyBorder="1"/>
    <xf numFmtId="37" fontId="14" fillId="0" borderId="23" xfId="4" applyNumberFormat="1" applyFont="1" applyFill="1" applyBorder="1"/>
    <xf numFmtId="37" fontId="14" fillId="0" borderId="0" xfId="4" applyNumberFormat="1" applyFont="1" applyFill="1" applyBorder="1"/>
    <xf numFmtId="9" fontId="14" fillId="0" borderId="24" xfId="2" applyFont="1" applyFill="1" applyBorder="1"/>
    <xf numFmtId="37" fontId="17" fillId="6" borderId="10" xfId="0" applyNumberFormat="1" applyFont="1" applyFill="1" applyBorder="1"/>
    <xf numFmtId="37" fontId="17" fillId="6" borderId="11" xfId="0" applyNumberFormat="1" applyFont="1" applyFill="1" applyBorder="1"/>
    <xf numFmtId="37" fontId="17" fillId="6" borderId="12" xfId="4" applyNumberFormat="1" applyFont="1" applyFill="1" applyBorder="1"/>
    <xf numFmtId="37" fontId="17" fillId="6" borderId="10" xfId="4" applyNumberFormat="1" applyFont="1" applyFill="1" applyBorder="1"/>
    <xf numFmtId="37" fontId="17" fillId="6" borderId="11" xfId="4" applyNumberFormat="1" applyFont="1" applyFill="1" applyBorder="1"/>
    <xf numFmtId="1" fontId="17" fillId="0" borderId="0" xfId="0" applyNumberFormat="1" applyFont="1" applyAlignment="1">
      <alignment horizontal="right"/>
    </xf>
    <xf numFmtId="4" fontId="14" fillId="0" borderId="0" xfId="0" applyNumberFormat="1" applyFont="1" applyAlignment="1">
      <alignment horizontal="right"/>
    </xf>
    <xf numFmtId="4" fontId="14" fillId="0" borderId="0" xfId="0" applyNumberFormat="1" applyFont="1"/>
    <xf numFmtId="37" fontId="14" fillId="3" borderId="17" xfId="4" applyNumberFormat="1" applyFont="1" applyFill="1" applyBorder="1" applyAlignment="1">
      <alignment horizontal="center"/>
    </xf>
    <xf numFmtId="38" fontId="14" fillId="0" borderId="0" xfId="5" applyNumberFormat="1" applyFont="1"/>
    <xf numFmtId="1" fontId="17" fillId="0" borderId="0" xfId="0" applyNumberFormat="1" applyFont="1" applyAlignment="1">
      <alignment horizontal="center"/>
    </xf>
    <xf numFmtId="38" fontId="17" fillId="0" borderId="0" xfId="5" applyNumberFormat="1" applyFont="1"/>
    <xf numFmtId="1" fontId="17" fillId="3" borderId="8" xfId="3" applyNumberFormat="1" applyFont="1" applyFill="1" applyBorder="1" applyAlignment="1">
      <alignment horizontal="center"/>
    </xf>
    <xf numFmtId="37" fontId="14" fillId="3" borderId="15" xfId="4" applyNumberFormat="1" applyFont="1" applyFill="1" applyBorder="1"/>
    <xf numFmtId="37" fontId="14" fillId="3" borderId="17" xfId="4" applyNumberFormat="1" applyFont="1" applyFill="1" applyBorder="1"/>
    <xf numFmtId="37" fontId="17" fillId="3" borderId="2" xfId="4" applyNumberFormat="1" applyFont="1" applyFill="1" applyBorder="1"/>
    <xf numFmtId="37" fontId="17" fillId="3" borderId="5" xfId="4" applyNumberFormat="1" applyFont="1" applyFill="1" applyBorder="1"/>
    <xf numFmtId="0" fontId="153" fillId="0" borderId="0" xfId="0" applyFont="1" applyAlignment="1" applyProtection="1">
      <alignment horizontal="left"/>
      <protection locked="0"/>
    </xf>
    <xf numFmtId="0" fontId="66" fillId="0" borderId="0" xfId="0" applyFont="1" applyProtection="1">
      <protection locked="0"/>
    </xf>
    <xf numFmtId="247" fontId="153" fillId="0" borderId="19" xfId="487" applyNumberFormat="1" applyFont="1" applyBorder="1" applyAlignment="1" applyProtection="1">
      <alignment horizontal="center"/>
      <protection locked="0"/>
    </xf>
    <xf numFmtId="247" fontId="154" fillId="55" borderId="19" xfId="487" applyNumberFormat="1" applyFont="1" applyFill="1" applyBorder="1" applyAlignment="1" applyProtection="1">
      <alignment horizontal="center"/>
      <protection locked="0"/>
    </xf>
    <xf numFmtId="247" fontId="155" fillId="0" borderId="19" xfId="487" applyNumberFormat="1" applyFont="1" applyBorder="1" applyAlignment="1" applyProtection="1">
      <alignment horizontal="center"/>
      <protection locked="0"/>
    </xf>
    <xf numFmtId="247" fontId="154" fillId="40" borderId="19" xfId="487" applyNumberFormat="1" applyFont="1" applyFill="1" applyBorder="1" applyAlignment="1" applyProtection="1">
      <alignment horizontal="center"/>
      <protection locked="0"/>
    </xf>
    <xf numFmtId="247" fontId="154" fillId="56" borderId="19" xfId="487" applyNumberFormat="1" applyFont="1" applyFill="1" applyBorder="1" applyAlignment="1" applyProtection="1">
      <alignment horizontal="center"/>
      <protection locked="0"/>
    </xf>
    <xf numFmtId="1" fontId="155" fillId="0" borderId="0" xfId="0" applyNumberFormat="1" applyFont="1" applyAlignment="1" applyProtection="1">
      <alignment horizontal="left" vertical="center" wrapText="1"/>
      <protection locked="0"/>
    </xf>
    <xf numFmtId="247" fontId="66" fillId="0" borderId="53" xfId="487" applyNumberFormat="1" applyFont="1" applyBorder="1" applyAlignment="1" applyProtection="1">
      <alignment horizontal="center"/>
      <protection locked="0"/>
    </xf>
    <xf numFmtId="247" fontId="66" fillId="57" borderId="53" xfId="487" applyNumberFormat="1" applyFont="1" applyFill="1" applyBorder="1" applyAlignment="1" applyProtection="1">
      <alignment horizontal="center"/>
      <protection locked="0"/>
    </xf>
    <xf numFmtId="0" fontId="66" fillId="0" borderId="0" xfId="0" applyFont="1" applyAlignment="1" applyProtection="1">
      <alignment horizontal="left" vertical="center" wrapText="1"/>
      <protection locked="0"/>
    </xf>
    <xf numFmtId="247" fontId="66" fillId="3" borderId="53" xfId="487" applyNumberFormat="1" applyFont="1" applyFill="1" applyBorder="1" applyAlignment="1" applyProtection="1">
      <alignment horizontal="center"/>
      <protection locked="0"/>
    </xf>
    <xf numFmtId="247" fontId="66" fillId="0" borderId="54" xfId="487" applyNumberFormat="1" applyFont="1" applyBorder="1" applyAlignment="1" applyProtection="1">
      <alignment horizontal="center"/>
      <protection locked="0"/>
    </xf>
    <xf numFmtId="247" fontId="66" fillId="57" borderId="54" xfId="487" applyNumberFormat="1" applyFont="1" applyFill="1" applyBorder="1" applyAlignment="1" applyProtection="1">
      <alignment horizontal="center"/>
      <protection locked="0"/>
    </xf>
    <xf numFmtId="0" fontId="156" fillId="0" borderId="0" xfId="0" applyFont="1" applyProtection="1">
      <protection locked="0"/>
    </xf>
    <xf numFmtId="37" fontId="156" fillId="0" borderId="0" xfId="0" applyNumberFormat="1" applyFont="1" applyProtection="1">
      <protection locked="0"/>
    </xf>
    <xf numFmtId="4" fontId="157" fillId="0" borderId="0" xfId="0" applyNumberFormat="1" applyFont="1"/>
    <xf numFmtId="0" fontId="157" fillId="0" borderId="0" xfId="0" applyFont="1"/>
    <xf numFmtId="0" fontId="158" fillId="0" borderId="0" xfId="0" applyFont="1"/>
    <xf numFmtId="0" fontId="158" fillId="0" borderId="7" xfId="0" applyFont="1" applyBorder="1"/>
    <xf numFmtId="0" fontId="158" fillId="0" borderId="67" xfId="0" applyFont="1" applyBorder="1"/>
    <xf numFmtId="0" fontId="158" fillId="0" borderId="23" xfId="0" applyFont="1" applyBorder="1"/>
    <xf numFmtId="0" fontId="158" fillId="0" borderId="68" xfId="0" applyFont="1" applyBorder="1"/>
    <xf numFmtId="3" fontId="158" fillId="59" borderId="23" xfId="0" applyNumberFormat="1" applyFont="1" applyFill="1" applyBorder="1"/>
    <xf numFmtId="0" fontId="158" fillId="60" borderId="68" xfId="0" applyFont="1" applyFill="1" applyBorder="1"/>
    <xf numFmtId="3" fontId="158" fillId="61" borderId="23" xfId="0" applyNumberFormat="1" applyFont="1" applyFill="1" applyBorder="1"/>
    <xf numFmtId="0" fontId="158" fillId="61" borderId="69" xfId="0" applyFont="1" applyFill="1" applyBorder="1"/>
    <xf numFmtId="0" fontId="158" fillId="60" borderId="70" xfId="0" applyFont="1" applyFill="1" applyBorder="1"/>
    <xf numFmtId="0" fontId="158" fillId="59" borderId="0" xfId="0" applyFont="1" applyFill="1"/>
    <xf numFmtId="0" fontId="158" fillId="61" borderId="0" xfId="0" applyFont="1" applyFill="1"/>
    <xf numFmtId="0" fontId="158" fillId="60" borderId="0" xfId="0" applyFont="1" applyFill="1"/>
    <xf numFmtId="4" fontId="158" fillId="0" borderId="0" xfId="0" applyNumberFormat="1" applyFont="1"/>
    <xf numFmtId="9" fontId="14" fillId="0" borderId="0" xfId="2" applyFont="1" applyAlignment="1">
      <alignment horizontal="right"/>
    </xf>
    <xf numFmtId="9" fontId="14" fillId="0" borderId="0" xfId="2" applyFont="1"/>
    <xf numFmtId="0" fontId="160" fillId="0" borderId="0" xfId="345" applyFont="1" applyAlignment="1">
      <alignment vertical="center"/>
    </xf>
    <xf numFmtId="0" fontId="161" fillId="6" borderId="55" xfId="345" applyFont="1" applyFill="1" applyBorder="1"/>
    <xf numFmtId="1" fontId="161" fillId="6" borderId="55" xfId="345" applyNumberFormat="1" applyFont="1" applyFill="1" applyBorder="1" applyAlignment="1">
      <alignment horizontal="center"/>
    </xf>
    <xf numFmtId="0" fontId="161" fillId="6" borderId="55" xfId="345" applyFont="1" applyFill="1" applyBorder="1" applyAlignment="1">
      <alignment horizontal="center"/>
    </xf>
    <xf numFmtId="183" fontId="160" fillId="0" borderId="56" xfId="345" applyNumberFormat="1" applyFont="1" applyBorder="1"/>
    <xf numFmtId="3" fontId="160" fillId="0" borderId="57" xfId="345" applyNumberFormat="1" applyFont="1" applyBorder="1" applyAlignment="1">
      <alignment horizontal="right"/>
    </xf>
    <xf numFmtId="248" fontId="160" fillId="0" borderId="57" xfId="345" applyNumberFormat="1" applyFont="1" applyBorder="1" applyAlignment="1">
      <alignment horizontal="center"/>
    </xf>
    <xf numFmtId="249" fontId="160" fillId="0" borderId="0" xfId="345" applyNumberFormat="1" applyFont="1" applyAlignment="1">
      <alignment horizontal="center"/>
    </xf>
    <xf numFmtId="249" fontId="160" fillId="0" borderId="58" xfId="345" applyNumberFormat="1" applyFont="1" applyBorder="1" applyAlignment="1">
      <alignment horizontal="center"/>
    </xf>
    <xf numFmtId="183" fontId="160" fillId="0" borderId="60" xfId="345" applyNumberFormat="1" applyFont="1" applyBorder="1"/>
    <xf numFmtId="249" fontId="160" fillId="0" borderId="57" xfId="345" applyNumberFormat="1" applyFont="1" applyBorder="1" applyAlignment="1">
      <alignment horizontal="right"/>
    </xf>
    <xf numFmtId="249" fontId="160" fillId="0" borderId="57" xfId="345" applyNumberFormat="1" applyFont="1" applyBorder="1" applyAlignment="1">
      <alignment horizontal="center"/>
    </xf>
    <xf numFmtId="3" fontId="160" fillId="0" borderId="0" xfId="345" applyNumberFormat="1" applyFont="1" applyAlignment="1">
      <alignment horizontal="center"/>
    </xf>
    <xf numFmtId="183" fontId="160" fillId="0" borderId="57" xfId="345" applyNumberFormat="1" applyFont="1" applyBorder="1" applyAlignment="1">
      <alignment horizontal="center"/>
    </xf>
    <xf numFmtId="4" fontId="160" fillId="0" borderId="0" xfId="345" applyNumberFormat="1" applyFont="1" applyAlignment="1">
      <alignment horizontal="center"/>
    </xf>
    <xf numFmtId="183" fontId="160" fillId="0" borderId="58" xfId="345" applyNumberFormat="1" applyFont="1" applyBorder="1" applyAlignment="1">
      <alignment horizontal="center"/>
    </xf>
    <xf numFmtId="250" fontId="160" fillId="0" borderId="57" xfId="345" applyNumberFormat="1" applyFont="1" applyBorder="1" applyAlignment="1">
      <alignment horizontal="right"/>
    </xf>
    <xf numFmtId="183" fontId="160" fillId="0" borderId="0" xfId="345" applyNumberFormat="1" applyFont="1" applyAlignment="1">
      <alignment horizontal="center"/>
    </xf>
    <xf numFmtId="183" fontId="160" fillId="0" borderId="59" xfId="345" applyNumberFormat="1" applyFont="1" applyBorder="1" applyAlignment="1">
      <alignment horizontal="center"/>
    </xf>
    <xf numFmtId="0" fontId="160" fillId="0" borderId="60" xfId="345" applyFont="1" applyBorder="1"/>
    <xf numFmtId="3" fontId="160" fillId="0" borderId="0" xfId="345" applyNumberFormat="1" applyFont="1" applyAlignment="1">
      <alignment horizontal="right"/>
    </xf>
    <xf numFmtId="248" fontId="160" fillId="0" borderId="0" xfId="345" applyNumberFormat="1" applyFont="1" applyAlignment="1">
      <alignment horizontal="center"/>
    </xf>
    <xf numFmtId="249" fontId="160" fillId="0" borderId="59" xfId="345" applyNumberFormat="1" applyFont="1" applyBorder="1" applyAlignment="1">
      <alignment horizontal="center"/>
    </xf>
    <xf numFmtId="249" fontId="160" fillId="0" borderId="0" xfId="345" applyNumberFormat="1" applyFont="1" applyAlignment="1">
      <alignment horizontal="right"/>
    </xf>
    <xf numFmtId="250" fontId="160" fillId="0" borderId="0" xfId="345" applyNumberFormat="1" applyFont="1" applyAlignment="1">
      <alignment horizontal="right"/>
    </xf>
    <xf numFmtId="0" fontId="161" fillId="0" borderId="64" xfId="345" applyFont="1" applyBorder="1"/>
    <xf numFmtId="0" fontId="161" fillId="0" borderId="65" xfId="345" applyFont="1" applyBorder="1" applyAlignment="1">
      <alignment horizontal="center"/>
    </xf>
    <xf numFmtId="183" fontId="162" fillId="0" borderId="66" xfId="345" applyNumberFormat="1" applyFont="1" applyBorder="1" applyAlignment="1">
      <alignment horizontal="center"/>
    </xf>
    <xf numFmtId="183" fontId="160" fillId="0" borderId="0" xfId="345" applyNumberFormat="1" applyFont="1"/>
    <xf numFmtId="0" fontId="160" fillId="0" borderId="61" xfId="345" applyFont="1" applyBorder="1"/>
    <xf numFmtId="249" fontId="160" fillId="0" borderId="63" xfId="345" applyNumberFormat="1" applyFont="1" applyBorder="1" applyAlignment="1">
      <alignment horizontal="center"/>
    </xf>
    <xf numFmtId="249" fontId="160" fillId="0" borderId="62" xfId="345" applyNumberFormat="1" applyFont="1" applyBorder="1" applyAlignment="1">
      <alignment horizontal="right"/>
    </xf>
    <xf numFmtId="249" fontId="160" fillId="0" borderId="62" xfId="345" applyNumberFormat="1" applyFont="1" applyBorder="1" applyAlignment="1">
      <alignment horizontal="center"/>
    </xf>
    <xf numFmtId="3" fontId="161" fillId="0" borderId="65" xfId="345" applyNumberFormat="1" applyFont="1" applyBorder="1"/>
    <xf numFmtId="248" fontId="161" fillId="0" borderId="65" xfId="345" applyNumberFormat="1" applyFont="1" applyBorder="1" applyAlignment="1">
      <alignment horizontal="center"/>
    </xf>
    <xf numFmtId="0" fontId="161" fillId="0" borderId="65" xfId="345" applyFont="1" applyBorder="1"/>
    <xf numFmtId="3" fontId="160" fillId="0" borderId="57" xfId="345" applyNumberFormat="1" applyFont="1" applyBorder="1" applyAlignment="1">
      <alignment horizontal="center"/>
    </xf>
    <xf numFmtId="0" fontId="160" fillId="0" borderId="64" xfId="345" applyFont="1" applyBorder="1" applyAlignment="1">
      <alignment horizontal="left"/>
    </xf>
    <xf numFmtId="2" fontId="160" fillId="0" borderId="65" xfId="345" applyNumberFormat="1" applyFont="1" applyBorder="1" applyAlignment="1">
      <alignment horizontal="center"/>
    </xf>
    <xf numFmtId="4" fontId="163" fillId="0" borderId="66" xfId="345" applyNumberFormat="1" applyFont="1" applyBorder="1" applyAlignment="1">
      <alignment horizontal="center"/>
    </xf>
    <xf numFmtId="0" fontId="161" fillId="0" borderId="64" xfId="345" applyFont="1" applyBorder="1" applyAlignment="1">
      <alignment horizontal="left"/>
    </xf>
    <xf numFmtId="0" fontId="160" fillId="0" borderId="65" xfId="345" applyFont="1" applyBorder="1" applyAlignment="1">
      <alignment horizontal="left"/>
    </xf>
    <xf numFmtId="0" fontId="160" fillId="0" borderId="65" xfId="345" applyFont="1" applyBorder="1" applyAlignment="1">
      <alignment horizontal="center"/>
    </xf>
    <xf numFmtId="0" fontId="164" fillId="0" borderId="0" xfId="345" applyFont="1" applyAlignment="1">
      <alignment vertical="center"/>
    </xf>
    <xf numFmtId="252" fontId="164" fillId="0" borderId="0" xfId="345" applyNumberFormat="1" applyFont="1" applyAlignment="1">
      <alignment vertical="center"/>
    </xf>
    <xf numFmtId="3" fontId="160" fillId="0" borderId="65" xfId="345" applyNumberFormat="1" applyFont="1" applyBorder="1" applyAlignment="1">
      <alignment horizontal="center"/>
    </xf>
    <xf numFmtId="183" fontId="163" fillId="0" borderId="66" xfId="345" applyNumberFormat="1" applyFont="1" applyBorder="1" applyAlignment="1">
      <alignment horizontal="center"/>
    </xf>
    <xf numFmtId="251" fontId="164" fillId="0" borderId="0" xfId="345" applyNumberFormat="1" applyFont="1" applyAlignment="1">
      <alignment vertical="center"/>
    </xf>
    <xf numFmtId="166" fontId="160" fillId="0" borderId="0" xfId="4" applyNumberFormat="1" applyFont="1" applyBorder="1" applyAlignment="1">
      <alignment vertical="center"/>
    </xf>
    <xf numFmtId="37" fontId="14" fillId="0" borderId="6" xfId="4" applyNumberFormat="1" applyFont="1" applyFill="1" applyBorder="1" applyAlignment="1">
      <alignment horizontal="right" vertical="center"/>
    </xf>
    <xf numFmtId="4" fontId="20" fillId="0" borderId="0" xfId="0" applyNumberFormat="1" applyFont="1"/>
    <xf numFmtId="3" fontId="160" fillId="0" borderId="0" xfId="345" applyNumberFormat="1" applyFont="1" applyAlignment="1">
      <alignment vertical="center"/>
    </xf>
    <xf numFmtId="183" fontId="160" fillId="0" borderId="0" xfId="345" applyNumberFormat="1" applyFont="1" applyAlignment="1">
      <alignment vertical="center"/>
    </xf>
    <xf numFmtId="0" fontId="161" fillId="6" borderId="64" xfId="345" applyFont="1" applyFill="1" applyBorder="1"/>
    <xf numFmtId="247" fontId="66" fillId="59" borderId="54" xfId="487" applyNumberFormat="1" applyFont="1" applyFill="1" applyBorder="1" applyAlignment="1" applyProtection="1">
      <alignment horizontal="center"/>
      <protection locked="0"/>
    </xf>
    <xf numFmtId="166" fontId="21" fillId="0" borderId="0" xfId="4" applyNumberFormat="1" applyFont="1"/>
    <xf numFmtId="3" fontId="21" fillId="0" borderId="0" xfId="0" applyNumberFormat="1" applyFont="1"/>
    <xf numFmtId="3" fontId="14" fillId="0" borderId="0" xfId="0" applyNumberFormat="1" applyFont="1" applyAlignment="1">
      <alignment horizontal="right"/>
    </xf>
    <xf numFmtId="168" fontId="160" fillId="0" borderId="0" xfId="345" applyNumberFormat="1" applyFont="1" applyAlignment="1">
      <alignment vertical="center"/>
    </xf>
    <xf numFmtId="0" fontId="165" fillId="0" borderId="0" xfId="345" applyFont="1"/>
    <xf numFmtId="37" fontId="165" fillId="0" borderId="0" xfId="345" applyNumberFormat="1" applyFont="1"/>
    <xf numFmtId="249" fontId="165" fillId="0" borderId="0" xfId="345" applyNumberFormat="1" applyFont="1"/>
    <xf numFmtId="183" fontId="161" fillId="0" borderId="60" xfId="345" applyNumberFormat="1" applyFont="1" applyBorder="1"/>
    <xf numFmtId="249" fontId="161" fillId="0" borderId="59" xfId="345" applyNumberFormat="1" applyFont="1" applyBorder="1" applyAlignment="1">
      <alignment horizontal="center"/>
    </xf>
    <xf numFmtId="3" fontId="166" fillId="0" borderId="0" xfId="345" applyNumberFormat="1" applyFont="1"/>
    <xf numFmtId="0" fontId="153" fillId="0" borderId="0" xfId="345" applyFont="1" applyAlignment="1" applyProtection="1">
      <alignment horizontal="left"/>
      <protection locked="0"/>
    </xf>
    <xf numFmtId="0" fontId="66" fillId="0" borderId="0" xfId="345" applyFont="1" applyProtection="1">
      <protection locked="0"/>
    </xf>
    <xf numFmtId="1" fontId="155" fillId="0" borderId="0" xfId="345" applyNumberFormat="1" applyFont="1" applyAlignment="1" applyProtection="1">
      <alignment horizontal="left" vertical="center" wrapText="1"/>
      <protection locked="0"/>
    </xf>
    <xf numFmtId="0" fontId="66" fillId="0" borderId="0" xfId="345" applyFont="1" applyAlignment="1" applyProtection="1">
      <alignment horizontal="left" vertical="center" wrapText="1"/>
      <protection locked="0"/>
    </xf>
    <xf numFmtId="0" fontId="156" fillId="0" borderId="0" xfId="345" applyFont="1" applyProtection="1">
      <protection locked="0"/>
    </xf>
    <xf numFmtId="37" fontId="156" fillId="0" borderId="0" xfId="345" applyNumberFormat="1" applyFont="1" applyProtection="1">
      <protection locked="0"/>
    </xf>
    <xf numFmtId="37" fontId="66" fillId="0" borderId="0" xfId="345" applyNumberFormat="1" applyFont="1" applyProtection="1">
      <protection locked="0"/>
    </xf>
    <xf numFmtId="247" fontId="66" fillId="0" borderId="0" xfId="345" applyNumberFormat="1" applyFont="1" applyProtection="1">
      <protection locked="0"/>
    </xf>
    <xf numFmtId="0" fontId="161" fillId="0" borderId="0" xfId="345" applyFont="1" applyAlignment="1">
      <alignment horizontal="center" vertical="center"/>
    </xf>
    <xf numFmtId="4" fontId="14" fillId="3" borderId="3" xfId="4" applyNumberFormat="1" applyFont="1" applyFill="1" applyBorder="1"/>
    <xf numFmtId="3" fontId="14" fillId="3" borderId="25" xfId="0" applyNumberFormat="1" applyFont="1" applyFill="1" applyBorder="1"/>
    <xf numFmtId="183" fontId="160" fillId="0" borderId="61" xfId="345" applyNumberFormat="1" applyFont="1" applyBorder="1"/>
    <xf numFmtId="3" fontId="160" fillId="0" borderId="62" xfId="345" applyNumberFormat="1" applyFont="1" applyBorder="1" applyAlignment="1">
      <alignment horizontal="center"/>
    </xf>
    <xf numFmtId="249" fontId="161" fillId="0" borderId="0" xfId="345" applyNumberFormat="1" applyFont="1" applyAlignment="1">
      <alignment horizontal="center" vertical="center"/>
    </xf>
    <xf numFmtId="1" fontId="168" fillId="3" borderId="0" xfId="0" applyNumberFormat="1" applyFont="1" applyFill="1" applyAlignment="1">
      <alignment horizontal="center"/>
    </xf>
    <xf numFmtId="249" fontId="161" fillId="0" borderId="66" xfId="345" applyNumberFormat="1" applyFont="1" applyBorder="1" applyAlignment="1">
      <alignment horizontal="center"/>
    </xf>
    <xf numFmtId="0" fontId="160" fillId="0" borderId="60" xfId="345" applyFont="1" applyBorder="1" applyAlignment="1">
      <alignment vertical="center"/>
    </xf>
    <xf numFmtId="0" fontId="160" fillId="0" borderId="61" xfId="345" applyFont="1" applyBorder="1" applyAlignment="1">
      <alignment vertical="center"/>
    </xf>
    <xf numFmtId="0" fontId="165" fillId="0" borderId="60" xfId="345" applyFont="1" applyBorder="1"/>
    <xf numFmtId="3" fontId="165" fillId="0" borderId="0" xfId="345" applyNumberFormat="1" applyFont="1" applyAlignment="1">
      <alignment horizontal="center"/>
    </xf>
    <xf numFmtId="37" fontId="165" fillId="0" borderId="0" xfId="345" applyNumberFormat="1" applyFont="1" applyAlignment="1">
      <alignment horizontal="center"/>
    </xf>
    <xf numFmtId="4" fontId="160" fillId="0" borderId="0" xfId="345" applyNumberFormat="1" applyFont="1" applyAlignment="1">
      <alignment vertical="center"/>
    </xf>
    <xf numFmtId="0" fontId="160" fillId="0" borderId="0" xfId="345" applyFont="1" applyAlignment="1">
      <alignment horizontal="left"/>
    </xf>
    <xf numFmtId="1" fontId="14" fillId="0" borderId="2" xfId="3" applyNumberFormat="1" applyFont="1" applyBorder="1"/>
    <xf numFmtId="3" fontId="14" fillId="0" borderId="2" xfId="0" applyNumberFormat="1" applyFont="1" applyBorder="1"/>
    <xf numFmtId="3" fontId="14" fillId="0" borderId="5" xfId="0" applyNumberFormat="1" applyFont="1" applyBorder="1"/>
    <xf numFmtId="9" fontId="160" fillId="0" borderId="0" xfId="2" applyFont="1" applyBorder="1" applyAlignment="1">
      <alignment horizontal="center" vertical="center"/>
    </xf>
    <xf numFmtId="183" fontId="160" fillId="0" borderId="63" xfId="345" applyNumberFormat="1" applyFont="1" applyBorder="1" applyAlignment="1">
      <alignment horizontal="center"/>
    </xf>
    <xf numFmtId="1" fontId="14" fillId="2" borderId="0" xfId="0" applyNumberFormat="1" applyFont="1" applyFill="1"/>
    <xf numFmtId="1" fontId="14" fillId="0" borderId="0" xfId="0" applyNumberFormat="1" applyFont="1" applyAlignment="1">
      <alignment horizontal="center"/>
    </xf>
    <xf numFmtId="3" fontId="158" fillId="0" borderId="0" xfId="0" applyNumberFormat="1" applyFont="1"/>
    <xf numFmtId="4" fontId="157" fillId="59" borderId="0" xfId="0" applyNumberFormat="1" applyFont="1" applyFill="1"/>
    <xf numFmtId="247" fontId="66" fillId="59" borderId="53" xfId="487" applyNumberFormat="1" applyFont="1" applyFill="1" applyBorder="1" applyAlignment="1" applyProtection="1">
      <alignment horizontal="center"/>
      <protection locked="0"/>
    </xf>
    <xf numFmtId="0" fontId="160" fillId="0" borderId="62" xfId="345" applyFont="1" applyBorder="1" applyAlignment="1">
      <alignment vertical="center"/>
    </xf>
    <xf numFmtId="249" fontId="160" fillId="0" borderId="63" xfId="345" applyNumberFormat="1" applyFont="1" applyBorder="1" applyAlignment="1">
      <alignment horizontal="center" vertical="center"/>
    </xf>
    <xf numFmtId="0" fontId="161" fillId="6" borderId="72" xfId="345" applyFont="1" applyFill="1" applyBorder="1"/>
    <xf numFmtId="1" fontId="161" fillId="6" borderId="72" xfId="345" applyNumberFormat="1" applyFont="1" applyFill="1" applyBorder="1" applyAlignment="1">
      <alignment horizontal="center"/>
    </xf>
    <xf numFmtId="0" fontId="161" fillId="6" borderId="72" xfId="345" applyFont="1" applyFill="1" applyBorder="1" applyAlignment="1">
      <alignment horizontal="center"/>
    </xf>
    <xf numFmtId="0" fontId="160" fillId="0" borderId="56" xfId="345" applyFont="1" applyBorder="1"/>
    <xf numFmtId="1" fontId="153" fillId="0" borderId="0" xfId="0" applyNumberFormat="1" applyFont="1" applyAlignment="1" applyProtection="1">
      <alignment horizontal="left"/>
      <protection locked="0"/>
    </xf>
    <xf numFmtId="247" fontId="66" fillId="0" borderId="0" xfId="0" applyNumberFormat="1" applyFont="1" applyProtection="1">
      <protection locked="0"/>
    </xf>
    <xf numFmtId="247" fontId="66" fillId="0" borderId="0" xfId="0" applyNumberFormat="1" applyFont="1" applyAlignment="1" applyProtection="1">
      <alignment horizontal="center"/>
      <protection locked="0"/>
    </xf>
    <xf numFmtId="1" fontId="155" fillId="0" borderId="0" xfId="0" applyNumberFormat="1" applyFont="1" applyAlignment="1" applyProtection="1">
      <alignment horizontal="center"/>
      <protection locked="0"/>
    </xf>
    <xf numFmtId="0" fontId="155" fillId="0" borderId="0" xfId="0" applyFont="1" applyAlignment="1" applyProtection="1">
      <alignment horizontal="center"/>
      <protection locked="0"/>
    </xf>
    <xf numFmtId="247" fontId="155" fillId="0" borderId="0" xfId="0" applyNumberFormat="1" applyFont="1" applyAlignment="1" applyProtection="1">
      <alignment horizontal="center"/>
      <protection locked="0"/>
    </xf>
    <xf numFmtId="247" fontId="66" fillId="58" borderId="0" xfId="0" applyNumberFormat="1" applyFont="1" applyFill="1" applyAlignment="1" applyProtection="1">
      <alignment horizontal="center"/>
      <protection locked="0"/>
    </xf>
    <xf numFmtId="183" fontId="161" fillId="0" borderId="66" xfId="345" applyNumberFormat="1" applyFont="1" applyBorder="1" applyAlignment="1">
      <alignment horizontal="center"/>
    </xf>
    <xf numFmtId="0" fontId="66" fillId="0" borderId="0" xfId="345" applyFont="1" applyAlignment="1" applyProtection="1">
      <alignment horizontal="center"/>
      <protection locked="0"/>
    </xf>
    <xf numFmtId="0" fontId="66" fillId="0" borderId="0" xfId="345" applyFont="1" applyAlignment="1" applyProtection="1">
      <alignment horizontal="center" wrapText="1"/>
      <protection locked="0"/>
    </xf>
    <xf numFmtId="1" fontId="160" fillId="0" borderId="56" xfId="345" applyNumberFormat="1" applyFont="1" applyBorder="1"/>
    <xf numFmtId="0" fontId="160" fillId="0" borderId="0" xfId="345" applyFont="1" applyAlignment="1">
      <alignment horizontal="center" vertical="center"/>
    </xf>
    <xf numFmtId="183" fontId="160" fillId="0" borderId="59" xfId="345" applyNumberFormat="1" applyFont="1" applyBorder="1" applyAlignment="1">
      <alignment horizontal="center" vertical="center"/>
    </xf>
    <xf numFmtId="0" fontId="160" fillId="0" borderId="56" xfId="345" applyFont="1" applyBorder="1" applyAlignment="1">
      <alignment vertical="center"/>
    </xf>
    <xf numFmtId="183" fontId="160" fillId="0" borderId="58" xfId="345" applyNumberFormat="1" applyFont="1" applyBorder="1" applyAlignment="1">
      <alignment horizontal="center" vertical="center"/>
    </xf>
    <xf numFmtId="4" fontId="158" fillId="0" borderId="0" xfId="0" applyNumberFormat="1" applyFont="1" applyAlignment="1">
      <alignment horizontal="center"/>
    </xf>
    <xf numFmtId="0" fontId="158" fillId="0" borderId="0" xfId="0" applyFont="1" applyAlignment="1">
      <alignment horizontal="center"/>
    </xf>
    <xf numFmtId="0" fontId="0" fillId="0" borderId="0" xfId="0" applyAlignment="1">
      <alignment horizontal="center"/>
    </xf>
    <xf numFmtId="37" fontId="66" fillId="64" borderId="0" xfId="0" applyNumberFormat="1" applyFont="1" applyFill="1" applyAlignment="1" applyProtection="1">
      <alignment horizontal="center"/>
      <protection locked="0"/>
    </xf>
    <xf numFmtId="0" fontId="66" fillId="0" borderId="0" xfId="0" applyFont="1" applyAlignment="1" applyProtection="1">
      <alignment horizontal="center"/>
      <protection locked="0"/>
    </xf>
    <xf numFmtId="3" fontId="66" fillId="64" borderId="0" xfId="1" applyNumberFormat="1" applyFont="1" applyFill="1" applyAlignment="1" applyProtection="1">
      <alignment horizontal="center"/>
      <protection locked="0"/>
    </xf>
    <xf numFmtId="3" fontId="66" fillId="64" borderId="0" xfId="0" applyNumberFormat="1" applyFont="1" applyFill="1" applyAlignment="1" applyProtection="1">
      <alignment horizontal="center"/>
      <protection locked="0"/>
    </xf>
    <xf numFmtId="1" fontId="66" fillId="64" borderId="0" xfId="0" applyNumberFormat="1" applyFont="1" applyFill="1" applyAlignment="1" applyProtection="1">
      <alignment horizontal="center"/>
      <protection locked="0"/>
    </xf>
    <xf numFmtId="0" fontId="170" fillId="0" borderId="0" xfId="0" applyFont="1" applyAlignment="1" applyProtection="1">
      <alignment horizontal="center"/>
      <protection locked="0"/>
    </xf>
    <xf numFmtId="0" fontId="170" fillId="0" borderId="0" xfId="0" applyFont="1" applyAlignment="1" applyProtection="1">
      <alignment horizontal="left"/>
      <protection locked="0"/>
    </xf>
    <xf numFmtId="1" fontId="66" fillId="60" borderId="0" xfId="0" applyNumberFormat="1" applyFont="1" applyFill="1" applyAlignment="1" applyProtection="1">
      <alignment horizontal="center"/>
      <protection locked="0"/>
    </xf>
    <xf numFmtId="0" fontId="170" fillId="0" borderId="0" xfId="0" applyFont="1" applyProtection="1">
      <protection locked="0"/>
    </xf>
    <xf numFmtId="0" fontId="66" fillId="64" borderId="0" xfId="0" applyFont="1" applyFill="1" applyProtection="1">
      <protection locked="0"/>
    </xf>
    <xf numFmtId="0" fontId="66" fillId="64" borderId="0" xfId="0" applyFont="1" applyFill="1" applyAlignment="1" applyProtection="1">
      <alignment horizontal="right"/>
      <protection locked="0"/>
    </xf>
    <xf numFmtId="0" fontId="66" fillId="60" borderId="0" xfId="0" applyFont="1" applyFill="1" applyProtection="1">
      <protection locked="0"/>
    </xf>
    <xf numFmtId="0" fontId="66" fillId="0" borderId="0" xfId="0" applyFont="1" applyAlignment="1" applyProtection="1">
      <alignment horizontal="right"/>
      <protection locked="0"/>
    </xf>
    <xf numFmtId="2" fontId="171" fillId="0" borderId="0" xfId="0" applyNumberFormat="1" applyFont="1" applyAlignment="1" applyProtection="1">
      <alignment horizontal="center"/>
      <protection locked="0"/>
    </xf>
    <xf numFmtId="0" fontId="171" fillId="0" borderId="0" xfId="0" applyFont="1" applyAlignment="1" applyProtection="1">
      <alignment horizontal="center"/>
      <protection locked="0"/>
    </xf>
    <xf numFmtId="1" fontId="171" fillId="60" borderId="0" xfId="0" applyNumberFormat="1" applyFont="1" applyFill="1" applyAlignment="1" applyProtection="1">
      <alignment horizontal="center"/>
      <protection locked="0"/>
    </xf>
    <xf numFmtId="0" fontId="0" fillId="0" borderId="46" xfId="0" applyBorder="1"/>
    <xf numFmtId="0" fontId="15" fillId="64" borderId="39" xfId="0" applyFont="1" applyFill="1" applyBorder="1"/>
    <xf numFmtId="1" fontId="17" fillId="64" borderId="39" xfId="0" applyNumberFormat="1" applyFont="1" applyFill="1" applyBorder="1" applyAlignment="1">
      <alignment horizontal="center"/>
    </xf>
    <xf numFmtId="37" fontId="17" fillId="64" borderId="39" xfId="0" applyNumberFormat="1" applyFont="1" applyFill="1" applyBorder="1" applyAlignment="1">
      <alignment horizontal="center"/>
    </xf>
    <xf numFmtId="0" fontId="15" fillId="0" borderId="39" xfId="0" applyFont="1" applyBorder="1"/>
    <xf numFmtId="37" fontId="14" fillId="0" borderId="39" xfId="0" applyNumberFormat="1" applyFont="1" applyBorder="1" applyAlignment="1">
      <alignment horizontal="center"/>
    </xf>
    <xf numFmtId="3" fontId="15" fillId="0" borderId="39" xfId="0" applyNumberFormat="1" applyFont="1" applyBorder="1"/>
    <xf numFmtId="3" fontId="15" fillId="0" borderId="0" xfId="0" applyNumberFormat="1" applyFont="1"/>
    <xf numFmtId="0" fontId="15" fillId="0" borderId="0" xfId="0" applyFont="1" applyAlignment="1">
      <alignment horizontal="center"/>
    </xf>
    <xf numFmtId="37" fontId="14" fillId="0" borderId="73" xfId="0" applyNumberFormat="1" applyFont="1" applyBorder="1" applyAlignment="1">
      <alignment horizontal="center"/>
    </xf>
    <xf numFmtId="0" fontId="15" fillId="0" borderId="0" xfId="0" applyFont="1"/>
    <xf numFmtId="0" fontId="172" fillId="0" borderId="0" xfId="0" applyFont="1" applyAlignment="1">
      <alignment horizontal="center"/>
    </xf>
    <xf numFmtId="3" fontId="15" fillId="0" borderId="39" xfId="0" applyNumberFormat="1" applyFont="1" applyBorder="1" applyAlignment="1">
      <alignment horizontal="center"/>
    </xf>
    <xf numFmtId="0" fontId="172" fillId="0" borderId="0" xfId="0" applyFont="1"/>
    <xf numFmtId="37" fontId="15" fillId="0" borderId="39" xfId="0" applyNumberFormat="1" applyFont="1" applyBorder="1" applyAlignment="1">
      <alignment horizontal="center"/>
    </xf>
    <xf numFmtId="1" fontId="0" fillId="0" borderId="0" xfId="0" applyNumberFormat="1"/>
    <xf numFmtId="0" fontId="77" fillId="0" borderId="38" xfId="0" applyFont="1" applyBorder="1"/>
    <xf numFmtId="0" fontId="0" fillId="0" borderId="38" xfId="0" applyBorder="1"/>
    <xf numFmtId="0" fontId="0" fillId="64" borderId="39" xfId="0" applyFill="1" applyBorder="1" applyAlignment="1">
      <alignment horizontal="center"/>
    </xf>
    <xf numFmtId="0" fontId="0" fillId="0" borderId="39" xfId="0" applyBorder="1"/>
    <xf numFmtId="166" fontId="0" fillId="0" borderId="39" xfId="1" applyNumberFormat="1" applyFont="1" applyBorder="1"/>
    <xf numFmtId="166" fontId="0" fillId="0" borderId="39" xfId="0" applyNumberFormat="1" applyBorder="1"/>
    <xf numFmtId="0" fontId="0" fillId="64" borderId="39" xfId="0" applyFill="1" applyBorder="1" applyAlignment="1">
      <alignment horizontal="right"/>
    </xf>
    <xf numFmtId="166" fontId="0" fillId="64" borderId="39" xfId="1" applyNumberFormat="1" applyFont="1" applyFill="1" applyBorder="1"/>
    <xf numFmtId="166" fontId="0" fillId="0" borderId="0" xfId="0" applyNumberFormat="1"/>
    <xf numFmtId="37" fontId="171" fillId="64" borderId="0" xfId="0" applyNumberFormat="1" applyFont="1" applyFill="1" applyAlignment="1" applyProtection="1">
      <alignment horizontal="center"/>
      <protection locked="0"/>
    </xf>
    <xf numFmtId="1" fontId="160" fillId="0" borderId="0" xfId="345" applyNumberFormat="1" applyFont="1" applyAlignment="1">
      <alignment vertical="center"/>
    </xf>
    <xf numFmtId="166" fontId="160" fillId="0" borderId="0" xfId="1" applyNumberFormat="1" applyFont="1" applyAlignment="1">
      <alignment vertical="center"/>
    </xf>
    <xf numFmtId="1" fontId="160" fillId="0" borderId="60" xfId="345" applyNumberFormat="1" applyFont="1" applyBorder="1" applyAlignment="1">
      <alignment vertical="center"/>
    </xf>
    <xf numFmtId="183" fontId="160" fillId="0" borderId="63" xfId="345" applyNumberFormat="1" applyFont="1" applyBorder="1" applyAlignment="1">
      <alignment horizontal="center" vertical="center"/>
    </xf>
    <xf numFmtId="1" fontId="160" fillId="0" borderId="56" xfId="345" applyNumberFormat="1" applyFont="1" applyBorder="1" applyAlignment="1">
      <alignment vertical="center"/>
    </xf>
    <xf numFmtId="1" fontId="165" fillId="0" borderId="0" xfId="345" applyNumberFormat="1" applyFont="1"/>
    <xf numFmtId="183" fontId="160" fillId="0" borderId="64" xfId="345" applyNumberFormat="1" applyFont="1" applyBorder="1"/>
    <xf numFmtId="249" fontId="160" fillId="0" borderId="65" xfId="345" applyNumberFormat="1" applyFont="1" applyBorder="1" applyAlignment="1">
      <alignment horizontal="center"/>
    </xf>
    <xf numFmtId="249" fontId="160" fillId="0" borderId="66" xfId="345" applyNumberFormat="1" applyFont="1" applyBorder="1" applyAlignment="1">
      <alignment horizontal="center"/>
    </xf>
    <xf numFmtId="183" fontId="160" fillId="0" borderId="74" xfId="345" applyNumberFormat="1" applyFont="1" applyBorder="1"/>
    <xf numFmtId="249" fontId="160" fillId="0" borderId="75" xfId="345" applyNumberFormat="1" applyFont="1" applyBorder="1" applyAlignment="1">
      <alignment horizontal="center"/>
    </xf>
    <xf numFmtId="183" fontId="160" fillId="0" borderId="76" xfId="345" applyNumberFormat="1" applyFont="1" applyBorder="1"/>
    <xf numFmtId="249" fontId="160" fillId="0" borderId="77" xfId="345" applyNumberFormat="1" applyFont="1" applyBorder="1" applyAlignment="1">
      <alignment horizontal="center"/>
    </xf>
    <xf numFmtId="183" fontId="161" fillId="0" borderId="76" xfId="345" applyNumberFormat="1" applyFont="1" applyBorder="1"/>
    <xf numFmtId="249" fontId="161" fillId="0" borderId="77" xfId="345" applyNumberFormat="1" applyFont="1" applyBorder="1" applyAlignment="1">
      <alignment horizontal="center"/>
    </xf>
    <xf numFmtId="0" fontId="160" fillId="0" borderId="76" xfId="345" applyFont="1" applyBorder="1" applyAlignment="1">
      <alignment vertical="center"/>
    </xf>
    <xf numFmtId="0" fontId="160" fillId="0" borderId="77" xfId="345" applyFont="1" applyBorder="1" applyAlignment="1">
      <alignment vertical="center"/>
    </xf>
    <xf numFmtId="254" fontId="160" fillId="0" borderId="80" xfId="345" applyNumberFormat="1" applyFont="1" applyBorder="1" applyAlignment="1">
      <alignment horizontal="center"/>
    </xf>
    <xf numFmtId="254" fontId="165" fillId="0" borderId="80" xfId="345" applyNumberFormat="1" applyFont="1" applyBorder="1"/>
    <xf numFmtId="9" fontId="165" fillId="0" borderId="80" xfId="2" applyFont="1" applyBorder="1"/>
    <xf numFmtId="0" fontId="169" fillId="0" borderId="80" xfId="345" applyFont="1" applyBorder="1" applyAlignment="1">
      <alignment horizontal="center"/>
    </xf>
    <xf numFmtId="249" fontId="160" fillId="61" borderId="59" xfId="345" applyNumberFormat="1" applyFont="1" applyFill="1" applyBorder="1" applyAlignment="1">
      <alignment horizontal="center"/>
    </xf>
    <xf numFmtId="249" fontId="160" fillId="61" borderId="63" xfId="345" applyNumberFormat="1" applyFont="1" applyFill="1" applyBorder="1" applyAlignment="1">
      <alignment horizontal="center"/>
    </xf>
    <xf numFmtId="0" fontId="165" fillId="0" borderId="0" xfId="345" applyFont="1" applyAlignment="1">
      <alignment horizontal="center"/>
    </xf>
    <xf numFmtId="0" fontId="169" fillId="0" borderId="81" xfId="345" applyFont="1" applyBorder="1" applyAlignment="1">
      <alignment horizontal="center"/>
    </xf>
    <xf numFmtId="249" fontId="164" fillId="59" borderId="0" xfId="345" applyNumberFormat="1" applyFont="1" applyFill="1" applyAlignment="1">
      <alignment vertical="center"/>
    </xf>
    <xf numFmtId="0" fontId="166" fillId="0" borderId="0" xfId="345" applyFont="1"/>
    <xf numFmtId="249" fontId="166" fillId="0" borderId="0" xfId="345" applyNumberFormat="1" applyFont="1"/>
    <xf numFmtId="183" fontId="166" fillId="0" borderId="0" xfId="345" applyNumberFormat="1" applyFont="1"/>
    <xf numFmtId="249" fontId="165" fillId="0" borderId="76" xfId="345" applyNumberFormat="1" applyFont="1" applyBorder="1" applyAlignment="1">
      <alignment horizontal="center"/>
    </xf>
    <xf numFmtId="249" fontId="165" fillId="59" borderId="77" xfId="345" applyNumberFormat="1" applyFont="1" applyFill="1" applyBorder="1" applyAlignment="1">
      <alignment horizontal="center"/>
    </xf>
    <xf numFmtId="249" fontId="165" fillId="0" borderId="0" xfId="345" applyNumberFormat="1" applyFont="1" applyAlignment="1">
      <alignment horizontal="center"/>
    </xf>
    <xf numFmtId="0" fontId="165" fillId="0" borderId="77" xfId="345" applyFont="1" applyBorder="1" applyAlignment="1">
      <alignment horizontal="center"/>
    </xf>
    <xf numFmtId="0" fontId="165" fillId="0" borderId="78" xfId="345" applyFont="1" applyBorder="1"/>
    <xf numFmtId="0" fontId="165" fillId="0" borderId="82" xfId="345" applyFont="1" applyBorder="1"/>
    <xf numFmtId="249" fontId="160" fillId="61" borderId="79" xfId="345" applyNumberFormat="1" applyFont="1" applyFill="1" applyBorder="1" applyAlignment="1">
      <alignment horizontal="center" vertical="center"/>
    </xf>
    <xf numFmtId="0" fontId="169" fillId="0" borderId="83" xfId="345" applyFont="1" applyBorder="1" applyAlignment="1">
      <alignment horizontal="center"/>
    </xf>
    <xf numFmtId="0" fontId="169" fillId="0" borderId="84" xfId="345" applyFont="1" applyBorder="1" applyAlignment="1">
      <alignment horizontal="center"/>
    </xf>
    <xf numFmtId="0" fontId="169" fillId="0" borderId="85" xfId="345" applyFont="1" applyBorder="1" applyAlignment="1">
      <alignment horizontal="center"/>
    </xf>
    <xf numFmtId="0" fontId="155" fillId="0" borderId="0" xfId="0" applyFont="1" applyAlignment="1" applyProtection="1">
      <alignment horizontal="center" wrapText="1"/>
      <protection locked="0"/>
    </xf>
    <xf numFmtId="183" fontId="160" fillId="0" borderId="62" xfId="345" applyNumberFormat="1" applyFont="1" applyBorder="1"/>
    <xf numFmtId="249" fontId="160" fillId="0" borderId="65" xfId="345" applyNumberFormat="1" applyFont="1" applyBorder="1" applyAlignment="1">
      <alignment horizontal="right"/>
    </xf>
    <xf numFmtId="249" fontId="165" fillId="61" borderId="77" xfId="345" applyNumberFormat="1" applyFont="1" applyFill="1" applyBorder="1" applyAlignment="1">
      <alignment horizontal="center"/>
    </xf>
    <xf numFmtId="253" fontId="160" fillId="0" borderId="0" xfId="345" applyNumberFormat="1" applyFont="1" applyAlignment="1">
      <alignment horizontal="right"/>
    </xf>
    <xf numFmtId="183" fontId="160" fillId="0" borderId="78" xfId="345" applyNumberFormat="1" applyFont="1" applyBorder="1"/>
    <xf numFmtId="249" fontId="160" fillId="59" borderId="79" xfId="345" applyNumberFormat="1" applyFont="1" applyFill="1" applyBorder="1" applyAlignment="1">
      <alignment horizontal="center"/>
    </xf>
    <xf numFmtId="0" fontId="160" fillId="0" borderId="57" xfId="345" applyFont="1" applyBorder="1" applyAlignment="1">
      <alignment vertical="center"/>
    </xf>
    <xf numFmtId="1" fontId="165" fillId="0" borderId="60" xfId="345" applyNumberFormat="1" applyFont="1" applyBorder="1"/>
    <xf numFmtId="0" fontId="12" fillId="0" borderId="0" xfId="514"/>
    <xf numFmtId="0" fontId="12" fillId="0" borderId="39" xfId="514" applyBorder="1"/>
    <xf numFmtId="1" fontId="12" fillId="59" borderId="39" xfId="514" applyNumberFormat="1" applyFill="1" applyBorder="1"/>
    <xf numFmtId="1" fontId="12" fillId="0" borderId="39" xfId="514" applyNumberFormat="1" applyBorder="1"/>
    <xf numFmtId="167" fontId="0" fillId="0" borderId="39" xfId="515" applyNumberFormat="1" applyFont="1" applyBorder="1"/>
    <xf numFmtId="0" fontId="12" fillId="59" borderId="39" xfId="514" applyFill="1" applyBorder="1"/>
    <xf numFmtId="0" fontId="12" fillId="0" borderId="0" xfId="514" applyAlignment="1">
      <alignment horizontal="center"/>
    </xf>
    <xf numFmtId="0" fontId="12" fillId="59" borderId="0" xfId="514" applyFill="1" applyAlignment="1">
      <alignment horizontal="center"/>
    </xf>
    <xf numFmtId="0" fontId="173" fillId="0" borderId="0" xfId="514" applyFont="1"/>
    <xf numFmtId="1" fontId="173" fillId="0" borderId="0" xfId="514" applyNumberFormat="1" applyFont="1"/>
    <xf numFmtId="1" fontId="12" fillId="0" borderId="0" xfId="514" applyNumberFormat="1"/>
    <xf numFmtId="0" fontId="12" fillId="0" borderId="44" xfId="514" applyBorder="1"/>
    <xf numFmtId="0" fontId="12" fillId="0" borderId="28" xfId="514" applyBorder="1"/>
    <xf numFmtId="1" fontId="12" fillId="0" borderId="86" xfId="514" applyNumberFormat="1" applyBorder="1"/>
    <xf numFmtId="0" fontId="12" fillId="0" borderId="35" xfId="514" applyBorder="1"/>
    <xf numFmtId="1" fontId="12" fillId="0" borderId="49" xfId="514" applyNumberFormat="1" applyBorder="1"/>
    <xf numFmtId="0" fontId="12" fillId="0" borderId="49" xfId="514" applyBorder="1"/>
    <xf numFmtId="0" fontId="12" fillId="0" borderId="87" xfId="514" applyBorder="1"/>
    <xf numFmtId="0" fontId="12" fillId="0" borderId="38" xfId="514" applyBorder="1"/>
    <xf numFmtId="1" fontId="12" fillId="0" borderId="88" xfId="514" applyNumberFormat="1" applyBorder="1"/>
    <xf numFmtId="0" fontId="12" fillId="0" borderId="89" xfId="514" applyBorder="1"/>
    <xf numFmtId="0" fontId="12" fillId="0" borderId="36" xfId="514" applyBorder="1"/>
    <xf numFmtId="1" fontId="12" fillId="0" borderId="73" xfId="514" applyNumberFormat="1" applyBorder="1"/>
    <xf numFmtId="0" fontId="12" fillId="5" borderId="0" xfId="514" applyFill="1"/>
    <xf numFmtId="1" fontId="12" fillId="5" borderId="0" xfId="514" applyNumberFormat="1" applyFill="1"/>
    <xf numFmtId="1" fontId="12" fillId="65" borderId="0" xfId="514" applyNumberFormat="1" applyFill="1"/>
    <xf numFmtId="166" fontId="12" fillId="0" borderId="28" xfId="1" applyNumberFormat="1" applyFont="1" applyBorder="1"/>
    <xf numFmtId="166" fontId="12" fillId="0" borderId="0" xfId="1" applyNumberFormat="1" applyFont="1" applyBorder="1"/>
    <xf numFmtId="166" fontId="12" fillId="0" borderId="38" xfId="1" applyNumberFormat="1" applyFont="1" applyBorder="1"/>
    <xf numFmtId="166" fontId="12" fillId="0" borderId="36" xfId="1" applyNumberFormat="1" applyFont="1" applyBorder="1"/>
    <xf numFmtId="0" fontId="12" fillId="0" borderId="0" xfId="514" applyAlignment="1">
      <alignment horizontal="right"/>
    </xf>
    <xf numFmtId="0" fontId="12" fillId="67" borderId="0" xfId="514" applyFill="1"/>
    <xf numFmtId="0" fontId="160" fillId="0" borderId="65" xfId="345" applyFont="1" applyBorder="1" applyAlignment="1">
      <alignment vertical="center"/>
    </xf>
    <xf numFmtId="0" fontId="161" fillId="0" borderId="64" xfId="345" applyFont="1" applyBorder="1" applyAlignment="1">
      <alignment vertical="center"/>
    </xf>
    <xf numFmtId="183" fontId="160" fillId="0" borderId="66" xfId="345" applyNumberFormat="1" applyFont="1" applyBorder="1" applyAlignment="1">
      <alignment horizontal="center" vertical="center"/>
    </xf>
    <xf numFmtId="183" fontId="161" fillId="0" borderId="66" xfId="345" applyNumberFormat="1" applyFont="1" applyBorder="1" applyAlignment="1">
      <alignment horizontal="center" vertical="center"/>
    </xf>
    <xf numFmtId="0" fontId="161" fillId="0" borderId="65" xfId="345" applyFont="1" applyBorder="1" applyAlignment="1">
      <alignment vertical="center"/>
    </xf>
    <xf numFmtId="3" fontId="158" fillId="59" borderId="0" xfId="0" applyNumberFormat="1" applyFont="1" applyFill="1" applyAlignment="1">
      <alignment horizontal="center"/>
    </xf>
    <xf numFmtId="3" fontId="158" fillId="59" borderId="0" xfId="0" applyNumberFormat="1" applyFont="1" applyFill="1"/>
    <xf numFmtId="0" fontId="160" fillId="0" borderId="0" xfId="345" applyFont="1" applyAlignment="1">
      <alignment horizontal="right" vertical="center"/>
    </xf>
    <xf numFmtId="249" fontId="160" fillId="0" borderId="0" xfId="345" applyNumberFormat="1" applyFont="1" applyAlignment="1">
      <alignment horizontal="center" vertical="center"/>
    </xf>
    <xf numFmtId="183" fontId="160" fillId="0" borderId="64" xfId="345" applyNumberFormat="1" applyFont="1" applyBorder="1" applyAlignment="1">
      <alignment vertical="center"/>
    </xf>
    <xf numFmtId="248" fontId="160" fillId="0" borderId="65" xfId="345" applyNumberFormat="1" applyFont="1" applyBorder="1" applyAlignment="1">
      <alignment horizontal="center" vertical="center"/>
    </xf>
    <xf numFmtId="249" fontId="160" fillId="0" borderId="65" xfId="345" applyNumberFormat="1" applyFont="1" applyBorder="1" applyAlignment="1">
      <alignment horizontal="center" vertical="center"/>
    </xf>
    <xf numFmtId="0" fontId="161" fillId="6" borderId="55" xfId="345" applyFont="1" applyFill="1" applyBorder="1" applyAlignment="1">
      <alignment horizontal="left"/>
    </xf>
    <xf numFmtId="183" fontId="160" fillId="0" borderId="65" xfId="345" applyNumberFormat="1" applyFont="1" applyBorder="1" applyAlignment="1">
      <alignment vertical="center"/>
    </xf>
    <xf numFmtId="0" fontId="155" fillId="0" borderId="0" xfId="345" applyFont="1" applyAlignment="1" applyProtection="1">
      <alignment horizontal="center" wrapText="1"/>
      <protection locked="0"/>
    </xf>
    <xf numFmtId="0" fontId="161" fillId="6" borderId="66" xfId="345" applyFont="1" applyFill="1" applyBorder="1" applyAlignment="1">
      <alignment horizontal="left"/>
    </xf>
    <xf numFmtId="0" fontId="161" fillId="6" borderId="64" xfId="345" applyFont="1" applyFill="1" applyBorder="1" applyAlignment="1">
      <alignment horizontal="left"/>
    </xf>
    <xf numFmtId="0" fontId="161" fillId="6" borderId="65" xfId="345" applyFont="1" applyFill="1" applyBorder="1" applyAlignment="1">
      <alignment horizontal="left"/>
    </xf>
    <xf numFmtId="183" fontId="160" fillId="0" borderId="57" xfId="345" applyNumberFormat="1" applyFont="1" applyBorder="1" applyAlignment="1">
      <alignment horizontal="center" vertical="center"/>
    </xf>
    <xf numFmtId="37" fontId="21" fillId="1" borderId="15" xfId="4" applyNumberFormat="1" applyFont="1" applyFill="1" applyBorder="1"/>
    <xf numFmtId="37" fontId="21" fillId="1" borderId="16" xfId="4" applyNumberFormat="1" applyFont="1" applyFill="1" applyBorder="1"/>
    <xf numFmtId="37" fontId="21" fillId="0" borderId="15" xfId="4" applyNumberFormat="1" applyFont="1" applyFill="1" applyBorder="1"/>
    <xf numFmtId="37" fontId="21" fillId="0" borderId="16" xfId="4" applyNumberFormat="1" applyFont="1" applyFill="1" applyBorder="1"/>
    <xf numFmtId="1" fontId="17" fillId="0" borderId="38" xfId="0" applyNumberFormat="1" applyFont="1" applyBorder="1"/>
    <xf numFmtId="1" fontId="17" fillId="0" borderId="38" xfId="0" applyNumberFormat="1" applyFont="1" applyBorder="1" applyAlignment="1">
      <alignment horizontal="center"/>
    </xf>
    <xf numFmtId="0" fontId="169" fillId="0" borderId="0" xfId="345" applyFont="1" applyAlignment="1">
      <alignment horizontal="center"/>
    </xf>
    <xf numFmtId="249" fontId="165" fillId="59" borderId="0" xfId="345" applyNumberFormat="1" applyFont="1" applyFill="1" applyAlignment="1">
      <alignment horizontal="center"/>
    </xf>
    <xf numFmtId="249" fontId="160" fillId="61" borderId="0" xfId="345" applyNumberFormat="1" applyFont="1" applyFill="1" applyAlignment="1">
      <alignment horizontal="center" vertical="center"/>
    </xf>
    <xf numFmtId="0" fontId="165" fillId="0" borderId="39" xfId="345" applyFont="1" applyBorder="1"/>
    <xf numFmtId="0" fontId="160" fillId="0" borderId="39" xfId="345" applyFont="1" applyBorder="1" applyAlignment="1">
      <alignment vertical="center"/>
    </xf>
    <xf numFmtId="0" fontId="169" fillId="0" borderId="39" xfId="345" applyFont="1" applyBorder="1"/>
    <xf numFmtId="1" fontId="160" fillId="0" borderId="39" xfId="345" applyNumberFormat="1" applyFont="1" applyBorder="1" applyAlignment="1">
      <alignment horizontal="center" vertical="center"/>
    </xf>
    <xf numFmtId="1" fontId="165" fillId="0" borderId="39" xfId="345" applyNumberFormat="1" applyFont="1" applyBorder="1" applyAlignment="1">
      <alignment horizontal="center"/>
    </xf>
    <xf numFmtId="1" fontId="169" fillId="0" borderId="39" xfId="345" applyNumberFormat="1" applyFont="1" applyBorder="1" applyAlignment="1">
      <alignment horizontal="center"/>
    </xf>
    <xf numFmtId="0" fontId="169" fillId="0" borderId="39" xfId="345" applyFont="1" applyBorder="1" applyAlignment="1">
      <alignment horizontal="center"/>
    </xf>
    <xf numFmtId="166" fontId="165" fillId="0" borderId="0" xfId="1" applyNumberFormat="1" applyFont="1"/>
    <xf numFmtId="166" fontId="160" fillId="0" borderId="0" xfId="1" applyNumberFormat="1" applyFont="1" applyBorder="1" applyAlignment="1">
      <alignment horizontal="center" vertical="center"/>
    </xf>
    <xf numFmtId="166" fontId="160" fillId="0" borderId="39" xfId="1" applyNumberFormat="1" applyFont="1" applyBorder="1" applyAlignment="1">
      <alignment horizontal="center" vertical="center"/>
    </xf>
    <xf numFmtId="166" fontId="165" fillId="0" borderId="39" xfId="1" applyNumberFormat="1" applyFont="1" applyBorder="1" applyAlignment="1">
      <alignment horizontal="center"/>
    </xf>
    <xf numFmtId="166" fontId="169" fillId="0" borderId="39" xfId="1" applyNumberFormat="1" applyFont="1" applyBorder="1" applyAlignment="1">
      <alignment horizontal="center"/>
    </xf>
    <xf numFmtId="166" fontId="169" fillId="0" borderId="0" xfId="1" applyNumberFormat="1" applyFont="1" applyBorder="1" applyAlignment="1">
      <alignment horizontal="center"/>
    </xf>
    <xf numFmtId="183" fontId="160" fillId="0" borderId="0" xfId="345" applyNumberFormat="1" applyFont="1" applyAlignment="1">
      <alignment horizontal="center" vertical="center"/>
    </xf>
    <xf numFmtId="166" fontId="19" fillId="0" borderId="0" xfId="1" applyNumberFormat="1" applyFont="1"/>
    <xf numFmtId="166" fontId="18" fillId="0" borderId="0" xfId="1" applyNumberFormat="1" applyFont="1"/>
    <xf numFmtId="1" fontId="18" fillId="0" borderId="0" xfId="0" applyNumberFormat="1" applyFont="1" applyAlignment="1">
      <alignment horizontal="center"/>
    </xf>
    <xf numFmtId="0" fontId="169" fillId="60" borderId="0" xfId="345" applyFont="1" applyFill="1" applyAlignment="1">
      <alignment horizontal="center"/>
    </xf>
    <xf numFmtId="1" fontId="14" fillId="59" borderId="0" xfId="0" applyNumberFormat="1" applyFont="1" applyFill="1" applyAlignment="1">
      <alignment horizontal="right"/>
    </xf>
    <xf numFmtId="4" fontId="160" fillId="0" borderId="57" xfId="345" applyNumberFormat="1" applyFont="1" applyBorder="1" applyAlignment="1">
      <alignment horizontal="center"/>
    </xf>
    <xf numFmtId="1" fontId="160" fillId="59" borderId="0" xfId="345" applyNumberFormat="1" applyFont="1" applyFill="1" applyAlignment="1">
      <alignment vertical="center"/>
    </xf>
    <xf numFmtId="166" fontId="165" fillId="59" borderId="0" xfId="1" applyNumberFormat="1" applyFont="1" applyFill="1"/>
    <xf numFmtId="37" fontId="14" fillId="59" borderId="6" xfId="4" applyNumberFormat="1" applyFont="1" applyFill="1" applyBorder="1"/>
    <xf numFmtId="1" fontId="14" fillId="66" borderId="0" xfId="0" applyNumberFormat="1" applyFont="1" applyFill="1"/>
    <xf numFmtId="1" fontId="165" fillId="59" borderId="39" xfId="345" applyNumberFormat="1" applyFont="1" applyFill="1" applyBorder="1" applyAlignment="1">
      <alignment horizontal="center"/>
    </xf>
    <xf numFmtId="1" fontId="160" fillId="59" borderId="39" xfId="345" applyNumberFormat="1" applyFont="1" applyFill="1" applyBorder="1" applyAlignment="1">
      <alignment horizontal="center" vertical="center"/>
    </xf>
    <xf numFmtId="0" fontId="11" fillId="0" borderId="0" xfId="516"/>
    <xf numFmtId="0" fontId="175" fillId="69" borderId="91" xfId="516" applyFont="1" applyFill="1" applyBorder="1" applyAlignment="1">
      <alignment horizontal="left" vertical="center" indent="1"/>
    </xf>
    <xf numFmtId="17" fontId="175" fillId="69" borderId="92" xfId="516" applyNumberFormat="1" applyFont="1" applyFill="1" applyBorder="1" applyAlignment="1">
      <alignment horizontal="center" vertical="center"/>
    </xf>
    <xf numFmtId="17" fontId="175" fillId="69" borderId="92" xfId="516" quotePrefix="1" applyNumberFormat="1" applyFont="1" applyFill="1" applyBorder="1" applyAlignment="1">
      <alignment horizontal="center" vertical="center"/>
    </xf>
    <xf numFmtId="17" fontId="175" fillId="69" borderId="93" xfId="516" applyNumberFormat="1" applyFont="1" applyFill="1" applyBorder="1" applyAlignment="1">
      <alignment horizontal="center" vertical="center"/>
    </xf>
    <xf numFmtId="0" fontId="175" fillId="70" borderId="94" xfId="516" applyFont="1" applyFill="1" applyBorder="1" applyAlignment="1">
      <alignment horizontal="left" vertical="center" wrapText="1" indent="1"/>
    </xf>
    <xf numFmtId="17" fontId="175" fillId="70" borderId="95" xfId="516" quotePrefix="1" applyNumberFormat="1" applyFont="1" applyFill="1" applyBorder="1" applyAlignment="1">
      <alignment horizontal="center" vertical="center" wrapText="1"/>
    </xf>
    <xf numFmtId="17" fontId="175" fillId="70" borderId="95" xfId="516" applyNumberFormat="1" applyFont="1" applyFill="1" applyBorder="1" applyAlignment="1">
      <alignment horizontal="center" vertical="center" wrapText="1"/>
    </xf>
    <xf numFmtId="17" fontId="175" fillId="70" borderId="96" xfId="516" applyNumberFormat="1" applyFont="1" applyFill="1" applyBorder="1" applyAlignment="1">
      <alignment horizontal="center" vertical="center" wrapText="1"/>
    </xf>
    <xf numFmtId="0" fontId="175" fillId="63" borderId="90" xfId="516" applyFont="1" applyFill="1" applyBorder="1" applyAlignment="1">
      <alignment horizontal="left" vertical="center" indent="2"/>
    </xf>
    <xf numFmtId="3" fontId="177" fillId="63" borderId="97" xfId="516" applyNumberFormat="1" applyFont="1" applyFill="1" applyBorder="1" applyAlignment="1">
      <alignment horizontal="center" vertical="center"/>
    </xf>
    <xf numFmtId="3" fontId="177" fillId="63" borderId="98" xfId="516" applyNumberFormat="1" applyFont="1" applyFill="1" applyBorder="1" applyAlignment="1">
      <alignment horizontal="center" vertical="center"/>
    </xf>
    <xf numFmtId="0" fontId="175" fillId="63" borderId="99" xfId="516" applyFont="1" applyFill="1" applyBorder="1" applyAlignment="1">
      <alignment horizontal="left" vertical="center" indent="2"/>
    </xf>
    <xf numFmtId="3" fontId="177" fillId="63" borderId="0" xfId="516" applyNumberFormat="1" applyFont="1" applyFill="1" applyAlignment="1">
      <alignment horizontal="center" vertical="center"/>
    </xf>
    <xf numFmtId="3" fontId="177" fillId="63" borderId="100" xfId="516" applyNumberFormat="1" applyFont="1" applyFill="1" applyBorder="1" applyAlignment="1">
      <alignment horizontal="center" vertical="center"/>
    </xf>
    <xf numFmtId="0" fontId="175" fillId="63" borderId="94" xfId="516" applyFont="1" applyFill="1" applyBorder="1" applyAlignment="1">
      <alignment horizontal="left" vertical="center" indent="2"/>
    </xf>
    <xf numFmtId="3" fontId="177" fillId="63" borderId="95" xfId="516" applyNumberFormat="1" applyFont="1" applyFill="1" applyBorder="1" applyAlignment="1">
      <alignment horizontal="center" vertical="center"/>
    </xf>
    <xf numFmtId="3" fontId="177" fillId="63" borderId="96" xfId="516" applyNumberFormat="1" applyFont="1" applyFill="1" applyBorder="1" applyAlignment="1">
      <alignment horizontal="center" vertical="center"/>
    </xf>
    <xf numFmtId="0" fontId="175" fillId="72" borderId="90" xfId="516" applyFont="1" applyFill="1" applyBorder="1" applyAlignment="1">
      <alignment horizontal="left" vertical="center" indent="2"/>
    </xf>
    <xf numFmtId="3" fontId="177" fillId="72" borderId="97" xfId="516" applyNumberFormat="1" applyFont="1" applyFill="1" applyBorder="1" applyAlignment="1">
      <alignment horizontal="center" vertical="center"/>
    </xf>
    <xf numFmtId="3" fontId="177" fillId="72" borderId="98" xfId="516" applyNumberFormat="1" applyFont="1" applyFill="1" applyBorder="1" applyAlignment="1">
      <alignment horizontal="center" vertical="center"/>
    </xf>
    <xf numFmtId="0" fontId="175" fillId="72" borderId="94" xfId="516" applyFont="1" applyFill="1" applyBorder="1" applyAlignment="1">
      <alignment horizontal="left" vertical="center" indent="2"/>
    </xf>
    <xf numFmtId="3" fontId="177" fillId="72" borderId="95" xfId="516" applyNumberFormat="1" applyFont="1" applyFill="1" applyBorder="1" applyAlignment="1">
      <alignment horizontal="center" vertical="center"/>
    </xf>
    <xf numFmtId="3" fontId="177" fillId="72" borderId="96" xfId="516" applyNumberFormat="1" applyFont="1" applyFill="1" applyBorder="1" applyAlignment="1">
      <alignment horizontal="center" vertical="center"/>
    </xf>
    <xf numFmtId="0" fontId="178" fillId="73" borderId="91" xfId="516" applyFont="1" applyFill="1" applyBorder="1" applyAlignment="1">
      <alignment horizontal="center" vertical="center"/>
    </xf>
    <xf numFmtId="0" fontId="175" fillId="74" borderId="91" xfId="516" applyFont="1" applyFill="1" applyBorder="1" applyAlignment="1">
      <alignment horizontal="left" vertical="center" indent="2"/>
    </xf>
    <xf numFmtId="3" fontId="177" fillId="74" borderId="92" xfId="516" applyNumberFormat="1" applyFont="1" applyFill="1" applyBorder="1" applyAlignment="1">
      <alignment horizontal="center" vertical="center"/>
    </xf>
    <xf numFmtId="3" fontId="177" fillId="74" borderId="93" xfId="516" applyNumberFormat="1" applyFont="1" applyFill="1" applyBorder="1" applyAlignment="1">
      <alignment horizontal="center" vertical="center"/>
    </xf>
    <xf numFmtId="249" fontId="160" fillId="0" borderId="59" xfId="345" applyNumberFormat="1" applyFont="1" applyBorder="1" applyAlignment="1">
      <alignment horizontal="center" vertical="center"/>
    </xf>
    <xf numFmtId="1" fontId="161" fillId="6" borderId="65" xfId="345" applyNumberFormat="1" applyFont="1" applyFill="1" applyBorder="1" applyAlignment="1">
      <alignment horizontal="center"/>
    </xf>
    <xf numFmtId="0" fontId="161" fillId="0" borderId="66" xfId="345" applyFont="1" applyBorder="1" applyAlignment="1">
      <alignment vertical="center"/>
    </xf>
    <xf numFmtId="0" fontId="165" fillId="0" borderId="62" xfId="345" applyFont="1" applyBorder="1"/>
    <xf numFmtId="166" fontId="160" fillId="0" borderId="0" xfId="345" applyNumberFormat="1" applyFont="1" applyAlignment="1">
      <alignment vertical="center"/>
    </xf>
    <xf numFmtId="0" fontId="161" fillId="0" borderId="65" xfId="345" applyFont="1" applyBorder="1" applyAlignment="1">
      <alignment horizontal="left"/>
    </xf>
    <xf numFmtId="0" fontId="160" fillId="0" borderId="0" xfId="345" quotePrefix="1" applyFont="1" applyAlignment="1">
      <alignment vertical="center"/>
    </xf>
    <xf numFmtId="0" fontId="164" fillId="0" borderId="58" xfId="345" applyFont="1" applyBorder="1" applyAlignment="1">
      <alignment vertical="center"/>
    </xf>
    <xf numFmtId="0" fontId="164" fillId="0" borderId="63" xfId="345" applyFont="1" applyBorder="1" applyAlignment="1">
      <alignment vertical="center"/>
    </xf>
    <xf numFmtId="166" fontId="165" fillId="0" borderId="0" xfId="1" applyNumberFormat="1" applyFont="1" applyBorder="1"/>
    <xf numFmtId="166" fontId="166" fillId="0" borderId="0" xfId="345" applyNumberFormat="1" applyFont="1"/>
    <xf numFmtId="1" fontId="165" fillId="0" borderId="39" xfId="345" applyNumberFormat="1" applyFont="1" applyBorder="1"/>
    <xf numFmtId="1" fontId="160" fillId="0" borderId="39" xfId="345" applyNumberFormat="1" applyFont="1" applyBorder="1" applyAlignment="1">
      <alignment vertical="center"/>
    </xf>
    <xf numFmtId="1" fontId="161" fillId="0" borderId="39" xfId="345" applyNumberFormat="1" applyFont="1" applyBorder="1" applyAlignment="1">
      <alignment vertical="center"/>
    </xf>
    <xf numFmtId="0" fontId="161" fillId="0" borderId="39" xfId="345" applyFont="1" applyBorder="1" applyAlignment="1">
      <alignment horizontal="center" vertical="center"/>
    </xf>
    <xf numFmtId="166" fontId="169" fillId="0" borderId="39" xfId="1" applyNumberFormat="1" applyFont="1" applyBorder="1"/>
    <xf numFmtId="1" fontId="165" fillId="59" borderId="39" xfId="345" applyNumberFormat="1" applyFont="1" applyFill="1" applyBorder="1"/>
    <xf numFmtId="183" fontId="160" fillId="0" borderId="56" xfId="345" applyNumberFormat="1" applyFont="1" applyBorder="1" applyAlignment="1">
      <alignment vertical="center"/>
    </xf>
    <xf numFmtId="248" fontId="160" fillId="0" borderId="57" xfId="345" applyNumberFormat="1" applyFont="1" applyBorder="1" applyAlignment="1">
      <alignment horizontal="center" vertical="center"/>
    </xf>
    <xf numFmtId="249" fontId="160" fillId="0" borderId="57" xfId="345" applyNumberFormat="1" applyFont="1" applyBorder="1" applyAlignment="1">
      <alignment horizontal="center" vertical="center"/>
    </xf>
    <xf numFmtId="1" fontId="14" fillId="2" borderId="0" xfId="0" applyNumberFormat="1" applyFont="1" applyFill="1" applyAlignment="1">
      <alignment horizontal="center"/>
    </xf>
    <xf numFmtId="0" fontId="165" fillId="0" borderId="0" xfId="345" applyFont="1" applyAlignment="1">
      <alignment horizontal="left" vertical="center" wrapText="1"/>
    </xf>
    <xf numFmtId="0" fontId="159" fillId="58" borderId="62" xfId="345" applyFont="1" applyFill="1" applyBorder="1" applyAlignment="1">
      <alignment horizontal="center" vertical="center"/>
    </xf>
    <xf numFmtId="0" fontId="10" fillId="0" borderId="0" xfId="517"/>
    <xf numFmtId="3" fontId="179" fillId="76" borderId="0" xfId="518" applyNumberFormat="1" applyFont="1" applyFill="1" applyBorder="1" applyAlignment="1">
      <alignment horizontal="center" vertical="center" wrapText="1"/>
    </xf>
    <xf numFmtId="43" fontId="66" fillId="2" borderId="0" xfId="519" applyFont="1" applyFill="1" applyBorder="1" applyAlignment="1">
      <alignment vertical="center" wrapText="1"/>
    </xf>
    <xf numFmtId="1" fontId="180" fillId="77" borderId="0" xfId="518" applyNumberFormat="1" applyFont="1" applyFill="1" applyBorder="1" applyAlignment="1">
      <alignment horizontal="center" vertical="center" wrapText="1"/>
    </xf>
    <xf numFmtId="0" fontId="165" fillId="0" borderId="39" xfId="345" applyFont="1" applyBorder="1" applyAlignment="1">
      <alignment horizontal="center"/>
    </xf>
    <xf numFmtId="183" fontId="161" fillId="0" borderId="56" xfId="345" applyNumberFormat="1" applyFont="1" applyBorder="1"/>
    <xf numFmtId="249" fontId="161" fillId="0" borderId="58" xfId="345" applyNumberFormat="1" applyFont="1" applyBorder="1" applyAlignment="1">
      <alignment horizontal="center"/>
    </xf>
    <xf numFmtId="166" fontId="160" fillId="0" borderId="0" xfId="1" applyNumberFormat="1" applyFont="1" applyAlignment="1">
      <alignment horizontal="center" vertical="center"/>
    </xf>
    <xf numFmtId="166" fontId="164" fillId="0" borderId="0" xfId="345" applyNumberFormat="1" applyFont="1" applyAlignment="1">
      <alignment vertical="center"/>
    </xf>
    <xf numFmtId="1" fontId="165" fillId="0" borderId="0" xfId="345" applyNumberFormat="1" applyFont="1" applyAlignment="1">
      <alignment horizontal="center"/>
    </xf>
    <xf numFmtId="249" fontId="165" fillId="0" borderId="59" xfId="345" applyNumberFormat="1" applyFont="1" applyBorder="1" applyAlignment="1">
      <alignment horizontal="center"/>
    </xf>
    <xf numFmtId="37" fontId="169" fillId="0" borderId="39" xfId="345" applyNumberFormat="1" applyFont="1" applyBorder="1"/>
    <xf numFmtId="166" fontId="169" fillId="0" borderId="39" xfId="345" applyNumberFormat="1" applyFont="1" applyBorder="1"/>
    <xf numFmtId="9" fontId="160" fillId="0" borderId="0" xfId="2" applyFont="1" applyFill="1" applyBorder="1" applyAlignment="1">
      <alignment horizontal="center" vertical="center"/>
    </xf>
    <xf numFmtId="0" fontId="166" fillId="0" borderId="0" xfId="345" applyFont="1" applyAlignment="1">
      <alignment horizontal="center"/>
    </xf>
    <xf numFmtId="0" fontId="164" fillId="0" borderId="0" xfId="345" applyFont="1" applyAlignment="1">
      <alignment horizontal="center" vertical="center"/>
    </xf>
    <xf numFmtId="1" fontId="160" fillId="0" borderId="0" xfId="345" applyNumberFormat="1" applyFont="1" applyAlignment="1">
      <alignment horizontal="center" vertical="center"/>
    </xf>
    <xf numFmtId="1" fontId="160" fillId="59" borderId="0" xfId="345" applyNumberFormat="1" applyFont="1" applyFill="1" applyAlignment="1">
      <alignment horizontal="center" vertical="center"/>
    </xf>
    <xf numFmtId="166" fontId="160" fillId="59" borderId="0" xfId="1" applyNumberFormat="1" applyFont="1" applyFill="1" applyBorder="1" applyAlignment="1">
      <alignment vertical="center"/>
    </xf>
    <xf numFmtId="166" fontId="160" fillId="61" borderId="0" xfId="1" applyNumberFormat="1" applyFont="1" applyFill="1" applyBorder="1" applyAlignment="1">
      <alignment vertical="center"/>
    </xf>
    <xf numFmtId="0" fontId="165" fillId="0" borderId="7" xfId="345" applyFont="1" applyBorder="1"/>
    <xf numFmtId="0" fontId="165" fillId="0" borderId="8" xfId="345" applyFont="1" applyBorder="1"/>
    <xf numFmtId="0" fontId="165" fillId="0" borderId="9" xfId="345" applyFont="1" applyBorder="1"/>
    <xf numFmtId="0" fontId="165" fillId="0" borderId="23" xfId="345" applyFont="1" applyBorder="1"/>
    <xf numFmtId="0" fontId="165" fillId="0" borderId="24" xfId="345" applyFont="1" applyBorder="1"/>
    <xf numFmtId="0" fontId="160" fillId="0" borderId="23" xfId="345" applyFont="1" applyBorder="1" applyAlignment="1">
      <alignment vertical="center"/>
    </xf>
    <xf numFmtId="0" fontId="160" fillId="0" borderId="24" xfId="345" applyFont="1" applyBorder="1" applyAlignment="1">
      <alignment vertical="center"/>
    </xf>
    <xf numFmtId="37" fontId="165" fillId="0" borderId="23" xfId="345" applyNumberFormat="1" applyFont="1" applyBorder="1"/>
    <xf numFmtId="166" fontId="165" fillId="0" borderId="0" xfId="345" applyNumberFormat="1" applyFont="1"/>
    <xf numFmtId="166" fontId="165" fillId="0" borderId="0" xfId="345" applyNumberFormat="1" applyFont="1" applyAlignment="1">
      <alignment horizontal="center"/>
    </xf>
    <xf numFmtId="0" fontId="184" fillId="0" borderId="0" xfId="345" applyFont="1" applyAlignment="1">
      <alignment vertical="center"/>
    </xf>
    <xf numFmtId="249" fontId="184" fillId="60" borderId="0" xfId="345" applyNumberFormat="1" applyFont="1" applyFill="1" applyAlignment="1">
      <alignment vertical="center"/>
    </xf>
    <xf numFmtId="0" fontId="165" fillId="60" borderId="0" xfId="345" applyFont="1" applyFill="1"/>
    <xf numFmtId="166" fontId="165" fillId="60" borderId="0" xfId="345" applyNumberFormat="1" applyFont="1" applyFill="1"/>
    <xf numFmtId="0" fontId="165" fillId="60" borderId="0" xfId="345" applyFont="1" applyFill="1" applyAlignment="1">
      <alignment horizontal="center"/>
    </xf>
    <xf numFmtId="166" fontId="165" fillId="60" borderId="0" xfId="345" applyNumberFormat="1" applyFont="1" applyFill="1" applyAlignment="1">
      <alignment horizontal="center"/>
    </xf>
    <xf numFmtId="0" fontId="183" fillId="0" borderId="0" xfId="345" applyFont="1"/>
    <xf numFmtId="166" fontId="165" fillId="0" borderId="0" xfId="1" applyNumberFormat="1" applyFont="1" applyBorder="1" applyAlignment="1">
      <alignment horizontal="center"/>
    </xf>
    <xf numFmtId="37" fontId="169" fillId="60" borderId="0" xfId="345" applyNumberFormat="1" applyFont="1" applyFill="1" applyAlignment="1">
      <alignment horizontal="center"/>
    </xf>
    <xf numFmtId="37" fontId="169" fillId="0" borderId="0" xfId="345" applyNumberFormat="1" applyFont="1" applyAlignment="1">
      <alignment horizontal="center"/>
    </xf>
    <xf numFmtId="166" fontId="161" fillId="60" borderId="0" xfId="345" applyNumberFormat="1" applyFont="1" applyFill="1" applyAlignment="1">
      <alignment vertical="center"/>
    </xf>
    <xf numFmtId="0" fontId="160" fillId="0" borderId="69" xfId="345" applyFont="1" applyBorder="1" applyAlignment="1">
      <alignment vertical="center"/>
    </xf>
    <xf numFmtId="0" fontId="160" fillId="0" borderId="46" xfId="345" applyFont="1" applyBorder="1" applyAlignment="1">
      <alignment vertical="center"/>
    </xf>
    <xf numFmtId="0" fontId="160" fillId="0" borderId="101" xfId="345" applyFont="1" applyBorder="1" applyAlignment="1">
      <alignment vertical="center"/>
    </xf>
    <xf numFmtId="9" fontId="165" fillId="0" borderId="0" xfId="2" applyFont="1" applyFill="1" applyBorder="1" applyAlignment="1">
      <alignment horizontal="center"/>
    </xf>
    <xf numFmtId="0" fontId="183" fillId="60" borderId="0" xfId="345" applyFont="1" applyFill="1"/>
    <xf numFmtId="0" fontId="161" fillId="60" borderId="0" xfId="345" applyFont="1" applyFill="1" applyAlignment="1">
      <alignment vertical="center"/>
    </xf>
    <xf numFmtId="0" fontId="161" fillId="60" borderId="0" xfId="345" applyFont="1" applyFill="1" applyAlignment="1">
      <alignment horizontal="center" vertical="center"/>
    </xf>
    <xf numFmtId="183" fontId="165" fillId="0" borderId="0" xfId="345" applyNumberFormat="1" applyFont="1"/>
    <xf numFmtId="183" fontId="165" fillId="61" borderId="0" xfId="345" applyNumberFormat="1" applyFont="1" applyFill="1"/>
    <xf numFmtId="213" fontId="165" fillId="0" borderId="0" xfId="2" applyNumberFormat="1" applyFont="1" applyBorder="1" applyAlignment="1">
      <alignment horizontal="center"/>
    </xf>
    <xf numFmtId="4" fontId="165" fillId="0" borderId="0" xfId="345" applyNumberFormat="1" applyFont="1"/>
    <xf numFmtId="3" fontId="169" fillId="0" borderId="0" xfId="345" applyNumberFormat="1" applyFont="1" applyAlignment="1">
      <alignment horizontal="right"/>
    </xf>
    <xf numFmtId="4" fontId="169" fillId="0" borderId="0" xfId="345" applyNumberFormat="1" applyFont="1" applyAlignment="1">
      <alignment horizontal="center"/>
    </xf>
    <xf numFmtId="3" fontId="169" fillId="0" borderId="0" xfId="345" applyNumberFormat="1" applyFont="1" applyAlignment="1">
      <alignment horizontal="center"/>
    </xf>
    <xf numFmtId="1" fontId="165" fillId="60" borderId="0" xfId="345" applyNumberFormat="1" applyFont="1" applyFill="1"/>
    <xf numFmtId="0" fontId="165" fillId="0" borderId="23" xfId="345" applyFont="1" applyBorder="1" applyAlignment="1">
      <alignment horizontal="center"/>
    </xf>
    <xf numFmtId="2" fontId="165" fillId="0" borderId="0" xfId="345" applyNumberFormat="1" applyFont="1"/>
    <xf numFmtId="166" fontId="160" fillId="0" borderId="23" xfId="1" applyNumberFormat="1" applyFont="1" applyBorder="1" applyAlignment="1">
      <alignment horizontal="center" vertical="center"/>
    </xf>
    <xf numFmtId="166" fontId="165" fillId="0" borderId="23" xfId="345" applyNumberFormat="1" applyFont="1" applyBorder="1"/>
    <xf numFmtId="0" fontId="169" fillId="0" borderId="0" xfId="345" applyFont="1"/>
    <xf numFmtId="0" fontId="161" fillId="0" borderId="0" xfId="345" applyFont="1" applyAlignment="1">
      <alignment vertical="center"/>
    </xf>
    <xf numFmtId="166" fontId="169" fillId="0" borderId="0" xfId="345" applyNumberFormat="1" applyFont="1" applyAlignment="1">
      <alignment horizontal="center"/>
    </xf>
    <xf numFmtId="166" fontId="169" fillId="64" borderId="0" xfId="345" applyNumberFormat="1" applyFont="1" applyFill="1" applyAlignment="1">
      <alignment horizontal="center"/>
    </xf>
    <xf numFmtId="166" fontId="165" fillId="64" borderId="0" xfId="345" applyNumberFormat="1" applyFont="1" applyFill="1"/>
    <xf numFmtId="166" fontId="160" fillId="64" borderId="0" xfId="345" applyNumberFormat="1" applyFont="1" applyFill="1" applyAlignment="1">
      <alignment vertical="center"/>
    </xf>
    <xf numFmtId="166" fontId="169" fillId="60" borderId="0" xfId="345" applyNumberFormat="1" applyFont="1" applyFill="1"/>
    <xf numFmtId="166" fontId="165" fillId="0" borderId="39" xfId="1" applyNumberFormat="1" applyFont="1" applyFill="1" applyBorder="1"/>
    <xf numFmtId="249" fontId="160" fillId="59" borderId="0" xfId="345" applyNumberFormat="1" applyFont="1" applyFill="1" applyAlignment="1">
      <alignment horizontal="center"/>
    </xf>
    <xf numFmtId="0" fontId="165" fillId="59" borderId="0" xfId="345" applyFont="1" applyFill="1"/>
    <xf numFmtId="37" fontId="160" fillId="0" borderId="0" xfId="345" applyNumberFormat="1" applyFont="1" applyAlignment="1">
      <alignment horizontal="center" vertical="center"/>
    </xf>
    <xf numFmtId="183" fontId="182" fillId="0" borderId="60" xfId="345" applyNumberFormat="1" applyFont="1" applyBorder="1"/>
    <xf numFmtId="0" fontId="181" fillId="0" borderId="60" xfId="345" applyFont="1" applyBorder="1"/>
    <xf numFmtId="249" fontId="182" fillId="75" borderId="59" xfId="345" applyNumberFormat="1" applyFont="1" applyFill="1" applyBorder="1" applyAlignment="1">
      <alignment horizontal="center"/>
    </xf>
    <xf numFmtId="0" fontId="165" fillId="0" borderId="102" xfId="345" applyFont="1" applyBorder="1"/>
    <xf numFmtId="0" fontId="165" fillId="0" borderId="103" xfId="345" applyFont="1" applyBorder="1"/>
    <xf numFmtId="0" fontId="165" fillId="0" borderId="103" xfId="345" applyFont="1" applyBorder="1" applyAlignment="1">
      <alignment horizontal="center"/>
    </xf>
    <xf numFmtId="0" fontId="165" fillId="0" borderId="104" xfId="345" applyFont="1" applyBorder="1"/>
    <xf numFmtId="0" fontId="165" fillId="0" borderId="105" xfId="345" applyFont="1" applyBorder="1"/>
    <xf numFmtId="0" fontId="165" fillId="0" borderId="106" xfId="345" applyFont="1" applyBorder="1"/>
    <xf numFmtId="0" fontId="160" fillId="0" borderId="105" xfId="345" applyFont="1" applyBorder="1" applyAlignment="1">
      <alignment vertical="center"/>
    </xf>
    <xf numFmtId="0" fontId="160" fillId="0" borderId="106" xfId="345" applyFont="1" applyBorder="1" applyAlignment="1">
      <alignment vertical="center"/>
    </xf>
    <xf numFmtId="37" fontId="165" fillId="0" borderId="105" xfId="345" applyNumberFormat="1" applyFont="1" applyBorder="1"/>
    <xf numFmtId="37" fontId="165" fillId="0" borderId="106" xfId="345" applyNumberFormat="1" applyFont="1" applyBorder="1"/>
    <xf numFmtId="1" fontId="165" fillId="0" borderId="105" xfId="345" applyNumberFormat="1" applyFont="1" applyBorder="1" applyAlignment="1">
      <alignment horizontal="center"/>
    </xf>
    <xf numFmtId="183" fontId="160" fillId="0" borderId="105" xfId="345" applyNumberFormat="1" applyFont="1" applyBorder="1" applyAlignment="1">
      <alignment horizontal="center" vertical="center"/>
    </xf>
    <xf numFmtId="0" fontId="165" fillId="0" borderId="106" xfId="345" applyFont="1" applyBorder="1" applyAlignment="1">
      <alignment horizontal="center"/>
    </xf>
    <xf numFmtId="1" fontId="165" fillId="0" borderId="106" xfId="345" applyNumberFormat="1" applyFont="1" applyBorder="1" applyAlignment="1">
      <alignment horizontal="center"/>
    </xf>
    <xf numFmtId="1" fontId="160" fillId="0" borderId="106" xfId="345" applyNumberFormat="1" applyFont="1" applyBorder="1" applyAlignment="1">
      <alignment horizontal="center" vertical="center"/>
    </xf>
    <xf numFmtId="166" fontId="160" fillId="0" borderId="106" xfId="1" applyNumberFormat="1" applyFont="1" applyBorder="1" applyAlignment="1">
      <alignment horizontal="center" vertical="center"/>
    </xf>
    <xf numFmtId="249" fontId="165" fillId="0" borderId="105" xfId="345" applyNumberFormat="1" applyFont="1" applyBorder="1"/>
    <xf numFmtId="166" fontId="165" fillId="0" borderId="106" xfId="345" applyNumberFormat="1" applyFont="1" applyBorder="1"/>
    <xf numFmtId="3" fontId="165" fillId="0" borderId="105" xfId="345" applyNumberFormat="1" applyFont="1" applyBorder="1"/>
    <xf numFmtId="183" fontId="165" fillId="0" borderId="105" xfId="345" applyNumberFormat="1" applyFont="1" applyBorder="1"/>
    <xf numFmtId="0" fontId="160" fillId="0" borderId="107" xfId="345" applyFont="1" applyBorder="1" applyAlignment="1">
      <alignment vertical="center"/>
    </xf>
    <xf numFmtId="0" fontId="165" fillId="0" borderId="108" xfId="345" applyFont="1" applyBorder="1"/>
    <xf numFmtId="0" fontId="160" fillId="0" borderId="108" xfId="345" applyFont="1" applyBorder="1" applyAlignment="1">
      <alignment horizontal="center" vertical="center"/>
    </xf>
    <xf numFmtId="0" fontId="160" fillId="0" borderId="108" xfId="345" applyFont="1" applyBorder="1" applyAlignment="1">
      <alignment vertical="center"/>
    </xf>
    <xf numFmtId="0" fontId="160" fillId="0" borderId="109" xfId="345" applyFont="1" applyBorder="1" applyAlignment="1">
      <alignment vertical="center"/>
    </xf>
    <xf numFmtId="166" fontId="160" fillId="0" borderId="106" xfId="345" applyNumberFormat="1" applyFont="1" applyBorder="1" applyAlignment="1">
      <alignment vertical="center"/>
    </xf>
    <xf numFmtId="249" fontId="182" fillId="59" borderId="59" xfId="345" applyNumberFormat="1" applyFont="1" applyFill="1" applyBorder="1" applyAlignment="1">
      <alignment horizontal="center"/>
    </xf>
    <xf numFmtId="0" fontId="161" fillId="0" borderId="56" xfId="345" applyFont="1" applyBorder="1" applyAlignment="1">
      <alignment vertical="center"/>
    </xf>
    <xf numFmtId="183" fontId="161" fillId="0" borderId="58" xfId="345" applyNumberFormat="1" applyFont="1" applyBorder="1" applyAlignment="1">
      <alignment horizontal="center"/>
    </xf>
    <xf numFmtId="0" fontId="161" fillId="0" borderId="60" xfId="345" applyFont="1" applyBorder="1" applyAlignment="1">
      <alignment vertical="center"/>
    </xf>
    <xf numFmtId="183" fontId="161" fillId="0" borderId="59" xfId="345" applyNumberFormat="1" applyFont="1" applyBorder="1" applyAlignment="1">
      <alignment horizontal="center"/>
    </xf>
    <xf numFmtId="183" fontId="182" fillId="0" borderId="59" xfId="345" applyNumberFormat="1" applyFont="1" applyBorder="1" applyAlignment="1">
      <alignment horizontal="center"/>
    </xf>
    <xf numFmtId="0" fontId="182" fillId="0" borderId="60" xfId="345" applyFont="1" applyBorder="1" applyAlignment="1">
      <alignment horizontal="left" vertical="center" indent="1"/>
    </xf>
    <xf numFmtId="3" fontId="165" fillId="0" borderId="0" xfId="345" applyNumberFormat="1" applyFont="1"/>
    <xf numFmtId="251" fontId="165" fillId="60" borderId="0" xfId="345" applyNumberFormat="1" applyFont="1" applyFill="1"/>
    <xf numFmtId="4" fontId="165" fillId="0" borderId="0" xfId="345" applyNumberFormat="1" applyFont="1" applyAlignment="1">
      <alignment horizontal="center"/>
    </xf>
    <xf numFmtId="249" fontId="160" fillId="78" borderId="77" xfId="345" applyNumberFormat="1" applyFont="1" applyFill="1" applyBorder="1" applyAlignment="1">
      <alignment horizontal="center"/>
    </xf>
    <xf numFmtId="1" fontId="14" fillId="0" borderId="0" xfId="3" applyNumberFormat="1" applyFont="1"/>
    <xf numFmtId="37" fontId="14" fillId="0" borderId="0" xfId="4" applyNumberFormat="1" applyFont="1" applyFill="1" applyBorder="1" applyAlignment="1">
      <alignment horizontal="center"/>
    </xf>
    <xf numFmtId="0" fontId="161" fillId="6" borderId="64" xfId="345" applyFont="1" applyFill="1" applyBorder="1" applyAlignment="1">
      <alignment horizontal="center"/>
    </xf>
    <xf numFmtId="0" fontId="161" fillId="6" borderId="65" xfId="345" applyFont="1" applyFill="1" applyBorder="1" applyAlignment="1">
      <alignment horizontal="center"/>
    </xf>
    <xf numFmtId="1" fontId="21" fillId="3" borderId="0" xfId="0" applyNumberFormat="1" applyFont="1" applyFill="1" applyAlignment="1">
      <alignment horizontal="center"/>
    </xf>
    <xf numFmtId="249" fontId="160" fillId="61" borderId="0" xfId="345" applyNumberFormat="1" applyFont="1" applyFill="1" applyAlignment="1">
      <alignment vertical="center"/>
    </xf>
    <xf numFmtId="37" fontId="17" fillId="2" borderId="10" xfId="4" applyNumberFormat="1" applyFont="1" applyFill="1" applyBorder="1" applyAlignment="1"/>
    <xf numFmtId="37" fontId="17" fillId="2" borderId="11" xfId="4" applyNumberFormat="1" applyFont="1" applyFill="1" applyBorder="1" applyAlignment="1"/>
    <xf numFmtId="9" fontId="160" fillId="0" borderId="0" xfId="2" applyFont="1" applyAlignment="1">
      <alignment vertical="center"/>
    </xf>
    <xf numFmtId="9" fontId="160" fillId="0" borderId="0" xfId="345" applyNumberFormat="1" applyFont="1" applyAlignment="1">
      <alignment vertical="center"/>
    </xf>
    <xf numFmtId="9" fontId="160" fillId="0" borderId="65" xfId="2" applyFont="1" applyBorder="1" applyAlignment="1">
      <alignment horizontal="center" vertical="center"/>
    </xf>
    <xf numFmtId="164" fontId="165" fillId="0" borderId="0" xfId="345" applyNumberFormat="1" applyFont="1"/>
    <xf numFmtId="3" fontId="160" fillId="0" borderId="63" xfId="345" applyNumberFormat="1" applyFont="1" applyBorder="1" applyAlignment="1">
      <alignment horizontal="center"/>
    </xf>
    <xf numFmtId="1" fontId="160" fillId="0" borderId="60" xfId="345" applyNumberFormat="1" applyFont="1" applyBorder="1"/>
    <xf numFmtId="0" fontId="161" fillId="6" borderId="66" xfId="345" applyFont="1" applyFill="1" applyBorder="1" applyAlignment="1">
      <alignment horizontal="center"/>
    </xf>
    <xf numFmtId="9" fontId="165" fillId="0" borderId="8" xfId="345" applyNumberFormat="1" applyFont="1" applyBorder="1"/>
    <xf numFmtId="0" fontId="165" fillId="0" borderId="0" xfId="345" quotePrefix="1" applyFont="1"/>
    <xf numFmtId="0" fontId="66" fillId="0" borderId="0" xfId="0" applyFont="1"/>
    <xf numFmtId="0" fontId="66" fillId="0" borderId="0" xfId="0" applyFont="1" applyAlignment="1">
      <alignment horizontal="center"/>
    </xf>
    <xf numFmtId="3" fontId="66" fillId="0" borderId="0" xfId="0" applyNumberFormat="1" applyFont="1" applyAlignment="1">
      <alignment horizontal="center"/>
    </xf>
    <xf numFmtId="3" fontId="66" fillId="0" borderId="0" xfId="0" applyNumberFormat="1" applyFont="1"/>
    <xf numFmtId="37" fontId="66" fillId="0" borderId="0" xfId="0" applyNumberFormat="1" applyFont="1"/>
    <xf numFmtId="0" fontId="66" fillId="0" borderId="39" xfId="0" applyFont="1" applyBorder="1"/>
    <xf numFmtId="3" fontId="66" fillId="0" borderId="39" xfId="0" applyNumberFormat="1" applyFont="1" applyBorder="1" applyAlignment="1">
      <alignment horizontal="center"/>
    </xf>
    <xf numFmtId="1" fontId="66" fillId="0" borderId="39" xfId="0" applyNumberFormat="1" applyFont="1" applyBorder="1" applyAlignment="1">
      <alignment horizontal="center"/>
    </xf>
    <xf numFmtId="37" fontId="66" fillId="0" borderId="39" xfId="0" applyNumberFormat="1" applyFont="1" applyBorder="1" applyAlignment="1">
      <alignment horizontal="center"/>
    </xf>
    <xf numFmtId="0" fontId="155" fillId="80" borderId="39" xfId="0" applyFont="1" applyFill="1" applyBorder="1"/>
    <xf numFmtId="37" fontId="155" fillId="80" borderId="39" xfId="0" applyNumberFormat="1" applyFont="1" applyFill="1" applyBorder="1" applyAlignment="1">
      <alignment horizontal="center"/>
    </xf>
    <xf numFmtId="3" fontId="155" fillId="80" borderId="39" xfId="0" applyNumberFormat="1" applyFont="1" applyFill="1" applyBorder="1" applyAlignment="1">
      <alignment horizontal="center"/>
    </xf>
    <xf numFmtId="1" fontId="155" fillId="80" borderId="39" xfId="0" applyNumberFormat="1" applyFont="1" applyFill="1" applyBorder="1" applyAlignment="1">
      <alignment horizontal="center"/>
    </xf>
    <xf numFmtId="0" fontId="185" fillId="81" borderId="39" xfId="0" applyFont="1" applyFill="1" applyBorder="1"/>
    <xf numFmtId="0" fontId="185" fillId="81" borderId="39" xfId="0" applyFont="1" applyFill="1" applyBorder="1" applyAlignment="1">
      <alignment horizontal="center"/>
    </xf>
    <xf numFmtId="0" fontId="185" fillId="81" borderId="0" xfId="0" applyFont="1" applyFill="1" applyAlignment="1">
      <alignment horizontal="center"/>
    </xf>
    <xf numFmtId="0" fontId="186" fillId="0" borderId="0" xfId="0" applyFont="1"/>
    <xf numFmtId="0" fontId="186" fillId="0" borderId="0" xfId="0" applyFont="1" applyAlignment="1">
      <alignment horizontal="center"/>
    </xf>
    <xf numFmtId="1" fontId="66" fillId="0" borderId="0" xfId="0" applyNumberFormat="1" applyFont="1"/>
    <xf numFmtId="0" fontId="188" fillId="0" borderId="0" xfId="520" applyFont="1"/>
    <xf numFmtId="0" fontId="9" fillId="0" borderId="0" xfId="520"/>
    <xf numFmtId="0" fontId="157" fillId="0" borderId="0" xfId="520" applyFont="1" applyAlignment="1">
      <alignment horizontal="center"/>
    </xf>
    <xf numFmtId="0" fontId="187" fillId="0" borderId="0" xfId="520" applyFont="1"/>
    <xf numFmtId="37" fontId="187" fillId="0" borderId="19" xfId="520" applyNumberFormat="1" applyFont="1" applyBorder="1"/>
    <xf numFmtId="0" fontId="9" fillId="59" borderId="0" xfId="520" applyFill="1"/>
    <xf numFmtId="3" fontId="9" fillId="0" borderId="0" xfId="520" applyNumberFormat="1"/>
    <xf numFmtId="3" fontId="9" fillId="0" borderId="38" xfId="520" applyNumberFormat="1" applyBorder="1"/>
    <xf numFmtId="1" fontId="9" fillId="0" borderId="0" xfId="520" applyNumberFormat="1"/>
    <xf numFmtId="1" fontId="187" fillId="0" borderId="39" xfId="520" applyNumberFormat="1" applyFont="1" applyBorder="1"/>
    <xf numFmtId="1" fontId="158" fillId="0" borderId="0" xfId="520" applyNumberFormat="1" applyFont="1"/>
    <xf numFmtId="1" fontId="9" fillId="0" borderId="38" xfId="520" applyNumberFormat="1" applyBorder="1"/>
    <xf numFmtId="0" fontId="9" fillId="63" borderId="0" xfId="520" applyFill="1"/>
    <xf numFmtId="37" fontId="9" fillId="0" borderId="0" xfId="520" applyNumberFormat="1"/>
    <xf numFmtId="37" fontId="9" fillId="0" borderId="38" xfId="520" applyNumberFormat="1" applyBorder="1"/>
    <xf numFmtId="1" fontId="187" fillId="0" borderId="19" xfId="520" applyNumberFormat="1" applyFont="1" applyBorder="1"/>
    <xf numFmtId="0" fontId="157" fillId="0" borderId="0" xfId="520" applyFont="1"/>
    <xf numFmtId="1" fontId="157" fillId="0" borderId="0" xfId="520" applyNumberFormat="1" applyFont="1"/>
    <xf numFmtId="37" fontId="158" fillId="0" borderId="0" xfId="520" applyNumberFormat="1" applyFont="1"/>
    <xf numFmtId="1" fontId="158" fillId="60" borderId="68" xfId="0" applyNumberFormat="1" applyFont="1" applyFill="1" applyBorder="1"/>
    <xf numFmtId="3" fontId="158" fillId="0" borderId="0" xfId="0" applyNumberFormat="1" applyFont="1" applyAlignment="1">
      <alignment horizontal="center"/>
    </xf>
    <xf numFmtId="9" fontId="160" fillId="0" borderId="57" xfId="2" applyFont="1" applyBorder="1" applyAlignment="1">
      <alignment horizontal="center" vertical="center"/>
    </xf>
    <xf numFmtId="0" fontId="165" fillId="0" borderId="56" xfId="345" applyFont="1" applyBorder="1"/>
    <xf numFmtId="0" fontId="165" fillId="0" borderId="57" xfId="345" applyFont="1" applyBorder="1"/>
    <xf numFmtId="4" fontId="14" fillId="61" borderId="24" xfId="4" applyNumberFormat="1" applyFont="1" applyFill="1" applyBorder="1"/>
    <xf numFmtId="1" fontId="160" fillId="61" borderId="39" xfId="345" applyNumberFormat="1" applyFont="1" applyFill="1" applyBorder="1" applyAlignment="1">
      <alignment horizontal="center" vertical="center"/>
    </xf>
    <xf numFmtId="1" fontId="165" fillId="61" borderId="39" xfId="345" applyNumberFormat="1" applyFont="1" applyFill="1" applyBorder="1"/>
    <xf numFmtId="1" fontId="160" fillId="61" borderId="39" xfId="345" applyNumberFormat="1" applyFont="1" applyFill="1" applyBorder="1" applyAlignment="1">
      <alignment vertical="center"/>
    </xf>
    <xf numFmtId="1" fontId="161" fillId="61" borderId="39" xfId="345" applyNumberFormat="1" applyFont="1" applyFill="1" applyBorder="1" applyAlignment="1">
      <alignment vertical="center"/>
    </xf>
    <xf numFmtId="1" fontId="165" fillId="61" borderId="39" xfId="345" applyNumberFormat="1" applyFont="1" applyFill="1" applyBorder="1" applyAlignment="1">
      <alignment horizontal="center"/>
    </xf>
    <xf numFmtId="37" fontId="169" fillId="61" borderId="39" xfId="345" applyNumberFormat="1" applyFont="1" applyFill="1" applyBorder="1"/>
    <xf numFmtId="166" fontId="165" fillId="61" borderId="39" xfId="1" applyNumberFormat="1" applyFont="1" applyFill="1" applyBorder="1" applyAlignment="1">
      <alignment horizontal="center"/>
    </xf>
    <xf numFmtId="166" fontId="165" fillId="61" borderId="39" xfId="1" applyNumberFormat="1" applyFont="1" applyFill="1" applyBorder="1"/>
    <xf numFmtId="166" fontId="160" fillId="61" borderId="39" xfId="1" applyNumberFormat="1" applyFont="1" applyFill="1" applyBorder="1" applyAlignment="1">
      <alignment vertical="center"/>
    </xf>
    <xf numFmtId="166" fontId="160" fillId="61" borderId="39" xfId="1" applyNumberFormat="1" applyFont="1" applyFill="1" applyBorder="1" applyAlignment="1">
      <alignment horizontal="center" vertical="center"/>
    </xf>
    <xf numFmtId="166" fontId="169" fillId="61" borderId="39" xfId="345" applyNumberFormat="1" applyFont="1" applyFill="1" applyBorder="1"/>
    <xf numFmtId="9" fontId="165" fillId="0" borderId="0" xfId="2" applyFont="1" applyBorder="1"/>
    <xf numFmtId="9" fontId="165" fillId="0" borderId="0" xfId="2" applyFont="1" applyBorder="1" applyAlignment="1">
      <alignment horizontal="center"/>
    </xf>
    <xf numFmtId="9" fontId="165" fillId="0" borderId="0" xfId="345" applyNumberFormat="1" applyFont="1"/>
    <xf numFmtId="1" fontId="165" fillId="0" borderId="106" xfId="345" applyNumberFormat="1" applyFont="1" applyBorder="1"/>
    <xf numFmtId="3" fontId="14" fillId="61" borderId="25" xfId="0" applyNumberFormat="1" applyFont="1" applyFill="1" applyBorder="1"/>
    <xf numFmtId="250" fontId="160" fillId="0" borderId="62" xfId="345" applyNumberFormat="1" applyFont="1" applyBorder="1" applyAlignment="1">
      <alignment horizontal="right"/>
    </xf>
    <xf numFmtId="183" fontId="160" fillId="0" borderId="60" xfId="345" applyNumberFormat="1" applyFont="1" applyBorder="1" applyAlignment="1">
      <alignment vertical="center"/>
    </xf>
    <xf numFmtId="0" fontId="161" fillId="0" borderId="60" xfId="345" applyFont="1" applyBorder="1" applyAlignment="1">
      <alignment horizontal="left"/>
    </xf>
    <xf numFmtId="183" fontId="163" fillId="0" borderId="59" xfId="345" applyNumberFormat="1" applyFont="1" applyBorder="1" applyAlignment="1">
      <alignment horizontal="center"/>
    </xf>
    <xf numFmtId="0" fontId="161" fillId="0" borderId="61" xfId="345" applyFont="1" applyBorder="1" applyAlignment="1">
      <alignment horizontal="left"/>
    </xf>
    <xf numFmtId="183" fontId="163" fillId="0" borderId="63" xfId="345" applyNumberFormat="1" applyFont="1" applyBorder="1" applyAlignment="1">
      <alignment horizontal="center"/>
    </xf>
    <xf numFmtId="248" fontId="160" fillId="0" borderId="62" xfId="345" applyNumberFormat="1" applyFont="1" applyBorder="1" applyAlignment="1">
      <alignment horizontal="center"/>
    </xf>
    <xf numFmtId="4" fontId="14" fillId="3" borderId="17" xfId="4" applyNumberFormat="1" applyFont="1" applyFill="1" applyBorder="1"/>
    <xf numFmtId="37" fontId="17" fillId="3" borderId="12" xfId="4" applyNumberFormat="1" applyFont="1" applyFill="1" applyBorder="1" applyAlignment="1"/>
    <xf numFmtId="1" fontId="160" fillId="0" borderId="61" xfId="345" applyNumberFormat="1" applyFont="1" applyBorder="1"/>
    <xf numFmtId="255" fontId="160" fillId="0" borderId="0" xfId="345" applyNumberFormat="1" applyFont="1" applyAlignment="1">
      <alignment horizontal="right"/>
    </xf>
    <xf numFmtId="1" fontId="16" fillId="0" borderId="0" xfId="3" applyNumberFormat="1" applyFont="1" applyAlignment="1">
      <alignment horizontal="center"/>
    </xf>
    <xf numFmtId="37" fontId="14" fillId="82" borderId="0" xfId="4" applyNumberFormat="1" applyFont="1" applyFill="1" applyBorder="1"/>
    <xf numFmtId="37" fontId="14" fillId="82" borderId="0" xfId="4" applyNumberFormat="1" applyFont="1" applyFill="1" applyBorder="1" applyAlignment="1">
      <alignment horizontal="center"/>
    </xf>
    <xf numFmtId="37" fontId="160" fillId="0" borderId="0" xfId="345" applyNumberFormat="1" applyFont="1" applyAlignment="1">
      <alignment vertical="center"/>
    </xf>
    <xf numFmtId="39" fontId="160" fillId="0" borderId="0" xfId="345" applyNumberFormat="1" applyFont="1" applyAlignment="1">
      <alignment vertical="center"/>
    </xf>
    <xf numFmtId="164" fontId="160" fillId="0" borderId="0" xfId="1" applyFont="1" applyAlignment="1">
      <alignment vertical="center"/>
    </xf>
    <xf numFmtId="164" fontId="160" fillId="0" borderId="0" xfId="1" applyFont="1" applyFill="1" applyBorder="1" applyAlignment="1">
      <alignment horizontal="right"/>
    </xf>
    <xf numFmtId="2" fontId="161" fillId="0" borderId="65" xfId="345" applyNumberFormat="1" applyFont="1" applyBorder="1" applyAlignment="1">
      <alignment horizontal="center"/>
    </xf>
    <xf numFmtId="3" fontId="161" fillId="0" borderId="66" xfId="345" applyNumberFormat="1" applyFont="1" applyBorder="1" applyAlignment="1">
      <alignment horizontal="center"/>
    </xf>
    <xf numFmtId="0" fontId="160" fillId="0" borderId="83" xfId="345" applyFont="1" applyBorder="1" applyAlignment="1">
      <alignment vertical="center"/>
    </xf>
    <xf numFmtId="0" fontId="160" fillId="0" borderId="84" xfId="345" applyFont="1" applyBorder="1" applyAlignment="1">
      <alignment vertical="center"/>
    </xf>
    <xf numFmtId="164" fontId="160" fillId="0" borderId="110" xfId="1" applyFont="1" applyBorder="1" applyAlignment="1">
      <alignment vertical="center"/>
    </xf>
    <xf numFmtId="0" fontId="160" fillId="0" borderId="111" xfId="345" applyFont="1" applyBorder="1" applyAlignment="1">
      <alignment vertical="center"/>
    </xf>
    <xf numFmtId="0" fontId="165" fillId="0" borderId="82" xfId="345" applyFont="1" applyBorder="1" applyAlignment="1">
      <alignment horizontal="left" vertical="center" wrapText="1"/>
    </xf>
    <xf numFmtId="249" fontId="161" fillId="0" borderId="85" xfId="345" applyNumberFormat="1" applyFont="1" applyBorder="1" applyAlignment="1">
      <alignment horizontal="center" vertical="center"/>
    </xf>
    <xf numFmtId="0" fontId="169" fillId="0" borderId="82" xfId="345" applyFont="1" applyBorder="1" applyAlignment="1">
      <alignment horizontal="left" vertical="center" wrapText="1"/>
    </xf>
    <xf numFmtId="249" fontId="161" fillId="0" borderId="63" xfId="345" applyNumberFormat="1" applyFont="1" applyBorder="1" applyAlignment="1">
      <alignment horizontal="center" vertical="center"/>
    </xf>
    <xf numFmtId="37" fontId="14" fillId="58" borderId="16" xfId="4" applyNumberFormat="1" applyFont="1" applyFill="1" applyBorder="1"/>
    <xf numFmtId="164" fontId="14" fillId="0" borderId="0" xfId="1" applyFont="1" applyAlignment="1">
      <alignment horizontal="right"/>
    </xf>
    <xf numFmtId="164" fontId="14" fillId="0" borderId="0" xfId="1" applyFont="1"/>
    <xf numFmtId="166" fontId="14" fillId="0" borderId="0" xfId="1" applyNumberFormat="1" applyFont="1" applyAlignment="1">
      <alignment horizontal="right"/>
    </xf>
    <xf numFmtId="166" fontId="16" fillId="0" borderId="0" xfId="1" applyNumberFormat="1" applyFont="1" applyFill="1" applyBorder="1"/>
    <xf numFmtId="166" fontId="14" fillId="0" borderId="0" xfId="1" applyNumberFormat="1" applyFont="1" applyFill="1" applyBorder="1"/>
    <xf numFmtId="166" fontId="14" fillId="58" borderId="0" xfId="1" applyNumberFormat="1" applyFont="1" applyFill="1" applyAlignment="1">
      <alignment horizontal="right"/>
    </xf>
    <xf numFmtId="0" fontId="161" fillId="0" borderId="114" xfId="345" applyFont="1" applyBorder="1" applyAlignment="1">
      <alignment horizontal="left"/>
    </xf>
    <xf numFmtId="249" fontId="160" fillId="0" borderId="0" xfId="345" applyNumberFormat="1" applyFont="1" applyAlignment="1">
      <alignment vertical="center"/>
    </xf>
    <xf numFmtId="199" fontId="160" fillId="0" borderId="0" xfId="345" applyNumberFormat="1" applyFont="1" applyAlignment="1">
      <alignment vertical="center"/>
    </xf>
    <xf numFmtId="255" fontId="160" fillId="0" borderId="59" xfId="345" applyNumberFormat="1" applyFont="1" applyBorder="1" applyAlignment="1">
      <alignment horizontal="center"/>
    </xf>
    <xf numFmtId="3" fontId="14" fillId="80" borderId="3" xfId="0" applyNumberFormat="1" applyFont="1" applyFill="1" applyBorder="1"/>
    <xf numFmtId="3" fontId="14" fillId="83" borderId="3" xfId="0" applyNumberFormat="1" applyFont="1" applyFill="1" applyBorder="1"/>
    <xf numFmtId="1" fontId="14" fillId="80" borderId="0" xfId="0" applyNumberFormat="1" applyFont="1" applyFill="1" applyAlignment="1">
      <alignment horizontal="right"/>
    </xf>
    <xf numFmtId="253" fontId="160" fillId="0" borderId="0" xfId="345" applyNumberFormat="1" applyFont="1" applyAlignment="1">
      <alignment vertical="center"/>
    </xf>
    <xf numFmtId="247" fontId="189" fillId="0" borderId="0" xfId="0" applyNumberFormat="1" applyFont="1" applyAlignment="1" applyProtection="1">
      <alignment vertical="center"/>
      <protection locked="0"/>
    </xf>
    <xf numFmtId="43" fontId="66" fillId="0" borderId="0" xfId="0" applyNumberFormat="1" applyFont="1" applyProtection="1">
      <protection locked="0"/>
    </xf>
    <xf numFmtId="0" fontId="160" fillId="0" borderId="60" xfId="345" applyFont="1" applyBorder="1" applyAlignment="1">
      <alignment horizontal="left" vertical="center" indent="1"/>
    </xf>
    <xf numFmtId="249" fontId="162" fillId="0" borderId="66" xfId="345" applyNumberFormat="1" applyFont="1" applyBorder="1" applyAlignment="1">
      <alignment horizontal="center"/>
    </xf>
    <xf numFmtId="1" fontId="160" fillId="0" borderId="56" xfId="345" applyNumberFormat="1" applyFont="1" applyBorder="1" applyAlignment="1">
      <alignment wrapText="1"/>
    </xf>
    <xf numFmtId="0" fontId="161" fillId="0" borderId="0" xfId="345" applyFont="1" applyAlignment="1">
      <alignment horizontal="left"/>
    </xf>
    <xf numFmtId="0" fontId="161" fillId="0" borderId="0" xfId="345" applyFont="1" applyAlignment="1">
      <alignment horizontal="center"/>
    </xf>
    <xf numFmtId="183" fontId="161" fillId="0" borderId="0" xfId="345" applyNumberFormat="1" applyFont="1" applyAlignment="1">
      <alignment horizontal="center" vertical="center"/>
    </xf>
    <xf numFmtId="0" fontId="161" fillId="0" borderId="0" xfId="345" applyFont="1"/>
    <xf numFmtId="183" fontId="161" fillId="0" borderId="0" xfId="345" applyNumberFormat="1" applyFont="1" applyAlignment="1">
      <alignment horizontal="center"/>
    </xf>
    <xf numFmtId="249" fontId="161" fillId="0" borderId="0" xfId="345" applyNumberFormat="1" applyFont="1" applyAlignment="1">
      <alignment horizontal="center"/>
    </xf>
    <xf numFmtId="0" fontId="160" fillId="0" borderId="0" xfId="345" applyFont="1" applyAlignment="1">
      <alignment horizontal="center"/>
    </xf>
    <xf numFmtId="183" fontId="163" fillId="0" borderId="0" xfId="345" applyNumberFormat="1" applyFont="1" applyAlignment="1">
      <alignment horizontal="center"/>
    </xf>
    <xf numFmtId="3" fontId="161" fillId="0" borderId="0" xfId="345" applyNumberFormat="1" applyFont="1" applyAlignment="1">
      <alignment horizontal="center"/>
    </xf>
    <xf numFmtId="183" fontId="162" fillId="0" borderId="0" xfId="345" applyNumberFormat="1" applyFont="1" applyAlignment="1">
      <alignment horizontal="center"/>
    </xf>
    <xf numFmtId="1" fontId="161" fillId="0" borderId="0" xfId="345" applyNumberFormat="1" applyFont="1" applyAlignment="1">
      <alignment horizontal="center"/>
    </xf>
    <xf numFmtId="0" fontId="160" fillId="0" borderId="0" xfId="345" applyFont="1"/>
    <xf numFmtId="3" fontId="161" fillId="0" borderId="0" xfId="345" applyNumberFormat="1" applyFont="1"/>
    <xf numFmtId="248" fontId="161" fillId="0" borderId="0" xfId="345" applyNumberFormat="1" applyFont="1" applyAlignment="1">
      <alignment horizontal="center"/>
    </xf>
    <xf numFmtId="164" fontId="164" fillId="0" borderId="0" xfId="1" applyFont="1" applyFill="1" applyBorder="1" applyAlignment="1">
      <alignment horizontal="right"/>
    </xf>
    <xf numFmtId="164" fontId="160" fillId="0" borderId="0" xfId="1" applyFont="1" applyFill="1" applyAlignment="1">
      <alignment vertical="center"/>
    </xf>
    <xf numFmtId="164" fontId="160" fillId="0" borderId="110" xfId="1" applyFont="1" applyFill="1" applyBorder="1" applyAlignment="1">
      <alignment vertical="center"/>
    </xf>
    <xf numFmtId="1" fontId="160" fillId="0" borderId="60" xfId="345" applyNumberFormat="1" applyFont="1" applyBorder="1" applyAlignment="1">
      <alignment wrapText="1"/>
    </xf>
    <xf numFmtId="3" fontId="14" fillId="62" borderId="0" xfId="0" applyNumberFormat="1" applyFont="1" applyFill="1"/>
    <xf numFmtId="1" fontId="14" fillId="78" borderId="0" xfId="0" applyNumberFormat="1" applyFont="1" applyFill="1"/>
    <xf numFmtId="2" fontId="17" fillId="0" borderId="0" xfId="0" applyNumberFormat="1" applyFont="1"/>
    <xf numFmtId="2" fontId="21" fillId="0" borderId="0" xfId="0" applyNumberFormat="1" applyFont="1"/>
    <xf numFmtId="39" fontId="14" fillId="0" borderId="0" xfId="0" applyNumberFormat="1" applyFont="1" applyAlignment="1">
      <alignment horizontal="right"/>
    </xf>
    <xf numFmtId="2" fontId="14" fillId="0" borderId="0" xfId="0" applyNumberFormat="1" applyFont="1"/>
    <xf numFmtId="2" fontId="14" fillId="59" borderId="0" xfId="0" applyNumberFormat="1" applyFont="1" applyFill="1" applyAlignment="1">
      <alignment horizontal="right"/>
    </xf>
    <xf numFmtId="2" fontId="14" fillId="0" borderId="0" xfId="0" applyNumberFormat="1" applyFont="1" applyAlignment="1">
      <alignment horizontal="right"/>
    </xf>
    <xf numFmtId="0" fontId="49" fillId="0" borderId="0" xfId="0" applyFont="1" applyAlignment="1">
      <alignment horizontal="left" vertical="top"/>
    </xf>
    <xf numFmtId="0" fontId="190" fillId="85" borderId="115" xfId="0" applyFont="1" applyFill="1" applyBorder="1" applyAlignment="1">
      <alignment horizontal="center" vertical="center" wrapText="1"/>
    </xf>
    <xf numFmtId="0" fontId="190" fillId="85" borderId="116" xfId="0" applyFont="1" applyFill="1" applyBorder="1" applyAlignment="1">
      <alignment horizontal="center" vertical="center" wrapText="1"/>
    </xf>
    <xf numFmtId="0" fontId="191" fillId="86" borderId="116" xfId="0" applyFont="1" applyFill="1" applyBorder="1" applyAlignment="1">
      <alignment horizontal="center" vertical="center" wrapText="1"/>
    </xf>
    <xf numFmtId="0" fontId="190" fillId="85" borderId="117" xfId="0" applyFont="1" applyFill="1" applyBorder="1" applyAlignment="1">
      <alignment horizontal="center" vertical="center" wrapText="1"/>
    </xf>
    <xf numFmtId="0" fontId="190" fillId="85" borderId="118" xfId="0" applyFont="1" applyFill="1" applyBorder="1" applyAlignment="1">
      <alignment horizontal="center" vertical="center" wrapText="1"/>
    </xf>
    <xf numFmtId="0" fontId="192" fillId="86" borderId="118" xfId="0" applyFont="1" applyFill="1" applyBorder="1" applyAlignment="1">
      <alignment horizontal="center" vertical="center" wrapText="1"/>
    </xf>
    <xf numFmtId="0" fontId="193" fillId="85" borderId="118" xfId="0" applyFont="1" applyFill="1" applyBorder="1" applyAlignment="1">
      <alignment horizontal="center" vertical="center" wrapText="1"/>
    </xf>
    <xf numFmtId="0" fontId="194" fillId="0" borderId="0" xfId="0" applyFont="1" applyAlignment="1">
      <alignment horizontal="left" vertical="top" wrapText="1"/>
    </xf>
    <xf numFmtId="0" fontId="190" fillId="0" borderId="115" xfId="0" applyFont="1" applyBorder="1" applyAlignment="1">
      <alignment horizontal="center" vertical="center"/>
    </xf>
    <xf numFmtId="0" fontId="194" fillId="0" borderId="0" xfId="0" applyFont="1" applyAlignment="1">
      <alignment horizontal="right" vertical="center"/>
    </xf>
    <xf numFmtId="0" fontId="194" fillId="0" borderId="0" xfId="0" applyFont="1" applyAlignment="1">
      <alignment horizontal="left" vertical="center"/>
    </xf>
    <xf numFmtId="0" fontId="195" fillId="0" borderId="0" xfId="0" applyFont="1" applyAlignment="1">
      <alignment horizontal="right" vertical="center"/>
    </xf>
    <xf numFmtId="0" fontId="194" fillId="0" borderId="0" xfId="0" applyFont="1" applyAlignment="1">
      <alignment horizontal="left" vertical="center" wrapText="1"/>
    </xf>
    <xf numFmtId="0" fontId="196" fillId="86" borderId="119" xfId="0" applyFont="1" applyFill="1" applyBorder="1" applyAlignment="1">
      <alignment horizontal="left" vertical="center" wrapText="1"/>
    </xf>
    <xf numFmtId="257" fontId="197" fillId="85" borderId="120" xfId="0" applyNumberFormat="1" applyFont="1" applyFill="1" applyBorder="1" applyAlignment="1">
      <alignment horizontal="right" vertical="center"/>
    </xf>
    <xf numFmtId="257" fontId="194" fillId="85" borderId="121" xfId="0" applyNumberFormat="1" applyFont="1" applyFill="1" applyBorder="1" applyAlignment="1">
      <alignment horizontal="right" vertical="center"/>
    </xf>
    <xf numFmtId="257" fontId="198" fillId="85" borderId="121" xfId="0" applyNumberFormat="1" applyFont="1" applyFill="1" applyBorder="1" applyAlignment="1">
      <alignment horizontal="right" vertical="center"/>
    </xf>
    <xf numFmtId="257" fontId="197" fillId="0" borderId="121" xfId="0" applyNumberFormat="1" applyFont="1" applyBorder="1" applyAlignment="1">
      <alignment horizontal="right" vertical="center"/>
    </xf>
    <xf numFmtId="257" fontId="197" fillId="85" borderId="121" xfId="0" applyNumberFormat="1" applyFont="1" applyFill="1" applyBorder="1" applyAlignment="1">
      <alignment horizontal="right" vertical="center"/>
    </xf>
    <xf numFmtId="257" fontId="197" fillId="85" borderId="115" xfId="0" applyNumberFormat="1" applyFont="1" applyFill="1" applyBorder="1" applyAlignment="1">
      <alignment horizontal="right" vertical="center"/>
    </xf>
    <xf numFmtId="257" fontId="194" fillId="85" borderId="116" xfId="0" applyNumberFormat="1" applyFont="1" applyFill="1" applyBorder="1" applyAlignment="1">
      <alignment horizontal="right" vertical="center"/>
    </xf>
    <xf numFmtId="257" fontId="198" fillId="85" borderId="116" xfId="0" applyNumberFormat="1" applyFont="1" applyFill="1" applyBorder="1" applyAlignment="1">
      <alignment horizontal="right" vertical="center"/>
    </xf>
    <xf numFmtId="257" fontId="197" fillId="0" borderId="116" xfId="0" applyNumberFormat="1" applyFont="1" applyBorder="1" applyAlignment="1">
      <alignment horizontal="right" vertical="center"/>
    </xf>
    <xf numFmtId="257" fontId="197" fillId="85" borderId="116" xfId="0" applyNumberFormat="1" applyFont="1" applyFill="1" applyBorder="1" applyAlignment="1">
      <alignment horizontal="right" vertical="center"/>
    </xf>
    <xf numFmtId="257" fontId="197" fillId="85" borderId="117" xfId="0" applyNumberFormat="1" applyFont="1" applyFill="1" applyBorder="1" applyAlignment="1">
      <alignment horizontal="right" vertical="center"/>
    </xf>
    <xf numFmtId="257" fontId="194" fillId="85" borderId="118" xfId="0" applyNumberFormat="1" applyFont="1" applyFill="1" applyBorder="1" applyAlignment="1">
      <alignment horizontal="right" vertical="center"/>
    </xf>
    <xf numFmtId="257" fontId="198" fillId="85" borderId="118" xfId="0" applyNumberFormat="1" applyFont="1" applyFill="1" applyBorder="1" applyAlignment="1">
      <alignment horizontal="right" vertical="center"/>
    </xf>
    <xf numFmtId="257" fontId="197" fillId="0" borderId="118" xfId="0" applyNumberFormat="1" applyFont="1" applyBorder="1" applyAlignment="1">
      <alignment horizontal="right" vertical="center"/>
    </xf>
    <xf numFmtId="257" fontId="197" fillId="85" borderId="118" xfId="0" applyNumberFormat="1" applyFont="1" applyFill="1" applyBorder="1" applyAlignment="1">
      <alignment horizontal="right" vertical="center"/>
    </xf>
    <xf numFmtId="257" fontId="0" fillId="0" borderId="0" xfId="0" applyNumberFormat="1"/>
    <xf numFmtId="0" fontId="165" fillId="0" borderId="82" xfId="345" applyFont="1" applyBorder="1" applyAlignment="1">
      <alignment horizontal="center" vertical="center" wrapText="1"/>
    </xf>
    <xf numFmtId="164" fontId="164" fillId="0" borderId="0" xfId="1" applyFont="1" applyAlignment="1">
      <alignment vertical="center"/>
    </xf>
    <xf numFmtId="1" fontId="161" fillId="0" borderId="65" xfId="345" applyNumberFormat="1" applyFont="1" applyBorder="1" applyAlignment="1">
      <alignment horizontal="center"/>
    </xf>
    <xf numFmtId="258" fontId="160" fillId="0" borderId="0" xfId="345" applyNumberFormat="1" applyFont="1" applyAlignment="1">
      <alignment vertical="center"/>
    </xf>
    <xf numFmtId="190" fontId="66" fillId="0" borderId="0" xfId="0" applyNumberFormat="1" applyFont="1" applyProtection="1">
      <protection locked="0"/>
    </xf>
    <xf numFmtId="37" fontId="66" fillId="0" borderId="0" xfId="0" applyNumberFormat="1" applyFont="1" applyProtection="1">
      <protection locked="0"/>
    </xf>
    <xf numFmtId="249" fontId="161" fillId="0" borderId="57" xfId="345" applyNumberFormat="1" applyFont="1" applyBorder="1" applyAlignment="1">
      <alignment horizontal="center" vertical="center"/>
    </xf>
    <xf numFmtId="249" fontId="161" fillId="0" borderId="58" xfId="345" applyNumberFormat="1" applyFont="1" applyBorder="1" applyAlignment="1">
      <alignment horizontal="center" vertical="center"/>
    </xf>
    <xf numFmtId="249" fontId="161" fillId="0" borderId="59" xfId="345" applyNumberFormat="1" applyFont="1" applyBorder="1" applyAlignment="1">
      <alignment horizontal="center" vertical="center"/>
    </xf>
    <xf numFmtId="249" fontId="161" fillId="0" borderId="66" xfId="345" applyNumberFormat="1" applyFont="1" applyBorder="1" applyAlignment="1">
      <alignment horizontal="center" vertical="center"/>
    </xf>
    <xf numFmtId="249" fontId="161" fillId="0" borderId="65" xfId="345" applyNumberFormat="1" applyFont="1" applyBorder="1" applyAlignment="1">
      <alignment horizontal="center" vertical="center"/>
    </xf>
    <xf numFmtId="37" fontId="14" fillId="0" borderId="71" xfId="4" applyNumberFormat="1" applyFont="1" applyFill="1" applyBorder="1" applyAlignment="1">
      <alignment horizontal="right" vertical="center"/>
    </xf>
    <xf numFmtId="2" fontId="160" fillId="0" borderId="0" xfId="345" applyNumberFormat="1" applyFont="1" applyAlignment="1">
      <alignment vertical="center"/>
    </xf>
    <xf numFmtId="0" fontId="160" fillId="0" borderId="0" xfId="345" applyFont="1" applyAlignment="1">
      <alignment horizontal="left" vertical="center" indent="1"/>
    </xf>
    <xf numFmtId="256" fontId="160" fillId="0" borderId="0" xfId="345" applyNumberFormat="1" applyFont="1" applyAlignment="1">
      <alignment vertical="center"/>
    </xf>
    <xf numFmtId="164" fontId="160" fillId="0" borderId="0" xfId="1" applyFont="1" applyBorder="1" applyAlignment="1">
      <alignment vertical="center"/>
    </xf>
    <xf numFmtId="164" fontId="160" fillId="0" borderId="60" xfId="1" applyFont="1" applyBorder="1" applyAlignment="1">
      <alignment vertical="center"/>
    </xf>
    <xf numFmtId="257" fontId="197" fillId="59" borderId="118" xfId="0" applyNumberFormat="1" applyFont="1" applyFill="1" applyBorder="1" applyAlignment="1">
      <alignment horizontal="right" vertical="center"/>
    </xf>
    <xf numFmtId="1" fontId="14" fillId="0" borderId="122" xfId="3" applyNumberFormat="1" applyFont="1" applyBorder="1"/>
    <xf numFmtId="259" fontId="160" fillId="0" borderId="0" xfId="1" applyNumberFormat="1" applyFont="1" applyAlignment="1">
      <alignment vertical="center"/>
    </xf>
    <xf numFmtId="260" fontId="160" fillId="0" borderId="0" xfId="1" applyNumberFormat="1" applyFont="1" applyAlignment="1">
      <alignment vertical="center"/>
    </xf>
    <xf numFmtId="1" fontId="14" fillId="0" borderId="123" xfId="3" applyNumberFormat="1" applyFont="1" applyBorder="1"/>
    <xf numFmtId="183" fontId="199" fillId="0" borderId="59" xfId="345" applyNumberFormat="1" applyFont="1" applyBorder="1" applyAlignment="1">
      <alignment horizontal="center"/>
    </xf>
    <xf numFmtId="3" fontId="160" fillId="0" borderId="38" xfId="345" applyNumberFormat="1" applyFont="1" applyBorder="1" applyAlignment="1">
      <alignment horizontal="center"/>
    </xf>
    <xf numFmtId="0" fontId="161" fillId="0" borderId="76" xfId="345" applyFont="1" applyBorder="1" applyAlignment="1">
      <alignment horizontal="left"/>
    </xf>
    <xf numFmtId="166" fontId="160" fillId="0" borderId="65" xfId="1" applyNumberFormat="1" applyFont="1" applyFill="1" applyBorder="1" applyAlignment="1">
      <alignment horizontal="left"/>
    </xf>
    <xf numFmtId="49" fontId="199" fillId="0" borderId="60" xfId="345" applyNumberFormat="1" applyFont="1" applyBorder="1"/>
    <xf numFmtId="0" fontId="200" fillId="0" borderId="60" xfId="345" applyFont="1" applyBorder="1" applyAlignment="1">
      <alignment horizontal="left" vertical="center" indent="1"/>
    </xf>
    <xf numFmtId="183" fontId="200" fillId="0" borderId="59" xfId="345" applyNumberFormat="1" applyFont="1" applyBorder="1" applyAlignment="1">
      <alignment horizontal="center"/>
    </xf>
    <xf numFmtId="166" fontId="66" fillId="84" borderId="0" xfId="1" applyNumberFormat="1" applyFont="1" applyFill="1" applyBorder="1" applyProtection="1">
      <protection locked="0"/>
    </xf>
    <xf numFmtId="164" fontId="66" fillId="0" borderId="0" xfId="1" applyFont="1" applyProtection="1">
      <protection locked="0"/>
    </xf>
    <xf numFmtId="164" fontId="66" fillId="0" borderId="0" xfId="0" applyNumberFormat="1" applyFont="1" applyProtection="1">
      <protection locked="0"/>
    </xf>
    <xf numFmtId="1" fontId="66" fillId="0" borderId="0" xfId="0" applyNumberFormat="1" applyFont="1" applyProtection="1">
      <protection locked="0"/>
    </xf>
    <xf numFmtId="167" fontId="66" fillId="0" borderId="0" xfId="0" applyNumberFormat="1" applyFont="1" applyProtection="1">
      <protection locked="0"/>
    </xf>
    <xf numFmtId="1" fontId="155" fillId="0" borderId="0" xfId="0" applyNumberFormat="1" applyFont="1" applyAlignment="1" applyProtection="1">
      <alignment horizontal="center" wrapText="1"/>
      <protection locked="0"/>
    </xf>
    <xf numFmtId="166" fontId="66" fillId="0" borderId="0" xfId="1" applyNumberFormat="1" applyFont="1" applyProtection="1">
      <protection locked="0"/>
    </xf>
    <xf numFmtId="166" fontId="66" fillId="0" borderId="0" xfId="0" applyNumberFormat="1" applyFont="1" applyProtection="1">
      <protection locked="0"/>
    </xf>
    <xf numFmtId="0" fontId="160" fillId="0" borderId="60" xfId="345" applyFont="1" applyBorder="1" applyAlignment="1">
      <alignment horizontal="center" vertical="center"/>
    </xf>
    <xf numFmtId="0" fontId="161" fillId="0" borderId="64" xfId="345" applyFont="1" applyBorder="1" applyAlignment="1">
      <alignment horizontal="center"/>
    </xf>
    <xf numFmtId="0" fontId="199" fillId="88" borderId="55" xfId="345" applyFont="1" applyFill="1" applyBorder="1" applyAlignment="1">
      <alignment horizontal="center" vertical="center"/>
    </xf>
    <xf numFmtId="1" fontId="199" fillId="88" borderId="55" xfId="345" applyNumberFormat="1" applyFont="1" applyFill="1" applyBorder="1" applyAlignment="1">
      <alignment horizontal="center" vertical="center"/>
    </xf>
    <xf numFmtId="0" fontId="199" fillId="0" borderId="60" xfId="345" applyFont="1" applyBorder="1"/>
    <xf numFmtId="0" fontId="199" fillId="0" borderId="64" xfId="345" applyFont="1" applyBorder="1"/>
    <xf numFmtId="183" fontId="199" fillId="0" borderId="66" xfId="345" applyNumberFormat="1" applyFont="1" applyBorder="1" applyAlignment="1">
      <alignment horizontal="center"/>
    </xf>
    <xf numFmtId="164" fontId="14" fillId="0" borderId="0" xfId="1" applyFont="1" applyFill="1"/>
    <xf numFmtId="164" fontId="14" fillId="0" borderId="0" xfId="1" applyFont="1" applyFill="1" applyAlignment="1">
      <alignment horizontal="right"/>
    </xf>
    <xf numFmtId="3" fontId="14" fillId="0" borderId="0" xfId="2" applyNumberFormat="1" applyFont="1" applyFill="1" applyAlignment="1">
      <alignment horizontal="right"/>
    </xf>
    <xf numFmtId="9" fontId="14" fillId="0" borderId="0" xfId="2" applyFont="1" applyFill="1" applyAlignment="1">
      <alignment horizontal="right"/>
    </xf>
    <xf numFmtId="167" fontId="14" fillId="0" borderId="0" xfId="1" applyNumberFormat="1" applyFont="1" applyFill="1"/>
    <xf numFmtId="37" fontId="14" fillId="0" borderId="0" xfId="0" applyNumberFormat="1" applyFont="1" applyAlignment="1">
      <alignment horizontal="left"/>
    </xf>
    <xf numFmtId="1" fontId="14" fillId="0" borderId="0" xfId="0" applyNumberFormat="1" applyFont="1" applyAlignment="1">
      <alignment horizontal="left"/>
    </xf>
    <xf numFmtId="261" fontId="160" fillId="0" borderId="0" xfId="1" applyNumberFormat="1" applyFont="1" applyAlignment="1">
      <alignment vertical="center"/>
    </xf>
    <xf numFmtId="37" fontId="14" fillId="59" borderId="3" xfId="4" applyNumberFormat="1" applyFont="1" applyFill="1" applyBorder="1" applyAlignment="1">
      <alignment horizontal="right" vertical="center"/>
    </xf>
    <xf numFmtId="0" fontId="199" fillId="6" borderId="55" xfId="345" applyFont="1" applyFill="1" applyBorder="1" applyAlignment="1">
      <alignment horizontal="center"/>
    </xf>
    <xf numFmtId="49" fontId="201" fillId="0" borderId="60" xfId="345" applyNumberFormat="1" applyFont="1" applyBorder="1"/>
    <xf numFmtId="183" fontId="201" fillId="0" borderId="59" xfId="345" applyNumberFormat="1" applyFont="1" applyBorder="1" applyAlignment="1">
      <alignment horizontal="center"/>
    </xf>
    <xf numFmtId="183" fontId="0" fillId="0" borderId="0" xfId="0" applyNumberFormat="1"/>
    <xf numFmtId="166" fontId="0" fillId="0" borderId="0" xfId="1" applyNumberFormat="1" applyFont="1"/>
    <xf numFmtId="1" fontId="160" fillId="0" borderId="0" xfId="345" applyNumberFormat="1" applyFont="1" applyAlignment="1">
      <alignment horizontal="left" vertical="center"/>
    </xf>
    <xf numFmtId="0" fontId="160" fillId="0" borderId="0" xfId="345" applyFont="1" applyAlignment="1">
      <alignment horizontal="left" vertical="center"/>
    </xf>
    <xf numFmtId="183" fontId="160" fillId="0" borderId="0" xfId="345" applyNumberFormat="1" applyFont="1" applyAlignment="1">
      <alignment horizontal="left" vertical="center"/>
    </xf>
    <xf numFmtId="249" fontId="160" fillId="59" borderId="0" xfId="345" applyNumberFormat="1" applyFont="1" applyFill="1" applyAlignment="1">
      <alignment horizontal="left" vertical="center"/>
    </xf>
    <xf numFmtId="183" fontId="161" fillId="0" borderId="60" xfId="345" applyNumberFormat="1" applyFont="1" applyBorder="1" applyAlignment="1">
      <alignment vertical="center"/>
    </xf>
    <xf numFmtId="166" fontId="160" fillId="0" borderId="0" xfId="1" applyNumberFormat="1" applyFont="1" applyAlignment="1">
      <alignment horizontal="left" vertical="center"/>
    </xf>
    <xf numFmtId="166" fontId="160" fillId="0" borderId="60" xfId="1" applyNumberFormat="1" applyFont="1" applyBorder="1" applyAlignment="1">
      <alignment horizontal="left" vertical="center"/>
    </xf>
    <xf numFmtId="183" fontId="161" fillId="0" borderId="0" xfId="345" applyNumberFormat="1" applyFont="1" applyAlignment="1">
      <alignment vertical="center"/>
    </xf>
    <xf numFmtId="43" fontId="160" fillId="0" borderId="0" xfId="345" applyNumberFormat="1" applyFont="1" applyAlignment="1">
      <alignment vertical="center"/>
    </xf>
    <xf numFmtId="164" fontId="18" fillId="0" borderId="0" xfId="0" applyNumberFormat="1" applyFont="1" applyAlignment="1">
      <alignment horizontal="center"/>
    </xf>
    <xf numFmtId="164" fontId="18" fillId="0" borderId="0" xfId="1" applyFont="1"/>
    <xf numFmtId="253" fontId="160" fillId="0" borderId="0" xfId="345" applyNumberFormat="1" applyFont="1" applyAlignment="1">
      <alignment horizontal="left" vertical="center"/>
    </xf>
    <xf numFmtId="166" fontId="14" fillId="0" borderId="0" xfId="1" applyNumberFormat="1" applyFont="1" applyFill="1" applyAlignment="1">
      <alignment horizontal="right"/>
    </xf>
    <xf numFmtId="0" fontId="8" fillId="0" borderId="0" xfId="521"/>
    <xf numFmtId="167" fontId="0" fillId="0" borderId="0" xfId="522" applyNumberFormat="1" applyFont="1"/>
    <xf numFmtId="167" fontId="8" fillId="0" borderId="0" xfId="521" applyNumberFormat="1"/>
    <xf numFmtId="37" fontId="8" fillId="0" borderId="0" xfId="521" applyNumberFormat="1"/>
    <xf numFmtId="183" fontId="8" fillId="0" borderId="0" xfId="521" applyNumberFormat="1"/>
    <xf numFmtId="0" fontId="201" fillId="0" borderId="0" xfId="521" applyFont="1" applyAlignment="1">
      <alignment horizontal="center"/>
    </xf>
    <xf numFmtId="166" fontId="8" fillId="0" borderId="0" xfId="1" applyNumberFormat="1" applyFont="1"/>
    <xf numFmtId="166" fontId="8" fillId="4" borderId="0" xfId="1" applyNumberFormat="1" applyFont="1" applyFill="1"/>
    <xf numFmtId="166" fontId="0" fillId="4" borderId="0" xfId="1" applyNumberFormat="1" applyFont="1" applyFill="1"/>
    <xf numFmtId="2" fontId="14" fillId="0" borderId="0" xfId="1" applyNumberFormat="1" applyFont="1" applyFill="1" applyAlignment="1">
      <alignment horizontal="right"/>
    </xf>
    <xf numFmtId="252" fontId="8" fillId="0" borderId="0" xfId="521" applyNumberFormat="1"/>
    <xf numFmtId="252" fontId="0" fillId="0" borderId="0" xfId="522" applyNumberFormat="1" applyFont="1"/>
    <xf numFmtId="250" fontId="160" fillId="4" borderId="0" xfId="345" applyNumberFormat="1" applyFont="1" applyFill="1" applyAlignment="1">
      <alignment horizontal="right"/>
    </xf>
    <xf numFmtId="168" fontId="164" fillId="0" borderId="0" xfId="345" applyNumberFormat="1" applyFont="1" applyAlignment="1">
      <alignment vertical="center"/>
    </xf>
    <xf numFmtId="255" fontId="160" fillId="0" borderId="0" xfId="345" applyNumberFormat="1" applyFont="1" applyAlignment="1">
      <alignment vertical="center"/>
    </xf>
    <xf numFmtId="255" fontId="161" fillId="6" borderId="55" xfId="345" applyNumberFormat="1" applyFont="1" applyFill="1" applyBorder="1" applyAlignment="1">
      <alignment horizontal="center"/>
    </xf>
    <xf numFmtId="1" fontId="14" fillId="80" borderId="0" xfId="0" applyNumberFormat="1" applyFont="1" applyFill="1" applyAlignment="1">
      <alignment horizontal="center"/>
    </xf>
    <xf numFmtId="258" fontId="160" fillId="0" borderId="0" xfId="345" applyNumberFormat="1" applyFont="1" applyAlignment="1">
      <alignment horizontal="left" vertical="center"/>
    </xf>
    <xf numFmtId="251" fontId="14" fillId="0" borderId="0" xfId="0" applyNumberFormat="1" applyFont="1" applyAlignment="1">
      <alignment horizontal="right"/>
    </xf>
    <xf numFmtId="250" fontId="161" fillId="0" borderId="0" xfId="345" applyNumberFormat="1" applyFont="1" applyAlignment="1">
      <alignment vertical="center"/>
    </xf>
    <xf numFmtId="262" fontId="160" fillId="0" borderId="0" xfId="345" applyNumberFormat="1" applyFont="1" applyAlignment="1">
      <alignment vertical="center"/>
    </xf>
    <xf numFmtId="249" fontId="160" fillId="0" borderId="0" xfId="345" applyNumberFormat="1" applyFont="1" applyAlignment="1">
      <alignment horizontal="left" vertical="center"/>
    </xf>
    <xf numFmtId="256" fontId="162" fillId="0" borderId="66" xfId="345" applyNumberFormat="1" applyFont="1" applyBorder="1" applyAlignment="1">
      <alignment horizontal="center"/>
    </xf>
    <xf numFmtId="0" fontId="205" fillId="64" borderId="124" xfId="0" applyFont="1" applyFill="1" applyBorder="1" applyAlignment="1">
      <alignment horizontal="center"/>
    </xf>
    <xf numFmtId="0" fontId="205" fillId="64" borderId="126" xfId="0" applyFont="1" applyFill="1" applyBorder="1" applyAlignment="1">
      <alignment horizontal="center"/>
    </xf>
    <xf numFmtId="0" fontId="205" fillId="64" borderId="127" xfId="0" applyFont="1" applyFill="1" applyBorder="1" applyAlignment="1">
      <alignment horizontal="center"/>
    </xf>
    <xf numFmtId="0" fontId="0" fillId="0" borderId="128" xfId="0" applyBorder="1"/>
    <xf numFmtId="3" fontId="0" fillId="0" borderId="39" xfId="0" applyNumberFormat="1" applyBorder="1" applyAlignment="1">
      <alignment horizontal="center"/>
    </xf>
    <xf numFmtId="3" fontId="0" fillId="0" borderId="129" xfId="0" applyNumberFormat="1" applyBorder="1" applyAlignment="1">
      <alignment horizontal="center"/>
    </xf>
    <xf numFmtId="0" fontId="187" fillId="64" borderId="130" xfId="0" applyFont="1" applyFill="1" applyBorder="1"/>
    <xf numFmtId="3" fontId="187" fillId="64" borderId="132" xfId="0" applyNumberFormat="1" applyFont="1" applyFill="1" applyBorder="1" applyAlignment="1">
      <alignment horizontal="center"/>
    </xf>
    <xf numFmtId="3" fontId="187" fillId="64" borderId="133" xfId="0" applyNumberFormat="1" applyFont="1" applyFill="1" applyBorder="1" applyAlignment="1">
      <alignment horizontal="center"/>
    </xf>
    <xf numFmtId="164" fontId="66" fillId="0" borderId="0" xfId="1" applyFont="1" applyAlignment="1" applyProtection="1">
      <alignment horizontal="center"/>
      <protection locked="0"/>
    </xf>
    <xf numFmtId="164" fontId="66" fillId="0" borderId="0" xfId="1" applyFont="1" applyBorder="1" applyProtection="1">
      <protection locked="0"/>
    </xf>
    <xf numFmtId="164" fontId="66" fillId="84" borderId="0" xfId="1" applyFont="1" applyFill="1" applyBorder="1" applyProtection="1">
      <protection locked="0"/>
    </xf>
    <xf numFmtId="247" fontId="0" fillId="0" borderId="0" xfId="0" applyNumberFormat="1"/>
    <xf numFmtId="1" fontId="0" fillId="0" borderId="129" xfId="0" applyNumberFormat="1" applyBorder="1" applyAlignment="1">
      <alignment horizontal="center"/>
    </xf>
    <xf numFmtId="1" fontId="161" fillId="6" borderId="55" xfId="345" applyNumberFormat="1" applyFont="1" applyFill="1" applyBorder="1"/>
    <xf numFmtId="2" fontId="160" fillId="0" borderId="65" xfId="345" applyNumberFormat="1" applyFont="1" applyBorder="1"/>
    <xf numFmtId="166" fontId="160" fillId="0" borderId="65" xfId="1" applyNumberFormat="1" applyFont="1" applyFill="1" applyBorder="1" applyAlignment="1"/>
    <xf numFmtId="263" fontId="66" fillId="0" borderId="0" xfId="0" applyNumberFormat="1" applyFont="1" applyProtection="1">
      <protection locked="0"/>
    </xf>
    <xf numFmtId="3" fontId="160" fillId="0" borderId="0" xfId="345" applyNumberFormat="1" applyFont="1" applyAlignment="1">
      <alignment horizontal="center" vertical="center"/>
    </xf>
    <xf numFmtId="167" fontId="160" fillId="0" borderId="0" xfId="345" applyNumberFormat="1" applyFont="1" applyAlignment="1">
      <alignment vertical="center"/>
    </xf>
    <xf numFmtId="1" fontId="161" fillId="0" borderId="64" xfId="345" applyNumberFormat="1" applyFont="1" applyBorder="1" applyAlignment="1">
      <alignment horizontal="left" vertical="center"/>
    </xf>
    <xf numFmtId="49" fontId="160" fillId="0" borderId="60" xfId="345" applyNumberFormat="1" applyFont="1" applyBorder="1" applyAlignment="1">
      <alignment vertical="center"/>
    </xf>
    <xf numFmtId="0" fontId="206" fillId="0" borderId="0" xfId="345" applyFont="1" applyAlignment="1">
      <alignment vertical="center"/>
    </xf>
    <xf numFmtId="0" fontId="182" fillId="0" borderId="57" xfId="345" applyFont="1" applyBorder="1" applyAlignment="1">
      <alignment horizontal="left" vertical="top" wrapText="1"/>
    </xf>
    <xf numFmtId="1" fontId="0" fillId="0" borderId="39" xfId="0" applyNumberFormat="1" applyBorder="1" applyAlignment="1">
      <alignment horizontal="center"/>
    </xf>
    <xf numFmtId="249" fontId="160" fillId="59" borderId="59" xfId="345" applyNumberFormat="1" applyFont="1" applyFill="1" applyBorder="1" applyAlignment="1">
      <alignment horizontal="center"/>
    </xf>
    <xf numFmtId="183" fontId="160" fillId="65" borderId="60" xfId="345" applyNumberFormat="1" applyFont="1" applyFill="1" applyBorder="1"/>
    <xf numFmtId="249" fontId="160" fillId="65" borderId="0" xfId="345" applyNumberFormat="1" applyFont="1" applyFill="1" applyAlignment="1">
      <alignment horizontal="right"/>
    </xf>
    <xf numFmtId="249" fontId="160" fillId="65" borderId="0" xfId="345" applyNumberFormat="1" applyFont="1" applyFill="1" applyAlignment="1">
      <alignment horizontal="center"/>
    </xf>
    <xf numFmtId="3" fontId="160" fillId="65" borderId="0" xfId="345" applyNumberFormat="1" applyFont="1" applyFill="1" applyAlignment="1">
      <alignment horizontal="center"/>
    </xf>
    <xf numFmtId="249" fontId="160" fillId="65" borderId="59" xfId="345" applyNumberFormat="1" applyFont="1" applyFill="1" applyBorder="1" applyAlignment="1">
      <alignment horizontal="center"/>
    </xf>
    <xf numFmtId="0" fontId="15" fillId="0" borderId="0" xfId="345"/>
    <xf numFmtId="0" fontId="201" fillId="0" borderId="0" xfId="0" applyFont="1"/>
    <xf numFmtId="183" fontId="207" fillId="0" borderId="60" xfId="345" applyNumberFormat="1" applyFont="1" applyBorder="1" applyAlignment="1">
      <alignment horizontal="left"/>
    </xf>
    <xf numFmtId="183" fontId="207" fillId="0" borderId="0" xfId="345" applyNumberFormat="1" applyFont="1" applyAlignment="1">
      <alignment horizontal="center"/>
    </xf>
    <xf numFmtId="183" fontId="201" fillId="0" borderId="59" xfId="0" applyNumberFormat="1" applyFont="1" applyBorder="1" applyAlignment="1">
      <alignment horizontal="center"/>
    </xf>
    <xf numFmtId="0" fontId="199" fillId="0" borderId="65" xfId="345" applyFont="1" applyBorder="1"/>
    <xf numFmtId="250" fontId="160" fillId="0" borderId="112" xfId="345" applyNumberFormat="1" applyFont="1" applyBorder="1" applyAlignment="1">
      <alignment horizontal="right"/>
    </xf>
    <xf numFmtId="3" fontId="160" fillId="0" borderId="112" xfId="345" applyNumberFormat="1" applyFont="1" applyBorder="1" applyAlignment="1">
      <alignment horizontal="center"/>
    </xf>
    <xf numFmtId="183" fontId="163" fillId="0" borderId="113" xfId="345" applyNumberFormat="1" applyFont="1" applyBorder="1" applyAlignment="1">
      <alignment horizontal="center"/>
    </xf>
    <xf numFmtId="250" fontId="160" fillId="0" borderId="0" xfId="345" applyNumberFormat="1" applyFont="1" applyAlignment="1">
      <alignment horizontal="center"/>
    </xf>
    <xf numFmtId="1" fontId="66" fillId="0" borderId="0" xfId="0" applyNumberFormat="1" applyFont="1" applyAlignment="1" applyProtection="1">
      <alignment wrapText="1"/>
      <protection locked="0"/>
    </xf>
    <xf numFmtId="0" fontId="66" fillId="72" borderId="0" xfId="0" applyFont="1" applyFill="1" applyProtection="1">
      <protection locked="0"/>
    </xf>
    <xf numFmtId="0" fontId="66" fillId="4" borderId="0" xfId="0" applyFont="1" applyFill="1" applyProtection="1">
      <protection locked="0"/>
    </xf>
    <xf numFmtId="0" fontId="155" fillId="4" borderId="0" xfId="0" applyFont="1" applyFill="1" applyProtection="1">
      <protection locked="0"/>
    </xf>
    <xf numFmtId="37" fontId="164" fillId="59" borderId="0" xfId="345" applyNumberFormat="1" applyFont="1" applyFill="1" applyAlignment="1">
      <alignment vertical="center"/>
    </xf>
    <xf numFmtId="249" fontId="160" fillId="59" borderId="63" xfId="345" applyNumberFormat="1" applyFont="1" applyFill="1" applyBorder="1" applyAlignment="1">
      <alignment horizontal="center"/>
    </xf>
    <xf numFmtId="250" fontId="160" fillId="0" borderId="0" xfId="345" applyNumberFormat="1" applyFont="1" applyAlignment="1">
      <alignment vertical="center"/>
    </xf>
    <xf numFmtId="1" fontId="66" fillId="0" borderId="80" xfId="0" applyNumberFormat="1" applyFont="1" applyBorder="1" applyProtection="1">
      <protection locked="0"/>
    </xf>
    <xf numFmtId="0" fontId="66" fillId="0" borderId="80" xfId="0" applyFont="1" applyBorder="1" applyProtection="1">
      <protection locked="0"/>
    </xf>
    <xf numFmtId="0" fontId="66" fillId="0" borderId="80" xfId="0" applyFont="1" applyBorder="1" applyAlignment="1" applyProtection="1">
      <alignment horizontal="center"/>
      <protection locked="0"/>
    </xf>
    <xf numFmtId="0" fontId="208" fillId="0" borderId="0" xfId="0" applyFont="1" applyProtection="1">
      <protection locked="0"/>
    </xf>
    <xf numFmtId="166" fontId="155" fillId="4" borderId="0" xfId="1" applyNumberFormat="1" applyFont="1" applyFill="1" applyProtection="1">
      <protection locked="0"/>
    </xf>
    <xf numFmtId="166" fontId="66" fillId="0" borderId="80" xfId="1" applyNumberFormat="1" applyFont="1" applyBorder="1" applyProtection="1">
      <protection locked="0"/>
    </xf>
    <xf numFmtId="166" fontId="66" fillId="0" borderId="80" xfId="1" applyNumberFormat="1" applyFont="1" applyBorder="1" applyAlignment="1" applyProtection="1">
      <protection locked="0"/>
    </xf>
    <xf numFmtId="166" fontId="66" fillId="0" borderId="81" xfId="1" applyNumberFormat="1" applyFont="1" applyBorder="1" applyAlignment="1" applyProtection="1">
      <alignment horizontal="center"/>
      <protection locked="0"/>
    </xf>
    <xf numFmtId="166" fontId="66" fillId="0" borderId="134" xfId="1" applyNumberFormat="1" applyFont="1" applyBorder="1" applyAlignment="1" applyProtection="1">
      <alignment horizontal="center"/>
      <protection locked="0"/>
    </xf>
    <xf numFmtId="166" fontId="66" fillId="0" borderId="80" xfId="1" applyNumberFormat="1" applyFont="1" applyBorder="1" applyAlignment="1" applyProtection="1">
      <alignment horizontal="center"/>
      <protection locked="0"/>
    </xf>
    <xf numFmtId="166" fontId="66" fillId="0" borderId="0" xfId="1" applyNumberFormat="1" applyFont="1" applyAlignment="1" applyProtection="1">
      <alignment horizontal="center"/>
      <protection locked="0"/>
    </xf>
    <xf numFmtId="166" fontId="66" fillId="59" borderId="0" xfId="1" applyNumberFormat="1" applyFont="1" applyFill="1" applyProtection="1">
      <protection locked="0"/>
    </xf>
    <xf numFmtId="0" fontId="66" fillId="0" borderId="23" xfId="0" applyFont="1" applyBorder="1" applyProtection="1">
      <protection locked="0"/>
    </xf>
    <xf numFmtId="0" fontId="66" fillId="0" borderId="24" xfId="0" applyFont="1" applyBorder="1" applyProtection="1">
      <protection locked="0"/>
    </xf>
    <xf numFmtId="1" fontId="66" fillId="0" borderId="135" xfId="0" applyNumberFormat="1" applyFont="1" applyBorder="1" applyProtection="1">
      <protection locked="0"/>
    </xf>
    <xf numFmtId="1" fontId="66" fillId="0" borderId="23" xfId="0" applyNumberFormat="1" applyFont="1" applyBorder="1" applyProtection="1">
      <protection locked="0"/>
    </xf>
    <xf numFmtId="166" fontId="66" fillId="0" borderId="0" xfId="1" applyNumberFormat="1" applyFont="1" applyBorder="1" applyAlignment="1" applyProtection="1">
      <alignment horizontal="center"/>
      <protection locked="0"/>
    </xf>
    <xf numFmtId="166" fontId="66" fillId="0" borderId="0" xfId="1" applyNumberFormat="1" applyFont="1" applyBorder="1" applyProtection="1">
      <protection locked="0"/>
    </xf>
    <xf numFmtId="0" fontId="66" fillId="0" borderId="69" xfId="0" applyFont="1" applyBorder="1" applyProtection="1">
      <protection locked="0"/>
    </xf>
    <xf numFmtId="0" fontId="66" fillId="0" borderId="46" xfId="0" applyFont="1" applyBorder="1" applyProtection="1">
      <protection locked="0"/>
    </xf>
    <xf numFmtId="166" fontId="66" fillId="0" borderId="46" xfId="1" applyNumberFormat="1" applyFont="1" applyBorder="1" applyProtection="1">
      <protection locked="0"/>
    </xf>
    <xf numFmtId="0" fontId="66" fillId="0" borderId="101" xfId="0" applyFont="1" applyBorder="1" applyProtection="1">
      <protection locked="0"/>
    </xf>
    <xf numFmtId="0" fontId="209" fillId="0" borderId="0" xfId="0" applyFont="1" applyProtection="1">
      <protection locked="0"/>
    </xf>
    <xf numFmtId="1" fontId="209" fillId="0" borderId="0" xfId="0" applyNumberFormat="1" applyFont="1" applyProtection="1">
      <protection locked="0"/>
    </xf>
    <xf numFmtId="3" fontId="209" fillId="0" borderId="0" xfId="0" applyNumberFormat="1" applyFont="1" applyProtection="1">
      <protection locked="0"/>
    </xf>
    <xf numFmtId="166" fontId="66" fillId="4" borderId="80" xfId="1" applyNumberFormat="1" applyFont="1" applyFill="1" applyBorder="1" applyProtection="1">
      <protection locked="0"/>
    </xf>
    <xf numFmtId="0" fontId="77" fillId="0" borderId="0" xfId="0" applyFont="1" applyAlignment="1">
      <alignment horizontal="left"/>
    </xf>
    <xf numFmtId="9" fontId="0" fillId="0" borderId="0" xfId="2" applyFont="1"/>
    <xf numFmtId="0" fontId="0" fillId="0" borderId="39" xfId="0" applyBorder="1" applyAlignment="1">
      <alignment horizontal="center"/>
    </xf>
    <xf numFmtId="251" fontId="0" fillId="0" borderId="39" xfId="0" applyNumberFormat="1" applyBorder="1" applyAlignment="1">
      <alignment horizontal="center"/>
    </xf>
    <xf numFmtId="0" fontId="77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9" fontId="0" fillId="0" borderId="39" xfId="0" applyNumberFormat="1" applyBorder="1" applyAlignment="1">
      <alignment horizontal="center" vertical="center" wrapText="1"/>
    </xf>
    <xf numFmtId="2" fontId="0" fillId="0" borderId="39" xfId="0" applyNumberFormat="1" applyBorder="1" applyAlignment="1">
      <alignment horizontal="center" vertical="center" wrapText="1"/>
    </xf>
    <xf numFmtId="2" fontId="77" fillId="0" borderId="39" xfId="0" applyNumberFormat="1" applyFont="1" applyBorder="1" applyAlignment="1">
      <alignment horizontal="center" vertical="center" wrapText="1"/>
    </xf>
    <xf numFmtId="37" fontId="211" fillId="59" borderId="16" xfId="4" applyNumberFormat="1" applyFont="1" applyFill="1" applyBorder="1"/>
    <xf numFmtId="1" fontId="66" fillId="0" borderId="0" xfId="0" applyNumberFormat="1" applyFont="1" applyAlignment="1" applyProtection="1">
      <alignment horizontal="center" vertical="center"/>
      <protection locked="0"/>
    </xf>
    <xf numFmtId="1" fontId="66" fillId="0" borderId="0" xfId="0" applyNumberFormat="1" applyFont="1" applyAlignment="1" applyProtection="1">
      <alignment horizontal="center" vertical="center" wrapText="1"/>
      <protection locked="0"/>
    </xf>
    <xf numFmtId="0" fontId="66" fillId="59" borderId="0" xfId="0" applyFont="1" applyFill="1" applyProtection="1">
      <protection locked="0"/>
    </xf>
    <xf numFmtId="0" fontId="66" fillId="61" borderId="0" xfId="0" applyFont="1" applyFill="1" applyProtection="1">
      <protection locked="0"/>
    </xf>
    <xf numFmtId="0" fontId="0" fillId="0" borderId="0" xfId="0" applyAlignment="1">
      <alignment vertical="center" wrapText="1"/>
    </xf>
    <xf numFmtId="166" fontId="14" fillId="3" borderId="17" xfId="1" applyNumberFormat="1" applyFont="1" applyFill="1" applyBorder="1"/>
    <xf numFmtId="1" fontId="14" fillId="59" borderId="3" xfId="3" applyNumberFormat="1" applyFont="1" applyFill="1" applyBorder="1"/>
    <xf numFmtId="37" fontId="14" fillId="59" borderId="15" xfId="4" applyNumberFormat="1" applyFont="1" applyFill="1" applyBorder="1"/>
    <xf numFmtId="37" fontId="14" fillId="59" borderId="16" xfId="4" applyNumberFormat="1" applyFont="1" applyFill="1" applyBorder="1"/>
    <xf numFmtId="37" fontId="14" fillId="59" borderId="17" xfId="4" applyNumberFormat="1" applyFont="1" applyFill="1" applyBorder="1"/>
    <xf numFmtId="164" fontId="14" fillId="66" borderId="0" xfId="1" applyFont="1" applyFill="1" applyAlignment="1">
      <alignment horizontal="right"/>
    </xf>
    <xf numFmtId="0" fontId="212" fillId="0" borderId="0" xfId="0" applyFont="1" applyAlignment="1">
      <alignment vertical="center" wrapText="1"/>
    </xf>
    <xf numFmtId="0" fontId="213" fillId="59" borderId="0" xfId="0" applyFont="1" applyFill="1"/>
    <xf numFmtId="1" fontId="0" fillId="0" borderId="89" xfId="0" applyNumberFormat="1" applyBorder="1" applyAlignment="1">
      <alignment horizontal="center"/>
    </xf>
    <xf numFmtId="3" fontId="0" fillId="0" borderId="89" xfId="0" applyNumberFormat="1" applyBorder="1" applyAlignment="1">
      <alignment horizontal="center"/>
    </xf>
    <xf numFmtId="3" fontId="187" fillId="64" borderId="131" xfId="0" applyNumberFormat="1" applyFont="1" applyFill="1" applyBorder="1" applyAlignment="1">
      <alignment horizontal="center"/>
    </xf>
    <xf numFmtId="1" fontId="0" fillId="0" borderId="136" xfId="0" applyNumberFormat="1" applyBorder="1" applyAlignment="1">
      <alignment horizontal="center"/>
    </xf>
    <xf numFmtId="1" fontId="161" fillId="0" borderId="60" xfId="345" applyNumberFormat="1" applyFont="1" applyBorder="1" applyAlignment="1">
      <alignment vertical="center"/>
    </xf>
    <xf numFmtId="0" fontId="66" fillId="91" borderId="0" xfId="0" applyFont="1" applyFill="1" applyProtection="1">
      <protection locked="0"/>
    </xf>
    <xf numFmtId="1" fontId="161" fillId="0" borderId="0" xfId="345" applyNumberFormat="1" applyFont="1" applyAlignment="1">
      <alignment vertical="center"/>
    </xf>
    <xf numFmtId="0" fontId="160" fillId="0" borderId="60" xfId="345" applyFont="1" applyBorder="1" applyAlignment="1">
      <alignment horizontal="left" vertical="center"/>
    </xf>
    <xf numFmtId="264" fontId="160" fillId="0" borderId="0" xfId="345" applyNumberFormat="1" applyFont="1" applyAlignment="1">
      <alignment vertical="center"/>
    </xf>
    <xf numFmtId="166" fontId="160" fillId="59" borderId="0" xfId="1" applyNumberFormat="1" applyFont="1" applyFill="1" applyAlignment="1">
      <alignment vertical="center"/>
    </xf>
    <xf numFmtId="166" fontId="164" fillId="59" borderId="0" xfId="1" applyNumberFormat="1" applyFont="1" applyFill="1" applyAlignment="1">
      <alignment vertical="center"/>
    </xf>
    <xf numFmtId="166" fontId="204" fillId="59" borderId="0" xfId="1" applyNumberFormat="1" applyFont="1" applyFill="1" applyAlignment="1">
      <alignment vertical="center"/>
    </xf>
    <xf numFmtId="166" fontId="161" fillId="0" borderId="0" xfId="1" applyNumberFormat="1" applyFont="1" applyAlignment="1">
      <alignment vertical="center"/>
    </xf>
    <xf numFmtId="0" fontId="190" fillId="92" borderId="137" xfId="0" applyFont="1" applyFill="1" applyBorder="1" applyAlignment="1">
      <alignment horizontal="center" vertical="center" wrapText="1"/>
    </xf>
    <xf numFmtId="0" fontId="190" fillId="92" borderId="138" xfId="0" applyFont="1" applyFill="1" applyBorder="1" applyAlignment="1">
      <alignment horizontal="center" vertical="center" wrapText="1"/>
    </xf>
    <xf numFmtId="0" fontId="155" fillId="0" borderId="0" xfId="0" applyFont="1"/>
    <xf numFmtId="0" fontId="155" fillId="59" borderId="0" xfId="0" applyFont="1" applyFill="1"/>
    <xf numFmtId="43" fontId="155" fillId="59" borderId="0" xfId="0" applyNumberFormat="1" applyFont="1" applyFill="1"/>
    <xf numFmtId="167" fontId="155" fillId="59" borderId="0" xfId="515" applyNumberFormat="1" applyFont="1" applyFill="1"/>
    <xf numFmtId="167" fontId="0" fillId="0" borderId="0" xfId="0" applyNumberFormat="1"/>
    <xf numFmtId="265" fontId="66" fillId="0" borderId="0" xfId="0" applyNumberFormat="1" applyFont="1" applyProtection="1">
      <protection locked="0"/>
    </xf>
    <xf numFmtId="167" fontId="155" fillId="59" borderId="0" xfId="734" applyNumberFormat="1" applyFont="1" applyFill="1"/>
    <xf numFmtId="164" fontId="66" fillId="58" borderId="0" xfId="1" applyFont="1" applyFill="1" applyAlignment="1" applyProtection="1">
      <alignment horizontal="center"/>
      <protection locked="0"/>
    </xf>
    <xf numFmtId="2" fontId="66" fillId="58" borderId="0" xfId="0" applyNumberFormat="1" applyFont="1" applyFill="1" applyAlignment="1" applyProtection="1">
      <alignment horizontal="center"/>
      <protection locked="0"/>
    </xf>
    <xf numFmtId="2" fontId="66" fillId="0" borderId="0" xfId="0" applyNumberFormat="1" applyFont="1" applyProtection="1">
      <protection locked="0"/>
    </xf>
    <xf numFmtId="2" fontId="164" fillId="0" borderId="0" xfId="345" applyNumberFormat="1" applyFont="1" applyAlignment="1">
      <alignment vertical="center"/>
    </xf>
    <xf numFmtId="3" fontId="160" fillId="0" borderId="57" xfId="345" applyNumberFormat="1" applyFont="1" applyBorder="1" applyAlignment="1">
      <alignment horizontal="center" vertical="center"/>
    </xf>
    <xf numFmtId="249" fontId="160" fillId="0" borderId="58" xfId="345" applyNumberFormat="1" applyFont="1" applyBorder="1" applyAlignment="1">
      <alignment horizontal="center" vertical="center"/>
    </xf>
    <xf numFmtId="0" fontId="161" fillId="0" borderId="65" xfId="345" applyFont="1" applyBorder="1" applyAlignment="1">
      <alignment horizontal="center" vertical="center"/>
    </xf>
    <xf numFmtId="183" fontId="162" fillId="0" borderId="66" xfId="345" applyNumberFormat="1" applyFont="1" applyBorder="1" applyAlignment="1">
      <alignment horizontal="center" vertical="center"/>
    </xf>
    <xf numFmtId="164" fontId="173" fillId="90" borderId="0" xfId="1" applyFont="1" applyFill="1" applyAlignment="1" applyProtection="1">
      <alignment horizontal="center" vertical="center"/>
      <protection locked="0"/>
    </xf>
    <xf numFmtId="164" fontId="241" fillId="0" borderId="0" xfId="1" applyFont="1" applyAlignment="1" applyProtection="1">
      <alignment horizontal="center" vertical="center"/>
      <protection locked="0"/>
    </xf>
    <xf numFmtId="268" fontId="66" fillId="75" borderId="82" xfId="347" applyNumberFormat="1" applyFont="1" applyFill="1" applyBorder="1" applyAlignment="1" applyProtection="1">
      <alignment horizontal="center"/>
      <protection locked="0"/>
    </xf>
    <xf numFmtId="4" fontId="160" fillId="0" borderId="0" xfId="345" applyNumberFormat="1" applyFont="1" applyAlignment="1">
      <alignment horizontal="center" vertical="center"/>
    </xf>
    <xf numFmtId="183" fontId="161" fillId="0" borderId="59" xfId="345" applyNumberFormat="1" applyFont="1" applyBorder="1" applyAlignment="1">
      <alignment horizontal="center" vertical="center"/>
    </xf>
    <xf numFmtId="183" fontId="215" fillId="0" borderId="59" xfId="345" applyNumberFormat="1" applyFont="1" applyBorder="1" applyAlignment="1">
      <alignment horizontal="center" vertical="center"/>
    </xf>
    <xf numFmtId="1" fontId="160" fillId="0" borderId="60" xfId="345" applyNumberFormat="1" applyFont="1" applyBorder="1" applyAlignment="1">
      <alignment horizontal="left" vertical="center"/>
    </xf>
    <xf numFmtId="3" fontId="160" fillId="0" borderId="57" xfId="345" applyNumberFormat="1" applyFont="1" applyBorder="1" applyAlignment="1">
      <alignment horizontal="right" vertical="center"/>
    </xf>
    <xf numFmtId="249" fontId="160" fillId="0" borderId="57" xfId="345" applyNumberFormat="1" applyFont="1" applyBorder="1" applyAlignment="1">
      <alignment horizontal="right" vertical="center"/>
    </xf>
    <xf numFmtId="183" fontId="161" fillId="0" borderId="58" xfId="345" applyNumberFormat="1" applyFont="1" applyBorder="1" applyAlignment="1">
      <alignment horizontal="center" vertical="center"/>
    </xf>
    <xf numFmtId="0" fontId="201" fillId="0" borderId="60" xfId="0" applyFont="1" applyBorder="1" applyAlignment="1">
      <alignment horizontal="center" vertical="center"/>
    </xf>
    <xf numFmtId="260" fontId="201" fillId="0" borderId="59" xfId="0" applyNumberFormat="1" applyFont="1" applyBorder="1" applyAlignment="1">
      <alignment horizontal="center" vertical="center"/>
    </xf>
    <xf numFmtId="3" fontId="160" fillId="0" borderId="0" xfId="345" applyNumberFormat="1" applyFont="1" applyAlignment="1">
      <alignment horizontal="right" vertical="center"/>
    </xf>
    <xf numFmtId="248" fontId="160" fillId="0" borderId="0" xfId="345" applyNumberFormat="1" applyFont="1" applyAlignment="1">
      <alignment horizontal="center" vertical="center"/>
    </xf>
    <xf numFmtId="249" fontId="160" fillId="0" borderId="0" xfId="345" applyNumberFormat="1" applyFont="1" applyAlignment="1">
      <alignment horizontal="right" vertical="center"/>
    </xf>
    <xf numFmtId="0" fontId="161" fillId="0" borderId="64" xfId="345" applyFont="1" applyBorder="1" applyAlignment="1">
      <alignment horizontal="left" vertical="center"/>
    </xf>
    <xf numFmtId="0" fontId="161" fillId="0" borderId="0" xfId="345" applyFont="1" applyAlignment="1">
      <alignment horizontal="left" vertical="center"/>
    </xf>
    <xf numFmtId="164" fontId="160" fillId="0" borderId="0" xfId="1" applyFont="1" applyFill="1" applyBorder="1" applyAlignment="1">
      <alignment horizontal="right" vertical="center"/>
    </xf>
    <xf numFmtId="0" fontId="199" fillId="0" borderId="64" xfId="345" applyFont="1" applyBorder="1" applyAlignment="1">
      <alignment horizontal="center" vertical="center"/>
    </xf>
    <xf numFmtId="260" fontId="199" fillId="0" borderId="66" xfId="0" applyNumberFormat="1" applyFont="1" applyBorder="1" applyAlignment="1">
      <alignment horizontal="center" vertical="center"/>
    </xf>
    <xf numFmtId="0" fontId="182" fillId="0" borderId="0" xfId="345" applyFont="1" applyAlignment="1">
      <alignment horizontal="left" vertical="center"/>
    </xf>
    <xf numFmtId="183" fontId="182" fillId="0" borderId="0" xfId="345" applyNumberFormat="1" applyFont="1" applyAlignment="1">
      <alignment horizontal="center" vertical="center"/>
    </xf>
    <xf numFmtId="249" fontId="160" fillId="0" borderId="62" xfId="345" applyNumberFormat="1" applyFont="1" applyBorder="1" applyAlignment="1">
      <alignment horizontal="right" vertical="center"/>
    </xf>
    <xf numFmtId="0" fontId="161" fillId="0" borderId="65" xfId="345" applyFont="1" applyBorder="1" applyAlignment="1">
      <alignment horizontal="left" vertical="center"/>
    </xf>
    <xf numFmtId="0" fontId="161" fillId="6" borderId="72" xfId="345" applyFont="1" applyFill="1" applyBorder="1" applyAlignment="1">
      <alignment vertical="center"/>
    </xf>
    <xf numFmtId="1" fontId="161" fillId="6" borderId="72" xfId="345" applyNumberFormat="1" applyFont="1" applyFill="1" applyBorder="1" applyAlignment="1">
      <alignment horizontal="center" vertical="center"/>
    </xf>
    <xf numFmtId="0" fontId="161" fillId="6" borderId="72" xfId="345" applyFont="1" applyFill="1" applyBorder="1" applyAlignment="1">
      <alignment horizontal="center" vertical="center"/>
    </xf>
    <xf numFmtId="3" fontId="161" fillId="0" borderId="65" xfId="345" applyNumberFormat="1" applyFont="1" applyBorder="1" applyAlignment="1">
      <alignment vertical="center"/>
    </xf>
    <xf numFmtId="248" fontId="161" fillId="0" borderId="65" xfId="345" applyNumberFormat="1" applyFont="1" applyBorder="1" applyAlignment="1">
      <alignment horizontal="center" vertical="center"/>
    </xf>
    <xf numFmtId="4" fontId="161" fillId="0" borderId="0" xfId="345" applyNumberFormat="1" applyFont="1" applyAlignment="1">
      <alignment horizontal="center" vertical="center"/>
    </xf>
    <xf numFmtId="0" fontId="165" fillId="0" borderId="0" xfId="345" applyFont="1" applyAlignment="1">
      <alignment vertical="center"/>
    </xf>
    <xf numFmtId="0" fontId="161" fillId="6" borderId="55" xfId="345" applyFont="1" applyFill="1" applyBorder="1" applyAlignment="1">
      <alignment vertical="center"/>
    </xf>
    <xf numFmtId="1" fontId="161" fillId="6" borderId="55" xfId="345" applyNumberFormat="1" applyFont="1" applyFill="1" applyBorder="1" applyAlignment="1">
      <alignment horizontal="center" vertical="center"/>
    </xf>
    <xf numFmtId="0" fontId="161" fillId="6" borderId="55" xfId="345" applyFont="1" applyFill="1" applyBorder="1" applyAlignment="1">
      <alignment horizontal="center" vertical="center"/>
    </xf>
    <xf numFmtId="0" fontId="161" fillId="6" borderId="64" xfId="345" applyFont="1" applyFill="1" applyBorder="1" applyAlignment="1">
      <alignment horizontal="center" vertical="center"/>
    </xf>
    <xf numFmtId="250" fontId="160" fillId="0" borderId="57" xfId="345" applyNumberFormat="1" applyFont="1" applyBorder="1" applyAlignment="1">
      <alignment horizontal="right" vertical="center"/>
    </xf>
    <xf numFmtId="0" fontId="202" fillId="0" borderId="0" xfId="0" applyFont="1" applyAlignment="1">
      <alignment vertical="center"/>
    </xf>
    <xf numFmtId="250" fontId="160" fillId="0" borderId="0" xfId="345" applyNumberFormat="1" applyFont="1" applyAlignment="1">
      <alignment horizontal="right" vertical="center"/>
    </xf>
    <xf numFmtId="183" fontId="0" fillId="0" borderId="0" xfId="0" applyNumberFormat="1" applyAlignment="1">
      <alignment vertical="center"/>
    </xf>
    <xf numFmtId="183" fontId="162" fillId="0" borderId="0" xfId="345" applyNumberFormat="1" applyFont="1" applyAlignment="1">
      <alignment horizontal="center" vertical="center"/>
    </xf>
    <xf numFmtId="2" fontId="161" fillId="0" borderId="65" xfId="345" applyNumberFormat="1" applyFont="1" applyBorder="1" applyAlignment="1">
      <alignment horizontal="center" vertical="center"/>
    </xf>
    <xf numFmtId="3" fontId="161" fillId="0" borderId="66" xfId="345" applyNumberFormat="1" applyFont="1" applyBorder="1" applyAlignment="1">
      <alignment horizontal="center" vertical="center"/>
    </xf>
    <xf numFmtId="0" fontId="66" fillId="0" borderId="0" xfId="346" applyFont="1" applyProtection="1">
      <protection locked="0"/>
    </xf>
    <xf numFmtId="0" fontId="159" fillId="0" borderId="0" xfId="345" applyFont="1" applyAlignment="1">
      <alignment vertical="center"/>
    </xf>
    <xf numFmtId="183" fontId="201" fillId="0" borderId="59" xfId="0" applyNumberFormat="1" applyFont="1" applyBorder="1" applyAlignment="1">
      <alignment horizontal="center" vertical="center"/>
    </xf>
    <xf numFmtId="183" fontId="199" fillId="0" borderId="66" xfId="0" applyNumberFormat="1" applyFont="1" applyBorder="1" applyAlignment="1">
      <alignment horizontal="center" vertical="center"/>
    </xf>
    <xf numFmtId="0" fontId="201" fillId="0" borderId="60" xfId="0" applyFont="1" applyBorder="1" applyAlignment="1">
      <alignment horizontal="left" vertical="center"/>
    </xf>
    <xf numFmtId="1" fontId="201" fillId="0" borderId="60" xfId="0" applyNumberFormat="1" applyFont="1" applyBorder="1" applyAlignment="1">
      <alignment horizontal="left" vertical="center"/>
    </xf>
    <xf numFmtId="0" fontId="199" fillId="88" borderId="55" xfId="345" applyFont="1" applyFill="1" applyBorder="1" applyAlignment="1">
      <alignment horizontal="left" vertical="center"/>
    </xf>
    <xf numFmtId="0" fontId="199" fillId="0" borderId="64" xfId="345" applyFont="1" applyBorder="1" applyAlignment="1">
      <alignment horizontal="left" vertical="center"/>
    </xf>
    <xf numFmtId="1" fontId="215" fillId="0" borderId="60" xfId="345" applyNumberFormat="1" applyFont="1" applyBorder="1" applyAlignment="1">
      <alignment horizontal="left" vertical="center" indent="1"/>
    </xf>
    <xf numFmtId="0" fontId="215" fillId="0" borderId="60" xfId="345" applyFont="1" applyBorder="1" applyAlignment="1">
      <alignment horizontal="left" vertical="center" indent="1"/>
    </xf>
    <xf numFmtId="1" fontId="160" fillId="0" borderId="60" xfId="345" applyNumberFormat="1" applyFont="1" applyBorder="1" applyAlignment="1">
      <alignment horizontal="left" vertical="center" indent="1"/>
    </xf>
    <xf numFmtId="0" fontId="243" fillId="0" borderId="0" xfId="345" applyFont="1" applyAlignment="1">
      <alignment vertical="center"/>
    </xf>
    <xf numFmtId="43" fontId="173" fillId="90" borderId="0" xfId="975" applyFont="1" applyFill="1" applyAlignment="1" applyProtection="1">
      <alignment horizontal="center" vertical="center"/>
      <protection locked="0"/>
    </xf>
    <xf numFmtId="43" fontId="241" fillId="0" borderId="0" xfId="975" applyFont="1" applyAlignment="1" applyProtection="1">
      <alignment horizontal="center" vertical="center"/>
      <protection locked="0"/>
    </xf>
    <xf numFmtId="0" fontId="244" fillId="0" borderId="0" xfId="0" applyFont="1" applyAlignment="1">
      <alignment vertical="center" wrapText="1"/>
    </xf>
    <xf numFmtId="183" fontId="245" fillId="0" borderId="59" xfId="0" applyNumberFormat="1" applyFont="1" applyBorder="1" applyAlignment="1">
      <alignment horizontal="center" vertical="center"/>
    </xf>
    <xf numFmtId="1" fontId="17" fillId="0" borderId="38" xfId="0" applyNumberFormat="1" applyFont="1" applyBorder="1" applyAlignment="1">
      <alignment horizontal="center"/>
    </xf>
    <xf numFmtId="49" fontId="203" fillId="87" borderId="0" xfId="345" applyNumberFormat="1" applyFont="1" applyFill="1" applyAlignment="1">
      <alignment horizontal="center" vertical="center"/>
    </xf>
    <xf numFmtId="0" fontId="203" fillId="87" borderId="0" xfId="345" applyFont="1" applyFill="1" applyAlignment="1">
      <alignment horizontal="center" vertical="center"/>
    </xf>
    <xf numFmtId="49" fontId="199" fillId="3" borderId="0" xfId="345" applyNumberFormat="1" applyFont="1" applyFill="1" applyAlignment="1">
      <alignment horizontal="center" vertical="center"/>
    </xf>
    <xf numFmtId="0" fontId="159" fillId="0" borderId="0" xfId="345" applyFont="1" applyAlignment="1">
      <alignment horizontal="center" vertical="center"/>
    </xf>
    <xf numFmtId="0" fontId="160" fillId="0" borderId="0" xfId="345" applyFont="1" applyAlignment="1">
      <alignment horizontal="left"/>
    </xf>
    <xf numFmtId="0" fontId="161" fillId="0" borderId="0" xfId="345" applyFont="1" applyAlignment="1">
      <alignment horizontal="center"/>
    </xf>
    <xf numFmtId="0" fontId="161" fillId="3" borderId="0" xfId="345" applyFont="1" applyFill="1" applyAlignment="1">
      <alignment horizontal="center" vertical="center"/>
    </xf>
    <xf numFmtId="0" fontId="159" fillId="58" borderId="0" xfId="345" applyFont="1" applyFill="1" applyAlignment="1">
      <alignment horizontal="center" vertical="center"/>
    </xf>
    <xf numFmtId="183" fontId="160" fillId="0" borderId="57" xfId="345" applyNumberFormat="1" applyFont="1" applyBorder="1" applyAlignment="1">
      <alignment horizontal="center" vertical="center"/>
    </xf>
    <xf numFmtId="183" fontId="160" fillId="0" borderId="0" xfId="345" applyNumberFormat="1" applyFont="1" applyAlignment="1">
      <alignment horizontal="center" vertical="center"/>
    </xf>
    <xf numFmtId="0" fontId="161" fillId="6" borderId="64" xfId="345" applyFont="1" applyFill="1" applyBorder="1" applyAlignment="1">
      <alignment horizontal="center"/>
    </xf>
    <xf numFmtId="0" fontId="161" fillId="6" borderId="66" xfId="345" applyFont="1" applyFill="1" applyBorder="1" applyAlignment="1">
      <alignment horizontal="center"/>
    </xf>
    <xf numFmtId="0" fontId="159" fillId="58" borderId="0" xfId="345" quotePrefix="1" applyFont="1" applyFill="1" applyAlignment="1">
      <alignment horizontal="center" vertical="center"/>
    </xf>
    <xf numFmtId="4" fontId="160" fillId="0" borderId="57" xfId="345" applyNumberFormat="1" applyFont="1" applyBorder="1" applyAlignment="1">
      <alignment horizontal="center" vertical="center"/>
    </xf>
    <xf numFmtId="4" fontId="160" fillId="0" borderId="0" xfId="345" applyNumberFormat="1" applyFont="1" applyAlignment="1">
      <alignment horizontal="center" vertical="center"/>
    </xf>
    <xf numFmtId="0" fontId="160" fillId="0" borderId="0" xfId="345" applyFont="1" applyAlignment="1">
      <alignment horizontal="center" vertical="center"/>
    </xf>
    <xf numFmtId="0" fontId="158" fillId="0" borderId="10" xfId="0" applyFont="1" applyBorder="1" applyAlignment="1">
      <alignment horizontal="center"/>
    </xf>
    <xf numFmtId="0" fontId="158" fillId="0" borderId="12" xfId="0" applyFont="1" applyBorder="1" applyAlignment="1">
      <alignment horizontal="center"/>
    </xf>
    <xf numFmtId="0" fontId="205" fillId="64" borderId="124" xfId="0" applyFont="1" applyFill="1" applyBorder="1" applyAlignment="1">
      <alignment horizontal="center" vertical="center" wrapText="1"/>
    </xf>
    <xf numFmtId="0" fontId="205" fillId="64" borderId="125" xfId="0" applyFont="1" applyFill="1" applyBorder="1" applyAlignment="1">
      <alignment horizontal="center" vertical="center" wrapText="1"/>
    </xf>
    <xf numFmtId="0" fontId="205" fillId="64" borderId="128" xfId="0" applyFont="1" applyFill="1" applyBorder="1" applyAlignment="1">
      <alignment horizontal="center" vertical="center" wrapText="1"/>
    </xf>
    <xf numFmtId="0" fontId="205" fillId="64" borderId="89" xfId="0" applyFont="1" applyFill="1" applyBorder="1" applyAlignment="1">
      <alignment horizontal="center" vertical="center" wrapText="1"/>
    </xf>
    <xf numFmtId="0" fontId="205" fillId="64" borderId="130" xfId="0" applyFont="1" applyFill="1" applyBorder="1" applyAlignment="1">
      <alignment horizontal="center" vertical="center" wrapText="1"/>
    </xf>
    <xf numFmtId="0" fontId="205" fillId="64" borderId="131" xfId="0" applyFont="1" applyFill="1" applyBorder="1" applyAlignment="1">
      <alignment horizontal="center" vertical="center" wrapText="1"/>
    </xf>
    <xf numFmtId="0" fontId="212" fillId="0" borderId="0" xfId="0" applyFont="1" applyAlignment="1">
      <alignment vertical="center" wrapText="1"/>
    </xf>
    <xf numFmtId="0" fontId="66" fillId="0" borderId="0" xfId="0" applyFont="1" applyAlignment="1" applyProtection="1">
      <alignment horizontal="center"/>
      <protection locked="0"/>
    </xf>
    <xf numFmtId="0" fontId="244" fillId="0" borderId="0" xfId="0" applyFont="1" applyAlignment="1">
      <alignment vertical="center" wrapText="1"/>
    </xf>
    <xf numFmtId="166" fontId="66" fillId="0" borderId="81" xfId="1" applyNumberFormat="1" applyFont="1" applyBorder="1" applyAlignment="1" applyProtection="1">
      <alignment horizontal="center"/>
      <protection locked="0"/>
    </xf>
    <xf numFmtId="166" fontId="66" fillId="0" borderId="134" xfId="1" applyNumberFormat="1" applyFont="1" applyBorder="1" applyAlignment="1" applyProtection="1">
      <alignment horizontal="center"/>
      <protection locked="0"/>
    </xf>
    <xf numFmtId="0" fontId="185" fillId="89" borderId="7" xfId="0" applyFont="1" applyFill="1" applyBorder="1" applyAlignment="1" applyProtection="1">
      <alignment horizontal="center"/>
      <protection locked="0"/>
    </xf>
    <xf numFmtId="0" fontId="185" fillId="89" borderId="8" xfId="0" applyFont="1" applyFill="1" applyBorder="1" applyAlignment="1" applyProtection="1">
      <alignment horizontal="center"/>
      <protection locked="0"/>
    </xf>
    <xf numFmtId="0" fontId="185" fillId="89" borderId="9" xfId="0" applyFont="1" applyFill="1" applyBorder="1" applyAlignment="1" applyProtection="1">
      <alignment horizontal="center"/>
      <protection locked="0"/>
    </xf>
    <xf numFmtId="0" fontId="66" fillId="0" borderId="81" xfId="0" applyFont="1" applyBorder="1" applyAlignment="1" applyProtection="1">
      <alignment horizontal="center"/>
      <protection locked="0"/>
    </xf>
    <xf numFmtId="0" fontId="66" fillId="0" borderId="134" xfId="0" applyFont="1" applyBorder="1" applyAlignment="1" applyProtection="1">
      <alignment horizontal="center"/>
      <protection locked="0"/>
    </xf>
    <xf numFmtId="166" fontId="156" fillId="0" borderId="81" xfId="1" applyNumberFormat="1" applyFont="1" applyBorder="1" applyAlignment="1" applyProtection="1">
      <alignment horizontal="center"/>
      <protection locked="0"/>
    </xf>
    <xf numFmtId="166" fontId="156" fillId="0" borderId="134" xfId="1" applyNumberFormat="1" applyFont="1" applyBorder="1" applyAlignment="1" applyProtection="1">
      <alignment horizontal="center"/>
      <protection locked="0"/>
    </xf>
    <xf numFmtId="1" fontId="159" fillId="58" borderId="0" xfId="345" applyNumberFormat="1" applyFont="1" applyFill="1" applyAlignment="1">
      <alignment horizontal="center" vertical="center"/>
    </xf>
    <xf numFmtId="0" fontId="167" fillId="0" borderId="0" xfId="345" applyFont="1" applyAlignment="1">
      <alignment horizontal="center" vertical="center"/>
    </xf>
    <xf numFmtId="0" fontId="159" fillId="79" borderId="0" xfId="345" applyFont="1" applyFill="1" applyAlignment="1">
      <alignment horizontal="center" vertical="center"/>
    </xf>
    <xf numFmtId="0" fontId="185" fillId="81" borderId="0" xfId="0" applyFont="1" applyFill="1" applyAlignment="1">
      <alignment horizontal="center"/>
    </xf>
    <xf numFmtId="0" fontId="174" fillId="68" borderId="90" xfId="516" applyFont="1" applyFill="1" applyBorder="1" applyAlignment="1">
      <alignment horizontal="center" vertical="center" wrapText="1"/>
    </xf>
    <xf numFmtId="0" fontId="174" fillId="68" borderId="94" xfId="516" applyFont="1" applyFill="1" applyBorder="1" applyAlignment="1">
      <alignment horizontal="center" vertical="center" wrapText="1"/>
    </xf>
    <xf numFmtId="0" fontId="176" fillId="69" borderId="90" xfId="516" applyFont="1" applyFill="1" applyBorder="1" applyAlignment="1">
      <alignment horizontal="center" vertical="center"/>
    </xf>
    <xf numFmtId="0" fontId="176" fillId="69" borderId="99" xfId="516" applyFont="1" applyFill="1" applyBorder="1" applyAlignment="1">
      <alignment horizontal="center" vertical="center"/>
    </xf>
    <xf numFmtId="0" fontId="176" fillId="69" borderId="94" xfId="516" applyFont="1" applyFill="1" applyBorder="1" applyAlignment="1">
      <alignment horizontal="center" vertical="center"/>
    </xf>
    <xf numFmtId="0" fontId="178" fillId="71" borderId="90" xfId="516" applyFont="1" applyFill="1" applyBorder="1" applyAlignment="1">
      <alignment horizontal="center" vertical="center"/>
    </xf>
    <xf numFmtId="0" fontId="178" fillId="71" borderId="94" xfId="516" applyFont="1" applyFill="1" applyBorder="1" applyAlignment="1">
      <alignment horizontal="center" vertical="center"/>
    </xf>
    <xf numFmtId="0" fontId="12" fillId="65" borderId="49" xfId="514" applyFill="1" applyBorder="1" applyAlignment="1">
      <alignment horizontal="center" vertical="center" textRotation="90"/>
    </xf>
  </cellXfs>
  <cellStyles count="979">
    <cellStyle name="-" xfId="6" xr:uid="{00000000-0005-0000-0000-000000000000}"/>
    <cellStyle name="_x000d__x000a_JournalTemplate=C:\COMFO\CTALK\JOURSTD.TPL_x000d__x000a_LbStateAddress=3 3 0 251 1 89 2 311_x000d__x000a_LbStateJou" xfId="7" xr:uid="{00000000-0005-0000-0000-000001000000}"/>
    <cellStyle name="'!vrs" xfId="8" xr:uid="{00000000-0005-0000-0000-000002000000}"/>
    <cellStyle name="?? [0]_??" xfId="9" xr:uid="{00000000-0005-0000-0000-000003000000}"/>
    <cellStyle name="?????_VERA" xfId="10" xr:uid="{00000000-0005-0000-0000-000004000000}"/>
    <cellStyle name="??_?.????" xfId="11" xr:uid="{00000000-0005-0000-0000-000005000000}"/>
    <cellStyle name="_9.0_Attach 6B Budget 2007 - Temirtau_Arcelor-Mittal_v 25-11-06_Total (Kazakh Operations)" xfId="12" xr:uid="{00000000-0005-0000-0000-000006000000}"/>
    <cellStyle name="_Attach 6B Budget 2007 - Temirtau_Arcelor-Mittal_v 14-11-06_Total" xfId="13" xr:uid="{00000000-0005-0000-0000-000007000000}"/>
    <cellStyle name="_Attach 6B Budget 2007 - Temirtau_Arcelor-Mittal_v 18-11-06_Total" xfId="14" xr:uid="{00000000-0005-0000-0000-000008000000}"/>
    <cellStyle name="_Bonus Scheme" xfId="15" xr:uid="{00000000-0005-0000-0000-000009000000}"/>
    <cellStyle name="_BP 2007 QUARTERWISE OP STATEMENT_201006" xfId="16" xr:uid="{00000000-0005-0000-0000-00000A000000}"/>
    <cellStyle name="_BP 2007 QUARTERWISE OP STATEMENT_201006_AMS" xfId="17" xr:uid="{00000000-0005-0000-0000-00000B000000}"/>
    <cellStyle name="_BP 2007 QUARTERWISE OP STATEMENT_201006_EBITDA cost summary FCA MRF11" xfId="18" xr:uid="{00000000-0005-0000-0000-00000C000000}"/>
    <cellStyle name="_Budget Pack 2007 - Kryviy Rih_Arcelor-Mittal_v 18-11-06" xfId="19" xr:uid="{00000000-0005-0000-0000-00000D000000}"/>
    <cellStyle name="_Cash flow Jun 2010_MRF6B" xfId="20" xr:uid="{00000000-0005-0000-0000-00000E000000}"/>
    <cellStyle name="_CFO Consolidated MSSA $" xfId="21" xr:uid="{00000000-0005-0000-0000-00000F000000}"/>
    <cellStyle name="_Copy of Briefing Template_SONASID+Top ten issues" xfId="22" xr:uid="{00000000-0005-0000-0000-000010000000}"/>
    <cellStyle name="_Debtors and Advances from Customers-April-2007" xfId="23" xr:uid="{00000000-0005-0000-0000-000011000000}"/>
    <cellStyle name="_EBITDA Bridge Q4 06 vs Q1 07_Annaba" xfId="24" xr:uid="{00000000-0005-0000-0000-000012000000}"/>
    <cellStyle name="_EBITDA Bridge Q4 06 vs Q1 07_Annaba_AMS" xfId="25" xr:uid="{00000000-0005-0000-0000-000013000000}"/>
    <cellStyle name="_EBITDA Bridge Q4 06 vs Q1 07_Annaba_EBITDA cost summary FCA MRF11" xfId="26" xr:uid="{00000000-0005-0000-0000-000014000000}"/>
    <cellStyle name="_EBITDA Bridge Q406 vs Q107MRF_ACIS (2)" xfId="27" xr:uid="{00000000-0005-0000-0000-000015000000}"/>
    <cellStyle name="_Monthly Reporting Template_MSKR" xfId="28" xr:uid="{00000000-0005-0000-0000-000016000000}"/>
    <cellStyle name="_Monthly Reporting Template_MSKR_AMS" xfId="29" xr:uid="{00000000-0005-0000-0000-000017000000}"/>
    <cellStyle name="_Monthly Reporting Template_MSKR_EBITDA cost summary FCA MRF11" xfId="30" xr:uid="{00000000-0005-0000-0000-000018000000}"/>
    <cellStyle name="_Operating Statement_Master_2006_raman_15 December06_Used for Analysis" xfId="31" xr:uid="{00000000-0005-0000-0000-000019000000}"/>
    <cellStyle name="_Q4 ANNUALISED BP 2007 TO SEND" xfId="32" xr:uid="{00000000-0005-0000-0000-00001A000000}"/>
    <cellStyle name="_Q4 ANNUALISED BP 2007 TO SEND_AMS" xfId="33" xr:uid="{00000000-0005-0000-0000-00001B000000}"/>
    <cellStyle name="_Q4 ANNUALISED BP 2007 TO SEND_EBITDA cost summary FCA MRF11" xfId="34" xr:uid="{00000000-0005-0000-0000-00001C000000}"/>
    <cellStyle name="_Q4 ANNUALISED BP 2007-EBITDA Bridge" xfId="35" xr:uid="{00000000-0005-0000-0000-00001D000000}"/>
    <cellStyle name="_Q4 ANNUALISED BP 2007-EBITDA Bridge_AMS" xfId="36" xr:uid="{00000000-0005-0000-0000-00001E000000}"/>
    <cellStyle name="_Q4 ANNUALISED BP 2007-EBITDA Bridge_EBITDA cost summary FCA MRF11" xfId="37" xr:uid="{00000000-0005-0000-0000-00001F000000}"/>
    <cellStyle name="_Ukraine-WCR" xfId="38" xr:uid="{00000000-0005-0000-0000-000020000000}"/>
    <cellStyle name="_Ukraine-WCR_AMS" xfId="39" xr:uid="{00000000-0005-0000-0000-000021000000}"/>
    <cellStyle name="_Ukraine-WCR_EBITDA cost summary FCA MRF11" xfId="40" xr:uid="{00000000-0005-0000-0000-000022000000}"/>
    <cellStyle name="`P" xfId="41" xr:uid="{00000000-0005-0000-0000-000023000000}"/>
    <cellStyle name="¬µrka" xfId="42" xr:uid="{00000000-0005-0000-0000-000024000000}"/>
    <cellStyle name="źrka" xfId="43" xr:uid="{00000000-0005-0000-0000-000025000000}"/>
    <cellStyle name="0" xfId="44" xr:uid="{00000000-0005-0000-0000-000026000000}"/>
    <cellStyle name="0%" xfId="45" xr:uid="{00000000-0005-0000-0000-000027000000}"/>
    <cellStyle name="0,0" xfId="46" xr:uid="{00000000-0005-0000-0000-000028000000}"/>
    <cellStyle name="0.0" xfId="47" xr:uid="{00000000-0005-0000-0000-000029000000}"/>
    <cellStyle name="0.0%" xfId="48" xr:uid="{00000000-0005-0000-0000-00002A000000}"/>
    <cellStyle name="0.00" xfId="49" xr:uid="{00000000-0005-0000-0000-00002B000000}"/>
    <cellStyle name="0.00%" xfId="50" xr:uid="{00000000-0005-0000-0000-00002C000000}"/>
    <cellStyle name="0_2013 FCF FC TCOE EBITDA Cost template_MRF7_incAMDS" xfId="51" xr:uid="{00000000-0005-0000-0000-00002D000000}"/>
    <cellStyle name="0_2013 FCF FC TCOE EBITDA Cost template_MRF9_incAMDS" xfId="52" xr:uid="{00000000-0005-0000-0000-00002E000000}"/>
    <cellStyle name="0_EB_FCSA_Q04ActualxQ01_MRF1" xfId="53" xr:uid="{00000000-0005-0000-0000-00002F000000}"/>
    <cellStyle name="1 000 Kč_12-98o" xfId="54" xr:uid="{00000000-0005-0000-0000-000030000000}"/>
    <cellStyle name="1 000 Kc_4029" xfId="55" xr:uid="{00000000-0005-0000-0000-000031000000}"/>
    <cellStyle name="1 000 Kč_Modul1" xfId="56" xr:uid="{00000000-0005-0000-0000-000032000000}"/>
    <cellStyle name="1 000 Kc_Modul1_Úvodní list" xfId="57" xr:uid="{00000000-0005-0000-0000-000033000000}"/>
    <cellStyle name="1 000 Kč_Modul1_Úvodní list" xfId="58" xr:uid="{00000000-0005-0000-0000-000034000000}"/>
    <cellStyle name="1 000 Kc_Seznam stroju" xfId="59" xr:uid="{00000000-0005-0000-0000-000035000000}"/>
    <cellStyle name="1 000 Kč_Seznam strojů" xfId="60" xr:uid="{00000000-0005-0000-0000-000036000000}"/>
    <cellStyle name="1 000 Kc_Seznam stroju_LB WPs in progress" xfId="61" xr:uid="{00000000-0005-0000-0000-000037000000}"/>
    <cellStyle name="1 000 Kč_Seznam strojů_LB WPs in progress" xfId="62" xr:uid="{00000000-0005-0000-0000-000038000000}"/>
    <cellStyle name="1 000 Kc_Úvodní list" xfId="63" xr:uid="{00000000-0005-0000-0000-000039000000}"/>
    <cellStyle name="1 000 Kč_Úvodní list" xfId="64" xr:uid="{00000000-0005-0000-0000-00003A000000}"/>
    <cellStyle name="1 000 kè" xfId="65" xr:uid="{00000000-0005-0000-0000-00003B000000}"/>
    <cellStyle name="1,comma" xfId="66" xr:uid="{00000000-0005-0000-0000-00003C000000}"/>
    <cellStyle name="1000" xfId="67" xr:uid="{00000000-0005-0000-0000-00003D000000}"/>
    <cellStyle name="20% - Accent1" xfId="68" xr:uid="{00000000-0005-0000-0000-00003E000000}"/>
    <cellStyle name="20% - Accent1 2" xfId="547" xr:uid="{003015D2-9F47-4613-A192-C2D7984B4734}"/>
    <cellStyle name="20% - Accent2" xfId="69" xr:uid="{00000000-0005-0000-0000-00003F000000}"/>
    <cellStyle name="20% - Accent2 2" xfId="548" xr:uid="{4DD795DC-0812-4518-BD43-4646C9DBA09A}"/>
    <cellStyle name="20% - Accent3" xfId="70" xr:uid="{00000000-0005-0000-0000-000040000000}"/>
    <cellStyle name="20% - Accent3 2" xfId="549" xr:uid="{22EBA165-B740-40B1-9AA4-F407495E6C74}"/>
    <cellStyle name="20% - Accent4" xfId="71" xr:uid="{00000000-0005-0000-0000-000041000000}"/>
    <cellStyle name="20% - Accent4 2" xfId="550" xr:uid="{5CD9CF8F-489D-4FDA-9DCE-97DEB8EF5CFC}"/>
    <cellStyle name="20% - Accent5" xfId="72" xr:uid="{00000000-0005-0000-0000-000042000000}"/>
    <cellStyle name="20% - Accent5 2" xfId="551" xr:uid="{AE46DD17-EDE3-4F2A-9D0F-31173C39FE2B}"/>
    <cellStyle name="20% - Accent6" xfId="73" xr:uid="{00000000-0005-0000-0000-000043000000}"/>
    <cellStyle name="20% - Accent6 2" xfId="552" xr:uid="{6AF2470B-C0D5-4BE9-A69D-3CC070C44A8E}"/>
    <cellStyle name="40% - Accent1" xfId="74" xr:uid="{00000000-0005-0000-0000-000044000000}"/>
    <cellStyle name="40% - Accent1 2" xfId="553" xr:uid="{6202D107-D376-45B2-B30F-9DAB2A95844D}"/>
    <cellStyle name="40% - Accent2" xfId="75" xr:uid="{00000000-0005-0000-0000-000045000000}"/>
    <cellStyle name="40% - Accent2 2" xfId="554" xr:uid="{67092081-307F-4BC1-8409-89479DEA2FD4}"/>
    <cellStyle name="40% - Accent3" xfId="76" xr:uid="{00000000-0005-0000-0000-000046000000}"/>
    <cellStyle name="40% - Accent3 2" xfId="555" xr:uid="{5A68FA32-8E5A-447E-8DB7-969EBC0E7487}"/>
    <cellStyle name="40% - Accent4" xfId="77" xr:uid="{00000000-0005-0000-0000-000047000000}"/>
    <cellStyle name="40% - Accent4 2" xfId="556" xr:uid="{A309A162-0729-4DE4-BDA6-1F6B7717EDDA}"/>
    <cellStyle name="40% - Accent5" xfId="78" xr:uid="{00000000-0005-0000-0000-000048000000}"/>
    <cellStyle name="40% - Accent5 2" xfId="557" xr:uid="{B6DE69F1-1B71-4AA4-934E-32B04F3040F9}"/>
    <cellStyle name="40% - Accent6" xfId="79" xr:uid="{00000000-0005-0000-0000-000049000000}"/>
    <cellStyle name="40% - Accent6 2" xfId="558" xr:uid="{B7D4C76F-61C4-4ED2-B1B5-6C31E45C8AA3}"/>
    <cellStyle name="60% - Accent1" xfId="80" xr:uid="{00000000-0005-0000-0000-00004A000000}"/>
    <cellStyle name="60% - Accent1 2" xfId="559" xr:uid="{E61E6449-AE9D-4232-8003-61B6E1D482D3}"/>
    <cellStyle name="60% - Accent2" xfId="81" xr:uid="{00000000-0005-0000-0000-00004B000000}"/>
    <cellStyle name="60% - Accent2 2" xfId="560" xr:uid="{1C09C59B-599E-4731-B3ED-E9812FCA39F1}"/>
    <cellStyle name="60% - Accent3" xfId="82" xr:uid="{00000000-0005-0000-0000-00004C000000}"/>
    <cellStyle name="60% - Accent3 2" xfId="561" xr:uid="{67432B78-1AA5-4A6E-BC60-37ADAD5523C9}"/>
    <cellStyle name="60% - Accent4" xfId="83" xr:uid="{00000000-0005-0000-0000-00004D000000}"/>
    <cellStyle name="60% - Accent4 2" xfId="562" xr:uid="{0B7B4555-0CCB-4D76-9F06-8697D4C145FB}"/>
    <cellStyle name="60% - Accent5" xfId="84" xr:uid="{00000000-0005-0000-0000-00004E000000}"/>
    <cellStyle name="60% - Accent5 2" xfId="563" xr:uid="{12DB9B32-1E3F-4013-8265-CF8C26E8FC8B}"/>
    <cellStyle name="60% - Accent6" xfId="85" xr:uid="{00000000-0005-0000-0000-00004F000000}"/>
    <cellStyle name="60% - Accent6 2" xfId="564" xr:uid="{8CB43F90-34AF-46BD-B066-8A099C4F7A53}"/>
    <cellStyle name="752131" xfId="86" xr:uid="{00000000-0005-0000-0000-000050000000}"/>
    <cellStyle name="Accent1" xfId="87" xr:uid="{00000000-0005-0000-0000-000051000000}"/>
    <cellStyle name="Accent1 - 20%" xfId="566" xr:uid="{C7D2B066-EE2D-4B05-AEA2-E1428137EF5D}"/>
    <cellStyle name="Accent1 - 40%" xfId="567" xr:uid="{653809FE-D40C-4275-845B-73B0DBCC3824}"/>
    <cellStyle name="Accent1 - 60%" xfId="568" xr:uid="{254504EF-E0D6-4533-9ED4-AF8BB2662E22}"/>
    <cellStyle name="Accent1 10" xfId="736" xr:uid="{919A989D-1EEF-489F-B92C-C10C25834F05}"/>
    <cellStyle name="Accent1 11" xfId="744" xr:uid="{C6456D4C-A2F1-495B-8E32-83B86524F085}"/>
    <cellStyle name="Accent1 12" xfId="759" xr:uid="{45D10A44-5AF9-4879-870A-E2420263E4C5}"/>
    <cellStyle name="Accent1 13" xfId="742" xr:uid="{AF2028EA-3F40-4CE0-94F7-378425FF669D}"/>
    <cellStyle name="Accent1 14" xfId="762" xr:uid="{806863A9-3C38-4E6A-9A29-5628C08AAA39}"/>
    <cellStyle name="Accent1 15" xfId="782" xr:uid="{7538B7F3-A22B-41F4-8BCF-2759BA72E945}"/>
    <cellStyle name="Accent1 16" xfId="760" xr:uid="{C18AB5F4-0277-450F-AF8C-781EA7602F51}"/>
    <cellStyle name="Accent1 17" xfId="783" xr:uid="{A28F5048-BCF0-489D-A3A7-838C2666DC19}"/>
    <cellStyle name="Accent1 18" xfId="785" xr:uid="{2E4292B1-760F-4D31-BAC4-988B92CC927E}"/>
    <cellStyle name="Accent1 19" xfId="796" xr:uid="{083A2496-2E5D-4519-A095-806E9D913384}"/>
    <cellStyle name="Accent1 2" xfId="565" xr:uid="{9A086E2F-427B-463E-BE50-DDC7C115C9B7}"/>
    <cellStyle name="Accent1 20" xfId="798" xr:uid="{0521D185-685E-4BAF-824F-C0F6B09BE57B}"/>
    <cellStyle name="Accent1 21" xfId="805" xr:uid="{36635D29-4670-4ACC-8127-32A4AC051E89}"/>
    <cellStyle name="Accent1 22" xfId="816" xr:uid="{A37D89DD-118D-45AA-9701-379EEF480850}"/>
    <cellStyle name="Accent1 23" xfId="819" xr:uid="{86209F3B-5D76-44E6-B7F7-1F79700C7FC2}"/>
    <cellStyle name="Accent1 24" xfId="830" xr:uid="{87A8F5DF-0B6D-4E0E-B915-A0479D71A692}"/>
    <cellStyle name="Accent1 25" xfId="832" xr:uid="{A72E1287-AB55-4F99-804B-371CCF78FE3E}"/>
    <cellStyle name="Accent1 26" xfId="840" xr:uid="{73106392-A331-4FAC-8D14-68055F86FD6F}"/>
    <cellStyle name="Accent1 3" xfId="689" xr:uid="{8EF92EC7-069B-45C8-A93D-0B642D33CD0E}"/>
    <cellStyle name="Accent1 4" xfId="700" xr:uid="{A1B1FD28-7962-46F7-8ADA-4E9560732445}"/>
    <cellStyle name="Accent1 5" xfId="704" xr:uid="{E3E92179-09D9-4E6F-9C16-2F689A72376F}"/>
    <cellStyle name="Accent1 6" xfId="719" xr:uid="{58B23758-8F95-40D8-87ED-BEF8C82CF99F}"/>
    <cellStyle name="Accent1 7" xfId="702" xr:uid="{92BE67C8-2129-46B3-8B15-B0D5A6A7699C}"/>
    <cellStyle name="Accent1 8" xfId="721" xr:uid="{A2916818-FFB3-402E-A9FB-A36B65CF7BD5}"/>
    <cellStyle name="Accent1 9" xfId="732" xr:uid="{BB756167-F45E-4C69-B8AD-1984A5018773}"/>
    <cellStyle name="Accent2" xfId="88" xr:uid="{00000000-0005-0000-0000-000052000000}"/>
    <cellStyle name="Accent2 - 20%" xfId="570" xr:uid="{F8A4C214-D9BB-4B8D-BDCF-3E2E68380603}"/>
    <cellStyle name="Accent2 - 40%" xfId="571" xr:uid="{46FCEE7A-5601-4232-8EDF-2A948A7CCB64}"/>
    <cellStyle name="Accent2 - 60%" xfId="572" xr:uid="{8553683E-0193-4A6C-8CEB-08A7D4F24EE4}"/>
    <cellStyle name="Accent2 10" xfId="737" xr:uid="{79792773-BE34-4584-871B-78BD712BDF8C}"/>
    <cellStyle name="Accent2 11" xfId="745" xr:uid="{22779FEF-FDA7-4D4C-8B37-0C91738FBE50}"/>
    <cellStyle name="Accent2 12" xfId="758" xr:uid="{AFC9ADD8-FAE8-4545-9127-5B4DBF95C7D7}"/>
    <cellStyle name="Accent2 13" xfId="743" xr:uid="{DE022EF3-AAC0-4843-84F5-3EF393136478}"/>
    <cellStyle name="Accent2 14" xfId="764" xr:uid="{CCBF8422-D767-478D-BAC9-52DC50D84DE5}"/>
    <cellStyle name="Accent2 15" xfId="780" xr:uid="{BC13A4E1-93F9-4A6D-84EE-7D2A81379D30}"/>
    <cellStyle name="Accent2 16" xfId="761" xr:uid="{6AB3A388-ABAB-4DCC-8A79-DE91F779667C}"/>
    <cellStyle name="Accent2 17" xfId="781" xr:uid="{BCBA1B60-CA8E-4D07-A89E-E1EF3EA21F19}"/>
    <cellStyle name="Accent2 18" xfId="786" xr:uid="{F4098763-58DF-46D4-9F38-B6145C7852D1}"/>
    <cellStyle name="Accent2 19" xfId="795" xr:uid="{128DC95D-03BB-4F4F-97B0-D3441C03D032}"/>
    <cellStyle name="Accent2 2" xfId="569" xr:uid="{495725E3-1074-416A-9733-1D488588B590}"/>
    <cellStyle name="Accent2 20" xfId="799" xr:uid="{1FACEABB-4C1E-43E2-849B-73DC7FDA1C09}"/>
    <cellStyle name="Accent2 21" xfId="806" xr:uid="{A898C39E-D7A3-4BA0-BB29-AB0DD51E1889}"/>
    <cellStyle name="Accent2 22" xfId="815" xr:uid="{66CECB0F-CD50-4188-AE27-7CBB83A39A55}"/>
    <cellStyle name="Accent2 23" xfId="820" xr:uid="{15B44344-5B53-4D8E-931F-47D1C1A2F58D}"/>
    <cellStyle name="Accent2 24" xfId="829" xr:uid="{D27B9011-25F4-401C-AE6C-406556E9CA65}"/>
    <cellStyle name="Accent2 25" xfId="833" xr:uid="{92D6054B-22E9-44BA-B214-72BD692B50C3}"/>
    <cellStyle name="Accent2 26" xfId="841" xr:uid="{991B6A80-CE90-4C9D-B498-452E63FE8FA0}"/>
    <cellStyle name="Accent2 3" xfId="690" xr:uid="{6127ACF3-B493-4DDC-B0A1-1A8C03DB98A3}"/>
    <cellStyle name="Accent2 4" xfId="699" xr:uid="{3AC464A2-EBE2-4097-96C4-220934437257}"/>
    <cellStyle name="Accent2 5" xfId="705" xr:uid="{4D769B42-C68A-4398-ACFA-707FF2E7D70A}"/>
    <cellStyle name="Accent2 6" xfId="718" xr:uid="{7EE8CAF0-8879-4738-AE6D-F2B80DA3D64E}"/>
    <cellStyle name="Accent2 7" xfId="703" xr:uid="{ECDD8DFF-CC5B-457A-AAEB-53200B6A3B7A}"/>
    <cellStyle name="Accent2 8" xfId="722" xr:uid="{F6AE4E99-EDA9-4E13-80D6-029155B327ED}"/>
    <cellStyle name="Accent2 9" xfId="731" xr:uid="{063621B0-703B-413C-9C82-39D4CEE26A1D}"/>
    <cellStyle name="Accent3" xfId="89" xr:uid="{00000000-0005-0000-0000-000053000000}"/>
    <cellStyle name="Accent3 - 20%" xfId="574" xr:uid="{E4A3FD45-B524-400E-A9AC-0F7C40AA7230}"/>
    <cellStyle name="Accent3 - 40%" xfId="575" xr:uid="{C6362385-7A03-453C-8A08-9ACFAD6154BF}"/>
    <cellStyle name="Accent3 - 60%" xfId="576" xr:uid="{4A86E5A8-FDE5-4F95-9918-33EE5E50B973}"/>
    <cellStyle name="Accent3 10" xfId="738" xr:uid="{07524BA5-2D87-4E0F-966B-7E21BEB53357}"/>
    <cellStyle name="Accent3 11" xfId="747" xr:uid="{3B712A37-7B0C-473A-AEA0-CDA0E14AB615}"/>
    <cellStyle name="Accent3 12" xfId="757" xr:uid="{F7B9A611-E202-4762-B3CC-E94887CC3992}"/>
    <cellStyle name="Accent3 13" xfId="746" xr:uid="{D7356E62-B4FE-4816-90F1-419E26F3EEDC}"/>
    <cellStyle name="Accent3 14" xfId="765" xr:uid="{FE53FE3F-008B-47D4-AC61-31C4E810A7F4}"/>
    <cellStyle name="Accent3 15" xfId="778" xr:uid="{B158207A-4F82-4E8F-AAE6-1F85874E580F}"/>
    <cellStyle name="Accent3 16" xfId="763" xr:uid="{0A4725FC-F846-4561-86BA-962B80814449}"/>
    <cellStyle name="Accent3 17" xfId="779" xr:uid="{549D84A0-534D-4491-88C5-D5D70B8F7014}"/>
    <cellStyle name="Accent3 18" xfId="787" xr:uid="{01AC8561-2709-41BB-B09F-E8CEA7DEB45F}"/>
    <cellStyle name="Accent3 19" xfId="794" xr:uid="{948B32D8-D1A2-447A-AE67-9F900122DC94}"/>
    <cellStyle name="Accent3 2" xfId="573" xr:uid="{05193649-AEEB-4396-89EA-D62DCAAE9881}"/>
    <cellStyle name="Accent3 20" xfId="800" xr:uid="{F4FC9F4F-7A2A-4E3A-BBCA-CFB046EFD784}"/>
    <cellStyle name="Accent3 21" xfId="807" xr:uid="{CE01682B-DE98-4D86-AC24-88930650CC7E}"/>
    <cellStyle name="Accent3 22" xfId="814" xr:uid="{C309C89B-F83F-4D75-91B2-B768DEED1D98}"/>
    <cellStyle name="Accent3 23" xfId="821" xr:uid="{1DDEA4DB-62B8-4D12-95F6-898B90070174}"/>
    <cellStyle name="Accent3 24" xfId="828" xr:uid="{4F11E4D3-BA35-4B2A-B1B0-99051BC552C3}"/>
    <cellStyle name="Accent3 25" xfId="834" xr:uid="{CEA15B5E-B8E6-4BDD-9B77-475FA326B1F0}"/>
    <cellStyle name="Accent3 26" xfId="842" xr:uid="{4AEF8266-6700-4BC1-A860-674A09A67F94}"/>
    <cellStyle name="Accent3 3" xfId="691" xr:uid="{00578E5F-AFC5-4444-96E3-A4A473A9E5F1}"/>
    <cellStyle name="Accent3 4" xfId="698" xr:uid="{D3DC5455-792C-4DDF-A68B-4E746EBC2498}"/>
    <cellStyle name="Accent3 5" xfId="707" xr:uid="{2CE5D6F1-E106-44F6-88B6-AD22F8FDEA41}"/>
    <cellStyle name="Accent3 6" xfId="717" xr:uid="{98621783-066F-47A4-A1C2-F98CDBC94153}"/>
    <cellStyle name="Accent3 7" xfId="706" xr:uid="{DEABCB64-15EF-492B-856F-4E6AD4423C84}"/>
    <cellStyle name="Accent3 8" xfId="723" xr:uid="{80DD3071-41B7-4977-A880-D1011014F941}"/>
    <cellStyle name="Accent3 9" xfId="730" xr:uid="{3A795DF5-6C11-4BCC-A7D5-8478F8F92862}"/>
    <cellStyle name="Accent4" xfId="90" xr:uid="{00000000-0005-0000-0000-000054000000}"/>
    <cellStyle name="Accent4 - 20%" xfId="578" xr:uid="{3C6DD4E7-0612-4B4C-B8B1-8DDE67E0C887}"/>
    <cellStyle name="Accent4 - 40%" xfId="579" xr:uid="{B40A3B6A-A373-4EEB-A612-388FD0E9F40D}"/>
    <cellStyle name="Accent4 - 60%" xfId="580" xr:uid="{2DD97738-D31D-42AF-A338-1709A99E894F}"/>
    <cellStyle name="Accent4 10" xfId="739" xr:uid="{F9F69724-623C-4F71-B600-82B991FDBCDA}"/>
    <cellStyle name="Accent4 11" xfId="749" xr:uid="{90C815F9-9A9E-4CDF-8080-96B60B22AEF9}"/>
    <cellStyle name="Accent4 12" xfId="756" xr:uid="{954F778E-7F66-4842-80C5-81D9DCAE2076}"/>
    <cellStyle name="Accent4 13" xfId="748" xr:uid="{EE44731B-7DBF-4147-B634-61D92215D1EA}"/>
    <cellStyle name="Accent4 14" xfId="767" xr:uid="{CBE263F5-6861-46A3-B27E-DCC8A202A0F2}"/>
    <cellStyle name="Accent4 15" xfId="776" xr:uid="{78CCD803-CEF9-4285-8BC8-14229C57903B}"/>
    <cellStyle name="Accent4 16" xfId="766" xr:uid="{41E5D1DD-0FBC-4910-ADBF-95FD825E9F27}"/>
    <cellStyle name="Accent4 17" xfId="777" xr:uid="{D6F07029-BB94-430F-A084-E6CE873959B8}"/>
    <cellStyle name="Accent4 18" xfId="788" xr:uid="{4819E76C-3008-409A-8E54-90883C9289A7}"/>
    <cellStyle name="Accent4 19" xfId="793" xr:uid="{61B04CB8-77E0-4523-BD50-0330610C2DD4}"/>
    <cellStyle name="Accent4 2" xfId="577" xr:uid="{D4478DB5-289A-4871-BCDF-0D6014E6448D}"/>
    <cellStyle name="Accent4 20" xfId="801" xr:uid="{2D3316E2-3928-440E-B5E2-9463D707C37B}"/>
    <cellStyle name="Accent4 21" xfId="808" xr:uid="{F44E6EC8-B800-4197-945E-CC1DFC519FA7}"/>
    <cellStyle name="Accent4 22" xfId="813" xr:uid="{E5B73930-7F4A-46BB-A1D1-FE8F3E0D2358}"/>
    <cellStyle name="Accent4 23" xfId="822" xr:uid="{8A1E021F-9164-477E-BCCD-4AD00622CB25}"/>
    <cellStyle name="Accent4 24" xfId="827" xr:uid="{62A68E21-4BC0-4411-BFC6-9A424AF54793}"/>
    <cellStyle name="Accent4 25" xfId="835" xr:uid="{7327A7F9-31AC-4602-95B2-C754D2626C10}"/>
    <cellStyle name="Accent4 26" xfId="843" xr:uid="{5388CEBE-9192-4F92-9545-9BCC386CC693}"/>
    <cellStyle name="Accent4 3" xfId="692" xr:uid="{9FF7364F-D873-4036-B7F8-D37EE4A48FDB}"/>
    <cellStyle name="Accent4 4" xfId="697" xr:uid="{8634785B-7421-4FFB-A7BD-412D90234402}"/>
    <cellStyle name="Accent4 5" xfId="709" xr:uid="{5536FD8D-D21E-4E4A-ADB9-4CA1D816F036}"/>
    <cellStyle name="Accent4 6" xfId="716" xr:uid="{FEB542C0-0E2A-4FFA-9B27-6BDDBCC4C9C5}"/>
    <cellStyle name="Accent4 7" xfId="708" xr:uid="{2003BB39-FD47-4682-9161-516AEA9C5827}"/>
    <cellStyle name="Accent4 8" xfId="724" xr:uid="{C6E05BF2-EA36-4CF4-B11C-1A8A2BFA5CBB}"/>
    <cellStyle name="Accent4 9" xfId="729" xr:uid="{B4C938FF-0541-4EFD-B0A2-B244E815E419}"/>
    <cellStyle name="Accent5" xfId="91" xr:uid="{00000000-0005-0000-0000-000055000000}"/>
    <cellStyle name="Accent5 - 20%" xfId="582" xr:uid="{245F0EED-7F28-42B8-B55A-43C77943BB1E}"/>
    <cellStyle name="Accent5 - 40%" xfId="583" xr:uid="{31D1A847-5811-4D4A-AB28-55D929F3CA86}"/>
    <cellStyle name="Accent5 - 60%" xfId="584" xr:uid="{50BDBE99-209E-4C1A-B484-075134C828DB}"/>
    <cellStyle name="Accent5 10" xfId="740" xr:uid="{C4DD36E2-CABD-4DDE-A0AB-C1EF643FBFDD}"/>
    <cellStyle name="Accent5 11" xfId="751" xr:uid="{F16C4116-2F6F-495A-B23F-BC2F7646F310}"/>
    <cellStyle name="Accent5 12" xfId="755" xr:uid="{03314BDE-BAF7-488B-A70D-3D21C702BFFE}"/>
    <cellStyle name="Accent5 13" xfId="750" xr:uid="{A7B07726-90C5-4DEE-8488-962B428C2428}"/>
    <cellStyle name="Accent5 14" xfId="769" xr:uid="{1BC34AA1-174C-4F41-BDFC-ED2E4B1C02F2}"/>
    <cellStyle name="Accent5 15" xfId="775" xr:uid="{A3B49856-4E9B-44B1-A41F-A1D72CB25AF5}"/>
    <cellStyle name="Accent5 16" xfId="768" xr:uid="{570ABDCB-37B9-4EAC-BD34-F5E9AEE32C55}"/>
    <cellStyle name="Accent5 17" xfId="774" xr:uid="{BC4773BE-EACB-4951-89BE-7EB2AC95A042}"/>
    <cellStyle name="Accent5 18" xfId="789" xr:uid="{19E1F1DB-EF3E-4248-BE8B-0444E3449728}"/>
    <cellStyle name="Accent5 19" xfId="792" xr:uid="{712D526A-957C-4730-A329-C2D543123043}"/>
    <cellStyle name="Accent5 2" xfId="581" xr:uid="{8EF0C8B4-AD51-4AFC-B41A-37CA8C76B5F5}"/>
    <cellStyle name="Accent5 20" xfId="802" xr:uid="{7E33AC5A-8BA6-4271-A1C5-ECD2439112A2}"/>
    <cellStyle name="Accent5 21" xfId="809" xr:uid="{89460179-F9D8-46E9-881E-6203C72110E5}"/>
    <cellStyle name="Accent5 22" xfId="812" xr:uid="{ED0F392C-D0F5-48A7-B8F5-4F33F9EB4C3F}"/>
    <cellStyle name="Accent5 23" xfId="823" xr:uid="{B0530B02-ADD7-471F-B7C0-212B93C77EA2}"/>
    <cellStyle name="Accent5 24" xfId="826" xr:uid="{9D83E5AA-F2BA-4B8C-AFDC-20E27258688E}"/>
    <cellStyle name="Accent5 25" xfId="836" xr:uid="{3E5C9356-2D13-491E-96B8-79010D23A420}"/>
    <cellStyle name="Accent5 26" xfId="844" xr:uid="{E01CA37A-9582-47BA-B63D-EC4B8492199F}"/>
    <cellStyle name="Accent5 3" xfId="693" xr:uid="{59DCA446-ECE0-4217-A682-12AAEE2E0990}"/>
    <cellStyle name="Accent5 4" xfId="696" xr:uid="{BDCB24E9-2D3E-4DDD-A342-C697C731C693}"/>
    <cellStyle name="Accent5 5" xfId="711" xr:uid="{D6B82F24-C131-4E8F-B0F6-2CD4B695454F}"/>
    <cellStyle name="Accent5 6" xfId="715" xr:uid="{6B42D4AA-4070-4873-A068-380390BA6320}"/>
    <cellStyle name="Accent5 7" xfId="710" xr:uid="{D4B8950C-E8DD-4FDB-8630-C8C377D4ADDB}"/>
    <cellStyle name="Accent5 8" xfId="725" xr:uid="{C7737BAE-2DBA-4478-89D1-79A9BB0FA2F9}"/>
    <cellStyle name="Accent5 9" xfId="728" xr:uid="{49272392-9381-4C70-9A4E-74631CB3D456}"/>
    <cellStyle name="Accent6" xfId="92" xr:uid="{00000000-0005-0000-0000-000056000000}"/>
    <cellStyle name="Accent6 - 20%" xfId="586" xr:uid="{EAF4AAB0-D4B1-46DF-AD5E-8703A0F1D45E}"/>
    <cellStyle name="Accent6 - 40%" xfId="587" xr:uid="{65121EBA-63BB-4A6F-A4A9-4F39F7B33944}"/>
    <cellStyle name="Accent6 - 60%" xfId="588" xr:uid="{BE32C302-ABE2-4895-8759-0DC44EE7C478}"/>
    <cellStyle name="Accent6 10" xfId="741" xr:uid="{C34D4D4D-1857-4341-80F8-977E6DAEE700}"/>
    <cellStyle name="Accent6 11" xfId="752" xr:uid="{2A210D69-B9C6-4831-BFE5-9C95C669CF08}"/>
    <cellStyle name="Accent6 12" xfId="754" xr:uid="{7580D5AA-7A7D-4206-944A-9DCD1584A10D}"/>
    <cellStyle name="Accent6 13" xfId="753" xr:uid="{FBB047DF-CE89-4159-9016-070953623220}"/>
    <cellStyle name="Accent6 14" xfId="771" xr:uid="{D4E81F41-504E-4895-86B2-57AE403E45B6}"/>
    <cellStyle name="Accent6 15" xfId="773" xr:uid="{3E736F28-2CF6-4EA1-9D23-EB2B4B5DCBCE}"/>
    <cellStyle name="Accent6 16" xfId="770" xr:uid="{4DAF36E3-7F7D-4131-A806-A8563AC90927}"/>
    <cellStyle name="Accent6 17" xfId="772" xr:uid="{D2759CDC-F6FD-4170-8A0D-BAFE05B918F0}"/>
    <cellStyle name="Accent6 18" xfId="790" xr:uid="{79A420FE-B829-4F83-A883-ABED1BAE011C}"/>
    <cellStyle name="Accent6 19" xfId="791" xr:uid="{6AFEA569-471A-433F-A094-862F0AF5E754}"/>
    <cellStyle name="Accent6 2" xfId="585" xr:uid="{0913CF80-1CA9-4050-AEF8-335F1A64A14E}"/>
    <cellStyle name="Accent6 20" xfId="803" xr:uid="{099CE350-0352-4601-B14B-CCE8868DD7F4}"/>
    <cellStyle name="Accent6 21" xfId="810" xr:uid="{79C3AC98-7FB0-453B-A17B-E6005AEC8963}"/>
    <cellStyle name="Accent6 22" xfId="811" xr:uid="{ADE2B338-D717-4D6B-9EDF-AAC198C1CF41}"/>
    <cellStyle name="Accent6 23" xfId="824" xr:uid="{DAACFB4B-3901-4687-AD2C-17C7D259F29E}"/>
    <cellStyle name="Accent6 24" xfId="825" xr:uid="{A691D2EF-1A9F-482F-96B7-B3110A851BE2}"/>
    <cellStyle name="Accent6 25" xfId="837" xr:uid="{DB68FDFF-27C8-4E50-9DF3-8F031B0A55F0}"/>
    <cellStyle name="Accent6 26" xfId="845" xr:uid="{E0C635A2-1595-40E0-BD4D-7B66B99BC6C7}"/>
    <cellStyle name="Accent6 3" xfId="694" xr:uid="{5E124A88-0BF0-425B-98ED-E36EE3E29EC3}"/>
    <cellStyle name="Accent6 4" xfId="695" xr:uid="{C9F00105-B9F2-4476-989A-0B6E4FF8DB53}"/>
    <cellStyle name="Accent6 5" xfId="712" xr:uid="{F503F323-ABC3-4390-B02C-88CA0DF6ED45}"/>
    <cellStyle name="Accent6 6" xfId="714" xr:uid="{E6359F91-48BF-4491-9F01-3E3751669974}"/>
    <cellStyle name="Accent6 7" xfId="713" xr:uid="{9726BA64-FD6F-49CF-AC2E-6C11A6272B9D}"/>
    <cellStyle name="Accent6 8" xfId="726" xr:uid="{D7AD8276-F93C-4D73-90CA-A64DCF7DCF97}"/>
    <cellStyle name="Accent6 9" xfId="727" xr:uid="{93D51349-3E2C-42C1-947A-09CECC489544}"/>
    <cellStyle name="Acctg" xfId="93" xr:uid="{00000000-0005-0000-0000-000057000000}"/>
    <cellStyle name="Actual Date" xfId="94" xr:uid="{00000000-0005-0000-0000-000058000000}"/>
    <cellStyle name="args.style" xfId="95" xr:uid="{00000000-0005-0000-0000-000059000000}"/>
    <cellStyle name="Bad" xfId="96" xr:uid="{00000000-0005-0000-0000-00005A000000}"/>
    <cellStyle name="Bad 2" xfId="589" xr:uid="{59233D66-0257-4B65-B974-63E102592935}"/>
    <cellStyle name="Blue" xfId="97" xr:uid="{00000000-0005-0000-0000-00005B000000}"/>
    <cellStyle name="Body" xfId="98" xr:uid="{00000000-0005-0000-0000-00005C000000}"/>
    <cellStyle name="Bol-Data" xfId="99" xr:uid="{00000000-0005-0000-0000-00005D000000}"/>
    <cellStyle name="bolet" xfId="100" xr:uid="{00000000-0005-0000-0000-00005E000000}"/>
    <cellStyle name="Border" xfId="101" xr:uid="{00000000-0005-0000-0000-00005F000000}"/>
    <cellStyle name="C00A" xfId="102" xr:uid="{00000000-0005-0000-0000-000060000000}"/>
    <cellStyle name="C00B" xfId="103" xr:uid="{00000000-0005-0000-0000-000061000000}"/>
    <cellStyle name="C00L" xfId="104" xr:uid="{00000000-0005-0000-0000-000062000000}"/>
    <cellStyle name="C01A" xfId="105" xr:uid="{00000000-0005-0000-0000-000063000000}"/>
    <cellStyle name="C01B" xfId="106" xr:uid="{00000000-0005-0000-0000-000064000000}"/>
    <cellStyle name="C01H" xfId="107" xr:uid="{00000000-0005-0000-0000-000065000000}"/>
    <cellStyle name="C01L" xfId="108" xr:uid="{00000000-0005-0000-0000-000066000000}"/>
    <cellStyle name="C02A" xfId="109" xr:uid="{00000000-0005-0000-0000-000067000000}"/>
    <cellStyle name="C02B" xfId="110" xr:uid="{00000000-0005-0000-0000-000068000000}"/>
    <cellStyle name="C02H" xfId="111" xr:uid="{00000000-0005-0000-0000-000069000000}"/>
    <cellStyle name="C02L" xfId="112" xr:uid="{00000000-0005-0000-0000-00006A000000}"/>
    <cellStyle name="C03A" xfId="113" xr:uid="{00000000-0005-0000-0000-00006B000000}"/>
    <cellStyle name="C03B" xfId="114" xr:uid="{00000000-0005-0000-0000-00006C000000}"/>
    <cellStyle name="C03H" xfId="115" xr:uid="{00000000-0005-0000-0000-00006D000000}"/>
    <cellStyle name="C03L" xfId="116" xr:uid="{00000000-0005-0000-0000-00006E000000}"/>
    <cellStyle name="C04A" xfId="117" xr:uid="{00000000-0005-0000-0000-00006F000000}"/>
    <cellStyle name="C04B" xfId="118" xr:uid="{00000000-0005-0000-0000-000070000000}"/>
    <cellStyle name="C04H" xfId="119" xr:uid="{00000000-0005-0000-0000-000071000000}"/>
    <cellStyle name="C04L" xfId="120" xr:uid="{00000000-0005-0000-0000-000072000000}"/>
    <cellStyle name="C05A" xfId="121" xr:uid="{00000000-0005-0000-0000-000073000000}"/>
    <cellStyle name="C05B" xfId="122" xr:uid="{00000000-0005-0000-0000-000074000000}"/>
    <cellStyle name="C05H" xfId="123" xr:uid="{00000000-0005-0000-0000-000075000000}"/>
    <cellStyle name="C05L" xfId="124" xr:uid="{00000000-0005-0000-0000-000076000000}"/>
    <cellStyle name="C06A" xfId="125" xr:uid="{00000000-0005-0000-0000-000077000000}"/>
    <cellStyle name="C06B" xfId="126" xr:uid="{00000000-0005-0000-0000-000078000000}"/>
    <cellStyle name="C06H" xfId="127" xr:uid="{00000000-0005-0000-0000-000079000000}"/>
    <cellStyle name="C06L" xfId="128" xr:uid="{00000000-0005-0000-0000-00007A000000}"/>
    <cellStyle name="C07A" xfId="129" xr:uid="{00000000-0005-0000-0000-00007B000000}"/>
    <cellStyle name="C07B" xfId="130" xr:uid="{00000000-0005-0000-0000-00007C000000}"/>
    <cellStyle name="C07H" xfId="131" xr:uid="{00000000-0005-0000-0000-00007D000000}"/>
    <cellStyle name="C07L" xfId="132" xr:uid="{00000000-0005-0000-0000-00007E000000}"/>
    <cellStyle name="Calc Currency (0)" xfId="133" xr:uid="{00000000-0005-0000-0000-00007F000000}"/>
    <cellStyle name="Calc Currency (2)" xfId="134" xr:uid="{00000000-0005-0000-0000-000080000000}"/>
    <cellStyle name="Calc Percent (0)" xfId="135" xr:uid="{00000000-0005-0000-0000-000081000000}"/>
    <cellStyle name="Calc Percent (1)" xfId="136" xr:uid="{00000000-0005-0000-0000-000082000000}"/>
    <cellStyle name="Calc Percent (2)" xfId="137" xr:uid="{00000000-0005-0000-0000-000083000000}"/>
    <cellStyle name="Calc Units (0)" xfId="138" xr:uid="{00000000-0005-0000-0000-000084000000}"/>
    <cellStyle name="Calc Units (1)" xfId="139" xr:uid="{00000000-0005-0000-0000-000085000000}"/>
    <cellStyle name="Calc Units (2)" xfId="140" xr:uid="{00000000-0005-0000-0000-000086000000}"/>
    <cellStyle name="Calculation" xfId="141" xr:uid="{00000000-0005-0000-0000-000087000000}"/>
    <cellStyle name="Calculation 2" xfId="590" xr:uid="{2ECFC7B5-246B-43AB-8590-D352F21A6784}"/>
    <cellStyle name="čárky [0]_12-98o" xfId="142" xr:uid="{00000000-0005-0000-0000-000088000000}"/>
    <cellStyle name="cárky [0]_4029" xfId="143" xr:uid="{00000000-0005-0000-0000-000089000000}"/>
    <cellStyle name="čárky [0]_ČINNOSTI" xfId="144" xr:uid="{00000000-0005-0000-0000-00008A000000}"/>
    <cellStyle name="cárky [0]_Modul1" xfId="145" xr:uid="{00000000-0005-0000-0000-00008B000000}"/>
    <cellStyle name="čárky [0]_Modul1" xfId="146" xr:uid="{00000000-0005-0000-0000-00008C000000}"/>
    <cellStyle name="cárky [0]_Modul1_Úvodní list" xfId="147" xr:uid="{00000000-0005-0000-0000-00008D000000}"/>
    <cellStyle name="čárky [0]_Modul1_Úvodní list" xfId="148" xr:uid="{00000000-0005-0000-0000-00008E000000}"/>
    <cellStyle name="cárky [0]_Seznam stroju" xfId="149" xr:uid="{00000000-0005-0000-0000-00008F000000}"/>
    <cellStyle name="čárky [0]_Seznam strojů" xfId="150" xr:uid="{00000000-0005-0000-0000-000090000000}"/>
    <cellStyle name="cárky [0]_Úvodní list" xfId="151" xr:uid="{00000000-0005-0000-0000-000091000000}"/>
    <cellStyle name="čárky [0]_Úvodní list" xfId="152" xr:uid="{00000000-0005-0000-0000-000092000000}"/>
    <cellStyle name="čárky_12-98o" xfId="153" xr:uid="{00000000-0005-0000-0000-000093000000}"/>
    <cellStyle name="cárky_4029" xfId="154" xr:uid="{00000000-0005-0000-0000-000094000000}"/>
    <cellStyle name="čárky_CFO Template Release 2006 July" xfId="155" xr:uid="{00000000-0005-0000-0000-000095000000}"/>
    <cellStyle name="cárky_Modul1" xfId="156" xr:uid="{00000000-0005-0000-0000-000096000000}"/>
    <cellStyle name="čárky_Modul1" xfId="157" xr:uid="{00000000-0005-0000-0000-000097000000}"/>
    <cellStyle name="cárky_Modul1_Úvodní list" xfId="158" xr:uid="{00000000-0005-0000-0000-000098000000}"/>
    <cellStyle name="čárky_Modul1_Úvodní list" xfId="159" xr:uid="{00000000-0005-0000-0000-000099000000}"/>
    <cellStyle name="cárky_Seznam stroju" xfId="160" xr:uid="{00000000-0005-0000-0000-00009A000000}"/>
    <cellStyle name="čárky_Seznam strojů" xfId="161" xr:uid="{00000000-0005-0000-0000-00009B000000}"/>
    <cellStyle name="cárky_Úvodní list" xfId="162" xr:uid="{00000000-0005-0000-0000-00009C000000}"/>
    <cellStyle name="čárky_Úvodní list" xfId="163" xr:uid="{00000000-0005-0000-0000-00009D000000}"/>
    <cellStyle name="cárkyd" xfId="164" xr:uid="{00000000-0005-0000-0000-00009E000000}"/>
    <cellStyle name="cary" xfId="165" xr:uid="{00000000-0005-0000-0000-00009F000000}"/>
    <cellStyle name="category" xfId="166" xr:uid="{00000000-0005-0000-0000-0000A0000000}"/>
    <cellStyle name="cc1" xfId="167" xr:uid="{00000000-0005-0000-0000-0000A1000000}"/>
    <cellStyle name="cc2" xfId="168" xr:uid="{00000000-0005-0000-0000-0000A2000000}"/>
    <cellStyle name="cc3" xfId="169" xr:uid="{00000000-0005-0000-0000-0000A3000000}"/>
    <cellStyle name="Celkem" xfId="170" xr:uid="{00000000-0005-0000-0000-0000A4000000}"/>
    <cellStyle name="Cents" xfId="171" xr:uid="{00000000-0005-0000-0000-0000A5000000}"/>
    <cellStyle name="Changeable" xfId="172" xr:uid="{00000000-0005-0000-0000-0000A6000000}"/>
    <cellStyle name="Check Cell" xfId="173" xr:uid="{00000000-0005-0000-0000-0000A7000000}"/>
    <cellStyle name="Check Cell 2" xfId="591" xr:uid="{9260F56F-4ED3-45DD-AF26-59D65D9658F7}"/>
    <cellStyle name="čiarky_SeptemberEBITDA-T" xfId="174" xr:uid="{00000000-0005-0000-0000-0000A8000000}"/>
    <cellStyle name="CN334" xfId="175" xr:uid="{00000000-0005-0000-0000-0000A9000000}"/>
    <cellStyle name="cn442" xfId="176" xr:uid="{00000000-0005-0000-0000-0000AA000000}"/>
    <cellStyle name="Comma  - Style1" xfId="177" xr:uid="{00000000-0005-0000-0000-0000AB000000}"/>
    <cellStyle name="Comma  - Style2" xfId="178" xr:uid="{00000000-0005-0000-0000-0000AC000000}"/>
    <cellStyle name="Comma  - Style3" xfId="179" xr:uid="{00000000-0005-0000-0000-0000AD000000}"/>
    <cellStyle name="Comma  - Style4" xfId="180" xr:uid="{00000000-0005-0000-0000-0000AE000000}"/>
    <cellStyle name="Comma  - Style5" xfId="181" xr:uid="{00000000-0005-0000-0000-0000AF000000}"/>
    <cellStyle name="Comma  - Style6" xfId="182" xr:uid="{00000000-0005-0000-0000-0000B0000000}"/>
    <cellStyle name="Comma  - Style7" xfId="183" xr:uid="{00000000-0005-0000-0000-0000B1000000}"/>
    <cellStyle name="Comma  - Style8" xfId="184" xr:uid="{00000000-0005-0000-0000-0000B2000000}"/>
    <cellStyle name="Comma [00]" xfId="185" xr:uid="{00000000-0005-0000-0000-0000B3000000}"/>
    <cellStyle name="Comma 14" xfId="186" xr:uid="{00000000-0005-0000-0000-0000B4000000}"/>
    <cellStyle name="Comma 2" xfId="187" xr:uid="{00000000-0005-0000-0000-0000B5000000}"/>
    <cellStyle name="Comma 3" xfId="188" xr:uid="{00000000-0005-0000-0000-0000B6000000}"/>
    <cellStyle name="Comma 4" xfId="189" xr:uid="{00000000-0005-0000-0000-0000B7000000}"/>
    <cellStyle name="Comma 7" xfId="190" xr:uid="{00000000-0005-0000-0000-0000B8000000}"/>
    <cellStyle name="Comma_Bridge Example" xfId="191" xr:uid="{00000000-0005-0000-0000-0000B9000000}"/>
    <cellStyle name="Comma0" xfId="192" xr:uid="{00000000-0005-0000-0000-0000BA000000}"/>
    <cellStyle name="CompanyName" xfId="193" xr:uid="{00000000-0005-0000-0000-0000BB000000}"/>
    <cellStyle name="ct1" xfId="194" xr:uid="{00000000-0005-0000-0000-0000BC000000}"/>
    <cellStyle name="ct2" xfId="195" xr:uid="{00000000-0005-0000-0000-0000BD000000}"/>
    <cellStyle name="ctm1" xfId="196" xr:uid="{00000000-0005-0000-0000-0000BE000000}"/>
    <cellStyle name="ctm2" xfId="197" xr:uid="{00000000-0005-0000-0000-0000BF000000}"/>
    <cellStyle name="ctm3" xfId="198" xr:uid="{00000000-0005-0000-0000-0000C0000000}"/>
    <cellStyle name="ctpp" xfId="199" xr:uid="{00000000-0005-0000-0000-0000C1000000}"/>
    <cellStyle name="Currency $" xfId="200" xr:uid="{00000000-0005-0000-0000-0000C2000000}"/>
    <cellStyle name="Currency [00]" xfId="201" xr:uid="{00000000-0005-0000-0000-0000C3000000}"/>
    <cellStyle name="Currency0" xfId="202" xr:uid="{00000000-0005-0000-0000-0000C4000000}"/>
    <cellStyle name="custom" xfId="203" xr:uid="{00000000-0005-0000-0000-0000C5000000}"/>
    <cellStyle name="Dan" xfId="204" xr:uid="{00000000-0005-0000-0000-0000C6000000}"/>
    <cellStyle name="Date" xfId="205" xr:uid="{00000000-0005-0000-0000-0000C7000000}"/>
    <cellStyle name="Date Short" xfId="206" xr:uid="{00000000-0005-0000-0000-0000C8000000}"/>
    <cellStyle name="Date_2008 Key figures" xfId="207" xr:uid="{00000000-0005-0000-0000-0000C9000000}"/>
    <cellStyle name="Date2" xfId="208" xr:uid="{00000000-0005-0000-0000-0000CA000000}"/>
    <cellStyle name="Datum" xfId="209" xr:uid="{00000000-0005-0000-0000-0000CB000000}"/>
    <cellStyle name="Decimal" xfId="210" xr:uid="{00000000-0005-0000-0000-0000CC000000}"/>
    <cellStyle name="DECON" xfId="211" xr:uid="{00000000-0005-0000-0000-0000CD000000}"/>
    <cellStyle name="Des2" xfId="212" xr:uid="{00000000-0005-0000-0000-0000CE000000}"/>
    <cellStyle name="Dezimal [0]_!!!GO" xfId="213" xr:uid="{00000000-0005-0000-0000-0000CF000000}"/>
    <cellStyle name="Dezimal_!!!GO" xfId="214" xr:uid="{00000000-0005-0000-0000-0000D0000000}"/>
    <cellStyle name="Dollar" xfId="215" xr:uid="{00000000-0005-0000-0000-0000D1000000}"/>
    <cellStyle name="Dollars" xfId="216" xr:uid="{00000000-0005-0000-0000-0000D2000000}"/>
    <cellStyle name="done" xfId="217" xr:uid="{00000000-0005-0000-0000-0000D3000000}"/>
    <cellStyle name="Dziesietny [0]_9815%" xfId="218" xr:uid="{00000000-0005-0000-0000-0000D4000000}"/>
    <cellStyle name="Dziesiętny_21" xfId="219" xr:uid="{00000000-0005-0000-0000-0000D5000000}"/>
    <cellStyle name="Dziesietny_9815%" xfId="220" xr:uid="{00000000-0005-0000-0000-0000D6000000}"/>
    <cellStyle name="Dziesiętny_Dłużnicy i Wierzyciele" xfId="221" xr:uid="{00000000-0005-0000-0000-0000D7000000}"/>
    <cellStyle name="E&amp;Y House" xfId="222" xr:uid="{00000000-0005-0000-0000-0000D8000000}"/>
    <cellStyle name="Èárky" xfId="223" xr:uid="{00000000-0005-0000-0000-0000D9000000}"/>
    <cellStyle name="Èárky [0]" xfId="224" xr:uid="{00000000-0005-0000-0000-0000DA000000}"/>
    <cellStyle name="Èárky_AMS" xfId="225" xr:uid="{00000000-0005-0000-0000-0000DB000000}"/>
    <cellStyle name="Emphasis 1" xfId="592" xr:uid="{FB2FD04A-F193-4D35-81D3-0FCF8368A9E5}"/>
    <cellStyle name="Emphasis 2" xfId="593" xr:uid="{CB872331-2E33-467F-90EC-EFA00D460B1F}"/>
    <cellStyle name="Emphasis 3" xfId="594" xr:uid="{33A5FF97-8FBD-415F-82FA-4870F86BAFE3}"/>
    <cellStyle name="EMPRESAS BELGO" xfId="226" xr:uid="{00000000-0005-0000-0000-0000DC000000}"/>
    <cellStyle name="Enter Currency (0)" xfId="227" xr:uid="{00000000-0005-0000-0000-0000DD000000}"/>
    <cellStyle name="Enter Currency (2)" xfId="228" xr:uid="{00000000-0005-0000-0000-0000DE000000}"/>
    <cellStyle name="Enter Units (0)" xfId="229" xr:uid="{00000000-0005-0000-0000-0000DF000000}"/>
    <cellStyle name="Enter Units (1)" xfId="230" xr:uid="{00000000-0005-0000-0000-0000E0000000}"/>
    <cellStyle name="Enter Units (2)" xfId="231" xr:uid="{00000000-0005-0000-0000-0000E1000000}"/>
    <cellStyle name="entetecolonne" xfId="232" xr:uid="{00000000-0005-0000-0000-0000E2000000}"/>
    <cellStyle name="Estilo 1" xfId="233" xr:uid="{00000000-0005-0000-0000-0000E3000000}"/>
    <cellStyle name="Estilo 1 2" xfId="595" xr:uid="{1B243E89-E36F-4351-AED3-FBD6CF4A5171}"/>
    <cellStyle name="Estilo 2" xfId="234" xr:uid="{00000000-0005-0000-0000-0000E4000000}"/>
    <cellStyle name="Estilo 2 2" xfId="596" xr:uid="{BF057072-4B88-4A2E-B87B-FBE7B50CBB43}"/>
    <cellStyle name="Estilo 3" xfId="235" xr:uid="{00000000-0005-0000-0000-0000E5000000}"/>
    <cellStyle name="Euro" xfId="236" xr:uid="{00000000-0005-0000-0000-0000E6000000}"/>
    <cellStyle name="Explanatory Text" xfId="237" xr:uid="{00000000-0005-0000-0000-0000E7000000}"/>
    <cellStyle name="Explanatory Text 2" xfId="597" xr:uid="{B6DE8FC2-53AE-45E3-817E-C5F075690C56}"/>
    <cellStyle name="F2" xfId="238" xr:uid="{00000000-0005-0000-0000-0000E8000000}"/>
    <cellStyle name="F3" xfId="239" xr:uid="{00000000-0005-0000-0000-0000E9000000}"/>
    <cellStyle name="F4" xfId="240" xr:uid="{00000000-0005-0000-0000-0000EA000000}"/>
    <cellStyle name="F5" xfId="241" xr:uid="{00000000-0005-0000-0000-0000EB000000}"/>
    <cellStyle name="F6" xfId="242" xr:uid="{00000000-0005-0000-0000-0000EC000000}"/>
    <cellStyle name="F7" xfId="243" xr:uid="{00000000-0005-0000-0000-0000ED000000}"/>
    <cellStyle name="F8" xfId="244" xr:uid="{00000000-0005-0000-0000-0000EE000000}"/>
    <cellStyle name="Fixed" xfId="245" xr:uid="{00000000-0005-0000-0000-0000EF000000}"/>
    <cellStyle name="general" xfId="246" xr:uid="{00000000-0005-0000-0000-0000F0000000}"/>
    <cellStyle name="Good" xfId="247" xr:uid="{00000000-0005-0000-0000-0000F1000000}"/>
    <cellStyle name="Good 2" xfId="598" xr:uid="{6B805669-877E-41DF-BA84-2CFCF4FDBB40}"/>
    <cellStyle name="Grey" xfId="248" xr:uid="{00000000-0005-0000-0000-0000F2000000}"/>
    <cellStyle name="GROS" xfId="249" xr:uid="{00000000-0005-0000-0000-0000F3000000}"/>
    <cellStyle name="GUIA DE INVESTIMENTOS" xfId="250" xr:uid="{00000000-0005-0000-0000-0000F4000000}"/>
    <cellStyle name="hard no" xfId="251" xr:uid="{00000000-0005-0000-0000-0000F5000000}"/>
    <cellStyle name="hardno" xfId="252" xr:uid="{00000000-0005-0000-0000-0000F6000000}"/>
    <cellStyle name="HEADER" xfId="253" xr:uid="{00000000-0005-0000-0000-0000F7000000}"/>
    <cellStyle name="Header1" xfId="254" xr:uid="{00000000-0005-0000-0000-0000F8000000}"/>
    <cellStyle name="Header2" xfId="255" xr:uid="{00000000-0005-0000-0000-0000F9000000}"/>
    <cellStyle name="Heading" xfId="256" xr:uid="{00000000-0005-0000-0000-0000FA000000}"/>
    <cellStyle name="Heading 1" xfId="257" xr:uid="{00000000-0005-0000-0000-0000FB000000}"/>
    <cellStyle name="Heading 1 2" xfId="599" xr:uid="{AC3A4B62-92B4-4EB3-9737-9B0CA035449C}"/>
    <cellStyle name="Heading 2" xfId="258" xr:uid="{00000000-0005-0000-0000-0000FC000000}"/>
    <cellStyle name="Heading 2 2" xfId="600" xr:uid="{67EF42C7-E01A-4896-9F94-60FC5BFD0A5D}"/>
    <cellStyle name="Heading 3" xfId="259" xr:uid="{00000000-0005-0000-0000-0000FD000000}"/>
    <cellStyle name="Heading 3 2" xfId="601" xr:uid="{66F4CBF9-6C4C-4C9C-9CE3-7183F4D0A62F}"/>
    <cellStyle name="Heading 4" xfId="260" xr:uid="{00000000-0005-0000-0000-0000FE000000}"/>
    <cellStyle name="Heading 4 2" xfId="602" xr:uid="{8D202B74-0BF7-4D2A-8AB8-06A700211C5A}"/>
    <cellStyle name="Heading1" xfId="261" xr:uid="{00000000-0005-0000-0000-0000FF000000}"/>
    <cellStyle name="Heading2" xfId="262" xr:uid="{00000000-0005-0000-0000-000000010000}"/>
    <cellStyle name="HIGHLIGHT" xfId="263" xr:uid="{00000000-0005-0000-0000-000001010000}"/>
    <cellStyle name="Hiperlacze" xfId="264" xr:uid="{00000000-0005-0000-0000-000002010000}"/>
    <cellStyle name="Hiperlink 2" xfId="966" xr:uid="{A2FBCD9C-DA3E-4F05-8787-DCA2FB09989D}"/>
    <cellStyle name="Hypertextový odkaz" xfId="265" xr:uid="{00000000-0005-0000-0000-000003010000}"/>
    <cellStyle name="Indent" xfId="266" xr:uid="{00000000-0005-0000-0000-000004010000}"/>
    <cellStyle name="Input" xfId="267" xr:uid="{00000000-0005-0000-0000-000005010000}"/>
    <cellStyle name="Input [yellow]" xfId="268" xr:uid="{00000000-0005-0000-0000-000006010000}"/>
    <cellStyle name="Input 2" xfId="603" xr:uid="{B8E30B28-DA40-49FF-AC2E-6A5A306F54C8}"/>
    <cellStyle name="Input Cells" xfId="269" xr:uid="{00000000-0005-0000-0000-000007010000}"/>
    <cellStyle name="Input_2013 FCF FC TCOE EBITDA Cost template_MRF7_incAMDS" xfId="270" xr:uid="{00000000-0005-0000-0000-000008010000}"/>
    <cellStyle name="InputBlueFont" xfId="271" xr:uid="{00000000-0005-0000-0000-000009010000}"/>
    <cellStyle name="Integer" xfId="272" xr:uid="{00000000-0005-0000-0000-00000A010000}"/>
    <cellStyle name="JV" xfId="273" xr:uid="{00000000-0005-0000-0000-00000B010000}"/>
    <cellStyle name="KASS01" xfId="274" xr:uid="{00000000-0005-0000-0000-00000C010000}"/>
    <cellStyle name="Link Currency (0)" xfId="275" xr:uid="{00000000-0005-0000-0000-00000D010000}"/>
    <cellStyle name="Link Currency (2)" xfId="276" xr:uid="{00000000-0005-0000-0000-00000E010000}"/>
    <cellStyle name="Link Units (0)" xfId="277" xr:uid="{00000000-0005-0000-0000-00000F010000}"/>
    <cellStyle name="Link Units (1)" xfId="278" xr:uid="{00000000-0005-0000-0000-000010010000}"/>
    <cellStyle name="Link Units (2)" xfId="279" xr:uid="{00000000-0005-0000-0000-000011010000}"/>
    <cellStyle name="Linked Cell" xfId="280" xr:uid="{00000000-0005-0000-0000-000012010000}"/>
    <cellStyle name="Linked Cell 2" xfId="604" xr:uid="{2BE00DD1-C0EC-4D46-8427-5E7F707BF0AD}"/>
    <cellStyle name="M·na" xfId="281" xr:uid="{00000000-0005-0000-0000-000013010000}"/>
    <cellStyle name="M‰na" xfId="282" xr:uid="{00000000-0005-0000-0000-000014010000}"/>
    <cellStyle name="mb01" xfId="283" xr:uid="{00000000-0005-0000-0000-000015010000}"/>
    <cellStyle name="mb11" xfId="284" xr:uid="{00000000-0005-0000-0000-000016010000}"/>
    <cellStyle name="mbf11" xfId="285" xr:uid="{00000000-0005-0000-0000-000017010000}"/>
    <cellStyle name="měny_12-98o" xfId="286" xr:uid="{00000000-0005-0000-0000-000018010000}"/>
    <cellStyle name="meny_4029" xfId="287" xr:uid="{00000000-0005-0000-0000-000019010000}"/>
    <cellStyle name="měny_ČINNOSTI" xfId="288" xr:uid="{00000000-0005-0000-0000-00001A010000}"/>
    <cellStyle name="meny_Modul1" xfId="289" xr:uid="{00000000-0005-0000-0000-00001B010000}"/>
    <cellStyle name="měny_Modul1" xfId="290" xr:uid="{00000000-0005-0000-0000-00001C010000}"/>
    <cellStyle name="meny_Modul1_Úvodní list" xfId="291" xr:uid="{00000000-0005-0000-0000-00001D010000}"/>
    <cellStyle name="měny_Modul1_Úvodní list" xfId="292" xr:uid="{00000000-0005-0000-0000-00001E010000}"/>
    <cellStyle name="meny_ostrý_ceník" xfId="293" xr:uid="{00000000-0005-0000-0000-00001F010000}"/>
    <cellStyle name="měny_rozvaha - duben 2001En" xfId="294" xr:uid="{00000000-0005-0000-0000-000020010000}"/>
    <cellStyle name="meny_Seznam stroju_Cut-off" xfId="295" xr:uid="{00000000-0005-0000-0000-000021010000}"/>
    <cellStyle name="měny_Seznam strojů_Cut-off" xfId="296" xr:uid="{00000000-0005-0000-0000-000022010000}"/>
    <cellStyle name="meny_Seznam stroju_Cut-off_02 Val TB+leads tu" xfId="297" xr:uid="{00000000-0005-0000-0000-000023010000}"/>
    <cellStyle name="měny_Seznam strojů_Cut-off_02 Val TB+leads tu" xfId="298" xr:uid="{00000000-0005-0000-0000-000024010000}"/>
    <cellStyle name="meny_Seznam stroju_LB WPs in progress" xfId="299" xr:uid="{00000000-0005-0000-0000-000025010000}"/>
    <cellStyle name="měny_Seznam strojů_LB WPs in progress" xfId="300" xr:uid="{00000000-0005-0000-0000-000026010000}"/>
    <cellStyle name="meny_Seznam stroju_LB WPs in progress_02 cut-off" xfId="301" xr:uid="{00000000-0005-0000-0000-000027010000}"/>
    <cellStyle name="měny_Seznam strojů_LB WPs in progress_02 cut-off" xfId="302" xr:uid="{00000000-0005-0000-0000-000028010000}"/>
    <cellStyle name="meny_Seznam stroju_LB WPs in progress_02 cut-off_02 Val TB+leads tu" xfId="303" xr:uid="{00000000-0005-0000-0000-000029010000}"/>
    <cellStyle name="měny_Seznam strojů_LB WPs in progress_02 cut-off_02 Val TB+leads tu" xfId="304" xr:uid="{00000000-0005-0000-0000-00002A010000}"/>
    <cellStyle name="meny_Seznam stroju_LB WPs in progress_02 Val TB+leads tu" xfId="305" xr:uid="{00000000-0005-0000-0000-00002B010000}"/>
    <cellStyle name="měny_Seznam strojů_LB WPs in progress_02 Val TB+leads tu" xfId="306" xr:uid="{00000000-0005-0000-0000-00002C010000}"/>
    <cellStyle name="meny_Seznam stroju_LB WPs in progress_sales cut-off" xfId="307" xr:uid="{00000000-0005-0000-0000-00002D010000}"/>
    <cellStyle name="měny_Seznam strojů_LB WPs in progress_sales cut-off" xfId="308" xr:uid="{00000000-0005-0000-0000-00002E010000}"/>
    <cellStyle name="meny_Seznam stroju_LB WPs in progress_sales cut-off_02 Val TB+leads tu" xfId="309" xr:uid="{00000000-0005-0000-0000-00002F010000}"/>
    <cellStyle name="měny_Seznam strojů_LB WPs in progress_sales cut-off_02 Val TB+leads tu" xfId="310" xr:uid="{00000000-0005-0000-0000-000030010000}"/>
    <cellStyle name="meny_Úvodní list" xfId="311" xr:uid="{00000000-0005-0000-0000-000031010000}"/>
    <cellStyle name="měny_Úvodní list" xfId="312" xr:uid="{00000000-0005-0000-0000-000032010000}"/>
    <cellStyle name="Migliaia (0)_BFR2" xfId="313" xr:uid="{00000000-0005-0000-0000-000033010000}"/>
    <cellStyle name="Milliers [0]_!!!GO" xfId="314" xr:uid="{00000000-0005-0000-0000-000034010000}"/>
    <cellStyle name="Milliers_!!!GO" xfId="315" xr:uid="{00000000-0005-0000-0000-000035010000}"/>
    <cellStyle name="Mìny" xfId="316" xr:uid="{00000000-0005-0000-0000-000036010000}"/>
    <cellStyle name="Model" xfId="317" xr:uid="{00000000-0005-0000-0000-000037010000}"/>
    <cellStyle name="Moeda 2" xfId="888" xr:uid="{435607AF-F10A-4990-8AD6-83DF438EB45A}"/>
    <cellStyle name="Moeda 2 2" xfId="948" xr:uid="{59C93D00-421E-47AF-B85A-7DDB59BF8CF5}"/>
    <cellStyle name="Moneda [0]_Plan Indutrial Madrid 2003-2007" xfId="318" xr:uid="{00000000-0005-0000-0000-000038010000}"/>
    <cellStyle name="Moneda_Plan Indutrial Madrid 2003-2007" xfId="319" xr:uid="{00000000-0005-0000-0000-000039010000}"/>
    <cellStyle name="Monétaire [0]_!!!GO" xfId="320" xr:uid="{00000000-0005-0000-0000-00003A010000}"/>
    <cellStyle name="Monétaire_!!!GO" xfId="321" xr:uid="{00000000-0005-0000-0000-00003B010000}"/>
    <cellStyle name="mv02" xfId="322" xr:uid="{00000000-0005-0000-0000-00003C010000}"/>
    <cellStyle name="mv12" xfId="323" xr:uid="{00000000-0005-0000-0000-00003D010000}"/>
    <cellStyle name="mva03" xfId="324" xr:uid="{00000000-0005-0000-0000-00003E010000}"/>
    <cellStyle name="mva13" xfId="325" xr:uid="{00000000-0005-0000-0000-00003F010000}"/>
    <cellStyle name="Nadpis1" xfId="326" xr:uid="{00000000-0005-0000-0000-000040010000}"/>
    <cellStyle name="Nadpis2" xfId="327" xr:uid="{00000000-0005-0000-0000-000041010000}"/>
    <cellStyle name="nagłówek" xfId="328" xr:uid="{00000000-0005-0000-0000-000042010000}"/>
    <cellStyle name="Navega1" xfId="605" xr:uid="{BB3EEF7F-7806-4D40-8ACF-452F076DA577}"/>
    <cellStyle name="NavegaDrill1" xfId="606" xr:uid="{7420E3CD-0949-48C6-9511-650C3E252850}"/>
    <cellStyle name="Neutral" xfId="329" xr:uid="{00000000-0005-0000-0000-000043010000}"/>
    <cellStyle name="Neutral 2" xfId="607" xr:uid="{61E43BF8-3818-44C9-AC24-B4B0DD21CDA6}"/>
    <cellStyle name="ng sign-offs.xls'!vrs" xfId="330" xr:uid="{00000000-0005-0000-0000-000044010000}"/>
    <cellStyle name="no dec" xfId="331" xr:uid="{00000000-0005-0000-0000-000045010000}"/>
    <cellStyle name="No-definido" xfId="332" xr:uid="{00000000-0005-0000-0000-000046010000}"/>
    <cellStyle name="NOME DA EMPRESA" xfId="333" xr:uid="{00000000-0005-0000-0000-000047010000}"/>
    <cellStyle name="NOMEMPTITULO" xfId="334" xr:uid="{00000000-0005-0000-0000-000048010000}"/>
    <cellStyle name="Non défini" xfId="335" xr:uid="{00000000-0005-0000-0000-000049010000}"/>
    <cellStyle name="Nor}al" xfId="336" xr:uid="{00000000-0005-0000-0000-00004A010000}"/>
    <cellStyle name="Normal" xfId="0" builtinId="0"/>
    <cellStyle name="Normal - Estilo1" xfId="337" xr:uid="{00000000-0005-0000-0000-00004C010000}"/>
    <cellStyle name="Normal - Styl1" xfId="338" xr:uid="{00000000-0005-0000-0000-00004D010000}"/>
    <cellStyle name="Normal - Styl2" xfId="339" xr:uid="{00000000-0005-0000-0000-00004E010000}"/>
    <cellStyle name="Normal - Styl3" xfId="340" xr:uid="{00000000-0005-0000-0000-00004F010000}"/>
    <cellStyle name="Normal - Styl4" xfId="341" xr:uid="{00000000-0005-0000-0000-000050010000}"/>
    <cellStyle name="Normal - Styl5" xfId="342" xr:uid="{00000000-0005-0000-0000-000051010000}"/>
    <cellStyle name="Normal - Styl6" xfId="343" xr:uid="{00000000-0005-0000-0000-000052010000}"/>
    <cellStyle name="Normal - Styl7" xfId="344" xr:uid="{00000000-0005-0000-0000-000053010000}"/>
    <cellStyle name="Normal - Style1" xfId="345" xr:uid="{00000000-0005-0000-0000-000054010000}"/>
    <cellStyle name="Normal - Style1 2" xfId="920" xr:uid="{1D428B7A-7ED3-461B-89DC-3430D235AD25}"/>
    <cellStyle name="Normal 10" xfId="523" xr:uid="{9112B5DD-DB7C-469F-BD75-E56491F893BC}"/>
    <cellStyle name="Normal 10 2" xfId="851" xr:uid="{02AD5806-9285-4C23-A4AE-A78ED04F49AE}"/>
    <cellStyle name="Normal 10 3" xfId="733" xr:uid="{24CE740F-79E0-4591-ACCA-B545CC7F0976}"/>
    <cellStyle name="Normal 10 4" xfId="878" xr:uid="{39875C73-DE30-43C2-A49B-4D6D958177A7}"/>
    <cellStyle name="Normal 11" xfId="524" xr:uid="{B285E6DD-5C68-4221-A00C-BBDC47FCFEB4}"/>
    <cellStyle name="Normal 11 2" xfId="735" xr:uid="{47DC19C1-41FF-410E-97B7-663D4762C034}"/>
    <cellStyle name="Normal 11 3" xfId="877" xr:uid="{5418F834-9732-409B-A5FF-DB94C7CB275F}"/>
    <cellStyle name="Normal 12" xfId="525" xr:uid="{0EF61153-8804-45C2-AAAB-7238B9923167}"/>
    <cellStyle name="Normal 12 2" xfId="797" xr:uid="{6749BDBF-BB98-455E-8030-0689FD687727}"/>
    <cellStyle name="Normal 13" xfId="526" xr:uid="{CC9A47C4-F758-41F3-80E2-E28E0B909E78}"/>
    <cellStyle name="Normal 13 2" xfId="804" xr:uid="{7F02729A-522C-49ED-B56E-DE3287E3D7CE}"/>
    <cellStyle name="Normal 13 3" xfId="885" xr:uid="{E2DAE5E8-3C3C-4FEE-B112-D9DBA1D45D28}"/>
    <cellStyle name="Normal 14" xfId="527" xr:uid="{DD20CDB4-73CA-4464-9E46-D057DEE76A2B}"/>
    <cellStyle name="Normal 14 2" xfId="817" xr:uid="{F9F37371-FBA9-4C52-BE4E-DA4FF2425493}"/>
    <cellStyle name="Normal 14 3" xfId="887" xr:uid="{25121EA8-95E7-46F3-B943-28DDB0C07191}"/>
    <cellStyle name="Normal 15" xfId="528" xr:uid="{D954F3FD-F03A-42E7-8B79-28594EAA6198}"/>
    <cellStyle name="Normal 15 2" xfId="818" xr:uid="{3E482D55-E742-4D8B-BB1B-CBA9AF9F658F}"/>
    <cellStyle name="Normal 15 3" xfId="889" xr:uid="{87B579F6-BAFB-4AB5-BBFD-A1413C6B16DD}"/>
    <cellStyle name="Normal 16" xfId="529" xr:uid="{EBB14692-221E-4FA2-8510-76378D0E6E89}"/>
    <cellStyle name="Normal 16 2" xfId="831" xr:uid="{3DF0516B-5E05-4F27-B0A9-BD2B86C054F2}"/>
    <cellStyle name="Normal 17" xfId="530" xr:uid="{008D73BC-D51E-4AC4-A8E4-D0A015837B32}"/>
    <cellStyle name="Normal 17 2" xfId="839" xr:uid="{08A16840-8E0B-4C3E-91FF-0D940465F1C0}"/>
    <cellStyle name="Normal 18" xfId="847" xr:uid="{6E517091-123A-4490-9519-A43C0F7A07DC}"/>
    <cellStyle name="Normal 18 2" xfId="967" xr:uid="{895CF578-00D4-436C-8E4F-85AA2DAA2C82}"/>
    <cellStyle name="Normal 19" xfId="848" xr:uid="{93A1B200-2634-4E9F-877A-A4A9FE445C5E}"/>
    <cellStyle name="Normal 19 2" xfId="893" xr:uid="{94FC86E2-0E8E-40D3-90C5-D8B32B82A3CD}"/>
    <cellStyle name="Normal 2" xfId="346" xr:uid="{00000000-0005-0000-0000-000055010000}"/>
    <cellStyle name="Normal 2 2" xfId="876" xr:uid="{CB90BF95-DC32-4A00-9413-226225D84F3F}"/>
    <cellStyle name="Normal 2 2 4 3" xfId="949" xr:uid="{AFF2AFAB-1DC7-46D8-AA23-F143800AA007}"/>
    <cellStyle name="Normal 2 2_Bridge Fixed Cost_Budget 2013 VII_20121024" xfId="950" xr:uid="{FF4F7878-F267-47D5-9304-C7B61BEEE840}"/>
    <cellStyle name="Normal 2 4 2" xfId="873" xr:uid="{F9E6FC18-C4D9-48F8-82EB-1AA08379325C}"/>
    <cellStyle name="Normal 20" xfId="850" xr:uid="{6C734011-53E5-4262-A52B-B9E5C59581B9}"/>
    <cellStyle name="Normal 20 2" xfId="895" xr:uid="{E33EBBD0-FDBD-4F55-9666-E57535D2F7F1}"/>
    <cellStyle name="Normal 20 3" xfId="971" xr:uid="{C794037F-D1C8-4E0C-BA18-C126C8BFA32E}"/>
    <cellStyle name="Normal 21" xfId="852" xr:uid="{34360390-FB84-4616-AF72-C53113DB904E}"/>
    <cellStyle name="Normal 21 2" xfId="904" xr:uid="{38CAB26D-F3BF-4E7D-9CFF-32C98D952175}"/>
    <cellStyle name="Normal 22" xfId="853" xr:uid="{4462EE5E-165C-4213-98CE-422D62E02E6A}"/>
    <cellStyle name="Normal 22 2" xfId="896" xr:uid="{3D525486-8F4F-4261-A166-BC17E6AC2530}"/>
    <cellStyle name="Normal 23" xfId="860" xr:uid="{CCBFBB7E-D97D-444A-B8C8-E39A84B2AFE2}"/>
    <cellStyle name="Normal 23 2" xfId="898" xr:uid="{98088B21-05B7-44DB-BED1-6561726B0476}"/>
    <cellStyle name="Normal 24" xfId="854" xr:uid="{80B32392-14A8-4E88-B4A7-214B86775AD7}"/>
    <cellStyle name="Normal 25" xfId="855" xr:uid="{2233D5D9-BB3F-41A6-99FB-F4957055772E}"/>
    <cellStyle name="Normal 26" xfId="857" xr:uid="{FA26918C-1EF6-4105-B71D-29E749E58662}"/>
    <cellStyle name="Normal 27" xfId="858" xr:uid="{B5136D1B-6C45-4052-9A2F-FF4F4D663545}"/>
    <cellStyle name="Normal 28" xfId="859" xr:uid="{DBC561E8-842E-48C7-8BC2-F992C51E0291}"/>
    <cellStyle name="Normal 29" xfId="862" xr:uid="{E7CD7C3C-D7F3-4514-99A8-8C0B0E19EDEA}"/>
    <cellStyle name="Normal 3" xfId="347" xr:uid="{00000000-0005-0000-0000-000056010000}"/>
    <cellStyle name="Normal 3 2" xfId="867" xr:uid="{ABBADE33-4138-449E-A3C5-42E35A8D0F5B}"/>
    <cellStyle name="Normal 3 2 2" xfId="882" xr:uid="{9A2DF222-A6B2-4B57-A934-86FFE58BEF46}"/>
    <cellStyle name="Normal 3 2 3" xfId="916" xr:uid="{85B3FAAC-3100-40E8-827D-1F2963AA6171}"/>
    <cellStyle name="Normal 3 3" xfId="533" xr:uid="{D114590F-A9D0-43E6-932A-B770AB6335A9}"/>
    <cellStyle name="Normal 30" xfId="864" xr:uid="{03BA21AE-9EB4-456F-AC1B-F5AD7CBC2A35}"/>
    <cellStyle name="Normal 31" xfId="866" xr:uid="{4C9C176A-EC1A-42CD-B35D-B8191C0CE865}"/>
    <cellStyle name="Normal 32" xfId="874" xr:uid="{13ABDAD8-E9F8-4FC0-83AF-1AF1B6C7A9F2}"/>
    <cellStyle name="Normal 33" xfId="879" xr:uid="{3C6A2077-7B96-40F2-BE8A-F8C09D54AF84}"/>
    <cellStyle name="Normal 34" xfId="884" xr:uid="{6CE5DE63-4F08-4AC7-97FE-28C5C8FE1ED4}"/>
    <cellStyle name="Normal 35" xfId="900" xr:uid="{D11BE09E-C3B9-42E0-B3C5-53E16EFD7423}"/>
    <cellStyle name="Normal 36" xfId="899" xr:uid="{8508C68A-7B22-4EEB-B6A1-A029B5CF4BB6}"/>
    <cellStyle name="Normal 37" xfId="901" xr:uid="{EF71F7C7-53D1-4E19-8FBF-2BA69C0AE8FB}"/>
    <cellStyle name="Normal 38" xfId="969" xr:uid="{29F7BC43-9A35-4767-ABEC-BEE3215F2BBB}"/>
    <cellStyle name="Normal 39" xfId="973" xr:uid="{3788FEF8-894C-415F-9690-9629354C3F70}"/>
    <cellStyle name="Normal 393" xfId="951" xr:uid="{8D23E590-E85B-4867-A633-B1C205A50E78}"/>
    <cellStyle name="Normal 4" xfId="512" xr:uid="{00000000-0005-0000-0000-000057010000}"/>
    <cellStyle name="Normal 4 2" xfId="868" xr:uid="{A9B84396-2721-476B-9483-2B62401318A4}"/>
    <cellStyle name="Normal 4 3" xfId="870" xr:uid="{072DBCB2-194C-4355-BD7C-6E5810948873}"/>
    <cellStyle name="Normal 4 3 2" xfId="970" xr:uid="{8494241D-7BAD-4446-8C19-E82071D5DD4D}"/>
    <cellStyle name="Normal 4 4" xfId="535" xr:uid="{4B61D706-98CB-405B-ABCC-82907E7C4FBA}"/>
    <cellStyle name="Normal 4 5" xfId="883" xr:uid="{0E32E32F-ABA5-401C-B55A-E059C27BEC5C}"/>
    <cellStyle name="Normal 40" xfId="917" xr:uid="{AF503F31-373C-46EE-B702-504CC71AA7E8}"/>
    <cellStyle name="Normal 41" xfId="974" xr:uid="{BB28F0A1-59CC-40A5-AD6A-D7D24FCC718C}"/>
    <cellStyle name="Normal 415" xfId="539" xr:uid="{813BE4BE-E482-4A87-BAFB-E6CD5152F2F3}"/>
    <cellStyle name="Normal 42" xfId="977" xr:uid="{8BF0F37D-D3FA-45E3-9F33-10363B21765F}"/>
    <cellStyle name="Normal 5" xfId="514" xr:uid="{1DABF729-C251-4239-A169-D95A94977844}"/>
    <cellStyle name="Normal 5 2" xfId="865" xr:uid="{27C99787-F3D3-450D-AD4B-443520DA6FA2}"/>
    <cellStyle name="Normal 5 3" xfId="537" xr:uid="{575DB0E0-0A9B-4C20-AF60-F1B7C9388573}"/>
    <cellStyle name="Normal 5 4" xfId="907" xr:uid="{82FD0237-1012-401A-AD03-C480B8C136F9}"/>
    <cellStyle name="Normal 511" xfId="871" xr:uid="{FE028330-CD31-4380-8A12-15D60128DD5A}"/>
    <cellStyle name="Normal 511 2" xfId="890" xr:uid="{9243F923-A5C3-4CAA-B4F3-3C776AC6300F}"/>
    <cellStyle name="Normal 511 3" xfId="952" xr:uid="{D4AE8B05-F1CA-48ED-B272-9C8FC3708151}"/>
    <cellStyle name="Normal 52" xfId="921" xr:uid="{AF4C2A79-752B-45DF-B9EF-9353388AEDA5}"/>
    <cellStyle name="Normal 54" xfId="922" xr:uid="{A9396BB9-7299-457A-8D22-7A6E86AE449F}"/>
    <cellStyle name="Normal 55" xfId="923" xr:uid="{9E959390-36CF-4D33-A266-F9C49223D399}"/>
    <cellStyle name="Normal 56" xfId="924" xr:uid="{54E20E5C-0115-46C4-ADF4-00D918623239}"/>
    <cellStyle name="Normal 57" xfId="925" xr:uid="{686C801A-E001-41E4-B4F1-0804BA96612A}"/>
    <cellStyle name="Normal 59" xfId="926" xr:uid="{127B640C-34AB-40F7-8F44-8C0A03C95C9C}"/>
    <cellStyle name="Normal 6" xfId="516" xr:uid="{676BF310-0D5D-4349-811C-63581D4B8C79}"/>
    <cellStyle name="Normal 6 2" xfId="545" xr:uid="{9123411E-AC3E-4659-8C80-5448472C9955}"/>
    <cellStyle name="Normal 6 2 2" xfId="918" xr:uid="{84B76297-CB59-4A7B-BB2F-1D338B0C696F}"/>
    <cellStyle name="Normal 6 3" xfId="909" xr:uid="{B058B017-C846-4569-8A7E-A0370F926AE3}"/>
    <cellStyle name="Normal 6 3 2" xfId="978" xr:uid="{FE922221-C46D-440C-A6FE-2EC16243D1DD}"/>
    <cellStyle name="Normal 60" xfId="927" xr:uid="{6C53C73C-583F-4AFC-B736-CC5ADFB4EA55}"/>
    <cellStyle name="Normal 61" xfId="928" xr:uid="{37C1C1FF-8A93-468C-AF6E-4F553F16099E}"/>
    <cellStyle name="Normal 62" xfId="929" xr:uid="{B53E95D3-6D9D-4F2A-A6C7-DCC7FB5A5242}"/>
    <cellStyle name="Normal 63" xfId="930" xr:uid="{46A05A3E-96C4-401A-849A-32C76A1FFC82}"/>
    <cellStyle name="Normal 64" xfId="931" xr:uid="{0A2A5794-23EB-48FD-8855-8CE90D6F83ED}"/>
    <cellStyle name="Normal 66" xfId="932" xr:uid="{4FE6EEB9-F7C3-4E52-A8A5-4552216976A1}"/>
    <cellStyle name="Normal 68" xfId="933" xr:uid="{D80E9B3E-AD70-4027-BB8B-E544ED25F00D}"/>
    <cellStyle name="Normal 69" xfId="934" xr:uid="{9BA26FAF-F6D4-4499-835D-2494BB841F7D}"/>
    <cellStyle name="Normal 7" xfId="517" xr:uid="{5AA3FD36-7A49-4C43-B9C6-8187B1837681}"/>
    <cellStyle name="Normal 7 2" xfId="546" xr:uid="{B78CD27D-611A-40D7-AAFD-1B6197A14762}"/>
    <cellStyle name="Normal 7 3" xfId="910" xr:uid="{FE26E61E-71D6-4CF3-87B7-EA584C830B9B}"/>
    <cellStyle name="Normal 70" xfId="935" xr:uid="{720B34A5-ADF4-4F54-AA1D-4E0AFC9A30F2}"/>
    <cellStyle name="Normal 72" xfId="936" xr:uid="{834D9528-9E97-4460-A379-D3D81FA004E8}"/>
    <cellStyle name="Normal 73" xfId="937" xr:uid="{6EECFAA9-04FB-4F5B-9938-16030513DF41}"/>
    <cellStyle name="Normal 74" xfId="938" xr:uid="{0C5A1E57-A4DD-4D53-8868-99CE7CAC77F1}"/>
    <cellStyle name="Normal 75" xfId="939" xr:uid="{E2D02CEC-82C1-4EA0-85BD-DA102A7A7F9F}"/>
    <cellStyle name="Normal 78" xfId="940" xr:uid="{C4FFD838-4831-4412-A9B2-14493A1D3EF0}"/>
    <cellStyle name="Normal 79" xfId="941" xr:uid="{FB2F12D9-9BD0-4F7E-893B-552330D6429F}"/>
    <cellStyle name="Normal 8" xfId="520" xr:uid="{15CEB636-D645-494D-BE90-6F62DABFF066}"/>
    <cellStyle name="Normal 8 2" xfId="701" xr:uid="{96DFE2A1-1121-486E-9DBC-AB4BD0D2CDD1}"/>
    <cellStyle name="Normal 8 3" xfId="913" xr:uid="{F6344394-1102-402B-9532-555C803B5149}"/>
    <cellStyle name="Normal 9" xfId="521" xr:uid="{E74D0A53-6D5C-483F-9395-B49D273C210A}"/>
    <cellStyle name="Normal 9 2" xfId="720" xr:uid="{F6B56E57-ECD9-4091-9DF0-2D7B0009F468}"/>
    <cellStyle name="Normal 9 3" xfId="914" xr:uid="{9D1754E3-7EF7-4B52-816E-C734E1FE4E38}"/>
    <cellStyle name="Normal_Nova Hut Plan_NEW" xfId="3" xr:uid="{00000000-0005-0000-0000-000058010000}"/>
    <cellStyle name="normálne_2004-v0-oct21-predaj-bilancie" xfId="348" xr:uid="{00000000-0005-0000-0000-000059010000}"/>
    <cellStyle name="normální_1997" xfId="349" xr:uid="{00000000-0005-0000-0000-00005A010000}"/>
    <cellStyle name="Normalny 2" xfId="350" xr:uid="{00000000-0005-0000-0000-00005B010000}"/>
    <cellStyle name="Normalny__Detailed EBITDA Bridge YTD 2006+DP FINAL v3 (2)" xfId="351" xr:uid="{00000000-0005-0000-0000-00005C010000}"/>
    <cellStyle name="Note" xfId="352" xr:uid="{00000000-0005-0000-0000-00005D010000}"/>
    <cellStyle name="Note 2" xfId="608" xr:uid="{21ABA847-1F0F-49FD-820E-1E26A87F19C5}"/>
    <cellStyle name="number" xfId="353" xr:uid="{00000000-0005-0000-0000-00005E010000}"/>
    <cellStyle name="Odwiedzone hiperlacze" xfId="354" xr:uid="{00000000-0005-0000-0000-00005F010000}"/>
    <cellStyle name="Œ…‹æØ‚è [0.00]_!!!GO" xfId="355" xr:uid="{00000000-0005-0000-0000-000060010000}"/>
    <cellStyle name="Œ…‹æØ‚è_!!!GO" xfId="356" xr:uid="{00000000-0005-0000-0000-000061010000}"/>
    <cellStyle name="OS0023" xfId="357" xr:uid="{00000000-0005-0000-0000-000062010000}"/>
    <cellStyle name="outh America" xfId="358" xr:uid="{00000000-0005-0000-0000-000063010000}"/>
    <cellStyle name="Output" xfId="359" xr:uid="{00000000-0005-0000-0000-000064010000}"/>
    <cellStyle name="Output 2" xfId="609" xr:uid="{936F191C-6424-4C2E-A768-F56B2B0CB510}"/>
    <cellStyle name="Output Amounts" xfId="360" xr:uid="{00000000-0005-0000-0000-000065010000}"/>
    <cellStyle name="Output Column Headings" xfId="361" xr:uid="{00000000-0005-0000-0000-000066010000}"/>
    <cellStyle name="Output Line Items" xfId="362" xr:uid="{00000000-0005-0000-0000-000067010000}"/>
    <cellStyle name="Output Report Heading" xfId="363" xr:uid="{00000000-0005-0000-0000-000068010000}"/>
    <cellStyle name="Output Report Title" xfId="364" xr:uid="{00000000-0005-0000-0000-000069010000}"/>
    <cellStyle name="per.style" xfId="365" xr:uid="{00000000-0005-0000-0000-00006A010000}"/>
    <cellStyle name="Percent [0]" xfId="366" xr:uid="{00000000-0005-0000-0000-00006B010000}"/>
    <cellStyle name="Percent [00]" xfId="367" xr:uid="{00000000-0005-0000-0000-00006C010000}"/>
    <cellStyle name="Percent [2]" xfId="368" xr:uid="{00000000-0005-0000-0000-00006D010000}"/>
    <cellStyle name="Pevní" xfId="369" xr:uid="{00000000-0005-0000-0000-00006E010000}"/>
    <cellStyle name="Pevnť" xfId="370" xr:uid="{00000000-0005-0000-0000-00006F010000}"/>
    <cellStyle name="Porcentagem" xfId="2" builtinId="5"/>
    <cellStyle name="Porcentagem 2" xfId="536" xr:uid="{C5A64CB0-D121-4C80-A470-5A5ED5118366}"/>
    <cellStyle name="Porcentagem 3" xfId="902" xr:uid="{5FDD2201-9A82-40FB-8318-29CDC2B3012D}"/>
    <cellStyle name="Porcentagem 4" xfId="976" xr:uid="{BDAFA78A-19CF-4089-B987-78B829A7D354}"/>
    <cellStyle name="PrePop Currency (0)" xfId="371" xr:uid="{00000000-0005-0000-0000-000071010000}"/>
    <cellStyle name="PrePop Currency (2)" xfId="372" xr:uid="{00000000-0005-0000-0000-000072010000}"/>
    <cellStyle name="PrePop Units (0)" xfId="373" xr:uid="{00000000-0005-0000-0000-000073010000}"/>
    <cellStyle name="PrePop Units (1)" xfId="374" xr:uid="{00000000-0005-0000-0000-000074010000}"/>
    <cellStyle name="PrePop Units (2)" xfId="375" xr:uid="{00000000-0005-0000-0000-000075010000}"/>
    <cellStyle name="price_New Header" xfId="376" xr:uid="{00000000-0005-0000-0000-000076010000}"/>
    <cellStyle name="Procenta" xfId="377" xr:uid="{00000000-0005-0000-0000-000077010000}"/>
    <cellStyle name="Proposal_niv1" xfId="378" xr:uid="{00000000-0005-0000-0000-000078010000}"/>
    <cellStyle name="PSChar" xfId="379" xr:uid="{00000000-0005-0000-0000-000079010000}"/>
    <cellStyle name="PSDate" xfId="380" xr:uid="{00000000-0005-0000-0000-00007A010000}"/>
    <cellStyle name="PSDec" xfId="381" xr:uid="{00000000-0005-0000-0000-00007B010000}"/>
    <cellStyle name="PSHeading" xfId="382" xr:uid="{00000000-0005-0000-0000-00007C010000}"/>
    <cellStyle name="PSInt" xfId="383" xr:uid="{00000000-0005-0000-0000-00007D010000}"/>
    <cellStyle name="PSSpacer" xfId="384" xr:uid="{00000000-0005-0000-0000-00007E010000}"/>
    <cellStyle name="public" xfId="385" xr:uid="{00000000-0005-0000-0000-00007F010000}"/>
    <cellStyle name="R00A" xfId="386" xr:uid="{00000000-0005-0000-0000-000080010000}"/>
    <cellStyle name="R00B" xfId="387" xr:uid="{00000000-0005-0000-0000-000081010000}"/>
    <cellStyle name="R00L" xfId="388" xr:uid="{00000000-0005-0000-0000-000082010000}"/>
    <cellStyle name="R01A" xfId="389" xr:uid="{00000000-0005-0000-0000-000083010000}"/>
    <cellStyle name="R01B" xfId="390" xr:uid="{00000000-0005-0000-0000-000084010000}"/>
    <cellStyle name="R01H" xfId="391" xr:uid="{00000000-0005-0000-0000-000085010000}"/>
    <cellStyle name="R01L" xfId="392" xr:uid="{00000000-0005-0000-0000-000086010000}"/>
    <cellStyle name="R02A" xfId="393" xr:uid="{00000000-0005-0000-0000-000087010000}"/>
    <cellStyle name="R02B" xfId="394" xr:uid="{00000000-0005-0000-0000-000088010000}"/>
    <cellStyle name="R02H" xfId="395" xr:uid="{00000000-0005-0000-0000-000089010000}"/>
    <cellStyle name="R02L" xfId="396" xr:uid="{00000000-0005-0000-0000-00008A010000}"/>
    <cellStyle name="R03A" xfId="397" xr:uid="{00000000-0005-0000-0000-00008B010000}"/>
    <cellStyle name="R03B" xfId="398" xr:uid="{00000000-0005-0000-0000-00008C010000}"/>
    <cellStyle name="R03H" xfId="399" xr:uid="{00000000-0005-0000-0000-00008D010000}"/>
    <cellStyle name="R03L" xfId="400" xr:uid="{00000000-0005-0000-0000-00008E010000}"/>
    <cellStyle name="R04A" xfId="401" xr:uid="{00000000-0005-0000-0000-00008F010000}"/>
    <cellStyle name="R04B" xfId="402" xr:uid="{00000000-0005-0000-0000-000090010000}"/>
    <cellStyle name="R04H" xfId="403" xr:uid="{00000000-0005-0000-0000-000091010000}"/>
    <cellStyle name="R04L" xfId="404" xr:uid="{00000000-0005-0000-0000-000092010000}"/>
    <cellStyle name="R05A" xfId="405" xr:uid="{00000000-0005-0000-0000-000093010000}"/>
    <cellStyle name="R05B" xfId="406" xr:uid="{00000000-0005-0000-0000-000094010000}"/>
    <cellStyle name="R05H" xfId="407" xr:uid="{00000000-0005-0000-0000-000095010000}"/>
    <cellStyle name="R05L" xfId="408" xr:uid="{00000000-0005-0000-0000-000096010000}"/>
    <cellStyle name="R06A" xfId="409" xr:uid="{00000000-0005-0000-0000-000097010000}"/>
    <cellStyle name="R06B" xfId="410" xr:uid="{00000000-0005-0000-0000-000098010000}"/>
    <cellStyle name="R06H" xfId="411" xr:uid="{00000000-0005-0000-0000-000099010000}"/>
    <cellStyle name="R06L" xfId="412" xr:uid="{00000000-0005-0000-0000-00009A010000}"/>
    <cellStyle name="R07A" xfId="413" xr:uid="{00000000-0005-0000-0000-00009B010000}"/>
    <cellStyle name="R07B" xfId="414" xr:uid="{00000000-0005-0000-0000-00009C010000}"/>
    <cellStyle name="R07H" xfId="415" xr:uid="{00000000-0005-0000-0000-00009D010000}"/>
    <cellStyle name="R07L" xfId="416" xr:uid="{00000000-0005-0000-0000-00009E010000}"/>
    <cellStyle name="SAPBEXaggData" xfId="417" xr:uid="{00000000-0005-0000-0000-00009F010000}"/>
    <cellStyle name="SAPBEXaggData 2" xfId="611" xr:uid="{605E0246-578D-4B27-A2B5-5420A987827B}"/>
    <cellStyle name="SAPBEXaggData 3" xfId="610" xr:uid="{EC8032B6-C996-45B6-ACB8-A2E0213B6D55}"/>
    <cellStyle name="SAPBEXaggDataEmph" xfId="418" xr:uid="{00000000-0005-0000-0000-0000A0010000}"/>
    <cellStyle name="SAPBEXaggDataEmph 2" xfId="613" xr:uid="{A3F3288E-E94D-4B33-BD47-EF296C00585F}"/>
    <cellStyle name="SAPBEXaggDataEmph 3" xfId="612" xr:uid="{50CA2D96-8F13-40DB-9E1F-745E68E5DD77}"/>
    <cellStyle name="SAPBEXaggItem" xfId="419" xr:uid="{00000000-0005-0000-0000-0000A1010000}"/>
    <cellStyle name="SAPBEXaggItem 2" xfId="615" xr:uid="{7ED28952-2F53-4ABB-B0D9-038793D71FFA}"/>
    <cellStyle name="SAPBEXaggItem 3" xfId="614" xr:uid="{000AD1D1-69E9-4712-922B-15295D14629C}"/>
    <cellStyle name="SAPBEXaggItemX" xfId="420" xr:uid="{00000000-0005-0000-0000-0000A2010000}"/>
    <cellStyle name="SAPBEXaggItemX 2" xfId="616" xr:uid="{BE2BCE19-EF6E-47B9-90B4-5584ACAB9C20}"/>
    <cellStyle name="SAPBEXchaText" xfId="421" xr:uid="{00000000-0005-0000-0000-0000A3010000}"/>
    <cellStyle name="SAPBEXchaText 2" xfId="618" xr:uid="{9C6DC9C7-BCE2-4BDF-BABE-445E279BB3DB}"/>
    <cellStyle name="SAPBEXchaText 3" xfId="617" xr:uid="{0C9047C0-3CDB-47FD-A6F4-20176298E9E7}"/>
    <cellStyle name="SAPBEXexcBad7" xfId="422" xr:uid="{00000000-0005-0000-0000-0000A4010000}"/>
    <cellStyle name="SAPBEXexcBad7 2" xfId="620" xr:uid="{335F431D-4E3B-4C4A-AAC6-425641C1F192}"/>
    <cellStyle name="SAPBEXexcBad7 3" xfId="619" xr:uid="{E538B81B-B220-43D3-9D2E-6F2E12C591DC}"/>
    <cellStyle name="SAPBEXexcBad8" xfId="423" xr:uid="{00000000-0005-0000-0000-0000A5010000}"/>
    <cellStyle name="SAPBEXexcBad8 2" xfId="622" xr:uid="{864DA654-A9C2-4123-84F2-B123EAA7FD8C}"/>
    <cellStyle name="SAPBEXexcBad8 3" xfId="621" xr:uid="{B76856E0-18E1-44F9-AEF8-375F0C3ACFB8}"/>
    <cellStyle name="SAPBEXexcBad9" xfId="424" xr:uid="{00000000-0005-0000-0000-0000A6010000}"/>
    <cellStyle name="SAPBEXexcBad9 2" xfId="624" xr:uid="{D66C9266-6543-4FF7-9303-8173615C23FA}"/>
    <cellStyle name="SAPBEXexcBad9 3" xfId="623" xr:uid="{88D3E85D-CA53-4AAE-AE79-055F05D2F171}"/>
    <cellStyle name="SAPBEXexcCritical4" xfId="425" xr:uid="{00000000-0005-0000-0000-0000A7010000}"/>
    <cellStyle name="SAPBEXexcCritical4 2" xfId="626" xr:uid="{DDF8C47B-A22F-4D4F-8ED5-E49ED8A52F3C}"/>
    <cellStyle name="SAPBEXexcCritical4 3" xfId="625" xr:uid="{D1F220AC-B23E-4DF1-902C-9BEB1E84485E}"/>
    <cellStyle name="SAPBEXexcCritical5" xfId="426" xr:uid="{00000000-0005-0000-0000-0000A8010000}"/>
    <cellStyle name="SAPBEXexcCritical5 2" xfId="628" xr:uid="{A1569538-E275-434D-B09E-DC9385627CE1}"/>
    <cellStyle name="SAPBEXexcCritical5 3" xfId="627" xr:uid="{FD6AE61A-781E-4EFF-8D75-F92BEF69EEA2}"/>
    <cellStyle name="SAPBEXexcCritical6" xfId="427" xr:uid="{00000000-0005-0000-0000-0000A9010000}"/>
    <cellStyle name="SAPBEXexcCritical6 2" xfId="630" xr:uid="{7817ECC3-160A-413C-9F06-D6FDCA7AEEC5}"/>
    <cellStyle name="SAPBEXexcCritical6 3" xfId="629" xr:uid="{1AC0E64E-2485-46B5-92C2-A9468262B11C}"/>
    <cellStyle name="SAPBEXexcGood1" xfId="428" xr:uid="{00000000-0005-0000-0000-0000AA010000}"/>
    <cellStyle name="SAPBEXexcGood1 2" xfId="632" xr:uid="{0F8D7B88-3E71-4164-A24D-269D8A805311}"/>
    <cellStyle name="SAPBEXexcGood1 3" xfId="631" xr:uid="{C44A02CE-3E27-4B89-8D0C-0253CBA831D0}"/>
    <cellStyle name="SAPBEXexcGood2" xfId="429" xr:uid="{00000000-0005-0000-0000-0000AB010000}"/>
    <cellStyle name="SAPBEXexcGood2 2" xfId="634" xr:uid="{A01009EA-859F-4D36-931C-A81E7A24A57D}"/>
    <cellStyle name="SAPBEXexcGood2 3" xfId="633" xr:uid="{B0DFA27C-7B41-4141-B9A5-6110A8C3A600}"/>
    <cellStyle name="SAPBEXexcGood3" xfId="430" xr:uid="{00000000-0005-0000-0000-0000AC010000}"/>
    <cellStyle name="SAPBEXexcGood3 2" xfId="636" xr:uid="{42E5FDF1-2F32-4176-9A5E-7F7FCE7AAFDD}"/>
    <cellStyle name="SAPBEXexcGood3 3" xfId="635" xr:uid="{7ABDB717-B52B-4767-8530-B4C5ADA19E87}"/>
    <cellStyle name="SAPBEXfilterDrill" xfId="431" xr:uid="{00000000-0005-0000-0000-0000AD010000}"/>
    <cellStyle name="SAPBEXfilterDrill 2" xfId="638" xr:uid="{AC13189E-C6E3-45A7-8A2E-A4B1EAB51FF9}"/>
    <cellStyle name="SAPBEXfilterDrill 3" xfId="637" xr:uid="{486D7209-298B-4E68-9145-0EC9DBD2B9C8}"/>
    <cellStyle name="SAPBEXfilterItem" xfId="432" xr:uid="{00000000-0005-0000-0000-0000AE010000}"/>
    <cellStyle name="SAPBEXfilterItem 2" xfId="640" xr:uid="{1F8E10D3-4BC8-4B40-AEBE-1D5F95A2EF21}"/>
    <cellStyle name="SAPBEXfilterItem 3" xfId="639" xr:uid="{BEB3F4F6-4E84-4369-BDB2-A7B1C1D773FC}"/>
    <cellStyle name="SAPBEXfilterText" xfId="433" xr:uid="{00000000-0005-0000-0000-0000AF010000}"/>
    <cellStyle name="SAPBEXfilterText 2" xfId="642" xr:uid="{7FB40D3D-AA1E-4AB5-B3AB-305876616627}"/>
    <cellStyle name="SAPBEXfilterText 3" xfId="641" xr:uid="{90673C8F-3115-4221-8918-C448D6853600}"/>
    <cellStyle name="SAPBEXformats" xfId="434" xr:uid="{00000000-0005-0000-0000-0000B0010000}"/>
    <cellStyle name="SAPBEXformats 2" xfId="644" xr:uid="{825934B2-9910-47F6-8A07-84884B35D283}"/>
    <cellStyle name="SAPBEXformats 3" xfId="643" xr:uid="{2312DF39-EE82-4C55-9154-6C3FD158B4EC}"/>
    <cellStyle name="SAPBEXheaderItem" xfId="435" xr:uid="{00000000-0005-0000-0000-0000B1010000}"/>
    <cellStyle name="SAPBEXheaderItem 2" xfId="646" xr:uid="{0205C844-2FA0-4B34-BD33-0FFAFF4B45E3}"/>
    <cellStyle name="SAPBEXheaderItem 3" xfId="645" xr:uid="{13156A63-5185-4133-9ABF-3557DA0C6BA2}"/>
    <cellStyle name="SAPBEXheaderText" xfId="436" xr:uid="{00000000-0005-0000-0000-0000B2010000}"/>
    <cellStyle name="SAPBEXheaderText 2" xfId="648" xr:uid="{A6F57C19-B71D-4A67-886F-45A8E8A25E36}"/>
    <cellStyle name="SAPBEXheaderText 3" xfId="647" xr:uid="{4E735E1B-8098-47EF-9258-E8EA3B9E3F67}"/>
    <cellStyle name="SAPBEXHLevel0" xfId="437" xr:uid="{00000000-0005-0000-0000-0000B3010000}"/>
    <cellStyle name="SAPBEXHLevel0 2" xfId="649" xr:uid="{3B379ED8-F366-49C6-A475-DAB47B654C5C}"/>
    <cellStyle name="SAPBEXHLevel0X" xfId="438" xr:uid="{00000000-0005-0000-0000-0000B4010000}"/>
    <cellStyle name="SAPBEXHLevel0X 2" xfId="650" xr:uid="{BFE963DB-D6DA-4405-B7D8-7F014A2F9135}"/>
    <cellStyle name="SAPBEXHLevel1" xfId="439" xr:uid="{00000000-0005-0000-0000-0000B5010000}"/>
    <cellStyle name="SAPBEXHLevel1 2" xfId="651" xr:uid="{E8B66CEC-607F-41AF-A252-1F71A0D673E8}"/>
    <cellStyle name="SAPBEXHLevel1X" xfId="440" xr:uid="{00000000-0005-0000-0000-0000B6010000}"/>
    <cellStyle name="SAPBEXHLevel1X 2" xfId="652" xr:uid="{C80BFBC5-65FA-40A6-A43C-0C52FDCFF617}"/>
    <cellStyle name="SAPBEXHLevel2" xfId="441" xr:uid="{00000000-0005-0000-0000-0000B7010000}"/>
    <cellStyle name="SAPBEXHLevel2 2" xfId="653" xr:uid="{30693E51-74B3-4D43-9F4C-4AE41F446849}"/>
    <cellStyle name="SAPBEXHLevel2X" xfId="442" xr:uid="{00000000-0005-0000-0000-0000B8010000}"/>
    <cellStyle name="SAPBEXHLevel2X 2" xfId="654" xr:uid="{555EC0E3-C3FB-44D8-A834-B991C287D821}"/>
    <cellStyle name="SAPBEXHLevel3" xfId="443" xr:uid="{00000000-0005-0000-0000-0000B9010000}"/>
    <cellStyle name="SAPBEXHLevel3 2" xfId="655" xr:uid="{19431CE2-C129-45A5-B1AA-FF1B0461C0F4}"/>
    <cellStyle name="SAPBEXHLevel3X" xfId="444" xr:uid="{00000000-0005-0000-0000-0000BA010000}"/>
    <cellStyle name="SAPBEXHLevel3X 2" xfId="656" xr:uid="{A9B625A0-18B7-4F3A-B386-740D28F9BE39}"/>
    <cellStyle name="SAPBEXinputData" xfId="657" xr:uid="{5F48F9D8-8335-4E41-96A8-589C8711C5F9}"/>
    <cellStyle name="SAPBEXresData" xfId="445" xr:uid="{00000000-0005-0000-0000-0000BB010000}"/>
    <cellStyle name="SAPBEXresData 2" xfId="659" xr:uid="{7D1581ED-8071-40A0-8FDB-5B67CDE38B6B}"/>
    <cellStyle name="SAPBEXresData 3" xfId="658" xr:uid="{4D3B51AF-E183-45B3-B3FA-09C35A418686}"/>
    <cellStyle name="SAPBEXresDataEmph" xfId="446" xr:uid="{00000000-0005-0000-0000-0000BC010000}"/>
    <cellStyle name="SAPBEXresDataEmph 2" xfId="661" xr:uid="{95E8D783-6104-4CA4-A854-7906A904B063}"/>
    <cellStyle name="SAPBEXresDataEmph 3" xfId="660" xr:uid="{2411382A-F4B6-49F8-96E1-D334EA9F395E}"/>
    <cellStyle name="SAPBEXresItem" xfId="447" xr:uid="{00000000-0005-0000-0000-0000BD010000}"/>
    <cellStyle name="SAPBEXresItem 2" xfId="663" xr:uid="{24FCD1DE-1B76-43C8-AAB9-F246162BF4A8}"/>
    <cellStyle name="SAPBEXresItem 3" xfId="662" xr:uid="{BCBDECAC-1EB3-4AF5-99EC-1AB3C13D9CCB}"/>
    <cellStyle name="SAPBEXresItemX" xfId="448" xr:uid="{00000000-0005-0000-0000-0000BE010000}"/>
    <cellStyle name="SAPBEXresItemX 2" xfId="664" xr:uid="{FE8D7993-1B34-4691-94D5-C89F0A71483E}"/>
    <cellStyle name="SAPBEXstdData" xfId="449" xr:uid="{00000000-0005-0000-0000-0000BF010000}"/>
    <cellStyle name="SAPBEXstdData 2" xfId="538" xr:uid="{A14C4578-DA9A-4922-9852-A898FE2CEF67}"/>
    <cellStyle name="SAPBEXstdData 2 2" xfId="666" xr:uid="{BBCE1AFA-0C4C-45F9-A31E-0B63EF14CC1B}"/>
    <cellStyle name="SAPBEXstdData 2 4" xfId="942" xr:uid="{110A462B-9DE4-4BA1-A422-75F73CEB7B00}"/>
    <cellStyle name="SAPBEXstdData 3" xfId="665" xr:uid="{E8F09B11-7708-45E6-B2C2-32DC6D634B8E}"/>
    <cellStyle name="SAPBEXstdDataEmph" xfId="450" xr:uid="{00000000-0005-0000-0000-0000C0010000}"/>
    <cellStyle name="SAPBEXstdDataEmph 2" xfId="668" xr:uid="{ABCEB8AD-D5C0-4AE1-99E2-57BAFD6CEE52}"/>
    <cellStyle name="SAPBEXstdDataEmph 3" xfId="667" xr:uid="{E2F693B0-C0BF-4C4A-8FEF-97B3002D2D7C}"/>
    <cellStyle name="SAPBEXstdItem" xfId="451" xr:uid="{00000000-0005-0000-0000-0000C1010000}"/>
    <cellStyle name="SAPBEXstdItem 2" xfId="670" xr:uid="{B30364EE-C161-44CA-84C1-CCC352006D21}"/>
    <cellStyle name="SAPBEXstdItem 2 2 3 3" xfId="953" xr:uid="{888BADCB-5E50-4DD6-965A-EE5F5657432A}"/>
    <cellStyle name="SAPBEXstdItem 2 2 3 3 2 2 2" xfId="954" xr:uid="{BFAF0896-7FB9-44BE-A384-425337FE6D8A}"/>
    <cellStyle name="SAPBEXstdItem 2 2 3 3 4" xfId="955" xr:uid="{344F7538-F767-4202-A6C6-29DA5EF550F2}"/>
    <cellStyle name="SAPBEXstdItem 28" xfId="956" xr:uid="{5D8AFB0A-8CCE-4107-85E1-77DD4AC6BFF2}"/>
    <cellStyle name="SAPBEXstdItem 3" xfId="671" xr:uid="{6DBB1940-2BF0-4DF7-8CB6-0052BC0A2689}"/>
    <cellStyle name="SAPBEXstdItem 4" xfId="669" xr:uid="{A1528C21-0F28-463C-A0A2-DDBF19C42113}"/>
    <cellStyle name="SAPBEXstdItemX" xfId="452" xr:uid="{00000000-0005-0000-0000-0000C2010000}"/>
    <cellStyle name="SAPBEXstdItemX 2" xfId="672" xr:uid="{3677C6B6-89DC-4DF5-BE4F-9A9948D68081}"/>
    <cellStyle name="SAPBEXtitle" xfId="453" xr:uid="{00000000-0005-0000-0000-0000C3010000}"/>
    <cellStyle name="SAPBEXtitle 2" xfId="674" xr:uid="{904809B4-00F0-4087-9677-C62E6F5A42E8}"/>
    <cellStyle name="SAPBEXtitle 3" xfId="673" xr:uid="{1920D30B-B0B6-4846-A6B4-AA16BEFFD8A5}"/>
    <cellStyle name="SAPBEXunassignedItem" xfId="675" xr:uid="{653D35D4-83F1-4C4A-9F66-90F10D5A0B64}"/>
    <cellStyle name="SAPBEXundefined" xfId="454" xr:uid="{00000000-0005-0000-0000-0000C4010000}"/>
    <cellStyle name="SAPBEXundefined 2" xfId="677" xr:uid="{AC30FE29-B8F5-478C-A455-66FF8532EB7F}"/>
    <cellStyle name="SAPBEXundefined 3" xfId="676" xr:uid="{58F38C65-D9B8-44A9-A75B-D205BD90BC51}"/>
    <cellStyle name="SAPDataCell" xfId="544" xr:uid="{A795E4B8-1664-4C96-91E4-F599BC6871BE}"/>
    <cellStyle name="SAPDataTotalCell" xfId="957" xr:uid="{CE47A96D-072B-4065-A933-CF0CCA1E8143}"/>
    <cellStyle name="SAPDimensionCell" xfId="541" xr:uid="{72CB0324-C9EC-4338-9C8A-723BBD8F8DD5}"/>
    <cellStyle name="SAPHierarchyCell0" xfId="543" xr:uid="{D37D1B3D-BC88-4566-9AD6-B6ACF12C24D1}"/>
    <cellStyle name="SAPHierarchyCell1" xfId="958" xr:uid="{2718A12E-9BA8-4880-A092-065342EF8722}"/>
    <cellStyle name="SAPHierarchyCell2" xfId="959" xr:uid="{35A64B48-AA4D-4AF8-B5B0-689C1A931D95}"/>
    <cellStyle name="SAPHierarchyCell3" xfId="960" xr:uid="{14E717C7-78CD-48A1-A060-3E9FC4B79646}"/>
    <cellStyle name="SAPHierarchyCell4" xfId="961" xr:uid="{A7D9C705-5D66-45AE-A512-43DA447EB089}"/>
    <cellStyle name="SAPMemberCell" xfId="542" xr:uid="{6A8CDA56-B783-4319-9A0B-B9A696474EB0}"/>
    <cellStyle name="SAPMemberTotalCell" xfId="962" xr:uid="{8D793521-048E-4624-AB7C-69CC85E30C0A}"/>
    <cellStyle name="Scenario" xfId="455" xr:uid="{00000000-0005-0000-0000-0000C5010000}"/>
    <cellStyle name="Separador de m" xfId="456" xr:uid="{00000000-0005-0000-0000-0000C6010000}"/>
    <cellStyle name="Separador de milhares 2" xfId="678" xr:uid="{962E1B33-DE92-4BDC-8ABE-6EF7B517D8CE}"/>
    <cellStyle name="Separador de milhares_Bridge Fevereiro" xfId="4" xr:uid="{00000000-0005-0000-0000-0000C7010000}"/>
    <cellStyle name="Separador de milhares_EB_FCSA_Q02ActualxQ03_MRF8" xfId="5" xr:uid="{00000000-0005-0000-0000-0000C8010000}"/>
    <cellStyle name="Sheet Title" xfId="679" xr:uid="{7515CD9D-EC44-4C25-830C-21D1C685B87A}"/>
    <cellStyle name="Sledovaný hypertextový odkaz" xfId="457" xr:uid="{00000000-0005-0000-0000-0000C9010000}"/>
    <cellStyle name="ssubtitulo" xfId="458" xr:uid="{00000000-0005-0000-0000-0000CA010000}"/>
    <cellStyle name="Standaard_Sheet1" xfId="459" xr:uid="{00000000-0005-0000-0000-0000CB010000}"/>
    <cellStyle name="STANDARD" xfId="460" xr:uid="{00000000-0005-0000-0000-0000CC010000}"/>
    <cellStyle name="STYL1 - Style1" xfId="461" xr:uid="{00000000-0005-0000-0000-0000CD010000}"/>
    <cellStyle name="STYL2 - Style2" xfId="462" xr:uid="{00000000-0005-0000-0000-0000CE010000}"/>
    <cellStyle name="STYL3 - Style3" xfId="463" xr:uid="{00000000-0005-0000-0000-0000CF010000}"/>
    <cellStyle name="STYL4 - Style4" xfId="464" xr:uid="{00000000-0005-0000-0000-0000D0010000}"/>
    <cellStyle name="STYL5 - Style5" xfId="465" xr:uid="{00000000-0005-0000-0000-0000D1010000}"/>
    <cellStyle name="Style 1" xfId="466" xr:uid="{00000000-0005-0000-0000-0000D2010000}"/>
    <cellStyle name="Style 2" xfId="467" xr:uid="{00000000-0005-0000-0000-0000D3010000}"/>
    <cellStyle name="Style 3" xfId="468" xr:uid="{00000000-0005-0000-0000-0000D4010000}"/>
    <cellStyle name="subhead" xfId="469" xr:uid="{00000000-0005-0000-0000-0000D5010000}"/>
    <cellStyle name="SubHeading" xfId="470" xr:uid="{00000000-0005-0000-0000-0000D6010000}"/>
    <cellStyle name="TAB" xfId="680" xr:uid="{17A679AD-0ED7-4132-9D4A-7ED13F9108A9}"/>
    <cellStyle name="Tab1" xfId="681" xr:uid="{6AE08F4F-6B45-4352-BA8B-077F994082CF}"/>
    <cellStyle name="Tab2" xfId="682" xr:uid="{0B9660F2-2C56-41C3-A61C-8A3E87B776D0}"/>
    <cellStyle name="Tab3" xfId="683" xr:uid="{6E9A953A-DF7E-4225-AC43-A3CD1E73A7C6}"/>
    <cellStyle name="TabInfo1" xfId="684" xr:uid="{7153D214-0EEB-4134-9FB3-8CEFF159B9DF}"/>
    <cellStyle name="TabInfo2" xfId="685" xr:uid="{6DAD5654-5BEE-4001-A47A-6695C6F209A3}"/>
    <cellStyle name="TableHead" xfId="471" xr:uid="{00000000-0005-0000-0000-0000D7010000}"/>
    <cellStyle name="Text Indent A" xfId="472" xr:uid="{00000000-0005-0000-0000-0000D8010000}"/>
    <cellStyle name="Text Indent B" xfId="473" xr:uid="{00000000-0005-0000-0000-0000D9010000}"/>
    <cellStyle name="Text Indent C" xfId="474" xr:uid="{00000000-0005-0000-0000-0000DA010000}"/>
    <cellStyle name="textbold" xfId="475" xr:uid="{00000000-0005-0000-0000-0000DB010000}"/>
    <cellStyle name="Texto de Aviso 2" xfId="686" xr:uid="{554341CE-DF50-4B10-83DA-139BDB004827}"/>
    <cellStyle name="Title" xfId="476" xr:uid="{00000000-0005-0000-0000-0000DC010000}"/>
    <cellStyle name="Title 2" xfId="687" xr:uid="{2C8C6072-8B41-4AF3-ACEC-8AECA3BF6D63}"/>
    <cellStyle name="titulo" xfId="477" xr:uid="{00000000-0005-0000-0000-0000DD010000}"/>
    <cellStyle name="Todos" xfId="478" xr:uid="{00000000-0005-0000-0000-0000DE010000}"/>
    <cellStyle name="Total 2" xfId="688" xr:uid="{CDBCDDCB-1D6B-4BD1-A1E5-A72FF92DEA5E}"/>
    <cellStyle name="über" xfId="479" xr:uid="{00000000-0005-0000-0000-0000DF010000}"/>
    <cellStyle name="účet" xfId="480" xr:uid="{00000000-0005-0000-0000-0000E0010000}"/>
    <cellStyle name="Unprot" xfId="481" xr:uid="{00000000-0005-0000-0000-0000E1010000}"/>
    <cellStyle name="Unprot$" xfId="482" xr:uid="{00000000-0005-0000-0000-0000E2010000}"/>
    <cellStyle name="Unprotect" xfId="483" xr:uid="{00000000-0005-0000-0000-0000E3010000}"/>
    <cellStyle name="Update" xfId="484" xr:uid="{00000000-0005-0000-0000-0000E4010000}"/>
    <cellStyle name="Upload Only" xfId="485" xr:uid="{00000000-0005-0000-0000-0000E5010000}"/>
    <cellStyle name="Valuta (0)_BFR2" xfId="486" xr:uid="{00000000-0005-0000-0000-0000E6010000}"/>
    <cellStyle name="Vírgula" xfId="1" builtinId="3"/>
    <cellStyle name="Vírgula 10" xfId="863" xr:uid="{B25FC71B-2B5C-4137-80F2-6A0D41535516}"/>
    <cellStyle name="Vírgula 10 2" xfId="943" xr:uid="{86D52A4E-8725-49DA-97BE-20F277D9B9B1}"/>
    <cellStyle name="Vírgula 10 2 2" xfId="540" xr:uid="{26C85087-F9D0-443C-8152-A820EB63B03E}"/>
    <cellStyle name="Vírgula 11" xfId="869" xr:uid="{1183FA01-791B-4CAD-91A4-31645D9C94F2}"/>
    <cellStyle name="Vírgula 11 2" xfId="897" xr:uid="{BFA94AE8-4675-408B-BA21-D05F2BF92F1A}"/>
    <cellStyle name="Vírgula 11 3" xfId="972" xr:uid="{D4FC3AFE-2429-4077-A0CC-9DFA24F018C8}"/>
    <cellStyle name="Vírgula 12" xfId="531" xr:uid="{FFBC7998-F14F-4701-8F51-F46B3E63BAB3}"/>
    <cellStyle name="Vírgula 13" xfId="875" xr:uid="{8D278AA9-1E34-401B-970C-8E8318F1F676}"/>
    <cellStyle name="Vírgula 14" xfId="965" xr:uid="{1CAC3650-2C05-46E9-9F84-D2BC8DF99CAD}"/>
    <cellStyle name="Vírgula 15" xfId="975" xr:uid="{59E0A5FD-DB68-47FE-830A-095C68B1079A}"/>
    <cellStyle name="Vírgula 18" xfId="944" xr:uid="{2F9B4846-7C89-4151-A749-1D900643FD27}"/>
    <cellStyle name="Vírgula 19" xfId="945" xr:uid="{9E9E9455-F12D-408E-98A9-129D6298C015}"/>
    <cellStyle name="Vírgula 2" xfId="487" xr:uid="{00000000-0005-0000-0000-0000E8010000}"/>
    <cellStyle name="Vírgula 2 2" xfId="518" xr:uid="{A656B8BE-944D-4101-B598-B8271CBAE469}"/>
    <cellStyle name="Vírgula 2 2 2" xfId="911" xr:uid="{D9E9E266-62E3-47A3-9F09-42E01249BC12}"/>
    <cellStyle name="Vírgula 2 3" xfId="532" xr:uid="{1709440C-CEB2-4739-A94B-A06E76A160A6}"/>
    <cellStyle name="Vírgula 2 3 2" xfId="906" xr:uid="{C63CDBDB-65C5-4F6A-8DBA-8A361DADEFCE}"/>
    <cellStyle name="Vírgula 2 4" xfId="880" xr:uid="{B4F55B4A-22BE-4434-84CB-AB2A8386B45C}"/>
    <cellStyle name="Vírgula 2 5" xfId="946" xr:uid="{F46C54A4-1B02-416C-A616-C23702230265}"/>
    <cellStyle name="Vírgula 2 6" xfId="903" xr:uid="{8D103B7B-8B31-4710-B7E9-C38FCCD65478}"/>
    <cellStyle name="Vírgula 25" xfId="919" xr:uid="{8925CC56-BDFD-4CAC-A9EC-D3569E170970}"/>
    <cellStyle name="Vírgula 3" xfId="513" xr:uid="{00000000-0005-0000-0000-0000E9010000}"/>
    <cellStyle name="Vírgula 3 2" xfId="861" xr:uid="{77DFD61B-BAB5-42FD-B60B-007291D15727}"/>
    <cellStyle name="Vírgula 3 3" xfId="534" xr:uid="{C998FFE8-5A0A-40D3-805B-FCE71A7DEC7C}"/>
    <cellStyle name="Vírgula 3 4" xfId="881" xr:uid="{74F3A86A-9FB0-4C80-A269-FA142678BDB1}"/>
    <cellStyle name="Vírgula 3 5" xfId="905" xr:uid="{EC6B0831-A0B4-43E1-A306-2F8DE887D1BB}"/>
    <cellStyle name="Vírgula 35" xfId="963" xr:uid="{4CA39D48-84D3-4889-B8E5-4AAB1AFE40E1}"/>
    <cellStyle name="Vírgula 39" xfId="872" xr:uid="{F7DD14CF-2646-484A-A8EC-8282875894FD}"/>
    <cellStyle name="Vírgula 39 2" xfId="891" xr:uid="{A510AA4A-C782-4578-BA98-FC02ABE68746}"/>
    <cellStyle name="Vírgula 39 3" xfId="964" xr:uid="{33D055BD-E8CD-4115-8483-EB5BAB814F36}"/>
    <cellStyle name="Vírgula 4" xfId="515" xr:uid="{F46D134A-CE12-49BF-BEC6-38D57E475FA6}"/>
    <cellStyle name="Vírgula 4 2" xfId="734" xr:uid="{08D8B3D9-76AA-491B-831B-DBA58F28231E}"/>
    <cellStyle name="Vírgula 4 3" xfId="908" xr:uid="{4934AB10-49DD-47FC-8EB2-88BA3299C96E}"/>
    <cellStyle name="Vírgula 5" xfId="519" xr:uid="{64FAB93F-B3BD-491D-B647-DE7D1B941CAA}"/>
    <cellStyle name="Vírgula 5 2" xfId="784" xr:uid="{237B3548-CE70-4253-A075-A7F9F3AF6D60}"/>
    <cellStyle name="Vírgula 5 3" xfId="912" xr:uid="{280115EA-5798-4E16-9F68-0C07DABE1FE0}"/>
    <cellStyle name="Vírgula 6" xfId="522" xr:uid="{244C499F-1B11-4F3D-BAFB-6C3514EB0E20}"/>
    <cellStyle name="Vírgula 6 2" xfId="838" xr:uid="{AB137207-14BE-4E74-BDA3-70905A9A7FE3}"/>
    <cellStyle name="Vírgula 6 3" xfId="915" xr:uid="{5BC055D5-C0FB-4618-984F-3A734958D0A6}"/>
    <cellStyle name="Vírgula 7" xfId="846" xr:uid="{E915A557-1C97-4D54-8B72-77549483B51D}"/>
    <cellStyle name="Vírgula 7 2" xfId="886" xr:uid="{8A57B7EA-54B3-447A-A2BF-B8B0F16EA008}"/>
    <cellStyle name="Vírgula 7 3" xfId="947" xr:uid="{2377F96C-CCB7-4B23-8050-DB8196652228}"/>
    <cellStyle name="Vírgula 8" xfId="849" xr:uid="{0334A11E-445D-4B78-B767-8C14E6A6D466}"/>
    <cellStyle name="Vírgula 8 2" xfId="892" xr:uid="{C32C8E4E-7AF4-4FDB-ADE0-12CE0B25FF05}"/>
    <cellStyle name="Vírgula 8 3" xfId="968" xr:uid="{6EBE0E60-E245-4266-89EF-40E07E073008}"/>
    <cellStyle name="Vírgula 9" xfId="856" xr:uid="{ABFBDE0C-29DD-4B0A-9953-324736B23647}"/>
    <cellStyle name="Vírgula 9 2" xfId="894" xr:uid="{33E98CD1-ACF6-4544-8D6F-1A1A41F70D90}"/>
    <cellStyle name="Virgulă_Dec BP vs  Actual" xfId="488" xr:uid="{00000000-0005-0000-0000-0000EA010000}"/>
    <cellStyle name="Währung [0]_!!!GO" xfId="489" xr:uid="{00000000-0005-0000-0000-0000EB010000}"/>
    <cellStyle name="Währung_!!!GO" xfId="490" xr:uid="{00000000-0005-0000-0000-0000EC010000}"/>
    <cellStyle name="Warning Text" xfId="491" xr:uid="{00000000-0005-0000-0000-0000ED010000}"/>
    <cellStyle name="wrapped" xfId="492" xr:uid="{00000000-0005-0000-0000-0000EE010000}"/>
    <cellStyle name="XL3 Blue" xfId="493" xr:uid="{00000000-0005-0000-0000-0000EF010000}"/>
    <cellStyle name="XL3 Green" xfId="494" xr:uid="{00000000-0005-0000-0000-0000F0010000}"/>
    <cellStyle name="XL3 Orange" xfId="495" xr:uid="{00000000-0005-0000-0000-0000F1010000}"/>
    <cellStyle name="XL3 Red" xfId="496" xr:uid="{00000000-0005-0000-0000-0000F2010000}"/>
    <cellStyle name="XL3 Yellow" xfId="497" xr:uid="{00000000-0005-0000-0000-0000F3010000}"/>
    <cellStyle name="Zeilenebene_2_dhim" xfId="498" xr:uid="{00000000-0005-0000-0000-0000F4010000}"/>
    <cellStyle name="zestawienie" xfId="499" xr:uid="{00000000-0005-0000-0000-0000F5010000}"/>
    <cellStyle name="Денежный [0]_20.01.04 (2)" xfId="500" xr:uid="{00000000-0005-0000-0000-0000F6010000}"/>
    <cellStyle name="Денежный_20.01.04 (2)" xfId="501" xr:uid="{00000000-0005-0000-0000-0000F7010000}"/>
    <cellStyle name="Обычный 2" xfId="502" xr:uid="{00000000-0005-0000-0000-0000F8010000}"/>
    <cellStyle name="Обычный_1ni" xfId="503" xr:uid="{00000000-0005-0000-0000-0000F9010000}"/>
    <cellStyle name="Тысячи [0]_1" xfId="504" xr:uid="{00000000-0005-0000-0000-0000FA010000}"/>
    <cellStyle name="Тысячи_1" xfId="505" xr:uid="{00000000-0005-0000-0000-0000FB010000}"/>
    <cellStyle name="Финансовый [0]_20.01.04 (2)" xfId="506" xr:uid="{00000000-0005-0000-0000-0000FC010000}"/>
    <cellStyle name="Финансовый_20.01.04 (2)" xfId="507" xr:uid="{00000000-0005-0000-0000-0000FD010000}"/>
    <cellStyle name="╟쵕ꜩ輲秛녜殝鱽푣㳳ﮧ৫䶈䐀ꌈӣъ辦疒촡骸ࠄ⛃⍍힢怡【挚옔愀奴ᆄ◛ㆶ鸥圊쬧钁藅ǩꓸ滜執忯叙㷄硾ꁤ좮ৡᙚ칏✏觡ᗴ춹ﭴ﷣쿣濛띯嶚師ኳ㉀簃퇴ᓖỉ雀㷎㎭䕻쭒嬉∑鋕︔쵢볟_xdc88_禿讟䦚ꬕ榏瘃獰Ɫ䳐ꛘ䮥椱㑥⎒ᤈဗ瘿䀂죻玘ﳿ譨ꬵ麰애賗첁䑼荛鄽ꎍ⩎㨚镍㲼҅⌆ᝳ浪縲軄渪ↆ퀆" xfId="508" xr:uid="{00000000-0005-0000-0000-0000FE010000}"/>
    <cellStyle name="千位分隔_blank expense" xfId="509" xr:uid="{00000000-0005-0000-0000-0000FF010000}"/>
    <cellStyle name="常规_blank expense" xfId="510" xr:uid="{00000000-0005-0000-0000-000000020000}"/>
    <cellStyle name="標準_Sheet1" xfId="511" xr:uid="{00000000-0005-0000-0000-000001020000}"/>
  </cellStyles>
  <dxfs count="19">
    <dxf>
      <font>
        <color rgb="FF9C0006"/>
      </font>
      <fill>
        <patternFill>
          <bgColor rgb="FFFFC7CE"/>
        </patternFill>
      </fill>
    </dxf>
    <dxf>
      <fill>
        <patternFill>
          <bgColor rgb="FFFF3300"/>
        </patternFill>
      </fill>
    </dxf>
    <dxf>
      <fill>
        <patternFill>
          <bgColor rgb="FF00B050"/>
        </patternFill>
      </fill>
    </dxf>
    <dxf>
      <fill>
        <patternFill>
          <bgColor rgb="FFFF3300"/>
        </patternFill>
      </fill>
    </dxf>
    <dxf>
      <fill>
        <patternFill>
          <bgColor rgb="FF00B050"/>
        </patternFill>
      </fill>
    </dxf>
    <dxf>
      <fill>
        <patternFill>
          <bgColor rgb="FFFF3300"/>
        </patternFill>
      </fill>
    </dxf>
    <dxf>
      <fill>
        <patternFill>
          <bgColor rgb="FF00B050"/>
        </patternFill>
      </fill>
    </dxf>
    <dxf>
      <fill>
        <patternFill>
          <bgColor rgb="FFFF3300"/>
        </patternFill>
      </fill>
    </dxf>
    <dxf>
      <fill>
        <patternFill>
          <bgColor rgb="FF00B050"/>
        </patternFill>
      </fill>
    </dxf>
    <dxf>
      <fill>
        <patternFill>
          <bgColor rgb="FFFF3300"/>
        </patternFill>
      </fill>
    </dxf>
    <dxf>
      <fill>
        <patternFill>
          <bgColor rgb="FF00B050"/>
        </patternFill>
      </fill>
    </dxf>
    <dxf>
      <fill>
        <patternFill>
          <bgColor rgb="FFFF3300"/>
        </patternFill>
      </fill>
    </dxf>
    <dxf>
      <fill>
        <patternFill>
          <bgColor rgb="FF00B050"/>
        </patternFill>
      </fill>
    </dxf>
    <dxf>
      <fill>
        <patternFill>
          <bgColor rgb="FFFF3300"/>
        </patternFill>
      </fill>
    </dxf>
    <dxf>
      <fill>
        <patternFill>
          <bgColor rgb="FF00B050"/>
        </patternFill>
      </fill>
    </dxf>
    <dxf>
      <fill>
        <patternFill>
          <bgColor rgb="FFFF3300"/>
        </patternFill>
      </fill>
    </dxf>
    <dxf>
      <fill>
        <patternFill>
          <bgColor rgb="FF00B050"/>
        </patternFill>
      </fill>
    </dxf>
    <dxf>
      <fill>
        <patternFill>
          <bgColor rgb="FFFF33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FFFF66"/>
      <color rgb="FFFFFF99"/>
      <color rgb="FFFF3300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externalLink" Target="externalLinks/externalLink23.xml"/><Relationship Id="rId50" Type="http://schemas.openxmlformats.org/officeDocument/2006/relationships/externalLink" Target="externalLinks/externalLink26.xml"/><Relationship Id="rId55" Type="http://schemas.openxmlformats.org/officeDocument/2006/relationships/externalLink" Target="externalLinks/externalLink31.xml"/><Relationship Id="rId63" Type="http://schemas.openxmlformats.org/officeDocument/2006/relationships/externalLink" Target="externalLinks/externalLink39.xml"/><Relationship Id="rId68" Type="http://schemas.openxmlformats.org/officeDocument/2006/relationships/externalLink" Target="externalLinks/externalLink44.xml"/><Relationship Id="rId76" Type="http://schemas.openxmlformats.org/officeDocument/2006/relationships/externalLink" Target="externalLinks/externalLink52.xml"/><Relationship Id="rId84" Type="http://schemas.openxmlformats.org/officeDocument/2006/relationships/externalLink" Target="externalLinks/externalLink60.xml"/><Relationship Id="rId89" Type="http://schemas.openxmlformats.org/officeDocument/2006/relationships/sheetMetadata" Target="metadata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47.xml"/><Relationship Id="rId9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externalLink" Target="externalLinks/externalLink21.xml"/><Relationship Id="rId53" Type="http://schemas.openxmlformats.org/officeDocument/2006/relationships/externalLink" Target="externalLinks/externalLink29.xml"/><Relationship Id="rId58" Type="http://schemas.openxmlformats.org/officeDocument/2006/relationships/externalLink" Target="externalLinks/externalLink34.xml"/><Relationship Id="rId66" Type="http://schemas.openxmlformats.org/officeDocument/2006/relationships/externalLink" Target="externalLinks/externalLink42.xml"/><Relationship Id="rId74" Type="http://schemas.openxmlformats.org/officeDocument/2006/relationships/externalLink" Target="externalLinks/externalLink50.xml"/><Relationship Id="rId79" Type="http://schemas.openxmlformats.org/officeDocument/2006/relationships/externalLink" Target="externalLinks/externalLink55.xml"/><Relationship Id="rId87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37.xml"/><Relationship Id="rId82" Type="http://schemas.openxmlformats.org/officeDocument/2006/relationships/externalLink" Target="externalLinks/externalLink58.xml"/><Relationship Id="rId90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48" Type="http://schemas.openxmlformats.org/officeDocument/2006/relationships/externalLink" Target="externalLinks/externalLink24.xml"/><Relationship Id="rId56" Type="http://schemas.openxmlformats.org/officeDocument/2006/relationships/externalLink" Target="externalLinks/externalLink32.xml"/><Relationship Id="rId64" Type="http://schemas.openxmlformats.org/officeDocument/2006/relationships/externalLink" Target="externalLinks/externalLink40.xml"/><Relationship Id="rId69" Type="http://schemas.openxmlformats.org/officeDocument/2006/relationships/externalLink" Target="externalLinks/externalLink45.xml"/><Relationship Id="rId77" Type="http://schemas.openxmlformats.org/officeDocument/2006/relationships/externalLink" Target="externalLinks/externalLink53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7.xml"/><Relationship Id="rId72" Type="http://schemas.openxmlformats.org/officeDocument/2006/relationships/externalLink" Target="externalLinks/externalLink48.xml"/><Relationship Id="rId80" Type="http://schemas.openxmlformats.org/officeDocument/2006/relationships/externalLink" Target="externalLinks/externalLink56.xml"/><Relationship Id="rId85" Type="http://schemas.openxmlformats.org/officeDocument/2006/relationships/externalLink" Target="externalLinks/externalLink61.xml"/><Relationship Id="rId9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externalLink" Target="externalLinks/externalLink22.xml"/><Relationship Id="rId59" Type="http://schemas.openxmlformats.org/officeDocument/2006/relationships/externalLink" Target="externalLinks/externalLink35.xml"/><Relationship Id="rId67" Type="http://schemas.openxmlformats.org/officeDocument/2006/relationships/externalLink" Target="externalLinks/externalLink43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Relationship Id="rId54" Type="http://schemas.openxmlformats.org/officeDocument/2006/relationships/externalLink" Target="externalLinks/externalLink30.xml"/><Relationship Id="rId62" Type="http://schemas.openxmlformats.org/officeDocument/2006/relationships/externalLink" Target="externalLinks/externalLink38.xml"/><Relationship Id="rId70" Type="http://schemas.openxmlformats.org/officeDocument/2006/relationships/externalLink" Target="externalLinks/externalLink46.xml"/><Relationship Id="rId75" Type="http://schemas.openxmlformats.org/officeDocument/2006/relationships/externalLink" Target="externalLinks/externalLink51.xml"/><Relationship Id="rId83" Type="http://schemas.openxmlformats.org/officeDocument/2006/relationships/externalLink" Target="externalLinks/externalLink59.xml"/><Relationship Id="rId88" Type="http://schemas.openxmlformats.org/officeDocument/2006/relationships/sharedStrings" Target="sharedStrings.xml"/><Relationship Id="rId9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49" Type="http://schemas.openxmlformats.org/officeDocument/2006/relationships/externalLink" Target="externalLinks/externalLink25.xml"/><Relationship Id="rId57" Type="http://schemas.openxmlformats.org/officeDocument/2006/relationships/externalLink" Target="externalLinks/externalLink33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7.xml"/><Relationship Id="rId44" Type="http://schemas.openxmlformats.org/officeDocument/2006/relationships/externalLink" Target="externalLinks/externalLink20.xml"/><Relationship Id="rId52" Type="http://schemas.openxmlformats.org/officeDocument/2006/relationships/externalLink" Target="externalLinks/externalLink28.xml"/><Relationship Id="rId60" Type="http://schemas.openxmlformats.org/officeDocument/2006/relationships/externalLink" Target="externalLinks/externalLink36.xml"/><Relationship Id="rId65" Type="http://schemas.openxmlformats.org/officeDocument/2006/relationships/externalLink" Target="externalLinks/externalLink41.xml"/><Relationship Id="rId73" Type="http://schemas.openxmlformats.org/officeDocument/2006/relationships/externalLink" Target="externalLinks/externalLink49.xml"/><Relationship Id="rId78" Type="http://schemas.openxmlformats.org/officeDocument/2006/relationships/externalLink" Target="externalLinks/externalLink54.xml"/><Relationship Id="rId81" Type="http://schemas.openxmlformats.org/officeDocument/2006/relationships/externalLink" Target="externalLinks/externalLink57.xml"/><Relationship Id="rId86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" b="1" i="0" u="none" strike="noStrike" baseline="0">
                <a:solidFill>
                  <a:srgbClr val="000080"/>
                </a:solidFill>
                <a:latin typeface="Trebuchet MS"/>
                <a:ea typeface="Trebuchet MS"/>
                <a:cs typeface="Trebuchet MS"/>
              </a:defRPr>
            </a:pPr>
            <a:r>
              <a:rPr lang="pt-BR"/>
              <a:t>BPM EBITDA Gap Analysis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Ext. points</c:v>
          </c:tx>
          <c:spPr>
            <a:gradFill rotWithShape="0">
              <a:gsLst>
                <a:gs pos="0">
                  <a:srgbClr val="333399"/>
                </a:gs>
                <a:gs pos="100000">
                  <a:srgbClr val="333399">
                    <a:gamma/>
                    <a:shade val="46275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F45-4D2B-B876-03512A991BA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F45-4D2B-B876-03512A991BA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F45-4D2B-B876-03512A991BA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F45-4D2B-B876-03512A991BA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F45-4D2B-B876-03512A991BA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F45-4D2B-B876-03512A991BA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F45-4D2B-B876-03512A991BA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F45-4D2B-B876-03512A991BAC}"/>
                </c:ext>
              </c:extLst>
            </c:dLbl>
            <c:numFmt formatCode="_ * #,##0_ ;_ * \-#,##0_ ;_ * &quot;-&quot;??_ ;_ @_ 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25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8-9F45-4D2B-B876-03512A991BAC}"/>
            </c:ext>
          </c:extLst>
        </c:ser>
        <c:ser>
          <c:idx val="1"/>
          <c:order val="1"/>
          <c:tx>
            <c:v>Blank neg</c:v>
          </c:tx>
          <c:spPr>
            <a:noFill/>
            <a:ln w="25400">
              <a:noFill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9-9F45-4D2B-B876-03512A991BAC}"/>
            </c:ext>
          </c:extLst>
        </c:ser>
        <c:ser>
          <c:idx val="2"/>
          <c:order val="2"/>
          <c:tx>
            <c:v>Red neg</c:v>
          </c:tx>
          <c:spPr>
            <a:gradFill rotWithShape="0">
              <a:gsLst>
                <a:gs pos="0">
                  <a:srgbClr val="FF0000"/>
                </a:gs>
                <a:gs pos="100000">
                  <a:srgbClr val="FF0000">
                    <a:gamma/>
                    <a:shade val="46275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F45-4D2B-B876-03512A991BA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F45-4D2B-B876-03512A991BAC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F45-4D2B-B876-03512A991BAC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25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D-9F45-4D2B-B876-03512A991BAC}"/>
            </c:ext>
          </c:extLst>
        </c:ser>
        <c:ser>
          <c:idx val="3"/>
          <c:order val="3"/>
          <c:tx>
            <c:v>Green neg</c:v>
          </c:tx>
          <c:spPr>
            <a:gradFill rotWithShape="0">
              <a:gsLst>
                <a:gs pos="0">
                  <a:srgbClr val="008000"/>
                </a:gs>
                <a:gs pos="100000">
                  <a:srgbClr val="008000">
                    <a:gamma/>
                    <a:shade val="46275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F45-4D2B-B876-03512A991BA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F45-4D2B-B876-03512A991BAC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9F45-4D2B-B876-03512A991BAC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25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11-9F45-4D2B-B876-03512A991BAC}"/>
            </c:ext>
          </c:extLst>
        </c:ser>
        <c:ser>
          <c:idx val="4"/>
          <c:order val="4"/>
          <c:tx>
            <c:v>Blank pos</c:v>
          </c:tx>
          <c:spPr>
            <a:noFill/>
            <a:ln w="25400">
              <a:noFill/>
            </a:ln>
          </c:spPr>
          <c:invertIfNegative val="0"/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12-9F45-4D2B-B876-03512A991BAC}"/>
            </c:ext>
          </c:extLst>
        </c:ser>
        <c:ser>
          <c:idx val="5"/>
          <c:order val="5"/>
          <c:tx>
            <c:v>Red pos</c:v>
          </c:tx>
          <c:spPr>
            <a:gradFill rotWithShape="0">
              <a:gsLst>
                <a:gs pos="0">
                  <a:srgbClr val="FF0000"/>
                </a:gs>
                <a:gs pos="100000">
                  <a:srgbClr val="FF0000">
                    <a:gamma/>
                    <a:shade val="46275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9F45-4D2B-B876-03512A991BA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9F45-4D2B-B876-03512A991BAC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F45-4D2B-B876-03512A991BAC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25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16-9F45-4D2B-B876-03512A991BAC}"/>
            </c:ext>
          </c:extLst>
        </c:ser>
        <c:ser>
          <c:idx val="6"/>
          <c:order val="6"/>
          <c:tx>
            <c:v>Green pos</c:v>
          </c:tx>
          <c:spPr>
            <a:gradFill rotWithShape="0">
              <a:gsLst>
                <a:gs pos="0">
                  <a:srgbClr val="008000"/>
                </a:gs>
                <a:gs pos="100000">
                  <a:srgbClr val="008000">
                    <a:gamma/>
                    <a:shade val="46275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9F45-4D2B-B876-03512A991BAC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9F45-4D2B-B876-03512A991BAC}"/>
                </c:ext>
              </c:extLst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25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19-9F45-4D2B-B876-03512A991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4524160"/>
        <c:axId val="204534144"/>
      </c:barChart>
      <c:catAx>
        <c:axId val="204524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2700000" vert="horz"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2045341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45341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225" b="1" i="0" u="none" strike="noStrike" baseline="0">
                    <a:solidFill>
                      <a:srgbClr val="000080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pt-BR"/>
                  <a:t>MUSD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204524160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2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761809943806393E-3"/>
          <c:y val="4.9700551476009325E-2"/>
          <c:w val="0.98767584797923302"/>
          <c:h val="0.79021593087380926"/>
        </c:manualLayout>
      </c:layout>
      <c:barChart>
        <c:barDir val="col"/>
        <c:grouping val="stacked"/>
        <c:varyColors val="0"/>
        <c:ser>
          <c:idx val="0"/>
          <c:order val="0"/>
          <c:tx>
            <c:v>Ext. points</c:v>
          </c:tx>
          <c:spPr>
            <a:solidFill>
              <a:schemeClr val="accent1">
                <a:lumMod val="60000"/>
                <a:lumOff val="40000"/>
              </a:schemeClr>
            </a:solidFill>
            <a:ln w="12700">
              <a:noFill/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'Bridge Book'!$A$29:$A$48</c:f>
              <c:numCache>
                <c:formatCode>General</c:formatCode>
                <c:ptCount val="8"/>
              </c:numCache>
            </c:numRef>
          </c:cat>
          <c:val>
            <c:numRef>
              <c:f>'Bridge Book'!$D$29:$D$48</c:f>
              <c:numCache>
                <c:formatCode>_ * #,##0_ ;_ * \-#,##0_ ;_ * "-"??_ ;_ @_ 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4789-4E89-80B2-8EBC61EE8A3B}"/>
            </c:ext>
          </c:extLst>
        </c:ser>
        <c:ser>
          <c:idx val="1"/>
          <c:order val="1"/>
          <c:tx>
            <c:v>Blank neg</c:v>
          </c:tx>
          <c:spPr>
            <a:noFill/>
            <a:ln w="25400">
              <a:noFill/>
            </a:ln>
          </c:spPr>
          <c:invertIfNegative val="0"/>
          <c:cat>
            <c:numRef>
              <c:f>'Bridge Book'!$A$29:$A$48</c:f>
              <c:numCache>
                <c:formatCode>General</c:formatCode>
                <c:ptCount val="8"/>
              </c:numCache>
            </c:numRef>
          </c:cat>
          <c:val>
            <c:numRef>
              <c:f>'Bridge Book'!$E$29:$E$48</c:f>
              <c:numCache>
                <c:formatCode>_ * #,##0_ ;_ * \-#,##0_ ;_ * "-"??_ ;_ @_ 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4789-4E89-80B2-8EBC61EE8A3B}"/>
            </c:ext>
          </c:extLst>
        </c:ser>
        <c:ser>
          <c:idx val="2"/>
          <c:order val="2"/>
          <c:tx>
            <c:v>Red neg</c:v>
          </c:tx>
          <c:spPr>
            <a:gradFill rotWithShape="0">
              <a:gsLst>
                <a:gs pos="0">
                  <a:srgbClr val="FF0000"/>
                </a:gs>
                <a:gs pos="100000">
                  <a:srgbClr val="FF0000">
                    <a:gamma/>
                    <a:shade val="46275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789-4E89-80B2-8EBC61EE8A3B}"/>
              </c:ext>
            </c:extLst>
          </c:dPt>
          <c:dPt>
            <c:idx val="3"/>
            <c:invertIfNegative val="0"/>
            <c:bubble3D val="0"/>
            <c:spPr>
              <a:solidFill>
                <a:srgbClr val="FF3300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789-4E89-80B2-8EBC61EE8A3B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4789-4E89-80B2-8EBC61EE8A3B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4789-4E89-80B2-8EBC61EE8A3B}"/>
              </c:ext>
            </c:extLst>
          </c:dPt>
          <c:cat>
            <c:numRef>
              <c:f>'Bridge Book'!$A$29:$A$48</c:f>
              <c:numCache>
                <c:formatCode>General</c:formatCode>
                <c:ptCount val="8"/>
              </c:numCache>
            </c:numRef>
          </c:cat>
          <c:val>
            <c:numRef>
              <c:f>'Bridge Book'!$F$29:$F$48</c:f>
              <c:numCache>
                <c:formatCode>_ * #,##0_ ;_ * \-#,##0_ ;_ * "-"??_ ;_ @_ 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8-4789-4E89-80B2-8EBC61EE8A3B}"/>
            </c:ext>
          </c:extLst>
        </c:ser>
        <c:ser>
          <c:idx val="3"/>
          <c:order val="3"/>
          <c:tx>
            <c:v>Green neg</c:v>
          </c:tx>
          <c:spPr>
            <a:solidFill>
              <a:srgbClr val="3399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2"/>
            <c:invertIfNegative val="0"/>
            <c:bubble3D val="0"/>
            <c:spPr>
              <a:solidFill>
                <a:srgbClr val="339966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4789-4E89-80B2-8EBC61EE8A3B}"/>
              </c:ext>
            </c:extLst>
          </c:dPt>
          <c:dPt>
            <c:idx val="4"/>
            <c:invertIfNegative val="0"/>
            <c:bubble3D val="0"/>
            <c:spPr>
              <a:solidFill>
                <a:srgbClr val="339966"/>
              </a:solidFill>
              <a:ln w="127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4789-4E89-80B2-8EBC61EE8A3B}"/>
              </c:ext>
            </c:extLst>
          </c:dPt>
          <c:cat>
            <c:numRef>
              <c:f>'Bridge Book'!$A$29:$A$48</c:f>
              <c:numCache>
                <c:formatCode>General</c:formatCode>
                <c:ptCount val="8"/>
              </c:numCache>
            </c:numRef>
          </c:cat>
          <c:val>
            <c:numRef>
              <c:f>'Bridge Book'!$G$29:$G$48</c:f>
              <c:numCache>
                <c:formatCode>_ * #,##0_ ;_ * \-#,##0_ ;_ * "-"??_ ;_ @_ 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D-4789-4E89-80B2-8EBC61EE8A3B}"/>
            </c:ext>
          </c:extLst>
        </c:ser>
        <c:ser>
          <c:idx val="4"/>
          <c:order val="4"/>
          <c:tx>
            <c:v>Blank pos</c:v>
          </c:tx>
          <c:spPr>
            <a:noFill/>
            <a:ln w="25400">
              <a:noFill/>
            </a:ln>
          </c:spPr>
          <c:invertIfNegative val="0"/>
          <c:cat>
            <c:numRef>
              <c:f>'Bridge Book'!$A$29:$A$48</c:f>
              <c:numCache>
                <c:formatCode>General</c:formatCode>
                <c:ptCount val="8"/>
              </c:numCache>
            </c:numRef>
          </c:cat>
          <c:val>
            <c:numRef>
              <c:f>'Bridge Book'!$H$29:$H$48</c:f>
              <c:numCache>
                <c:formatCode>_ * #,##0_ ;_ * \-#,##0_ ;_ * "-"??_ ;_ @_ 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E-4789-4E89-80B2-8EBC61EE8A3B}"/>
            </c:ext>
          </c:extLst>
        </c:ser>
        <c:ser>
          <c:idx val="5"/>
          <c:order val="5"/>
          <c:tx>
            <c:v>Red pos</c:v>
          </c:tx>
          <c:spPr>
            <a:solidFill>
              <a:srgbClr val="FF3300"/>
            </a:solidFill>
            <a:ln w="12700">
              <a:noFill/>
              <a:prstDash val="solid"/>
            </a:ln>
          </c:spPr>
          <c:invertIfNegative val="0"/>
          <c:dLbls>
            <c:dLbl>
              <c:idx val="1"/>
              <c:spPr>
                <a:solidFill>
                  <a:srgbClr val="FF3300"/>
                </a:solidFill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1">
                      <a:solidFill>
                        <a:schemeClr val="bg1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9D6C-44AD-9454-AB80379A4C4E}"/>
                </c:ext>
              </c:extLst>
            </c:dLbl>
            <c:dLbl>
              <c:idx val="2"/>
              <c:spPr>
                <a:solidFill>
                  <a:srgbClr val="FF3300"/>
                </a:solidFill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1">
                      <a:solidFill>
                        <a:schemeClr val="bg1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1E13-4CD6-9BF5-C59C5C15A885}"/>
                </c:ext>
              </c:extLst>
            </c:dLbl>
            <c:dLbl>
              <c:idx val="3"/>
              <c:spPr>
                <a:solidFill>
                  <a:srgbClr val="FF3300"/>
                </a:solidFill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1">
                      <a:solidFill>
                        <a:schemeClr val="bg1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4789-4E89-80B2-8EBC61EE8A3B}"/>
                </c:ext>
              </c:extLst>
            </c:dLbl>
            <c:dLbl>
              <c:idx val="4"/>
              <c:spPr>
                <a:solidFill>
                  <a:srgbClr val="FF3300"/>
                </a:solidFill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1">
                      <a:solidFill>
                        <a:schemeClr val="bg1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4789-4E89-80B2-8EBC61EE8A3B}"/>
                </c:ext>
              </c:extLst>
            </c:dLbl>
            <c:dLbl>
              <c:idx val="5"/>
              <c:layout>
                <c:manualLayout>
                  <c:x val="-2.1091484313207768E-3"/>
                  <c:y val="-0.1569767441860465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D6C-44AD-9454-AB80379A4C4E}"/>
                </c:ext>
              </c:extLst>
            </c:dLbl>
            <c:dLbl>
              <c:idx val="6"/>
              <c:spPr>
                <a:solidFill>
                  <a:srgbClr val="FF3300"/>
                </a:solidFill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1">
                      <a:solidFill>
                        <a:schemeClr val="bg1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4789-4E89-80B2-8EBC61EE8A3B}"/>
                </c:ext>
              </c:extLst>
            </c:dLbl>
            <c:dLbl>
              <c:idx val="7"/>
              <c:layout>
                <c:manualLayout>
                  <c:x val="-1.1283497884344146E-3"/>
                  <c:y val="-5.8139534883720929E-3"/>
                </c:manualLayout>
              </c:layout>
              <c:spPr>
                <a:solidFill>
                  <a:srgbClr val="FF3300"/>
                </a:solidFill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1">
                      <a:solidFill>
                        <a:schemeClr val="bg1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789-4E89-80B2-8EBC61EE8A3B}"/>
                </c:ext>
              </c:extLst>
            </c:dLbl>
            <c:dLbl>
              <c:idx val="8"/>
              <c:spPr>
                <a:solidFill>
                  <a:srgbClr val="FF3300"/>
                </a:solidFill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1">
                      <a:solidFill>
                        <a:schemeClr val="bg1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C51C-4BFF-B7DC-B1788A9E1CBE}"/>
                </c:ext>
              </c:extLst>
            </c:dLbl>
            <c:dLbl>
              <c:idx val="9"/>
              <c:layout>
                <c:manualLayout>
                  <c:x val="-3.3850493653033269E-3"/>
                  <c:y val="7.55813953488372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789-4E89-80B2-8EBC61EE8A3B}"/>
                </c:ext>
              </c:extLst>
            </c:dLbl>
            <c:dLbl>
              <c:idx val="10"/>
              <c:layout>
                <c:manualLayout>
                  <c:x val="-4.4267205855800937E-4"/>
                  <c:y val="8.13953488372093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4789-4E89-80B2-8EBC61EE8A3B}"/>
                </c:ext>
              </c:extLst>
            </c:dLbl>
            <c:dLbl>
              <c:idx val="11"/>
              <c:layout>
                <c:manualLayout>
                  <c:x val="1.0545742156604272E-3"/>
                  <c:y val="2.9069767441860998E-3"/>
                </c:manualLayout>
              </c:layout>
              <c:spPr>
                <a:solidFill>
                  <a:srgbClr val="FF3300"/>
                </a:solidFill>
                <a:ln>
                  <a:noFill/>
                </a:ln>
                <a:effectLst/>
              </c:spPr>
              <c:txPr>
                <a:bodyPr wrap="square" lIns="38100" tIns="19050" rIns="38100" bIns="19050" anchor="ctr" anchorCtr="0">
                  <a:spAutoFit/>
                </a:bodyPr>
                <a:lstStyle/>
                <a:p>
                  <a:pPr algn="ctr">
                    <a:defRPr b="1">
                      <a:solidFill>
                        <a:schemeClr val="bg1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89-4E89-80B2-8EBC61EE8A3B}"/>
                </c:ext>
              </c:extLst>
            </c:dLbl>
            <c:dLbl>
              <c:idx val="12"/>
              <c:layout>
                <c:manualLayout>
                  <c:x val="-1.1600316372264698E-2"/>
                  <c:y val="9.88372093023255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4789-4E89-80B2-8EBC61EE8A3B}"/>
                </c:ext>
              </c:extLst>
            </c:dLbl>
            <c:dLbl>
              <c:idx val="13"/>
              <c:spPr>
                <a:solidFill>
                  <a:srgbClr val="FF3300"/>
                </a:solidFill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1">
                      <a:solidFill>
                        <a:schemeClr val="bg1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7-4789-4E89-80B2-8EBC61EE8A3B}"/>
                </c:ext>
              </c:extLst>
            </c:dLbl>
            <c:dLbl>
              <c:idx val="14"/>
              <c:spPr>
                <a:solidFill>
                  <a:srgbClr val="FF3300"/>
                </a:solidFill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1">
                      <a:solidFill>
                        <a:schemeClr val="bg1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C51C-4BFF-B7DC-B1788A9E1CB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'Bridge Book'!$A$29:$A$48</c:f>
              <c:numCache>
                <c:formatCode>General</c:formatCode>
                <c:ptCount val="8"/>
              </c:numCache>
            </c:numRef>
          </c:cat>
          <c:val>
            <c:numRef>
              <c:f>'Bridge Book'!$I$29:$I$48</c:f>
              <c:numCache>
                <c:formatCode>_ * #,##0_ ;_ * \-#,##0_ ;_ * "-"??_ ;_ @_ 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18-4789-4E89-80B2-8EBC61EE8A3B}"/>
            </c:ext>
          </c:extLst>
        </c:ser>
        <c:ser>
          <c:idx val="6"/>
          <c:order val="6"/>
          <c:tx>
            <c:v>Green pos</c:v>
          </c:tx>
          <c:spPr>
            <a:solidFill>
              <a:srgbClr val="339966"/>
            </a:solidFill>
            <a:ln w="12700">
              <a:noFill/>
              <a:prstDash val="solid"/>
            </a:ln>
          </c:spPr>
          <c:invertIfNegative val="0"/>
          <c:dLbls>
            <c:dLbl>
              <c:idx val="1"/>
              <c:layout>
                <c:manualLayout>
                  <c:x val="-1.4168430638694836E-2"/>
                  <c:y val="1.0670435817615821E-2"/>
                </c:manualLayout>
              </c:layout>
              <c:spPr>
                <a:noFill/>
              </c:spPr>
              <c:txPr>
                <a:bodyPr/>
                <a:lstStyle/>
                <a:p>
                  <a:pPr>
                    <a:defRPr b="1">
                      <a:solidFill>
                        <a:schemeClr val="bg1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4789-4E89-80B2-8EBC61EE8A3B}"/>
                </c:ext>
              </c:extLst>
            </c:dLbl>
            <c:dLbl>
              <c:idx val="2"/>
              <c:layout>
                <c:manualLayout>
                  <c:x val="-1.9351187745349389E-2"/>
                  <c:y val="1.0174418604651164E-2"/>
                </c:manualLayout>
              </c:layout>
              <c:spPr>
                <a:noFill/>
              </c:spPr>
              <c:txPr>
                <a:bodyPr/>
                <a:lstStyle/>
                <a:p>
                  <a:pPr>
                    <a:defRPr b="1">
                      <a:solidFill>
                        <a:schemeClr val="bg1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0871650211565585E-2"/>
                      <c:h val="5.475302142464750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A-4789-4E89-80B2-8EBC61EE8A3B}"/>
                </c:ext>
              </c:extLst>
            </c:dLbl>
            <c:dLbl>
              <c:idx val="3"/>
              <c:layout>
                <c:manualLayout>
                  <c:x val="-1.419979343202692E-2"/>
                  <c:y val="1.1000732466581212E-2"/>
                </c:manualLayout>
              </c:layout>
              <c:spPr>
                <a:noFill/>
              </c:spPr>
              <c:txPr>
                <a:bodyPr/>
                <a:lstStyle/>
                <a:p>
                  <a:pPr>
                    <a:defRPr b="1">
                      <a:solidFill>
                        <a:schemeClr val="bg1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4789-4E89-80B2-8EBC61EE8A3B}"/>
                </c:ext>
              </c:extLst>
            </c:dLbl>
            <c:dLbl>
              <c:idx val="4"/>
              <c:layout>
                <c:manualLayout>
                  <c:x val="2.6533502452715425E-2"/>
                  <c:y val="-6.2431331258011357E-3"/>
                </c:manualLayout>
              </c:layout>
              <c:spPr>
                <a:solidFill>
                  <a:srgbClr val="339966"/>
                </a:solidFill>
              </c:spPr>
              <c:txPr>
                <a:bodyPr/>
                <a:lstStyle/>
                <a:p>
                  <a:pPr>
                    <a:defRPr b="1">
                      <a:solidFill>
                        <a:schemeClr val="bg1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4789-4E89-80B2-8EBC61EE8A3B}"/>
                </c:ext>
              </c:extLst>
            </c:dLbl>
            <c:dLbl>
              <c:idx val="5"/>
              <c:layout>
                <c:manualLayout>
                  <c:x val="1.0761639240125303E-3"/>
                  <c:y val="0"/>
                </c:manualLayout>
              </c:layout>
              <c:spPr>
                <a:solidFill>
                  <a:srgbClr val="339966"/>
                </a:solidFill>
              </c:spPr>
              <c:txPr>
                <a:bodyPr/>
                <a:lstStyle/>
                <a:p>
                  <a:pPr>
                    <a:defRPr b="1">
                      <a:solidFill>
                        <a:schemeClr val="bg1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4789-4E89-80B2-8EBC61EE8A3B}"/>
                </c:ext>
              </c:extLst>
            </c:dLbl>
            <c:dLbl>
              <c:idx val="6"/>
              <c:layout>
                <c:manualLayout>
                  <c:x val="-2.1438645980253877E-2"/>
                  <c:y val="2.616279069767442E-2"/>
                </c:manualLayout>
              </c:layout>
              <c:spPr>
                <a:noFill/>
              </c:spPr>
              <c:txPr>
                <a:bodyPr/>
                <a:lstStyle/>
                <a:p>
                  <a:pPr>
                    <a:defRPr b="1">
                      <a:solidFill>
                        <a:schemeClr val="bg1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4789-4E89-80B2-8EBC61EE8A3B}"/>
                </c:ext>
              </c:extLst>
            </c:dLbl>
            <c:dLbl>
              <c:idx val="7"/>
              <c:layout>
                <c:manualLayout>
                  <c:x val="-1.360274535499714E-2"/>
                  <c:y val="-2.7625434902032596E-3"/>
                </c:manualLayout>
              </c:layout>
              <c:spPr>
                <a:noFill/>
              </c:spPr>
              <c:txPr>
                <a:bodyPr/>
                <a:lstStyle/>
                <a:p>
                  <a:pPr>
                    <a:defRPr b="1">
                      <a:solidFill>
                        <a:schemeClr val="bg1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4789-4E89-80B2-8EBC61EE8A3B}"/>
                </c:ext>
              </c:extLst>
            </c:dLbl>
            <c:dLbl>
              <c:idx val="8"/>
              <c:layout>
                <c:manualLayout>
                  <c:x val="-1.3408205334733896E-2"/>
                  <c:y val="-5.7910639077198699E-5"/>
                </c:manualLayout>
              </c:layout>
              <c:spPr>
                <a:noFill/>
              </c:spPr>
              <c:txPr>
                <a:bodyPr/>
                <a:lstStyle/>
                <a:p>
                  <a:pPr>
                    <a:defRPr b="1">
                      <a:solidFill>
                        <a:schemeClr val="bg1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4789-4E89-80B2-8EBC61EE8A3B}"/>
                </c:ext>
              </c:extLst>
            </c:dLbl>
            <c:dLbl>
              <c:idx val="9"/>
              <c:layout>
                <c:manualLayout>
                  <c:x val="1.6284663993868767E-3"/>
                  <c:y val="4.6779436000731938E-3"/>
                </c:manualLayout>
              </c:layout>
              <c:spPr>
                <a:solidFill>
                  <a:srgbClr val="339966"/>
                </a:solidFill>
              </c:spPr>
              <c:txPr>
                <a:bodyPr/>
                <a:lstStyle/>
                <a:p>
                  <a:pPr>
                    <a:defRPr b="1">
                      <a:solidFill>
                        <a:schemeClr val="bg1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4789-4E89-80B2-8EBC61EE8A3B}"/>
                </c:ext>
              </c:extLst>
            </c:dLbl>
            <c:dLbl>
              <c:idx val="10"/>
              <c:layout>
                <c:manualLayout>
                  <c:x val="-1.3496889213657152E-3"/>
                  <c:y val="-2.9069767441860465E-3"/>
                </c:manualLayout>
              </c:layout>
              <c:spPr>
                <a:noFill/>
              </c:spPr>
              <c:txPr>
                <a:bodyPr/>
                <a:lstStyle/>
                <a:p>
                  <a:pPr>
                    <a:defRPr b="1">
                      <a:solidFill>
                        <a:schemeClr val="bg1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4789-4E89-80B2-8EBC61EE8A3B}"/>
                </c:ext>
              </c:extLst>
            </c:dLbl>
            <c:dLbl>
              <c:idx val="11"/>
              <c:layout>
                <c:manualLayout>
                  <c:x val="-1.1504823431476626E-2"/>
                  <c:y val="2.3255813953488372E-2"/>
                </c:manualLayout>
              </c:layout>
              <c:spPr>
                <a:noFill/>
              </c:spPr>
              <c:txPr>
                <a:bodyPr/>
                <a:lstStyle/>
                <a:p>
                  <a:pPr>
                    <a:defRPr b="1">
                      <a:solidFill>
                        <a:schemeClr val="bg1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4789-4E89-80B2-8EBC61EE8A3B}"/>
                </c:ext>
              </c:extLst>
            </c:dLbl>
            <c:dLbl>
              <c:idx val="12"/>
              <c:layout>
                <c:manualLayout>
                  <c:x val="3.3329527455258443E-3"/>
                  <c:y val="0"/>
                </c:manualLayout>
              </c:layout>
              <c:spPr>
                <a:solidFill>
                  <a:srgbClr val="339966"/>
                </a:solidFill>
              </c:spPr>
              <c:txPr>
                <a:bodyPr/>
                <a:lstStyle/>
                <a:p>
                  <a:pPr>
                    <a:defRPr b="1">
                      <a:solidFill>
                        <a:schemeClr val="bg1"/>
                      </a:solidFill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4789-4E89-80B2-8EBC61EE8A3B}"/>
                </c:ext>
              </c:extLst>
            </c:dLbl>
            <c:dLbl>
              <c:idx val="13"/>
              <c:layout>
                <c:manualLayout>
                  <c:x val="-1.3540234705040989E-2"/>
                  <c:y val="1.162790697674413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4789-4E89-80B2-8EBC61EE8A3B}"/>
                </c:ext>
              </c:extLst>
            </c:dLbl>
            <c:dLbl>
              <c:idx val="14"/>
              <c:layout>
                <c:manualLayout>
                  <c:x val="-1.4764039019245979E-2"/>
                  <c:y val="8.7209302325581394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51C-4BFF-B7DC-B1788A9E1CB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'Bridge Book'!$A$29:$A$48</c:f>
              <c:numCache>
                <c:formatCode>General</c:formatCode>
                <c:ptCount val="8"/>
              </c:numCache>
            </c:numRef>
          </c:cat>
          <c:val>
            <c:numRef>
              <c:f>'Bridge Book'!$J$29:$J$48</c:f>
              <c:numCache>
                <c:formatCode>_ * #,##0_ ;_ * \-#,##0_ ;_ * "-"??_ ;_ @_ 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26-4789-4E89-80B2-8EBC61EE8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204711424"/>
        <c:axId val="204712960"/>
      </c:barChart>
      <c:catAx>
        <c:axId val="20471142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 anchor="b" anchorCtr="1"/>
          <a:lstStyle/>
          <a:p>
            <a:pPr>
              <a:defRPr sz="1300"/>
            </a:pPr>
            <a:endParaRPr lang="pt-BR"/>
          </a:p>
        </c:txPr>
        <c:crossAx val="204712960"/>
        <c:crosses val="autoZero"/>
        <c:auto val="1"/>
        <c:lblAlgn val="ctr"/>
        <c:lblOffset val="10"/>
        <c:tickLblSkip val="1"/>
        <c:tickMarkSkip val="1"/>
        <c:noMultiLvlLbl val="0"/>
      </c:catAx>
      <c:valAx>
        <c:axId val="204712960"/>
        <c:scaling>
          <c:orientation val="minMax"/>
          <c:max val="1800"/>
          <c:min val="0"/>
        </c:scaling>
        <c:delete val="1"/>
        <c:axPos val="l"/>
        <c:numFmt formatCode="#,##0" sourceLinked="0"/>
        <c:majorTickMark val="out"/>
        <c:minorTickMark val="none"/>
        <c:tickLblPos val="nextTo"/>
        <c:crossAx val="204711424"/>
        <c:crosses val="autoZero"/>
        <c:crossBetween val="between"/>
        <c:majorUnit val="10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50" b="0" i="0" u="none" strike="noStrike" baseline="0">
          <a:solidFill>
            <a:srgbClr val="000000"/>
          </a:solidFill>
          <a:latin typeface="Trebuchet MS" panose="020B0603020202020204" pitchFamily="34" charset="0"/>
          <a:ea typeface="Arial"/>
          <a:cs typeface="Arial"/>
        </a:defRPr>
      </a:pPr>
      <a:endParaRPr lang="pt-BR"/>
    </a:p>
  </c:txPr>
  <c:printSettings>
    <c:headerFooter alignWithMargins="0"/>
    <c:pageMargins b="1" l="0.75" r="0.75" t="1" header="0.5" footer="0.5"/>
    <c:pageSetup paperSize="9" orientation="landscape" verticalDpi="598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sv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e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1088571</xdr:colOff>
      <xdr:row>113</xdr:row>
      <xdr:rowOff>108857</xdr:rowOff>
    </xdr:from>
    <xdr:to>
      <xdr:col>19</xdr:col>
      <xdr:colOff>187404</xdr:colOff>
      <xdr:row>123</xdr:row>
      <xdr:rowOff>110945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0523FE4-5CBE-C603-02BC-1D9BC5386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81928" y="18242643"/>
          <a:ext cx="2078736" cy="16154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80</xdr:col>
      <xdr:colOff>201386</xdr:colOff>
      <xdr:row>10</xdr:row>
      <xdr:rowOff>103414</xdr:rowOff>
    </xdr:from>
    <xdr:to>
      <xdr:col>83</xdr:col>
      <xdr:colOff>498264</xdr:colOff>
      <xdr:row>15</xdr:row>
      <xdr:rowOff>166364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9139EBF-60C3-C750-782D-40D752E8E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031229" y="1360714"/>
          <a:ext cx="2621696" cy="843455"/>
        </a:xfrm>
        <a:prstGeom prst="rect">
          <a:avLst/>
        </a:prstGeom>
      </xdr:spPr>
    </xdr:pic>
    <xdr:clientData/>
  </xdr:twoCellAnchor>
  <xdr:twoCellAnchor editAs="oneCell">
    <xdr:from>
      <xdr:col>81</xdr:col>
      <xdr:colOff>413855</xdr:colOff>
      <xdr:row>17</xdr:row>
      <xdr:rowOff>59996</xdr:rowOff>
    </xdr:from>
    <xdr:to>
      <xdr:col>83</xdr:col>
      <xdr:colOff>530503</xdr:colOff>
      <xdr:row>24</xdr:row>
      <xdr:rowOff>35890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A7E6E3E-EA9B-6912-36B6-28FF7CA3F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962155" y="2231696"/>
          <a:ext cx="1705863" cy="979557"/>
        </a:xfrm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57</xdr:row>
      <xdr:rowOff>0</xdr:rowOff>
    </xdr:from>
    <xdr:to>
      <xdr:col>73</xdr:col>
      <xdr:colOff>1718293</xdr:colOff>
      <xdr:row>61</xdr:row>
      <xdr:rowOff>108540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C99FC9D-78F4-E5E1-118C-5D7E9913D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947600" y="7239000"/>
          <a:ext cx="1707440" cy="57699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90</xdr:row>
      <xdr:rowOff>134055</xdr:rowOff>
    </xdr:from>
    <xdr:to>
      <xdr:col>17</xdr:col>
      <xdr:colOff>194250</xdr:colOff>
      <xdr:row>123</xdr:row>
      <xdr:rowOff>152494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76D4064-DA7D-FE1A-BF15-CD825C9AE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6083" y="8643055"/>
          <a:ext cx="10974917" cy="5606440"/>
        </a:xfrm>
        <a:prstGeom prst="rect">
          <a:avLst/>
        </a:prstGeom>
      </xdr:spPr>
    </xdr:pic>
    <xdr:clientData/>
  </xdr:twoCellAnchor>
  <xdr:twoCellAnchor editAs="oneCell">
    <xdr:from>
      <xdr:col>22</xdr:col>
      <xdr:colOff>476249</xdr:colOff>
      <xdr:row>22</xdr:row>
      <xdr:rowOff>133946</xdr:rowOff>
    </xdr:from>
    <xdr:to>
      <xdr:col>38</xdr:col>
      <xdr:colOff>613409</xdr:colOff>
      <xdr:row>50</xdr:row>
      <xdr:rowOff>453867</xdr:rowOff>
    </xdr:to>
    <xdr:pic>
      <xdr:nvPicPr>
        <xdr:cNvPr id="9" name="Gráfico 8">
          <a:extLst>
            <a:ext uri="{FF2B5EF4-FFF2-40B4-BE49-F238E27FC236}">
              <a16:creationId xmlns:a16="http://schemas.microsoft.com/office/drawing/2014/main" id="{1F48AA99-994E-BB58-AD0E-4B8E115F4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7252155" y="2610446"/>
          <a:ext cx="10048875" cy="5652492"/>
        </a:xfrm>
        <a:prstGeom prst="rect">
          <a:avLst/>
        </a:prstGeom>
      </xdr:spPr>
    </xdr:pic>
    <xdr:clientData/>
  </xdr:twoCellAnchor>
  <xdr:twoCellAnchor editAs="oneCell">
    <xdr:from>
      <xdr:col>20</xdr:col>
      <xdr:colOff>273844</xdr:colOff>
      <xdr:row>7</xdr:row>
      <xdr:rowOff>154781</xdr:rowOff>
    </xdr:from>
    <xdr:to>
      <xdr:col>22</xdr:col>
      <xdr:colOff>532448</xdr:colOff>
      <xdr:row>29</xdr:row>
      <xdr:rowOff>130016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C7C0A22D-6945-866E-CB80-8737B545E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28094" y="1869281"/>
          <a:ext cx="2080260" cy="2065020"/>
        </a:xfrm>
        <a:prstGeom prst="rect">
          <a:avLst/>
        </a:prstGeom>
      </xdr:spPr>
    </xdr:pic>
    <xdr:clientData/>
  </xdr:twoCellAnchor>
  <xdr:twoCellAnchor editAs="oneCell">
    <xdr:from>
      <xdr:col>0</xdr:col>
      <xdr:colOff>1174750</xdr:colOff>
      <xdr:row>23</xdr:row>
      <xdr:rowOff>74084</xdr:rowOff>
    </xdr:from>
    <xdr:to>
      <xdr:col>4</xdr:col>
      <xdr:colOff>266869</xdr:colOff>
      <xdr:row>29</xdr:row>
      <xdr:rowOff>98902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471E165-9E2F-E3BC-C226-C90357FB3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74750" y="2455334"/>
          <a:ext cx="3283119" cy="1035103"/>
        </a:xfrm>
        <a:prstGeom prst="rect">
          <a:avLst/>
        </a:prstGeom>
      </xdr:spPr>
    </xdr:pic>
    <xdr:clientData/>
  </xdr:twoCellAnchor>
  <xdr:twoCellAnchor editAs="oneCell">
    <xdr:from>
      <xdr:col>20</xdr:col>
      <xdr:colOff>889000</xdr:colOff>
      <xdr:row>1</xdr:row>
      <xdr:rowOff>79376</xdr:rowOff>
    </xdr:from>
    <xdr:to>
      <xdr:col>31</xdr:col>
      <xdr:colOff>327395</xdr:colOff>
      <xdr:row>33</xdr:row>
      <xdr:rowOff>22112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D68CF2B-316B-9268-8CDC-046A671ED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557625" y="254001"/>
          <a:ext cx="7201270" cy="396260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>
          <a:spLocks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1" i="0" u="sng" strike="noStrike" baseline="0">
              <a:solidFill>
                <a:srgbClr val="000000"/>
              </a:solidFill>
              <a:latin typeface="Arial"/>
              <a:cs typeface="Arial"/>
            </a:rPr>
            <a:t>STOCK VARIATION: </a:t>
          </a: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the segments have to fill in only the effect of the stock variation, without the effect of the inventory WD and inventory WB. </a:t>
          </a:r>
        </a:p>
        <a:p>
          <a:pPr algn="l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>
          <a:spLocks/>
        </xdr:cNvSpPr>
      </xdr:nvSpPr>
      <xdr:spPr bwMode="auto">
        <a:xfrm>
          <a:off x="0" y="0"/>
          <a:ext cx="0" cy="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ightArrow">
          <a:avLst>
            <a:gd name="adj1" fmla="val 50000"/>
            <a:gd name="adj2" fmla="val -2147483648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5" name="AutoShape 6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0" cy="0"/>
        </a:xfrm>
        <a:prstGeom prst="rightArrow">
          <a:avLst>
            <a:gd name="adj1" fmla="val 50000"/>
            <a:gd name="adj2" fmla="val -2147483648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466725</xdr:colOff>
      <xdr:row>1</xdr:row>
      <xdr:rowOff>0</xdr:rowOff>
    </xdr:from>
    <xdr:to>
      <xdr:col>9</xdr:col>
      <xdr:colOff>590550</xdr:colOff>
      <xdr:row>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426720</xdr:colOff>
      <xdr:row>0</xdr:row>
      <xdr:rowOff>0</xdr:rowOff>
    </xdr:from>
    <xdr:to>
      <xdr:col>14</xdr:col>
      <xdr:colOff>76191</xdr:colOff>
      <xdr:row>0</xdr:row>
      <xdr:rowOff>0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 txBox="1">
          <a:spLocks noChangeArrowheads="1"/>
        </xdr:cNvSpPr>
      </xdr:nvSpPr>
      <xdr:spPr bwMode="auto">
        <a:xfrm>
          <a:off x="8827770" y="0"/>
          <a:ext cx="1973571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1" i="0" u="sng" strike="noStrike" baseline="0">
              <a:solidFill>
                <a:srgbClr val="000000"/>
              </a:solidFill>
              <a:latin typeface="Arial"/>
              <a:cs typeface="Arial"/>
            </a:rPr>
            <a:t>STOCK VARIATION: </a:t>
          </a:r>
          <a:r>
            <a:rPr lang="en-US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the segments have to fill in only the effect of the stock variation, without the effect of the inventory WD and inventory WB. </a:t>
          </a:r>
        </a:p>
        <a:p>
          <a:pPr algn="l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8</xdr:col>
      <xdr:colOff>19050</xdr:colOff>
      <xdr:row>0</xdr:row>
      <xdr:rowOff>0</xdr:rowOff>
    </xdr:from>
    <xdr:to>
      <xdr:col>8</xdr:col>
      <xdr:colOff>457200</xdr:colOff>
      <xdr:row>0</xdr:row>
      <xdr:rowOff>0</xdr:rowOff>
    </xdr:to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>
          <a:spLocks/>
        </xdr:cNvSpPr>
      </xdr:nvSpPr>
      <xdr:spPr bwMode="auto">
        <a:xfrm>
          <a:off x="6276975" y="0"/>
          <a:ext cx="438150" cy="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57150</xdr:colOff>
      <xdr:row>0</xdr:row>
      <xdr:rowOff>0</xdr:rowOff>
    </xdr:from>
    <xdr:to>
      <xdr:col>14</xdr:col>
      <xdr:colOff>66675</xdr:colOff>
      <xdr:row>0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>
          <a:spLocks noChangeArrowheads="1"/>
        </xdr:cNvSpPr>
      </xdr:nvSpPr>
      <xdr:spPr bwMode="auto">
        <a:xfrm>
          <a:off x="9172575" y="0"/>
          <a:ext cx="1619250" cy="0"/>
        </a:xfrm>
        <a:prstGeom prst="rightArrow">
          <a:avLst>
            <a:gd name="adj1" fmla="val 50000"/>
            <a:gd name="adj2" fmla="val -2147483648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66675</xdr:colOff>
      <xdr:row>0</xdr:row>
      <xdr:rowOff>0</xdr:rowOff>
    </xdr:from>
    <xdr:to>
      <xdr:col>11</xdr:col>
      <xdr:colOff>381000</xdr:colOff>
      <xdr:row>0</xdr:row>
      <xdr:rowOff>0</xdr:rowOff>
    </xdr:to>
    <xdr:sp macro="" textlink="">
      <xdr:nvSpPr>
        <xdr:cNvPr id="6" name="AutoShape 6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>
          <a:spLocks noChangeArrowheads="1"/>
        </xdr:cNvSpPr>
      </xdr:nvSpPr>
      <xdr:spPr bwMode="auto">
        <a:xfrm>
          <a:off x="8467725" y="0"/>
          <a:ext cx="314325" cy="0"/>
        </a:xfrm>
        <a:prstGeom prst="rightArrow">
          <a:avLst>
            <a:gd name="adj1" fmla="val 50000"/>
            <a:gd name="adj2" fmla="val -2147483648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403225</xdr:colOff>
      <xdr:row>1</xdr:row>
      <xdr:rowOff>139700</xdr:rowOff>
    </xdr:from>
    <xdr:to>
      <xdr:col>17</xdr:col>
      <xdr:colOff>203200</xdr:colOff>
      <xdr:row>24</xdr:row>
      <xdr:rowOff>127000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37</xdr:col>
      <xdr:colOff>0</xdr:colOff>
      <xdr:row>68</xdr:row>
      <xdr:rowOff>152400</xdr:rowOff>
    </xdr:from>
    <xdr:to>
      <xdr:col>51</xdr:col>
      <xdr:colOff>576580</xdr:colOff>
      <xdr:row>108</xdr:row>
      <xdr:rowOff>71845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31150" t="19468" r="14052" b="5236"/>
        <a:stretch/>
      </xdr:blipFill>
      <xdr:spPr>
        <a:xfrm>
          <a:off x="27990800" y="12217400"/>
          <a:ext cx="10031730" cy="7535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2317750</xdr:colOff>
      <xdr:row>13</xdr:row>
      <xdr:rowOff>114300</xdr:rowOff>
    </xdr:from>
    <xdr:to>
      <xdr:col>5</xdr:col>
      <xdr:colOff>3552473</xdr:colOff>
      <xdr:row>21</xdr:row>
      <xdr:rowOff>30163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08800" y="2520950"/>
          <a:ext cx="1234723" cy="138906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50</xdr:col>
      <xdr:colOff>308610</xdr:colOff>
      <xdr:row>0</xdr:row>
      <xdr:rowOff>0</xdr:rowOff>
    </xdr:from>
    <xdr:to>
      <xdr:col>66</xdr:col>
      <xdr:colOff>607058</xdr:colOff>
      <xdr:row>54</xdr:row>
      <xdr:rowOff>65947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1150" t="19468" r="14052" b="5236"/>
        <a:stretch/>
      </xdr:blipFill>
      <xdr:spPr>
        <a:xfrm>
          <a:off x="29065318" y="0"/>
          <a:ext cx="10333403" cy="6739930"/>
        </a:xfrm>
        <a:prstGeom prst="rect">
          <a:avLst/>
        </a:prstGeom>
      </xdr:spPr>
    </xdr:pic>
    <xdr:clientData/>
  </xdr:twoCellAnchor>
  <xdr:twoCellAnchor editAs="oneCell">
    <xdr:from>
      <xdr:col>36</xdr:col>
      <xdr:colOff>83126</xdr:colOff>
      <xdr:row>44</xdr:row>
      <xdr:rowOff>109410</xdr:rowOff>
    </xdr:from>
    <xdr:to>
      <xdr:col>40</xdr:col>
      <xdr:colOff>348388</xdr:colOff>
      <xdr:row>50</xdr:row>
      <xdr:rowOff>105062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34217" y="5692792"/>
          <a:ext cx="2294953" cy="7149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1</xdr:col>
          <xdr:colOff>304800</xdr:colOff>
          <xdr:row>0</xdr:row>
          <xdr:rowOff>0</xdr:rowOff>
        </xdr:to>
        <xdr:sp macro="" textlink="">
          <xdr:nvSpPr>
            <xdr:cNvPr id="11265" name="FPMExcelClientSheetOptionstb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15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266700</xdr:colOff>
      <xdr:row>1</xdr:row>
      <xdr:rowOff>0</xdr:rowOff>
    </xdr:from>
    <xdr:to>
      <xdr:col>41</xdr:col>
      <xdr:colOff>270510</xdr:colOff>
      <xdr:row>45</xdr:row>
      <xdr:rowOff>38100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8858" t="17273" r="14417" b="5140"/>
        <a:stretch/>
      </xdr:blipFill>
      <xdr:spPr>
        <a:xfrm>
          <a:off x="15240000" y="161925"/>
          <a:ext cx="10372725" cy="77438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Orcamento/2026/Versao%20I/Analise/EBITDA/DRE_2026_Budget_STEP1_Full.xlsx" TargetMode="External"/><Relationship Id="rId2" Type="http://schemas.openxmlformats.org/officeDocument/2006/relationships/externalLinkPath" Target="https://arcelormittal.sharepoint.com/sites/EquipePCFN/Shared%20Documents/General/CRTL-NEGOCIOS/Orcamento/2026/Versao%20I/Analise/EBITDA/DRE_2026_Budget_STEP1_Full.xlsx" TargetMode="External"/><Relationship Id="rId1" Type="http://schemas.openxmlformats.org/officeDocument/2006/relationships/externalLinkPath" Target="/sites/EquipePCFN/Shared%20Documents/General/CRTL-NEGOCIOS/Orcamento/2026/Versao%20I/Analise/EBITDA/DRE_2026_Budget_STEP1_Full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DRE_2026_MRF7.xlsx" TargetMode="External"/><Relationship Id="rId2" Type="http://schemas.openxmlformats.org/officeDocument/2006/relationships/externalLinkPath" Target="https://arcelormittal.sharepoint.com/sites/EquipePCFN/Shared%20Documents/General/CRTL-NEGOCIOS/Processo%20mensal/2026/06-Junho/Monitoramento/Report/Monthly%20performance/Calculo/DRE_2026_MRF7.xlsx" TargetMode="External"/><Relationship Id="rId1" Type="http://schemas.openxmlformats.org/officeDocument/2006/relationships/externalLinkPath" Target="/sites/EquipePCFN/Shared%20Documents/General/CRTL-NEGOCIOS/Processo%20mensal/2026/06-Junho/Monitoramento/Report/Monthly%20performance/Calculo/DRE_2026_MRF7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Orcamento/2026/Versao%20I/Analise/Receita/Pre&#231;o_ex-works_2026_Budget%20com%20PIS_COFINS_Full%20V1.xlsx" TargetMode="External"/><Relationship Id="rId2" Type="http://schemas.openxmlformats.org/officeDocument/2006/relationships/externalLinkPath" Target="https://arcelormittal.sharepoint.com/sites/EquipePCFN/Shared%20Documents/General/CRTL-NEGOCIOS/Orcamento/2026/Versao%20I/Analise/Receita/Pre&#231;o_ex-works_2026_Budget%20com%20PIS_COFINS_Full%20V1.xlsx" TargetMode="External"/><Relationship Id="rId1" Type="http://schemas.openxmlformats.org/officeDocument/2006/relationships/externalLinkPath" Target="/sites/EquipePCFN/Shared%20Documents/General/CRTL-NEGOCIOS/Orcamento/2026/Versao%20I/Analise/Receita/Pre&#231;o_ex-works_2026_Budget%20com%20PIS_COFINS_Full%20V1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Pre&#231;o_ex-works_2026_MRF7%20com%20PIS_COFINS.xlsx" TargetMode="External"/><Relationship Id="rId2" Type="http://schemas.openxmlformats.org/officeDocument/2006/relationships/externalLinkPath" Target="https://arcelormittal.sharepoint.com/sites/EquipePCFN/Shared%20Documents/General/CRTL-NEGOCIOS/Processo%20mensal/2026/06-Junho/Monitoramento/Report/Monthly%20performance/Pre&#231;o_ex-works_2026_MRF7%20com%20PIS_COFINS.xlsx" TargetMode="External"/><Relationship Id="rId1" Type="http://schemas.openxmlformats.org/officeDocument/2006/relationships/externalLinkPath" Target="/sites/EquipePCFN/Shared%20Documents/General/CRTL-NEGOCIOS/Processo%20mensal/2026/06-Junho/Monitoramento/Report/Monthly%20performance/Pre&#231;o_ex-works_2026_MRF7%20com%20PIS_COFINS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arcelormittal.sharepoint.com/sites/EquipePCFN/Shared%20Documents/General/CRTL-NEGOCIOS/Processo%20mensal/2026/01-Janeiro/Monitoramento/Report/Monthly%20performance/Entradas/Comercial/2026_Budget%20e%20Strategy%202027-30%20-%20FCLATAM%20Shipments%20and%20Prices_PIS%20COFINS.xlsx" TargetMode="External"/><Relationship Id="rId2" Type="http://schemas.microsoft.com/office/2019/04/relationships/externalLinkLongPath" Target="/sites/EquipePCFN/Shared%20Documents/General/CRTL-NEGOCIOS/Processo%20mensal/2026/01-Janeiro/Monitoramento/Report/Monthly%20performance/Entradas/Comercial/2026_Budget%20e%20Strategy%202027-30%20-%20FCLATAM%20Shipments%20and%20Prices_PIS%20COFINS.xlsx?61E7CB32" TargetMode="External"/><Relationship Id="rId1" Type="http://schemas.openxmlformats.org/officeDocument/2006/relationships/externalLinkPath" Target="file:///\\61E7CB32\2026_Budget%20e%20Strategy%202027-30%20-%20FCLATAM%20Shipments%20and%20Prices_PIS%20COFINS.xlsx" TargetMode="External"/><Relationship Id="rId4" Type="http://schemas.openxmlformats.org/officeDocument/2006/relationships/externalLinkPath" Target="../../../../../../01-Janeiro/Monitoramento/Report/Monthly%20performance/Entradas/Comercial/2026_Budget%20e%20Strategy%202027-30%20-%20FCLATAM%20Shipments%20and%20Prices_PIS%20COFINS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Orcamento/2026/Versao%20I/Analise/Custos/Cost%20by%20stage/Cost%20by%20Stage%202026%20BUDGET.xlsx" TargetMode="External"/><Relationship Id="rId2" Type="http://schemas.openxmlformats.org/officeDocument/2006/relationships/externalLinkPath" Target="https://arcelormittal.sharepoint.com/sites/EquipePCFN/Shared%20Documents/General/CRTL-NEGOCIOS/Orcamento/2026/Versao%20I/Analise/Custos/Cost%20by%20stage/Cost%20by%20Stage%202026%20BUDGET.xlsx" TargetMode="External"/><Relationship Id="rId1" Type="http://schemas.openxmlformats.org/officeDocument/2006/relationships/externalLinkPath" Target="/sites/EquipePCFN/Shared%20Documents/General/CRTL-NEGOCIOS/Orcamento/2026/Versao%20I/Analise/Custos/Cost%20by%20stage/Cost%20by%20Stage%202026%20BUDGET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Orcamento/2026/Versao%20I/Analise/Custos/Cost%20by%20stage/Cost%20by%20Stage%20Vega_2026%20BUDGET.xlsx" TargetMode="External"/><Relationship Id="rId2" Type="http://schemas.openxmlformats.org/officeDocument/2006/relationships/externalLinkPath" Target="https://arcelormittal.sharepoint.com/sites/EquipePCFN/Shared%20Documents/General/CRTL-NEGOCIOS/Orcamento/2026/Versao%20I/Analise/Custos/Cost%20by%20stage/Cost%20by%20Stage%20Vega_2026%20BUDGET.xlsx" TargetMode="External"/><Relationship Id="rId1" Type="http://schemas.openxmlformats.org/officeDocument/2006/relationships/externalLinkPath" Target="/sites/EquipePCFN/Shared%20Documents/General/CRTL-NEGOCIOS/Orcamento/2026/Versao%20I/Analise/Custos/Cost%20by%20stage/Cost%20by%20Stage%20Vega_2026%20BUDGET.xlsx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Custo%20EBITDA/Custo%20fixo/Report%20saida/EB_FCLATAM_2026_MRF07_%20NonControll.xlsx" TargetMode="External"/><Relationship Id="rId2" Type="http://schemas.openxmlformats.org/officeDocument/2006/relationships/externalLinkPath" Target="https://arcelormittal.sharepoint.com/sites/EquipePCFN/Shared%20Documents/General/CRTL-NEGOCIOS/Processo%20mensal/2026/06-Junho/Monitoramento/Custo%20EBITDA/Custo%20fixo/Report%20saida/EB_FCLATAM_2026_MRF07_%20NonControll.xlsx" TargetMode="External"/><Relationship Id="rId1" Type="http://schemas.openxmlformats.org/officeDocument/2006/relationships/externalLinkPath" Target="/sites/EquipePCFN/Shared%20Documents/General/CRTL-NEGOCIOS/Processo%20mensal/2026/06-Junho/Monitoramento/Custo%20EBITDA/Custo%20fixo/Report%20saida/EB_FCLATAM_2026_MRF07_%20NonControll.xlsx" TargetMode="External"/></Relationships>
</file>

<file path=xl/externalLinks/_rels/externalLink9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arcelormittal.sharepoint.com/sites/EquipePCFN/Shared%20Documents/General/CRTL-NEGOCIOS/Processo%20mensal/2026/06-Junho/Monitoramento/Report/Monthly%20performance/Calculo/Bridge/Input%20Price%202026_MRF7%20(sem%20efeito%20c&#226;mbio).xlsx" TargetMode="External"/><Relationship Id="rId2" Type="http://schemas.microsoft.com/office/2019/04/relationships/externalLinkLongPath" Target="Input%20Price%202026_MRF7%20(sem%20efeito%20c&#226;mbio).xlsx?B96C9641" TargetMode="External"/><Relationship Id="rId1" Type="http://schemas.openxmlformats.org/officeDocument/2006/relationships/externalLinkPath" Target="file:///\\B96C9641\Input%20Price%202026_MRF7%20(sem%20efeito%20c&#226;mbio).xlsx" TargetMode="External"/></Relationships>
</file>

<file path=xl/externalLinks/_rels/externalLink10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arcelormittal.sharepoint.com/sites/EquipePCFN/Shared%20Documents/General/CRTL-NEGOCIOS/Processo%20mensal/2026/06-Junho/Monitoramento/Report/Monthly%20performance/Calculo/Bridge/USAGE%202026_MRF7_via%20Breakdown%20sem%20Desp.%20Financ_USD2.xlsx" TargetMode="External"/><Relationship Id="rId2" Type="http://schemas.microsoft.com/office/2019/04/relationships/externalLinkLongPath" Target="USAGE%202026_MRF7_via%20Breakdown%20sem%20Desp.%20Financ_USD2.xlsx?B96C9641" TargetMode="External"/><Relationship Id="rId1" Type="http://schemas.openxmlformats.org/officeDocument/2006/relationships/externalLinkPath" Target="file:///\\B96C9641\USAGE%202026_MRF7_via%20Breakdown%20sem%20Desp.%20Financ_USD2.xlsx" TargetMode="External"/></Relationships>
</file>

<file path=xl/externalLinks/_rels/externalLink1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Orcamento/2026/Versao%20I/Analise/FCF/2026%20FCF%20OWCR%20Template_Budget.xlsx" TargetMode="External"/><Relationship Id="rId2" Type="http://schemas.openxmlformats.org/officeDocument/2006/relationships/externalLinkPath" Target="https://arcelormittal.sharepoint.com/sites/EquipePCFN/Shared%20Documents/General/CRTL-NEGOCIOS/Orcamento/2026/Versao%20I/Analise/FCF/2026%20FCF%20OWCR%20Template_Budget.xlsx" TargetMode="External"/><Relationship Id="rId1" Type="http://schemas.openxmlformats.org/officeDocument/2006/relationships/externalLinkPath" Target="/sites/EquipePCFN/Shared%20Documents/General/CRTL-NEGOCIOS/Orcamento/2026/Versao%20I/Analise/FCF/2026%20FCF%20OWCR%20Template_Budget.xlsx" TargetMode="External"/></Relationships>
</file>

<file path=xl/externalLinks/_rels/externalLink1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aida/FCF/2026%20FCF%20OWCR%20Template_MRF7.xlsx" TargetMode="External"/><Relationship Id="rId2" Type="http://schemas.openxmlformats.org/officeDocument/2006/relationships/externalLinkPath" Target="https://arcelormittal.sharepoint.com/sites/EquipePCFN/Shared%20Documents/General/CRTL-NEGOCIOS/Processo%20mensal/2026/06-Junho/Monitoramento/Report/Monthly%20performance/Saida/FCF/2026%20FCF%20OWCR%20Template_MRF7.xlsx" TargetMode="External"/><Relationship Id="rId1" Type="http://schemas.openxmlformats.org/officeDocument/2006/relationships/externalLinkPath" Target="/sites/EquipePCFN/Shared%20Documents/General/CRTL-NEGOCIOS/Processo%20mensal/2026/06-Junho/Monitoramento/Report/Monthly%20performance/Saida/FCF/2026%20FCF%20OWCR%20Template_MRF7.xlsx" TargetMode="External"/></Relationships>
</file>

<file path=xl/externalLinks/_rels/externalLink1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Custo%20EBITDA/Logistica/Report%20Saida/Report_MRF07_2026.xlsx" TargetMode="External"/><Relationship Id="rId2" Type="http://schemas.openxmlformats.org/officeDocument/2006/relationships/externalLinkPath" Target="https://arcelormittal.sharepoint.com/sites/EquipePCFN/Shared%20Documents/General/CRTL-NEGOCIOS/Processo%20mensal/2026/06-Junho/Monitoramento/Custo%20EBITDA/Logistica/Report%20Saida/Report_MRF07_2026.xlsx" TargetMode="External"/><Relationship Id="rId1" Type="http://schemas.openxmlformats.org/officeDocument/2006/relationships/externalLinkPath" Target="/sites/EquipePCFN/Shared%20Documents/General/CRTL-NEGOCIOS/Processo%20mensal/2026/06-Junho/Monitoramento/Custo%20EBITDA/Logistica/Report%20Saida/Report_MRF07_2026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../CRTL-NEGOCIOS/Processo%20mensal/2021/12%20Dezembro/Monitoramento/Report/Monthly%20performance/Calculo/Unusual_2021_Actual.xlsx" TargetMode="External"/><Relationship Id="rId1" Type="http://schemas.openxmlformats.org/officeDocument/2006/relationships/externalLinkPath" Target="/CRTL-NEGOCIOS/Processo%20mensal/2021/12%20Dezembro/Monitoramento/Report/Monthly%20performance/Calculo/Unusual_2021_Actual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rcelormittal.sharepoint.com/sites/EquipePCFN/Shared%20Documents/General/CRTL-NEGOCIOS/Processo%20mensal/2026/06-Junho/Monitoramento/Report/Monthly%20performance/Calculo/Bridge/Outros%20MRF7%202026.xlsx" TargetMode="External"/><Relationship Id="rId1" Type="http://schemas.openxmlformats.org/officeDocument/2006/relationships/externalLinkPath" Target="Outros%20MRF7%202026.xlsx" TargetMode="External"/></Relationships>
</file>

<file path=xl/externalLinks/_rels/externalLink1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Custo%20EBITDA/Custo%20fixo/Report%20saida/Divulga&#231;&#227;o%20Custo%20Fixo_2026%20MRF7.xlsx" TargetMode="External"/><Relationship Id="rId2" Type="http://schemas.openxmlformats.org/officeDocument/2006/relationships/externalLinkPath" Target="https://arcelormittal.sharepoint.com/sites/EquipePCFN/Shared%20Documents/General/CRTL-NEGOCIOS/Processo%20mensal/2026/06-Junho/Monitoramento/Custo%20EBITDA/Custo%20fixo/Report%20saida/Divulga&#231;&#227;o%20Custo%20Fixo_2026%20MRF7.xlsx" TargetMode="External"/><Relationship Id="rId1" Type="http://schemas.openxmlformats.org/officeDocument/2006/relationships/externalLinkPath" Target="/sites/EquipePCFN/Shared%20Documents/General/CRTL-NEGOCIOS/Processo%20mensal/2026/06-Junho/Monitoramento/Custo%20EBITDA/Custo%20fixo/Report%20saida/Divulga&#231;&#227;o%20Custo%20Fixo_2026%20MRF7.xlsx" TargetMode="External"/></Relationships>
</file>

<file path=xl/externalLinks/_rels/externalLink1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2025/12-Dezembro/Monitoramento/Report/Monthly%20performance/C&#226;mbio%20ArcelorMittal%20Brasil%202025_Dezembro_2025.xlsm" TargetMode="External"/><Relationship Id="rId2" Type="http://schemas.openxmlformats.org/officeDocument/2006/relationships/externalLinkPath" Target="https://arcelormittal.sharepoint.com/sites/EquipePCFN/Shared%20Documents/General/CRTL-NEGOCIOS/Processo%20mensal/2025/12-Dezembro/Monitoramento/Report/Monthly%20performance/C&#226;mbio%20ArcelorMittal%20Brasil%202025_Dezembro_2025.xlsm" TargetMode="External"/><Relationship Id="rId1" Type="http://schemas.openxmlformats.org/officeDocument/2006/relationships/externalLinkPath" Target="/sites/EquipePCFN/Shared%20Documents/General/CRTL-NEGOCIOS/Processo%20mensal/2025/12-Dezembro/Monitoramento/Report/Monthly%20performance/C&#226;mbio%20ArcelorMittal%20Brasil%202025_Dezembro_2025.xlsm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amnet.local\dfs\TUBARAO\GROUPS\CRTL-NEGOCIOS\Processo%20mensal\2023\12%20Dezembro\Monitoramento\Report\Monthly%20performance\Calculo\Bridge\EB_FY24_Budget_vs_FY24_MRF01.xlsm" TargetMode="External"/><Relationship Id="rId1" Type="http://schemas.openxmlformats.org/officeDocument/2006/relationships/externalLinkPath" Target="file:///\\amnet.local\dfs\TUBARAO\GROUPS\CRTL-NEGOCIOS\Processo%20mensal\2023\12%20Dezembro\Monitoramento\Report\Monthly%20performance\Calculo\Bridge\EB_FY24_Budget_vs_FY24_MRF01.xlsm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amnet.local\dfs\TUBARAO\GROUPS\CRTL-NEGOCIOS\Processo%20mensal\2024\01-Janeiro\Monitoramento\Report\Monthly%20performance\Calculo\Bridge\EB_FY24_Budget_vs_FY24_MRF02.xlsm" TargetMode="External"/><Relationship Id="rId1" Type="http://schemas.openxmlformats.org/officeDocument/2006/relationships/externalLinkPath" Target="file:///\\amnet.local\dfs\TUBARAO\GROUPS\CRTL-NEGOCIOS\Processo%20mensal\2024\01-Janeiro\Monitoramento\Report\Monthly%20performance\Calculo\Bridge\EB_FY24_Budget_vs_FY24_MRF02.xlsm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amnet.local\dfs\TUBARAO\GROUPS\CRTL-NEGOCIOS\Processo%20mensal\2024\01-Janeiro\Monitoramento\Report\Monthly%20performance\Calculo\An&#225;lise_EBITDA_MRF1_MRF2_2024.xlsx" TargetMode="External"/><Relationship Id="rId1" Type="http://schemas.openxmlformats.org/officeDocument/2006/relationships/externalLinkPath" Target="file:///\\amnet.local\dfs\TUBARAO\GROUPS\CRTL-NEGOCIOS\Processo%20mensal\2024\01-Janeiro\Monitoramento\Report\Monthly%20performance\Calculo\An&#225;lise_EBITDA_MRF1_MRF2_2024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amnet.local\dfs\TUBARAO\GROUPS\CRTL-NEGOCIOS\Processo%20mensal\2024\02-Fevereiro\Monitoramento\Report\Monthly%20performance\Calculo\Bridge\EB_FY24_Budget_vs_FY24_MRF03.xlsm" TargetMode="External"/><Relationship Id="rId1" Type="http://schemas.openxmlformats.org/officeDocument/2006/relationships/externalLinkPath" Target="file:///\\amnet.local\dfs\TUBARAO\GROUPS\CRTL-NEGOCIOS\Processo%20mensal\2024\02-Fevereiro\Monitoramento\Report\Monthly%20performance\Calculo\Bridge\EB_FY24_Budget_vs_FY24_MRF03.xlsm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amnet.local\dfs\TUBARAO\GROUPS\CRTL-NEGOCIOS\Processo%20mensal\2024\03-Mar&#231;o\Monitoramento\Report\Monthly%20performance\Calculo\Bridge\EB_FY24_Budget_vs_FY24_MRF04.xlsm" TargetMode="External"/><Relationship Id="rId1" Type="http://schemas.openxmlformats.org/officeDocument/2006/relationships/externalLinkPath" Target="file:///\\amnet.local\dfs\TUBARAO\GROUPS\CRTL-NEGOCIOS\Processo%20mensal\2024\03-Mar&#231;o\Monitoramento\Report\Monthly%20performance\Calculo\Bridge\EB_FY24_Budget_vs_FY24_MRF04.xlsm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amnet.local\dfs\TUBARAO\GROUPS\CRTL-NEGOCIOS\Processo%20mensal\2024\04-Abril\Monitoramento\Report\Monthly%20performance\Calculo\Bridge\EB_FY24_Budget_vs_FY24_MRF05.xlsm" TargetMode="External"/><Relationship Id="rId1" Type="http://schemas.openxmlformats.org/officeDocument/2006/relationships/externalLinkPath" Target="file:///\\amnet.local\dfs\TUBARAO\GROUPS\CRTL-NEGOCIOS\Processo%20mensal\2024\04-Abril\Monitoramento\Report\Monthly%20performance\Calculo\Bridge\EB_FY24_Budget_vs_FY24_MRF05.xlsm" TargetMode="External"/></Relationships>
</file>

<file path=xl/externalLinks/_rels/externalLink24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arcelormittal.sharepoint.com/sites/EquipePCFN/Shared%20Documents/General/CRTL-NEGOCIOS/Processo%20mensal/2026/06-Junho/Projecoes/Premissa%20entrada/Fornecedores/Preco/Comit&#234;%20de%20Mat&#233;rias%20Primas/Purchasing_Committee_MRF7_2026.xlsx" TargetMode="External"/><Relationship Id="rId2" Type="http://schemas.microsoft.com/office/2019/04/relationships/externalLinkLongPath" Target="/sites/EquipePCFN/Shared%20Documents/General/CRTL-NEGOCIOS/Processo%20mensal/2026/06-Junho/Projecoes/Premissa%20entrada/Fornecedores/Preco/Comit&#234;%20de%20Mat&#233;rias%20Primas/Purchasing_Committee_MRF7_2026.xlsx?D678009B" TargetMode="External"/><Relationship Id="rId1" Type="http://schemas.openxmlformats.org/officeDocument/2006/relationships/externalLinkPath" Target="file:///\\D678009B\Purchasing_Committee_MRF7_2026.xlsx" TargetMode="External"/><Relationship Id="rId4" Type="http://schemas.openxmlformats.org/officeDocument/2006/relationships/externalLinkPath" Target="../../../../../Projecoes/Premissa%20entrada/Fornecedores/Preco/Comit&#234;%20de%20Mat&#233;rias%20Primas/Purchasing_Committee_MRF7_2026.xlsx" TargetMode="External"/></Relationships>
</file>

<file path=xl/externalLinks/_rels/externalLink25.xml.rels><?xml version="1.0" encoding="UTF-8" standalone="yes"?>
<Relationships xmlns="http://schemas.openxmlformats.org/package/2006/relationships"><Relationship Id="rId3" Type="http://schemas.openxmlformats.org/officeDocument/2006/relationships/externalLinkPath" Target="../SV_forex%20from%20inventories_MRF7_2026.xlsx" TargetMode="External"/><Relationship Id="rId2" Type="http://schemas.openxmlformats.org/officeDocument/2006/relationships/externalLinkPath" Target="https://arcelormittal.sharepoint.com/sites/EquipePCFN/Shared%20Documents/General/CRTL-NEGOCIOS/Processo%20mensal/2026/06-Junho/Monitoramento/Report/Monthly%20performance/Calculo/SV_forex%20from%20inventories_MRF7_2026.xlsx" TargetMode="External"/><Relationship Id="rId1" Type="http://schemas.openxmlformats.org/officeDocument/2006/relationships/externalLinkPath" Target="/sites/EquipePCFN/Shared%20Documents/General/CRTL-NEGOCIOS/Processo%20mensal/2026/06-Junho/Monitoramento/Report/Monthly%20performance/Calculo/SV_forex%20from%20inventories_MRF7_2026.xlsx" TargetMode="External"/></Relationships>
</file>

<file path=xl/externalLinks/_rels/externalLink2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Orcamento/2026/Versao%20I/Entrada/Input%20price/Min&#233;rio/Iron_Ore_Budget_2026.xlsx" TargetMode="External"/><Relationship Id="rId2" Type="http://schemas.openxmlformats.org/officeDocument/2006/relationships/externalLinkPath" Target="https://arcelormittal.sharepoint.com/sites/EquipePCFN/Shared%20Documents/General/CRTL-NEGOCIOS/Orcamento/2026/Versao%20I/Entrada/Input%20price/Min&#233;rio/Iron_Ore_Budget_2026.xlsx" TargetMode="External"/><Relationship Id="rId1" Type="http://schemas.openxmlformats.org/officeDocument/2006/relationships/externalLinkPath" Target="/sites/EquipePCFN/Shared%20Documents/General/CRTL-NEGOCIOS/Orcamento/2026/Versao%20I/Entrada/Input%20price/Min&#233;rio/Iron_Ore_Budget_2026.xlsx" TargetMode="External"/></Relationships>
</file>

<file path=xl/externalLinks/_rels/externalLink2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Projecoes/Premissa%20entrada/Fornecedores/Preco/Minerio/Iron_Ore_MRF7_2026.xlsx" TargetMode="External"/><Relationship Id="rId2" Type="http://schemas.openxmlformats.org/officeDocument/2006/relationships/externalLinkPath" Target="https://arcelormittal.sharepoint.com/sites/EquipePCFN/Shared%20Documents/General/CRTL-NEGOCIOS/Processo%20mensal/2026/06-Junho/Projecoes/Premissa%20entrada/Fornecedores/Preco/Minerio/Iron_Ore_MRF7_2026.xlsx" TargetMode="External"/><Relationship Id="rId1" Type="http://schemas.openxmlformats.org/officeDocument/2006/relationships/externalLinkPath" Target="/sites/EquipePCFN/Shared%20Documents/General/CRTL-NEGOCIOS/Processo%20mensal/2026/06-Junho/Projecoes/Premissa%20entrada/Fornecedores/Preco/Minerio/Iron_Ore_MRF7_2026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rcelormittal.sharepoint.com/sites/EquipePCFN/Shared%20Documents/General/CRTL-NEGOCIOS/Processo%20mensal/2026/06-Junho/Monitoramento/Report/Monthly%20performance/Calculo/Bridge/Minerio_forex_MRF7%202026.xlsx" TargetMode="External"/><Relationship Id="rId1" Type="http://schemas.openxmlformats.org/officeDocument/2006/relationships/externalLinkPath" Target="Minerio_forex_MRF7%202026.xlsx" TargetMode="External"/></Relationships>
</file>

<file path=xl/externalLinks/_rels/externalLink29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arcelormittal.sharepoint.com/sites/EquipePCFN/Shared%20Documents/General/CRTL-NEGOCIOS/Processo%20mensal/2025/12-Dezembro/Monitoramento/Report/Monthly%20performance/Calculo/Bridge/Input%20Price%202026_MRF1%20(sem%20efeito%20c&#226;mbio).xlsx" TargetMode="External"/><Relationship Id="rId2" Type="http://schemas.microsoft.com/office/2019/04/relationships/externalLinkLongPath" Target="/sites/EquipePCFN/Shared%20Documents/General/CRTL-NEGOCIOS/Processo%20mensal/2025/12-Dezembro/Monitoramento/Report/Monthly%20performance/Calculo/Bridge/Input%20Price%202026_MRF1%20(sem%20efeito%20c&#226;mbio).xlsx?508A44F2" TargetMode="External"/><Relationship Id="rId1" Type="http://schemas.openxmlformats.org/officeDocument/2006/relationships/externalLinkPath" Target="file:///\\508A44F2\Input%20Price%202026_MRF1%20(sem%20efeito%20c&#226;mbio).xlsx" TargetMode="External"/><Relationship Id="rId4" Type="http://schemas.openxmlformats.org/officeDocument/2006/relationships/externalLinkPath" Target="../../../../../../../2025/12-Dezembro/Monitoramento/Report/Monthly%20performance/Calculo/Bridge/Input%20Price%202026_MRF1%20(sem%20efeito%20c&#226;mbio).xlsx" TargetMode="External"/></Relationships>
</file>

<file path=xl/externalLinks/_rels/externalLink3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2025/12-Dezembro/Monitoramento/Custo%20EBITDA/EBITDA%20Cost/EBITDA%20Cost_2025%20Actual.USD2.xlsx" TargetMode="External"/><Relationship Id="rId2" Type="http://schemas.openxmlformats.org/officeDocument/2006/relationships/externalLinkPath" Target="https://arcelormittal.sharepoint.com/sites/EquipePCFN/Shared%20Documents/General/CRTL-NEGOCIOS/Processo%20mensal/2025/12-Dezembro/Monitoramento/Custo%20EBITDA/EBITDA%20Cost/EBITDA%20Cost_2025%20Actual.USD2.xlsx" TargetMode="External"/><Relationship Id="rId1" Type="http://schemas.openxmlformats.org/officeDocument/2006/relationships/externalLinkPath" Target="/sites/EquipePCFN/Shared%20Documents/General/CRTL-NEGOCIOS/Processo%20mensal/2025/12-Dezembro/Monitoramento/Custo%20EBITDA/EBITDA%20Cost/EBITDA%20Cost_2025%20Actual.USD2.xlsx" TargetMode="External"/></Relationships>
</file>

<file path=xl/externalLinks/_rels/externalLink3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2025/11-Novembro/Monitoramento/Report/Monthly%20performance/Calculo/Bridge/Sa&#237;da%20Tarifa%20AMT%20MRF%20vs%20MR6.xlsx" TargetMode="External"/><Relationship Id="rId2" Type="http://schemas.openxmlformats.org/officeDocument/2006/relationships/externalLinkPath" Target="https://arcelormittal.sharepoint.com/sites/EquipePCFN/Shared%20Documents/General/CRTL-NEGOCIOS/Processo%20mensal/2025/05-Maio/Monitoramento/Report/Monthly%20performance/Calculo/Bridge/Sa&#237;da%20Tarifa%20AMT%20MRF%20vs%20MR6.xlsx" TargetMode="External"/><Relationship Id="rId1" Type="http://schemas.openxmlformats.org/officeDocument/2006/relationships/externalLinkPath" Target="/sites/EquipePCFN/Shared%20Documents/General/CRTL-NEGOCIOS/Processo%20mensal/2025/11-Novembro/Monitoramento/Report/Monthly%20performance/Calculo/Bridge/Sa&#237;da%20Tarifa%20AMT%20MRF%20vs%20MR6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rcelormittal-my.sharepoint.com/personal/juliana_pimentel_arcelormittal_com_br/Documents/Analise%20placas%20BudgetvsMRF11.xlsx" TargetMode="External"/><Relationship Id="rId1" Type="http://schemas.openxmlformats.org/officeDocument/2006/relationships/externalLinkPath" Target="https://arcelormittal-my.sharepoint.com/personal/juliana_pimentel_arcelormittal_com_br/Documents/Analise%20placas%20BudgetvsMRF11.xlsx" TargetMode="External"/></Relationships>
</file>

<file path=xl/externalLinks/_rels/externalLink3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../../../../../CRTL-NEGOCIOS/Processo%20mensal/2025/02-%20Fevereiro/Monitoramento/Report/Monthly%20performance/Calculo/An&#225;lise_EBITDA_MRF2_MRF3_2025.xlsx" TargetMode="External"/><Relationship Id="rId2" Type="http://schemas.openxmlformats.org/officeDocument/2006/relationships/externalLinkPath" Target="file:///G:\CRTL-NEGOCIOS\Processo%20mensal\2025\02-%20Fevereiro\Monitoramento\Report\Monthly%20performance\Calculo\An&#225;lise_EBITDA_MRF2_MRF3_2025.xlsx" TargetMode="External"/><Relationship Id="rId1" Type="http://schemas.openxmlformats.org/officeDocument/2006/relationships/externalLinkPath" Target="/CRTL-NEGOCIOS/Processo%20mensal/2025/02-%20Fevereiro/Monitoramento/Report/Monthly%20performance/Calculo/An&#225;lise_EBITDA_MRF2_MRF3_2025.xlsx" TargetMode="External"/></Relationships>
</file>

<file path=xl/externalLinks/_rels/externalLink3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../../../../../CRTL-NEGOCIOS/Processo%20mensal/2025/02-%20Fevereiro/Monitoramento/Report/Monthly%20performance/Calculo/Bridge/20250314_Extra_Price_Custo_MRF03_MRF02_AMT_tratado%20Victor.xlsx" TargetMode="External"/><Relationship Id="rId2" Type="http://schemas.openxmlformats.org/officeDocument/2006/relationships/externalLinkPath" Target="file:///G:\CRTL-NEGOCIOS\Processo%20mensal\2025\02-%20Fevereiro\Monitoramento\Report\Monthly%20performance\Calculo\Bridge\20250314_Extra_Price_Custo_MRF03_MRF02_AMT_tratado%20Victor.xlsx" TargetMode="External"/><Relationship Id="rId1" Type="http://schemas.openxmlformats.org/officeDocument/2006/relationships/externalLinkPath" Target="/CRTL-NEGOCIOS/Processo%20mensal/2025/02-%20Fevereiro/Monitoramento/Report/Monthly%20performance/Calculo/Bridge/20250314_Extra_Price_Custo_MRF03_MRF02_AMT_tratado%20Victor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FFA-AvaliaodeNegcios/Shared%20Documents/Geral/02.%20JV's%20monitoring/2025/MPR-BAR/Downstream%20Key_Figures_2025_MRF8.xlsx" TargetMode="External"/><Relationship Id="rId1" Type="http://schemas.openxmlformats.org/officeDocument/2006/relationships/externalLinkPath" Target="/sites/FFA-AvaliaodeNegcios/Shared%20Documents/Geral/02.%20JV's%20monitoring/2025/MPR-BAR/Downstream%20Key_Figures_2025_MRF8.xlsx" TargetMode="External"/></Relationships>
</file>

<file path=xl/externalLinks/_rels/externalLink3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2025/08-Agosto/Monitoramento/Report/Monthly%20performance/C&#226;mbio%20ArcelorMittal%20Brasil%202025_Agosto.xlsm" TargetMode="External"/><Relationship Id="rId2" Type="http://schemas.openxmlformats.org/officeDocument/2006/relationships/externalLinkPath" Target="https://arcelormittal.sharepoint.com/sites/EquipePCFN/Shared%20Documents/General/CRTL-NEGOCIOS/Processo%20mensal/2025/08-Agosto/Monitoramento/Report/Monthly%20performance/C&#226;mbio%20ArcelorMittal%20Brasil%202025_Agosto.xlsm" TargetMode="External"/><Relationship Id="rId1" Type="http://schemas.openxmlformats.org/officeDocument/2006/relationships/externalLinkPath" Target="/sites/EquipePCFN/Shared%20Documents/General/CRTL-NEGOCIOS/Processo%20mensal/2025/08-Agosto/Monitoramento/Report/Monthly%20performance/C&#226;mbio%20ArcelorMittal%20Brasil%202025_Agosto.xlsm" TargetMode="External"/></Relationships>
</file>

<file path=xl/externalLinks/_rels/externalLink3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03-Mar&#231;o/Monitoramento/Report/Monthly%20performance/Calculo/An&#225;lise_EBITDA_MRF3_MRF4_2026.xlsx" TargetMode="External"/><Relationship Id="rId2" Type="http://schemas.openxmlformats.org/officeDocument/2006/relationships/externalLinkPath" Target="https://arcelormittal.sharepoint.com/sites/EquipePCFN/Shared%20Documents/General/CRTL-NEGOCIOS/Processo%20mensal/2026/03-Mar&#231;o/Monitoramento/Report/Monthly%20performance/Calculo/An&#225;lise_EBITDA_MRF3_MRF4_2026.xlsx" TargetMode="External"/><Relationship Id="rId1" Type="http://schemas.openxmlformats.org/officeDocument/2006/relationships/externalLinkPath" Target="/sites/EquipePCFN/Shared%20Documents/General/CRTL-NEGOCIOS/Processo%20mensal/2026/03-Mar&#231;o/Monitoramento/Report/Monthly%20performance/Calculo/An&#225;lise_EBITDA_MRF3_MRF4_2026.xlsx" TargetMode="External"/></Relationships>
</file>

<file path=xl/externalLinks/_rels/externalLink3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../../../../../CRTL-NEGOCIOS/Processo%20mensal/2024/01-Janeiro/Monitoramento/Report/Monthly%20performance/Calculo/EBITDA%20por%20Produto_2024_MRF2.xlsx" TargetMode="External"/><Relationship Id="rId2" Type="http://schemas.openxmlformats.org/officeDocument/2006/relationships/externalLinkPath" Target="file:///G:\CRTL-NEGOCIOS\Processo%20mensal\2024\01-Janeiro\Monitoramento\Report\Monthly%20performance\Calculo\EBITDA%20por%20Produto_2024_MRF2.xlsx" TargetMode="External"/><Relationship Id="rId1" Type="http://schemas.openxmlformats.org/officeDocument/2006/relationships/externalLinkPath" Target="/CRTL-NEGOCIOS/Processo%20mensal/2024/01-Janeiro/Monitoramento/Report/Monthly%20performance/Calculo/EBITDA%20por%20Produto_2024_MRF2.xlsx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../CRTL-NEGOCIOS/Processo%20mensal/2023/12%20Dezembro/Monitoramento/Report/Monthly%20performance/Calculo/C&#243;pia%20de%20BI%20-%20Base%20lucratividade%20MRF%20Pecem%20MRF0124.xlsx" TargetMode="External"/><Relationship Id="rId1" Type="http://schemas.openxmlformats.org/officeDocument/2006/relationships/externalLinkPath" Target="/CRTL-NEGOCIOS/Processo%20mensal/2023/12%20Dezembro/Monitoramento/Report/Monthly%20performance/Calculo/C&#243;pia%20de%20BI%20-%20Base%20lucratividade%20MRF%20Pecem%20MRF0124.xlsx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../CRTL-NEGOCIOS/Processo%20mensal/2023/09%20Setembro/Monitoramento/Report/Monthly%20performance/Calculo/v2-BI%20-%20Base%20lucratividade%20MRF%20Pecem%20MRF10.xlsx" TargetMode="External"/><Relationship Id="rId1" Type="http://schemas.openxmlformats.org/officeDocument/2006/relationships/externalLinkPath" Target="/CRTL-NEGOCIOS/Processo%20mensal/2023/09%20Setembro/Monitoramento/Report/Monthly%20performance/Calculo/v2-BI%20-%20Base%20lucratividade%20MRF%20Pecem%20MRF10.xlsx" TargetMode="External"/></Relationships>
</file>

<file path=xl/externalLinks/_rels/externalLink4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2025/04%20-%20Abril/Monitoramento/Report/Monthly%20performance/Calculo/Bridge/05%20EB_YTD25_Budget_vs_YTG25_MRF5.xlsm" TargetMode="External"/><Relationship Id="rId2" Type="http://schemas.openxmlformats.org/officeDocument/2006/relationships/externalLinkPath" Target="file:///G:\CRTL-NEGOCIOS\Processo%20mensal\2025\04%20-%20Abril\Monitoramento\Report\Monthly%20performance\Calculo\Bridge\05%20EB_YTD25_Budget_vs_YTG25_MRF5.xlsm" TargetMode="External"/><Relationship Id="rId1" Type="http://schemas.openxmlformats.org/officeDocument/2006/relationships/externalLinkPath" Target="/sites/EquipePCFN/Shared%20Documents/General/CRTL-NEGOCIOS/Processo%20mensal/2025/04%20-%20Abril/Monitoramento/Report/Monthly%20performance/Calculo/Bridge/05%20EB_YTD25_Budget_vs_YTG25_MRF5.xlsm" TargetMode="External"/></Relationships>
</file>

<file path=xl/externalLinks/_rels/externalLink4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2025/11-Novembro/Monitoramento/Report/Monthly%20performance/Calculo/Impacto%20tarifas%20Dec16th.xlsx" TargetMode="External"/><Relationship Id="rId2" Type="http://schemas.openxmlformats.org/officeDocument/2006/relationships/externalLinkPath" Target="https://arcelormittal.sharepoint.com/sites/EquipePCFN/Shared%20Documents/General/CRTL-NEGOCIOS/Processo%20mensal/2025/11-Novembro/Monitoramento/Report/Monthly%20performance/Calculo/Impacto%20tarifas%20Dec16th.xlsx" TargetMode="External"/><Relationship Id="rId1" Type="http://schemas.openxmlformats.org/officeDocument/2006/relationships/externalLinkPath" Target="/sites/EquipePCFN/Shared%20Documents/General/CRTL-NEGOCIOS/Processo%20mensal/2025/11-Novembro/Monitoramento/Report/Monthly%20performance/Calculo/Impacto%20tarifas%20Dec16th.xlsx" TargetMode="External"/></Relationships>
</file>

<file path=xl/externalLinks/_rels/externalLink43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arcelormittal.sharepoint.com/sites/EquipePCFN/Shared%20Documents/General/CRTL-NEGOCIOS/Processo%20mensal/2025/09-Setembro/Monitoramento/Report/Monthly%20performance/Calculo/Bridge/EB_FY25_Budget_vs_FY25_MRF11_new%20comercial.xlsx" TargetMode="External"/><Relationship Id="rId2" Type="http://schemas.microsoft.com/office/2019/04/relationships/externalLinkLongPath" Target="/sites/EquipePCFN/Shared%20Documents/General/CRTL-NEGOCIOS/Processo%20mensal/2025/09-Setembro/Monitoramento/Report/Monthly%20performance/Calculo/Bridge/EB_FY25_Budget_vs_FY25_MRF11_new%20comercial.xlsx?E82F322F" TargetMode="External"/><Relationship Id="rId1" Type="http://schemas.openxmlformats.org/officeDocument/2006/relationships/externalLinkPath" Target="file:///\\E82F322F\EB_FY25_Budget_vs_FY25_MRF11_new%20comercial.xlsx" TargetMode="External"/><Relationship Id="rId4" Type="http://schemas.openxmlformats.org/officeDocument/2006/relationships/externalLinkPath" Target="../../../../../../../2025/09-Setembro/Monitoramento/Report/Monthly%20performance/Calculo/Bridge/EB_FY25_Budget_vs_FY25_MRF11_new%20comercial.xlsx" TargetMode="External"/></Relationships>
</file>

<file path=xl/externalLinks/_rels/externalLink4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2025/11-Novembro/Monitoramento/Report/Monthly%20performance/Calculo/Bridge/Sa&#237;da%20Tarifa%20AMT%20MRF10%20vs%20MR11.xlsx" TargetMode="External"/><Relationship Id="rId2" Type="http://schemas.openxmlformats.org/officeDocument/2006/relationships/externalLinkPath" Target="https://arcelormittal.sharepoint.com/sites/EquipePCFN/Shared%20Documents/General/CRTL-NEGOCIOS/Processo%20mensal/2025/10-Outubro/Monitoramento/Report/Monthly%20performance/Calculo/Bridge/Sa&#237;da%20Tarifa%20AMT%20MRF10%20vs%20MR11.xlsx" TargetMode="External"/><Relationship Id="rId1" Type="http://schemas.openxmlformats.org/officeDocument/2006/relationships/externalLinkPath" Target="/sites/EquipePCFN/Shared%20Documents/General/CRTL-NEGOCIOS/Processo%20mensal/2025/11-Novembro/Monitoramento/Report/Monthly%20performance/Calculo/Bridge/Sa&#237;da%20Tarifa%20AMT%20MRF10%20vs%20MR11.xlsx" TargetMode="External"/></Relationships>
</file>

<file path=xl/externalLinks/_rels/externalLink4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2025/11-Novembro/Monitoramento/Report/Monthly%20performance/Calculo/Cost%20reduction%20EBITDA%20evolution_MRF12.xlsx" TargetMode="External"/><Relationship Id="rId2" Type="http://schemas.openxmlformats.org/officeDocument/2006/relationships/externalLinkPath" Target="https://arcelormittal.sharepoint.com/sites/EquipePCFN/Shared%20Documents/General/CRTL-NEGOCIOS/Processo%20mensal/2025/11-Novembro/Monitoramento/Report/Monthly%20performance/Calculo/Cost%20reduction%20EBITDA%20evolution_MRF12.xlsx" TargetMode="External"/><Relationship Id="rId1" Type="http://schemas.openxmlformats.org/officeDocument/2006/relationships/externalLinkPath" Target="/sites/EquipePCFN/Shared%20Documents/General/CRTL-NEGOCIOS/Processo%20mensal/2025/11-Novembro/Monitoramento/Report/Monthly%20performance/Calculo/Cost%20reduction%20EBITDA%20evolution_MRF12.xlsx" TargetMode="External"/></Relationships>
</file>

<file path=xl/externalLinks/_rels/externalLink4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02-Fevereiro/Monitoramento/Report/Monthly%20performance/Calculo/BAL_ECC_consolidado_Feb_BRL.xlsx" TargetMode="External"/><Relationship Id="rId2" Type="http://schemas.openxmlformats.org/officeDocument/2006/relationships/externalLinkPath" Target="https://arcelormittal.sharepoint.com/sites/EquipePCFN/Shared%20Documents/General/CRTL-NEGOCIOS/Processo%20mensal/2026/02-Fevereiro/Monitoramento/Report/Monthly%20performance/Calculo/BAL_ECC_consolidado_Feb_BRL.xlsx" TargetMode="External"/><Relationship Id="rId1" Type="http://schemas.openxmlformats.org/officeDocument/2006/relationships/externalLinkPath" Target="/sites/EquipePCFN/Shared%20Documents/General/CRTL-NEGOCIOS/Processo%20mensal/2026/02-Fevereiro/Monitoramento/Report/Monthly%20performance/Calculo/BAL_ECC_consolidado_Feb_BRL.xlsx" TargetMode="External"/></Relationships>
</file>

<file path=xl/externalLinks/_rels/externalLink4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03-Mar&#231;o/Monitoramento/Report/Monthly%20performance/Calculo/BAL_ECC_consolidado_Mar_BRL.xlsx" TargetMode="External"/><Relationship Id="rId2" Type="http://schemas.openxmlformats.org/officeDocument/2006/relationships/externalLinkPath" Target="https://arcelormittal.sharepoint.com/sites/EquipePCFN/Shared%20Documents/General/CRTL-NEGOCIOS/Processo%20mensal/2026/03-Mar&#231;o/Monitoramento/Report/Monthly%20performance/Calculo/BAL_ECC_consolidado_Mar_BRL.xlsx" TargetMode="External"/><Relationship Id="rId1" Type="http://schemas.openxmlformats.org/officeDocument/2006/relationships/externalLinkPath" Target="/sites/EquipePCFN/Shared%20Documents/General/CRTL-NEGOCIOS/Processo%20mensal/2026/03-Mar&#231;o/Monitoramento/Report/Monthly%20performance/Calculo/BAL_ECC_consolidado_Mar_BRL.xlsx" TargetMode="External"/></Relationships>
</file>

<file path=xl/externalLinks/_rels/externalLink4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04-Abril/Monitoramento/Report/Monthly%20performance/Calculo/BAL_ECC_consolidado_Apr_BRL.xlsx" TargetMode="External"/><Relationship Id="rId2" Type="http://schemas.openxmlformats.org/officeDocument/2006/relationships/externalLinkPath" Target="https://arcelormittal.sharepoint.com/sites/EquipePCFN/Shared%20Documents/General/CRTL-NEGOCIOS/Processo%20mensal/2026/04-Abril/Monitoramento/Report/Monthly%20performance/Calculo/BAL_ECC_consolidado_Apr_BRL.xlsx" TargetMode="External"/><Relationship Id="rId1" Type="http://schemas.openxmlformats.org/officeDocument/2006/relationships/externalLinkPath" Target="/sites/EquipePCFN/Shared%20Documents/General/CRTL-NEGOCIOS/Processo%20mensal/2026/04-Abril/Monitoramento/Report/Monthly%20performance/Calculo/BAL_ECC_consolidado_Apr_BRL.xlsx" TargetMode="External"/></Relationships>
</file>

<file path=xl/externalLinks/_rels/externalLink4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04-Abril/Monitoramento/Report/Monthly%20performance/Saida/FCF/VAT/FCF_VAT_2026_MRF5.xlsx" TargetMode="External"/><Relationship Id="rId2" Type="http://schemas.openxmlformats.org/officeDocument/2006/relationships/externalLinkPath" Target="https://arcelormittal.sharepoint.com/sites/EquipePCFN/Shared%20Documents/General/CRTL-NEGOCIOS/Processo%20mensal/2026/04-Abril/Monitoramento/Report/Monthly%20performance/Saida/FCF/VAT/FCF_VAT_2026_MRF5.xlsx" TargetMode="External"/><Relationship Id="rId1" Type="http://schemas.openxmlformats.org/officeDocument/2006/relationships/externalLinkPath" Target="/sites/EquipePCFN/Shared%20Documents/General/CRTL-NEGOCIOS/Processo%20mensal/2026/04-Abril/Monitoramento/Report/Monthly%20performance/Saida/FCF/VAT/FCF_VAT_2026_MRF5.xlsx" TargetMode="External"/></Relationships>
</file>

<file path=xl/externalLinks/_rels/externalLink5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05-Maio/Monitoramento/Report/Monthly%20performance/Calculo/BAL_ECC_consolidado_May_BRL.xlsx" TargetMode="External"/><Relationship Id="rId2" Type="http://schemas.openxmlformats.org/officeDocument/2006/relationships/externalLinkPath" Target="https://arcelormittal.sharepoint.com/sites/EquipePCFN/Shared%20Documents/General/CRTL-NEGOCIOS/Processo%20mensal/2026/05-Maio/Monitoramento/Report/Monthly%20performance/Calculo/BAL_ECC_consolidado_May_BRL.xlsx" TargetMode="External"/><Relationship Id="rId1" Type="http://schemas.openxmlformats.org/officeDocument/2006/relationships/externalLinkPath" Target="/sites/EquipePCFN/Shared%20Documents/General/CRTL-NEGOCIOS/Processo%20mensal/2026/05-Maio/Monitoramento/Report/Monthly%20performance/Calculo/BAL_ECC_consolidado_May_BRL.xlsx" TargetMode="External"/></Relationships>
</file>

<file path=xl/externalLinks/_rels/externalLink51.xml.rels><?xml version="1.0" encoding="UTF-8" standalone="yes"?>
<Relationships xmlns="http://schemas.openxmlformats.org/package/2006/relationships"><Relationship Id="rId3" Type="http://schemas.openxmlformats.org/officeDocument/2006/relationships/externalLinkPath" Target="../BAL_ECC_consolidado_Jun_BRL.xlsx" TargetMode="External"/><Relationship Id="rId2" Type="http://schemas.openxmlformats.org/officeDocument/2006/relationships/externalLinkPath" Target="https://arcelormittal.sharepoint.com/sites/EquipePCFN/Shared%20Documents/General/CRTL-NEGOCIOS/Processo%20mensal/2026/06-Junho/Monitoramento/Report/Monthly%20performance/Calculo/BAL_ECC_consolidado_Jun_BRL.xlsx" TargetMode="External"/><Relationship Id="rId1" Type="http://schemas.openxmlformats.org/officeDocument/2006/relationships/externalLinkPath" Target="/sites/EquipePCFN/Shared%20Documents/General/CRTL-NEGOCIOS/Processo%20mensal/2026/06-Junho/Monitoramento/Report/Monthly%20performance/Calculo/BAL_ECC_consolidado_Jun_BRL.xlsx" TargetMode="External"/></Relationships>
</file>

<file path=xl/externalLinks/_rels/externalLink5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aida/FCF/VAT/FCF_VAT_2026_MRF7.xlsx" TargetMode="External"/><Relationship Id="rId2" Type="http://schemas.openxmlformats.org/officeDocument/2006/relationships/externalLinkPath" Target="https://arcelormittal.sharepoint.com/sites/EquipePCFN/Shared%20Documents/General/CRTL-NEGOCIOS/Processo%20mensal/2026/06-Junho/Monitoramento/Report/Monthly%20performance/Saida/FCF/VAT/FCF_VAT_2026_MRF7.xlsx" TargetMode="External"/><Relationship Id="rId1" Type="http://schemas.openxmlformats.org/officeDocument/2006/relationships/externalLinkPath" Target="/sites/EquipePCFN/Shared%20Documents/General/CRTL-NEGOCIOS/Processo%20mensal/2026/06-Junho/Monitoramento/Report/Monthly%20performance/Saida/FCF/VAT/FCF_VAT_2026_MRF7.xlsx" TargetMode="External"/></Relationships>
</file>

<file path=xl/externalLinks/_rels/externalLink5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../CRTL-NEGOCIOS/Processo%20mensal/2020/09%20Setembro/Monitoramento/Report/Monthly%20performance/Entradas/Comercial/MRF#10 - Placa - Plano de Vendas 2020_rev2-com pre&#231;o.xlsm" TargetMode="External"/><Relationship Id="rId1" Type="http://schemas.openxmlformats.org/officeDocument/2006/relationships/externalLinkPath" Target="/CRTL-NEGOCIOS/Processo%20mensal/2020/09%20Setembro/Monitoramento/Report/Monthly%20performance/Entradas/Comercial/MRF#10 - Placa - Plano de Vendas 2020_rev2-com pre&#231;o.xlsm" TargetMode="External"/></Relationships>
</file>

<file path=xl/externalLinks/_rels/externalLink5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../../../../../CRTL-NEGOCIOS/Orcamento/2021/Premissas/Premissas%20Corporativas/2.%20Corporate%20Strategy%20key%20data%20(2021%20quarterly%20scenarios)%20Q3%202020.xlsx" TargetMode="External"/><Relationship Id="rId2" Type="http://schemas.openxmlformats.org/officeDocument/2006/relationships/externalLinkPath" Target="file:///G:\CRTL-NEGOCIOS\Orcamento\2021\Premissas\Premissas%20Corporativas\2.%20Corporate%20Strategy%20key%20data%20(2021%20quarterly%20scenarios)%20Q3%202020.xlsx" TargetMode="External"/><Relationship Id="rId1" Type="http://schemas.openxmlformats.org/officeDocument/2006/relationships/externalLinkPath" Target="/CRTL-NEGOCIOS/Orcamento/2021/Premissas/Premissas%20Corporativas/2.%20Corporate%20Strategy%20key%20data%20(2021%20quarterly%20scenarios)%20Q3%202020.xlsx" TargetMode="External"/></Relationships>
</file>

<file path=xl/externalLinks/_rels/externalLink5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../CRTL-NEGOCIOS/Orcamento/2021/Versao%20I/Analise/EBITDA/Bridges/Analise_Corporate_assumptions_SLY_SCY_2021.xlsx" TargetMode="External"/><Relationship Id="rId1" Type="http://schemas.openxmlformats.org/officeDocument/2006/relationships/externalLinkPath" Target="/CRTL-NEGOCIOS/Orcamento/2021/Versao%20I/Analise/EBITDA/Bridges/Analise_Corporate_assumptions_SLY_SCY_2021.xlsx" TargetMode="External"/></Relationships>
</file>

<file path=xl/externalLinks/_rels/externalLink5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../CRTL-NEGOCIOS/Orcamento/2021/Versao%20II/Analise/EBITDA/Bridges/Input_price_FY20_vs_FY21_versao%202.xlsx" TargetMode="External"/><Relationship Id="rId1" Type="http://schemas.openxmlformats.org/officeDocument/2006/relationships/externalLinkPath" Target="/CRTL-NEGOCIOS/Orcamento/2021/Versao%20II/Analise/EBITDA/Bridges/Input_price_FY20_vs_FY21_versao%202.xlsx" TargetMode="External"/></Relationships>
</file>

<file path=xl/externalLinks/_rels/externalLink5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../CRTL-NEGOCIOS/Orcamento/2021/Versao%20II/Analise/FCF/2021%20FCF%20OWCR%20Template_Budget_V2.xlsx" TargetMode="External"/><Relationship Id="rId1" Type="http://schemas.openxmlformats.org/officeDocument/2006/relationships/externalLinkPath" Target="/CRTL-NEGOCIOS/Orcamento/2021/Versao%20II/Analise/FCF/2021%20FCF%20OWCR%20Template_Budget_V2.xlsx" TargetMode="External"/></Relationships>
</file>

<file path=xl/externalLinks/_rels/externalLink5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../CRTL-NEGOCIOS/Processo%20mensal/2018/09%20Setembro/Monitoramento/Report/Monthly%20performance/C&#226;mbio%20ArcelorMittal%20Brasil%20Set_2018_Final.xlsm" TargetMode="External"/><Relationship Id="rId1" Type="http://schemas.openxmlformats.org/officeDocument/2006/relationships/externalLinkPath" Target="/CRTL-NEGOCIOS/Processo%20mensal/2018/09%20Setembro/Monitoramento/Report/Monthly%20performance/C&#226;mbio%20ArcelorMittal%20Brasil%20Set_2018_Final.xlsm" TargetMode="External"/></Relationships>
</file>

<file path=xl/externalLinks/_rels/externalLink5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../CRTL-NEGOCIOS/Processo%20mensal/2018/12%20Dezembro/Monitoramento/Report/Monthly%20performance/C&#226;mbio%20ArcelorMittal%20Brasil%20Dez_2018_Final.xlsm" TargetMode="External"/><Relationship Id="rId1" Type="http://schemas.openxmlformats.org/officeDocument/2006/relationships/externalLinkPath" Target="/CRTL-NEGOCIOS/Processo%20mensal/2018/12%20Dezembro/Monitoramento/Report/Monthly%20performance/C&#226;mbio%20ArcelorMittal%20Brasil%20Dez_2018_Final.xlsm" TargetMode="External"/></Relationships>
</file>

<file path=xl/externalLinks/_rels/externalLink6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../CRTL-NEGOCIOS/Orcamento/2019/Versao%20II/Analise/FCF/2019%20FCF%20OWCR%20Template_Budget_Vers&#227;o2.xlsx" TargetMode="External"/><Relationship Id="rId1" Type="http://schemas.openxmlformats.org/officeDocument/2006/relationships/externalLinkPath" Target="/CRTL-NEGOCIOS/Orcamento/2019/Versao%20II/Analise/FCF/2019%20FCF%20OWCR%20Template_Budget_Vers&#227;o2.xlsx" TargetMode="External"/></Relationships>
</file>

<file path=xl/externalLinks/_rels/externalLink6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../../CRTL-NEGOCIOS/Processo%20mensal/2018/09%20Setembro/Monitoramento/Report/Monthly%20performance/Calculo/Key%20Drivers_MRF9_MRF10.xlsx" TargetMode="External"/><Relationship Id="rId1" Type="http://schemas.openxmlformats.org/officeDocument/2006/relationships/externalLinkPath" Target="/CRTL-NEGOCIOS/Processo%20mensal/2018/09%20Setembro/Monitoramento/Report/Monthly%20performance/Calculo/Key%20Drivers_MRF9_MRF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RE"/>
      <sheetName val="DRE SAC"/>
      <sheetName val="DRE SAC (2)"/>
      <sheetName val="Check receita"/>
      <sheetName val="Net interest"/>
      <sheetName val="DRE_2026_Budget_STEP1_Full"/>
    </sheetNames>
    <sheetDataSet>
      <sheetData sheetId="0">
        <row r="1">
          <cell r="C1">
            <v>5.4</v>
          </cell>
          <cell r="O1">
            <v>5.4</v>
          </cell>
        </row>
        <row r="30">
          <cell r="O30">
            <v>632044.04452987516</v>
          </cell>
        </row>
      </sheetData>
      <sheetData sheetId="1"/>
      <sheetData sheetId="2"/>
      <sheetData sheetId="3"/>
      <sheetData sheetId="4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RE"/>
      <sheetName val="DRE SAC"/>
      <sheetName val="DRE SAC (2)"/>
      <sheetName val="Check receita"/>
      <sheetName val="Net interest"/>
      <sheetName val="DRE_2026_MRF7"/>
    </sheetNames>
    <sheetDataSet>
      <sheetData sheetId="0">
        <row r="1">
          <cell r="C1">
            <v>5.3380238095238095</v>
          </cell>
          <cell r="O1">
            <v>5.176214439033191</v>
          </cell>
        </row>
        <row r="30">
          <cell r="O30">
            <v>747692.40087677795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ipments &amp; Prices"/>
      <sheetName val="Var"/>
      <sheetName val="Shipments &amp; Prices BRL"/>
      <sheetName val="Var BRL"/>
      <sheetName val="Shipments &amp; Prices PECEM"/>
      <sheetName val="Var PECEM"/>
      <sheetName val="Var PECEM VS BUDGET C2"/>
      <sheetName val="Others"/>
      <sheetName val="OLD VERSION ==&gt;&gt;"/>
      <sheetName val="Shipments &amp; Prices 101125"/>
      <sheetName val="Shipments &amp; Prices 071125"/>
      <sheetName val="Shipments &amp; Prices 051125"/>
      <sheetName val="Shipments &amp; Prices 041125"/>
      <sheetName val="Shipments &amp; Prices 031125"/>
      <sheetName val="Shipments &amp; Prices 311025"/>
      <sheetName val="Shipments &amp; Prices 301025"/>
      <sheetName val="Shipments &amp; Prices Reunião"/>
      <sheetName val="Var_vs_BUDGET Reunião"/>
      <sheetName val="Shipments &amp; Prices PECEM_Budget"/>
      <sheetName val="Resumo"/>
      <sheetName val="DELTA"/>
      <sheetName val="Preço_ex-works_2026_Budget com "/>
      <sheetName val="Var_vs_BUDGET C2"/>
      <sheetName val="Planilha1"/>
    </sheetNames>
    <sheetDataSet>
      <sheetData sheetId="0">
        <row r="2">
          <cell r="C2" t="str">
            <v>JAN</v>
          </cell>
        </row>
        <row r="8">
          <cell r="O8">
            <v>7232.3333553226139</v>
          </cell>
        </row>
        <row r="22">
          <cell r="Q22">
            <v>579</v>
          </cell>
          <cell r="R22">
            <v>771.60500000000002</v>
          </cell>
          <cell r="S22">
            <v>585</v>
          </cell>
          <cell r="T22">
            <v>848.55899999999997</v>
          </cell>
        </row>
        <row r="23">
          <cell r="O23">
            <v>961</v>
          </cell>
        </row>
        <row r="25">
          <cell r="O25">
            <v>31.000000000000004</v>
          </cell>
        </row>
        <row r="28">
          <cell r="O28">
            <v>18</v>
          </cell>
        </row>
        <row r="30">
          <cell r="O30">
            <v>433.46699999999998</v>
          </cell>
        </row>
        <row r="34">
          <cell r="O34">
            <v>85.817959999999999</v>
          </cell>
        </row>
        <row r="35">
          <cell r="O35">
            <v>1438.6813200000001</v>
          </cell>
        </row>
        <row r="36">
          <cell r="O36">
            <v>427.37381000000005</v>
          </cell>
        </row>
        <row r="44">
          <cell r="O44">
            <v>102.99919000000001</v>
          </cell>
        </row>
        <row r="45">
          <cell r="O45">
            <v>0</v>
          </cell>
        </row>
        <row r="48">
          <cell r="O48">
            <v>1.2203923579624538</v>
          </cell>
        </row>
        <row r="49">
          <cell r="O49">
            <v>0.49225999999999998</v>
          </cell>
        </row>
        <row r="51">
          <cell r="O51">
            <v>90.127470395196156</v>
          </cell>
        </row>
        <row r="52">
          <cell r="O52">
            <v>265.32553999999993</v>
          </cell>
        </row>
        <row r="53">
          <cell r="O53">
            <v>110.30197000000001</v>
          </cell>
        </row>
        <row r="61">
          <cell r="O61">
            <v>49.551853244528026</v>
          </cell>
        </row>
        <row r="62">
          <cell r="O62">
            <v>1.0141200000000001</v>
          </cell>
        </row>
        <row r="64">
          <cell r="O64">
            <v>463.69402845894558</v>
          </cell>
        </row>
        <row r="65">
          <cell r="O65">
            <v>416.58470999999997</v>
          </cell>
        </row>
        <row r="66">
          <cell r="O66">
            <v>83.539329999999993</v>
          </cell>
        </row>
        <row r="74">
          <cell r="O74">
            <v>0</v>
          </cell>
        </row>
        <row r="79">
          <cell r="O79">
            <v>181.45709000000002</v>
          </cell>
        </row>
        <row r="80">
          <cell r="O80">
            <v>106.33588</v>
          </cell>
        </row>
        <row r="90">
          <cell r="O90">
            <v>94.231594684142721</v>
          </cell>
        </row>
        <row r="91">
          <cell r="O91">
            <v>7.7375399999999992</v>
          </cell>
        </row>
        <row r="95">
          <cell r="O95">
            <v>0</v>
          </cell>
        </row>
        <row r="97">
          <cell r="O97">
            <v>0</v>
          </cell>
        </row>
        <row r="98">
          <cell r="O98">
            <v>35.399969999999996</v>
          </cell>
        </row>
        <row r="107">
          <cell r="O107">
            <v>3.8163261818387646</v>
          </cell>
        </row>
        <row r="111">
          <cell r="O111">
            <v>3269.9096256024905</v>
          </cell>
          <cell r="Q111">
            <v>684.06751217940973</v>
          </cell>
          <cell r="R111">
            <v>880.72258647972239</v>
          </cell>
          <cell r="S111">
            <v>709.80898411784028</v>
          </cell>
          <cell r="T111">
            <v>995.31054282551793</v>
          </cell>
        </row>
        <row r="112">
          <cell r="Q112">
            <v>943.87066918262076</v>
          </cell>
          <cell r="R112">
            <v>1003.2054383132881</v>
          </cell>
          <cell r="S112">
            <v>1043.0362900526325</v>
          </cell>
          <cell r="T112">
            <v>972.31133217158185</v>
          </cell>
        </row>
        <row r="234">
          <cell r="O234">
            <v>4786383.1444585286</v>
          </cell>
        </row>
        <row r="237">
          <cell r="O237">
            <v>501302.49550381646</v>
          </cell>
        </row>
        <row r="239">
          <cell r="O239">
            <v>13984.147709531153</v>
          </cell>
        </row>
        <row r="242">
          <cell r="O242">
            <v>12337.203108910493</v>
          </cell>
        </row>
        <row r="244">
          <cell r="O244">
            <v>209045.75207432153</v>
          </cell>
        </row>
        <row r="248">
          <cell r="O248">
            <v>58479.867441740382</v>
          </cell>
        </row>
        <row r="249">
          <cell r="O249">
            <v>947762.98773640371</v>
          </cell>
        </row>
        <row r="250">
          <cell r="O250">
            <v>322882.68888818083</v>
          </cell>
        </row>
        <row r="258">
          <cell r="O258">
            <v>88497.533327153244</v>
          </cell>
        </row>
        <row r="259">
          <cell r="O259">
            <v>0</v>
          </cell>
        </row>
        <row r="262">
          <cell r="O262">
            <v>1077.5971012541204</v>
          </cell>
        </row>
        <row r="263">
          <cell r="O263">
            <v>159.1550089907945</v>
          </cell>
        </row>
        <row r="265">
          <cell r="O265">
            <v>83099.530956459814</v>
          </cell>
        </row>
        <row r="266">
          <cell r="O266">
            <v>209133.77960682815</v>
          </cell>
        </row>
        <row r="267">
          <cell r="O267">
            <v>91936.738244581138</v>
          </cell>
        </row>
        <row r="275">
          <cell r="O275">
            <v>50444.681277196432</v>
          </cell>
        </row>
        <row r="276">
          <cell r="O276">
            <v>327.88014000273137</v>
          </cell>
        </row>
        <row r="278">
          <cell r="O278">
            <v>484605.98614224436</v>
          </cell>
        </row>
        <row r="279">
          <cell r="O279">
            <v>353590.00083856442</v>
          </cell>
        </row>
        <row r="280">
          <cell r="O280">
            <v>73539.845520442672</v>
          </cell>
        </row>
        <row r="288">
          <cell r="O288">
            <v>0</v>
          </cell>
        </row>
        <row r="293">
          <cell r="O293">
            <v>176561.66966426402</v>
          </cell>
        </row>
        <row r="294">
          <cell r="O294">
            <v>115705.20290064352</v>
          </cell>
        </row>
        <row r="304">
          <cell r="O304">
            <v>121687.95556710853</v>
          </cell>
        </row>
        <row r="305">
          <cell r="O305">
            <v>6566.9969038798772</v>
          </cell>
        </row>
        <row r="309">
          <cell r="O309">
            <v>0</v>
          </cell>
        </row>
        <row r="311">
          <cell r="O311">
            <v>0</v>
          </cell>
        </row>
        <row r="312">
          <cell r="O312">
            <v>33584.623171525105</v>
          </cell>
        </row>
        <row r="321">
          <cell r="O321">
            <v>7146.0046210960845</v>
          </cell>
        </row>
      </sheetData>
      <sheetData sheetId="1"/>
      <sheetData sheetId="2">
        <row r="3">
          <cell r="C3" t="str">
            <v>Budget</v>
          </cell>
        </row>
      </sheetData>
      <sheetData sheetId="3"/>
      <sheetData sheetId="4">
        <row r="3">
          <cell r="C3" t="str">
            <v>Budget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ipments &amp; Prices"/>
      <sheetName val="Var"/>
      <sheetName val="Var Trim"/>
      <sheetName val="Var Budget"/>
      <sheetName val="Shipments &amp; Prices BRL"/>
      <sheetName val="Var BRL"/>
      <sheetName val="Shipments &amp; Prices PECEM"/>
      <sheetName val="Var PECEM"/>
      <sheetName val="Shipments &amp; Prices PECEM_Budget"/>
      <sheetName val="Resumo"/>
      <sheetName val="DELTA"/>
    </sheetNames>
    <sheetDataSet>
      <sheetData sheetId="0">
        <row r="8">
          <cell r="C8">
            <v>609.65869231099998</v>
          </cell>
        </row>
        <row r="20">
          <cell r="O20">
            <v>7106.558486627986</v>
          </cell>
        </row>
        <row r="23">
          <cell r="O23">
            <v>966.24786999999992</v>
          </cell>
        </row>
        <row r="25">
          <cell r="O25">
            <v>32.424160000000001</v>
          </cell>
        </row>
        <row r="28">
          <cell r="O28">
            <v>16.529159999999997</v>
          </cell>
        </row>
        <row r="30">
          <cell r="O30">
            <v>197.56682000000006</v>
          </cell>
        </row>
        <row r="34">
          <cell r="O34">
            <v>100.23684017419748</v>
          </cell>
        </row>
        <row r="35">
          <cell r="O35">
            <v>1441.7707359999981</v>
          </cell>
        </row>
        <row r="36">
          <cell r="O36">
            <v>446.35943442400003</v>
          </cell>
        </row>
        <row r="44">
          <cell r="O44">
            <v>90.523857724700008</v>
          </cell>
        </row>
        <row r="45">
          <cell r="O45">
            <v>45.424208000000021</v>
          </cell>
        </row>
        <row r="48">
          <cell r="O48">
            <v>1.887810550681587</v>
          </cell>
        </row>
        <row r="49">
          <cell r="O49">
            <v>4.8473750000000004</v>
          </cell>
        </row>
        <row r="51">
          <cell r="O51">
            <v>95.622293215625149</v>
          </cell>
        </row>
        <row r="52">
          <cell r="O52">
            <v>286.12231839448168</v>
          </cell>
        </row>
        <row r="53">
          <cell r="O53">
            <v>117.39091099999999</v>
          </cell>
        </row>
        <row r="61">
          <cell r="O61">
            <v>41.14852363473107</v>
          </cell>
        </row>
        <row r="62">
          <cell r="O62">
            <v>2.5991210000000002</v>
          </cell>
        </row>
        <row r="64">
          <cell r="O64">
            <v>463.78728951984948</v>
          </cell>
        </row>
        <row r="65">
          <cell r="O65">
            <v>438.61917</v>
          </cell>
        </row>
        <row r="66">
          <cell r="O66">
            <v>76.159621079999994</v>
          </cell>
        </row>
        <row r="74">
          <cell r="O74">
            <v>0</v>
          </cell>
        </row>
        <row r="79">
          <cell r="O79">
            <v>136.27178900000007</v>
          </cell>
        </row>
        <row r="80">
          <cell r="O80">
            <v>88.523367000000007</v>
          </cell>
        </row>
        <row r="90">
          <cell r="O90">
            <v>99.323020800091982</v>
          </cell>
        </row>
        <row r="91">
          <cell r="O91">
            <v>7.661225</v>
          </cell>
        </row>
        <row r="95">
          <cell r="O95">
            <v>10</v>
          </cell>
        </row>
        <row r="97">
          <cell r="O97">
            <v>7.0028800000000002</v>
          </cell>
        </row>
        <row r="98">
          <cell r="O98">
            <v>17.169268000000006</v>
          </cell>
        </row>
        <row r="105">
          <cell r="O105">
            <v>6.8069999999999992E-2</v>
          </cell>
        </row>
        <row r="107">
          <cell r="O107">
            <v>3.5592228948158056</v>
          </cell>
        </row>
        <row r="234">
          <cell r="O234">
            <v>5141089.1266800705</v>
          </cell>
        </row>
        <row r="237">
          <cell r="O237">
            <v>591333.06828905118</v>
          </cell>
        </row>
        <row r="239">
          <cell r="O239">
            <v>15058.548634938072</v>
          </cell>
        </row>
        <row r="242">
          <cell r="O242">
            <v>11582.350728083889</v>
          </cell>
        </row>
        <row r="244">
          <cell r="O244">
            <v>110059.15564535075</v>
          </cell>
        </row>
        <row r="248">
          <cell r="O248">
            <v>72754.902204467857</v>
          </cell>
        </row>
        <row r="249">
          <cell r="O249">
            <v>1000368.2419132253</v>
          </cell>
        </row>
        <row r="250">
          <cell r="O250">
            <v>357030.17069954751</v>
          </cell>
        </row>
        <row r="258">
          <cell r="O258">
            <v>82781.522773033124</v>
          </cell>
        </row>
        <row r="259">
          <cell r="O259">
            <v>32853.85332246733</v>
          </cell>
        </row>
        <row r="262">
          <cell r="O262">
            <v>1769.2316837232268</v>
          </cell>
        </row>
        <row r="263">
          <cell r="O263">
            <v>2925.504307265212</v>
          </cell>
        </row>
        <row r="265">
          <cell r="O265">
            <v>93996.311672251817</v>
          </cell>
        </row>
        <row r="266">
          <cell r="O266">
            <v>241746.33320997993</v>
          </cell>
        </row>
        <row r="267">
          <cell r="O267">
            <v>104733.98687029356</v>
          </cell>
        </row>
        <row r="275">
          <cell r="O275">
            <v>43552.244420957155</v>
          </cell>
        </row>
        <row r="276">
          <cell r="O276">
            <v>1460.9571992026692</v>
          </cell>
        </row>
        <row r="278">
          <cell r="O278">
            <v>509632.21143203217</v>
          </cell>
        </row>
        <row r="279">
          <cell r="O279">
            <v>400262.73771326162</v>
          </cell>
        </row>
        <row r="280">
          <cell r="O280">
            <v>72400.352189393088</v>
          </cell>
        </row>
        <row r="288">
          <cell r="O288">
            <v>0</v>
          </cell>
        </row>
        <row r="293">
          <cell r="O293">
            <v>140038.47507396591</v>
          </cell>
        </row>
        <row r="294">
          <cell r="O294">
            <v>104845.59585986432</v>
          </cell>
        </row>
        <row r="304">
          <cell r="O304">
            <v>137190.05438207291</v>
          </cell>
        </row>
        <row r="305">
          <cell r="O305">
            <v>6281.1182659211427</v>
          </cell>
        </row>
        <row r="309">
          <cell r="O309">
            <v>4812.3641067916824</v>
          </cell>
        </row>
        <row r="311">
          <cell r="O311">
            <v>7055.5294221950217</v>
          </cell>
        </row>
        <row r="312">
          <cell r="O312">
            <v>17289.109208785569</v>
          </cell>
        </row>
        <row r="319">
          <cell r="O319">
            <v>74.254934768838538</v>
          </cell>
        </row>
        <row r="321">
          <cell r="O321">
            <v>7001.7918030268193</v>
          </cell>
        </row>
        <row r="614">
          <cell r="O614">
            <v>997.327082214813</v>
          </cell>
        </row>
        <row r="615">
          <cell r="O615">
            <v>874.38504200000057</v>
          </cell>
        </row>
        <row r="626">
          <cell r="O626">
            <v>515236.507699618</v>
          </cell>
        </row>
        <row r="627">
          <cell r="O627">
            <v>454962.64101453451</v>
          </cell>
        </row>
      </sheetData>
      <sheetData sheetId="1"/>
      <sheetData sheetId="2"/>
      <sheetData sheetId="3"/>
      <sheetData sheetId="4"/>
      <sheetData sheetId="5"/>
      <sheetData sheetId="6">
        <row r="20">
          <cell r="O20">
            <v>3003.1553249999988</v>
          </cell>
        </row>
      </sheetData>
      <sheetData sheetId="7"/>
      <sheetData sheetId="8"/>
      <sheetData sheetId="9"/>
      <sheetData sheetId="1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TUBARÃO_VEGA"/>
      <sheetName val="AM PECÉM"/>
      <sheetName val="AM PECÉM_old"/>
      <sheetName val="CONSOLIDADO"/>
      <sheetName val="Delta_TUBARÃO_VEGA"/>
      <sheetName val="Delta_AM PECÉM"/>
      <sheetName val="Delta_CONSOLIDADO"/>
      <sheetName val="CONSOLIDADO_old"/>
      <sheetName val="Delta"/>
      <sheetName val="Imp-AMT.AMV-MRF vs. Actual Y-1"/>
      <sheetName val="Imp-AMT.AMV-MRF vs. Budget"/>
      <sheetName val="Imp-AMT.AMV-MRF vs. MRF-3"/>
      <sheetName val="Imp-AMT.AMV-MRF vs. MRF-1"/>
      <sheetName val="Resumo Imp-TUBARÃO_VEGA"/>
      <sheetName val="Thinkcell-TUBARÃO_VEGA"/>
      <sheetName val="Imp Ind e AUTO KD TUBARÃO_VEGA"/>
      <sheetName val="Imp-AMP-MRF vs. Actual Y-1_old"/>
      <sheetName val="Imp-AMP-MRF vs. Budget_old"/>
      <sheetName val="Imp-AMP-MRF vs. MRF-3_old"/>
      <sheetName val="Imp-AMP-MRF vs. MRF-1_old"/>
      <sheetName val="Resumo Imp-AM PECÉM"/>
      <sheetName val="Thinkcell-AM PECÉM"/>
      <sheetName val="Resumo Imp-CONSOLIDADO"/>
      <sheetName val="Thinkcell-CONSOLIDADO"/>
      <sheetName val="Resumo Receita"/>
      <sheetName val="Delta Tubarao"/>
    </sheetNames>
    <sheetDataSet>
      <sheetData sheetId="0">
        <row r="614">
          <cell r="O614">
            <v>400</v>
          </cell>
        </row>
        <row r="615">
          <cell r="O615">
            <v>1423.1643800000002</v>
          </cell>
        </row>
        <row r="626">
          <cell r="O626">
            <v>177829.60148671025</v>
          </cell>
        </row>
        <row r="627">
          <cell r="O627">
            <v>645093.37535407988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YAAG7P7DG0KrtbSYdu9kS8SlNwSYV7FFuvVzJTqh3hQMr_gZBpvQSrOMeBCl349A" itemId="01ZXZYNBX5T65WFKLPXBFYSQA3GUUU4ARL">
      <xxl21:absoluteUrl r:id="rId2"/>
      <xxl21:relativeUrl r:id="rId3"/>
    </xxl21:alternateUrls>
    <sheetNames>
      <sheetName val="SAPBEXqueriesDefunct"/>
      <sheetName val="SAPBEXfiltersDefunct"/>
      <sheetName val="BExRepositorySheet"/>
      <sheetName val="Macro1"/>
      <sheetName val="Máscara (Divulgação)"/>
      <sheetName val="Mensal MRF"/>
      <sheetName val="Mensal MRF USD2"/>
      <sheetName val="BW MRF"/>
      <sheetName val="BW Check"/>
      <sheetName val="FR at BFs"/>
      <sheetName val="MR at BFs"/>
      <sheetName val="Sinter productivity"/>
      <sheetName val="Passo-a-Passo (Mold Machine)"/>
    </sheetNames>
    <sheetDataSet>
      <sheetData sheetId="0"/>
      <sheetData sheetId="1"/>
      <sheetData sheetId="2"/>
      <sheetData sheetId="3"/>
      <sheetData sheetId="4">
        <row r="13">
          <cell r="F13">
            <v>1244.2857595320868</v>
          </cell>
        </row>
      </sheetData>
      <sheetData sheetId="5">
        <row r="184">
          <cell r="C184">
            <v>1597.4260791551801</v>
          </cell>
        </row>
      </sheetData>
      <sheetData sheetId="6">
        <row r="1">
          <cell r="C1">
            <v>5.4</v>
          </cell>
        </row>
        <row r="259">
          <cell r="T259">
            <v>407.37404902764735</v>
          </cell>
        </row>
        <row r="279">
          <cell r="T279">
            <v>437.21225084963947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YAAG7P7DG0KrtbSYdu9kS8SlNwSYV7FFuvVzJTqh3hQMr_gZBpvQSrOMeBCl349A" itemId="01ZXZYNBWBBTHSZYCCZVAYFGC4FXW6TKCL">
      <xxl21:absoluteUrl r:id="rId2"/>
      <xxl21:relativeUrl r:id="rId3"/>
    </xxl21:alternateUrls>
    <sheetNames>
      <sheetName val="Máscara (Divulgação) (BRL)"/>
      <sheetName val="Mensal BRL"/>
      <sheetName val="Mensal USD"/>
      <sheetName val="Transformation 2026 BUDGET"/>
      <sheetName val="Planilha1"/>
      <sheetName val="Cost by Stage 2026 Budget (BRL)"/>
      <sheetName val="Centro de Custo"/>
      <sheetName val="PCID"/>
      <sheetName val="conceitos"/>
      <sheetName val="Acerno_Cache_XXXXX"/>
      <sheetName val="Cost by Stage Vega_2026 BUDGET"/>
    </sheetNames>
    <sheetDataSet>
      <sheetData sheetId="0">
        <row r="6">
          <cell r="C6">
            <v>2444.6245423140999</v>
          </cell>
        </row>
      </sheetData>
      <sheetData sheetId="1">
        <row r="7">
          <cell r="N7">
            <v>2459.9316568761865</v>
          </cell>
        </row>
      </sheetData>
      <sheetData sheetId="2">
        <row r="2">
          <cell r="R2">
            <v>5.4000000000000012</v>
          </cell>
        </row>
        <row r="21">
          <cell r="R21">
            <v>494.72402405836459</v>
          </cell>
        </row>
        <row r="31">
          <cell r="R31">
            <v>572.56249932596791</v>
          </cell>
        </row>
        <row r="51">
          <cell r="R51">
            <v>592.20465813842532</v>
          </cell>
        </row>
        <row r="61">
          <cell r="R61">
            <v>663.85930953456682</v>
          </cell>
        </row>
        <row r="71">
          <cell r="R71">
            <v>572.84269131951839</v>
          </cell>
        </row>
      </sheetData>
      <sheetData sheetId="3">
        <row r="2">
          <cell r="R2">
            <v>5.4000000000000012</v>
          </cell>
        </row>
      </sheetData>
      <sheetData sheetId="4"/>
      <sheetData sheetId="5"/>
      <sheetData sheetId="6">
        <row r="10">
          <cell r="I10">
            <v>2903.9978512920502</v>
          </cell>
        </row>
      </sheetData>
      <sheetData sheetId="7"/>
      <sheetData sheetId="8"/>
      <sheetData sheetId="9"/>
      <sheetData sheetId="1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 Comentários"/>
      <sheetName val="Comentários"/>
      <sheetName val="Act x MRF"/>
      <sheetName val="Lembrar"/>
      <sheetName val="Resumo"/>
      <sheetName val="Q1MRF3xQ1A"/>
      <sheetName val="Boxes KD"/>
      <sheetName val="Q2MRF6xQ226A"/>
      <sheetName val="Q3MRF6xQ3MRF7"/>
      <sheetName val="Q4MRF6xQ4MRF7"/>
      <sheetName val="Q324AxQ325A"/>
      <sheetName val="Q225MRF4xQ225A"/>
      <sheetName val="FYMRF6xFYMRF7"/>
      <sheetName val="Q1MRF2xQ2MRF2"/>
      <sheetName val="Q325AxQ425A"/>
      <sheetName val="Q125MRF1xQ125A"/>
      <sheetName val="Q424AxQ425A"/>
      <sheetName val="FY24AxFY25A"/>
      <sheetName val="Q425AxQ126A"/>
      <sheetName val="Q126AxQ226A"/>
      <sheetName val="Q126BxQ126A"/>
      <sheetName val="Q125AxQ126A"/>
      <sheetName val="Q125AxQ225A"/>
      <sheetName val="Q126MRF1xQ126A"/>
      <sheetName val="Q226MRF1xQ226MRF3"/>
      <sheetName val="Q226MRF1xQ226MRF4"/>
      <sheetName val="Q226AxQ326MRF7"/>
      <sheetName val="FYB26xFYMRF7"/>
      <sheetName val="Q225AxQ226A"/>
      <sheetName val="FY25AxFYMRF7"/>
      <sheetName val="Q2MRF4xQ226A"/>
      <sheetName val="Q3MRF4xQ3MRF7"/>
      <sheetName val="USD 2026_Budget"/>
      <sheetName val="Classificação"/>
    </sheetNames>
    <sheetDataSet>
      <sheetData sheetId="0" refreshError="1"/>
      <sheetData sheetId="1">
        <row r="5">
          <cell r="C5">
            <v>4.1533914036623836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7">
          <cell r="L7">
            <v>2.0268528057406714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9">
          <cell r="D9">
            <v>74720.286441742122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9">
          <cell r="D9">
            <v>90162.499929681682</v>
          </cell>
        </row>
      </sheetData>
      <sheetData sheetId="27">
        <row r="9">
          <cell r="D9">
            <v>287356.77618344419</v>
          </cell>
          <cell r="G9">
            <v>328520.71621950075</v>
          </cell>
        </row>
        <row r="10">
          <cell r="D10">
            <v>162910.37548555571</v>
          </cell>
          <cell r="G10">
            <v>173542.33833959477</v>
          </cell>
        </row>
        <row r="11">
          <cell r="D11">
            <v>455.31968888888878</v>
          </cell>
          <cell r="G11">
            <v>476.59812750037719</v>
          </cell>
        </row>
        <row r="12">
          <cell r="D12">
            <v>36445.369559722225</v>
          </cell>
          <cell r="G12">
            <v>39593.698560860154</v>
          </cell>
        </row>
        <row r="13">
          <cell r="D13">
            <v>4329.6571425925922</v>
          </cell>
          <cell r="G13">
            <v>4366.7997161010962</v>
          </cell>
        </row>
        <row r="14">
          <cell r="D14">
            <v>0</v>
          </cell>
          <cell r="G14">
            <v>0</v>
          </cell>
        </row>
        <row r="15">
          <cell r="D15">
            <v>3800.2258148148148</v>
          </cell>
          <cell r="G15">
            <v>4339.9682851539674</v>
          </cell>
        </row>
        <row r="16">
          <cell r="D16">
            <v>133766.87453033309</v>
          </cell>
          <cell r="G16">
            <v>137770.91554820424</v>
          </cell>
        </row>
        <row r="17">
          <cell r="D17">
            <v>57260.893387037046</v>
          </cell>
          <cell r="G17">
            <v>56306.50454336941</v>
          </cell>
        </row>
        <row r="21">
          <cell r="P21" t="str">
            <v>Controllable</v>
          </cell>
          <cell r="Q21">
            <v>-2.8984407567442751</v>
          </cell>
        </row>
        <row r="22">
          <cell r="P22" t="str">
            <v>2025 CLA</v>
          </cell>
          <cell r="Q22">
            <v>-3.7644492111111099</v>
          </cell>
        </row>
        <row r="23">
          <cell r="B23">
            <v>5.4000000000000012</v>
          </cell>
          <cell r="P23" t="str">
            <v>Publicity</v>
          </cell>
          <cell r="Q23">
            <v>0.8660084543668346</v>
          </cell>
        </row>
        <row r="24">
          <cell r="B24">
            <v>5.1737454093663775</v>
          </cell>
          <cell r="P24" t="str">
            <v>Non-controllable</v>
          </cell>
          <cell r="Q24">
            <v>-5.4086264872304994</v>
          </cell>
        </row>
        <row r="25">
          <cell r="P25" t="str">
            <v>Pension Plan (Actuarial calculation)</v>
          </cell>
          <cell r="Q25">
            <v>-5.0981562884054172</v>
          </cell>
        </row>
        <row r="26">
          <cell r="P26" t="str">
            <v>Insurance</v>
          </cell>
          <cell r="Q26">
            <v>0.6895298011749178</v>
          </cell>
        </row>
        <row r="27">
          <cell r="P27" t="str">
            <v>Others</v>
          </cell>
          <cell r="Q27">
            <v>-1</v>
          </cell>
        </row>
        <row r="28">
          <cell r="P28" t="str">
            <v>Value Creation</v>
          </cell>
          <cell r="Q28">
            <v>-25.047168272308554</v>
          </cell>
        </row>
        <row r="29">
          <cell r="P29" t="str">
            <v>2026 PSP Complement</v>
          </cell>
          <cell r="Q29">
            <v>-14.275972722308556</v>
          </cell>
        </row>
        <row r="30">
          <cell r="P30" t="str">
            <v>2025 PSP Complement</v>
          </cell>
          <cell r="Q30">
            <v>-8.7711955499999981</v>
          </cell>
        </row>
        <row r="31">
          <cell r="P31" t="str">
            <v>Partner remuneration</v>
          </cell>
          <cell r="Q31">
            <v>-1</v>
          </cell>
        </row>
        <row r="32">
          <cell r="P32" t="str">
            <v>HVA Growth</v>
          </cell>
          <cell r="Q32">
            <v>-1</v>
          </cell>
        </row>
        <row r="33">
          <cell r="P33" t="str">
            <v>Total</v>
          </cell>
        </row>
        <row r="34">
          <cell r="D34">
            <v>0</v>
          </cell>
          <cell r="G34">
            <v>206.23481164502741</v>
          </cell>
        </row>
        <row r="35">
          <cell r="D35">
            <v>3145.6842592592589</v>
          </cell>
          <cell r="G35">
            <v>7425.0419789498919</v>
          </cell>
        </row>
      </sheetData>
      <sheetData sheetId="28" refreshError="1"/>
      <sheetData sheetId="29" refreshError="1"/>
      <sheetData sheetId="30">
        <row r="9">
          <cell r="D9">
            <v>79474.487183800622</v>
          </cell>
        </row>
      </sheetData>
      <sheetData sheetId="31">
        <row r="9">
          <cell r="D9">
            <v>70187.077438006236</v>
          </cell>
        </row>
      </sheetData>
      <sheetData sheetId="32" refreshError="1"/>
      <sheetData sheetId="3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Month"/>
      <sheetName val="Q1_MRF"/>
      <sheetName val="Q2_MRF"/>
      <sheetName val="Q3_MRF"/>
      <sheetName val="Q4_MRF"/>
      <sheetName val="FY_MRF"/>
      <sheetName val="Comentários KD"/>
      <sheetName val="Análise Impactos"/>
      <sheetName val="Q1_Budget"/>
      <sheetName val="Q2_Budget"/>
      <sheetName val="Q3_Budget"/>
      <sheetName val="Q4_Budget"/>
      <sheetName val="FY_Budget"/>
      <sheetName val="Minério"/>
      <sheetName val="S26_SP24 x FY26B"/>
      <sheetName val="Q4'25AxQ1'26A"/>
      <sheetName val="Q1'26AxQ2'26A"/>
      <sheetName val="Q1'26BxQ1'26A"/>
      <sheetName val="Q1'26#1xQ1'26A"/>
      <sheetName val="Q1'25AxQ1'26A"/>
      <sheetName val="Q2'26AxQ3'26#7"/>
      <sheetName val="Q2'25AxQ2'26A"/>
      <sheetName val="Q2'26#4xQ2'26A"/>
      <sheetName val="Q3'26#4xQ3'26#7"/>
      <sheetName val="FY'25AxFY'26#7"/>
      <sheetName val="FY'25#4xFY'26#7"/>
      <sheetName val="Base_MRF"/>
      <sheetName val="Base_Budget"/>
      <sheetName val="Base_MRF_trimestral"/>
      <sheetName val="Base_202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1">
          <cell r="K11">
            <v>192.44907581258099</v>
          </cell>
          <cell r="N11">
            <v>0.39731562421943001</v>
          </cell>
          <cell r="O11">
            <v>209.830332011846</v>
          </cell>
        </row>
        <row r="12">
          <cell r="K12">
            <v>193.47907998159599</v>
          </cell>
          <cell r="N12">
            <v>0.27102848197245</v>
          </cell>
          <cell r="O12">
            <v>218.48672314443101</v>
          </cell>
        </row>
        <row r="13">
          <cell r="K13">
            <v>0</v>
          </cell>
          <cell r="N13">
            <v>0</v>
          </cell>
          <cell r="O13">
            <v>0</v>
          </cell>
          <cell r="AH13">
            <v>-7.3567876341604945</v>
          </cell>
        </row>
        <row r="14">
          <cell r="K14">
            <v>312.92944510136499</v>
          </cell>
          <cell r="N14">
            <v>1.407606697906E-2</v>
          </cell>
          <cell r="O14">
            <v>340.61822721504302</v>
          </cell>
        </row>
        <row r="16">
          <cell r="K16">
            <v>72.724805563142596</v>
          </cell>
          <cell r="N16">
            <v>0.50546147907213002</v>
          </cell>
          <cell r="O16">
            <v>75.803893593564496</v>
          </cell>
        </row>
        <row r="17">
          <cell r="K17">
            <v>121.438930180537</v>
          </cell>
          <cell r="N17">
            <v>0.78699859872350997</v>
          </cell>
          <cell r="O17">
            <v>128.95792596468499</v>
          </cell>
        </row>
        <row r="18">
          <cell r="K18">
            <v>82.183924470554302</v>
          </cell>
          <cell r="N18">
            <v>0.2207053984765</v>
          </cell>
          <cell r="O18">
            <v>83.470247491985404</v>
          </cell>
        </row>
        <row r="38">
          <cell r="M38">
            <v>6970285.6600000001</v>
          </cell>
        </row>
      </sheetData>
      <sheetData sheetId="13" refreshError="1"/>
      <sheetData sheetId="14" refreshError="1"/>
      <sheetData sheetId="15" refreshError="1"/>
      <sheetData sheetId="16">
        <row r="11">
          <cell r="K11">
            <v>201.230872622715</v>
          </cell>
        </row>
      </sheetData>
      <sheetData sheetId="17" refreshError="1"/>
      <sheetData sheetId="18" refreshError="1"/>
      <sheetData sheetId="19">
        <row r="11">
          <cell r="K11">
            <v>216.12788890497501</v>
          </cell>
        </row>
      </sheetData>
      <sheetData sheetId="20" refreshError="1"/>
      <sheetData sheetId="21">
        <row r="11">
          <cell r="K11">
            <v>201.354865410896</v>
          </cell>
        </row>
      </sheetData>
      <sheetData sheetId="22" refreshError="1"/>
      <sheetData sheetId="23" refreshError="1"/>
      <sheetData sheetId="24">
        <row r="11">
          <cell r="K11">
            <v>200.62322307501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BExRepositorySheet"/>
      <sheetName val="USAGE TIMELINE"/>
      <sheetName val="Base SAC"/>
      <sheetName val="Ajustes manuais"/>
      <sheetName val="Key drivers"/>
      <sheetName val="Bridges complementares"/>
      <sheetName val="Bridges IP"/>
      <sheetName val="Base_complementar"/>
      <sheetName val="RACIONAL GN"/>
      <sheetName val="RACIONAL ENERGY"/>
      <sheetName val="FLUX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5">
          <cell r="E5" t="str">
            <v>Operational performance</v>
          </cell>
          <cell r="F5">
            <v>-4.0925449488067995</v>
          </cell>
        </row>
        <row r="6">
          <cell r="C6">
            <v>-3.3995495963107976</v>
          </cell>
          <cell r="E6" t="str">
            <v>Ironmaking</v>
          </cell>
          <cell r="F6">
            <v>-3.3995495963107976</v>
          </cell>
        </row>
        <row r="7">
          <cell r="C7">
            <v>-3</v>
          </cell>
          <cell r="E7" t="str">
            <v>Steelmaking</v>
          </cell>
          <cell r="F7">
            <v>-3</v>
          </cell>
        </row>
        <row r="8">
          <cell r="C8">
            <v>-6.4297937760759991</v>
          </cell>
          <cell r="E8" t="str">
            <v>Contractors</v>
          </cell>
          <cell r="F8">
            <v>-2.4892741407326007</v>
          </cell>
        </row>
        <row r="9">
          <cell r="E9" t="str">
            <v>Others</v>
          </cell>
          <cell r="F9">
            <v>-1</v>
          </cell>
        </row>
        <row r="10">
          <cell r="E10" t="str">
            <v>AMV</v>
          </cell>
          <cell r="F10">
            <v>5.7962787882365996</v>
          </cell>
        </row>
        <row r="14">
          <cell r="E14" t="str">
            <v>Market driven</v>
          </cell>
          <cell r="F14">
            <v>-8.7367984235799998</v>
          </cell>
        </row>
        <row r="15">
          <cell r="E15" t="str">
            <v>Alloys</v>
          </cell>
          <cell r="F15">
            <v>-6.5367984235799996</v>
          </cell>
        </row>
        <row r="16">
          <cell r="E16" t="str">
            <v>Coated lines</v>
          </cell>
          <cell r="F16">
            <v>-2.2000000000000002</v>
          </cell>
        </row>
        <row r="17">
          <cell r="E17" t="str">
            <v>Total</v>
          </cell>
          <cell r="F17">
            <v>-12.829343372386798</v>
          </cell>
        </row>
      </sheetData>
      <sheetData sheetId="6">
        <row r="6">
          <cell r="C6">
            <v>-6.85</v>
          </cell>
          <cell r="U6">
            <v>-12.014339143844159</v>
          </cell>
        </row>
        <row r="7">
          <cell r="U7">
            <v>-11.03</v>
          </cell>
        </row>
        <row r="8">
          <cell r="U8">
            <v>-7.03</v>
          </cell>
        </row>
        <row r="9">
          <cell r="U9">
            <v>0.20690204446817884</v>
          </cell>
        </row>
        <row r="10">
          <cell r="U10">
            <v>-2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_com.sap.ip.bi.xl.hiddensheet"/>
      <sheetName val="FCF &amp; OWCR - BUDGET"/>
      <sheetName val="Slide FCF"/>
      <sheetName val="KPI's - Budget"/>
      <sheetName val="FCF &amp; OWCR - BUDGET_WO_AMS"/>
      <sheetName val="Gráfico"/>
      <sheetName val="MRF10'25 x Budget'26"/>
      <sheetName val="Historico FCF"/>
      <sheetName val="2026 FCF OWCR Template_Budget"/>
      <sheetName val="Planilha1"/>
    </sheetNames>
    <sheetDataSet>
      <sheetData sheetId="0"/>
      <sheetData sheetId="1">
        <row r="15">
          <cell r="B15">
            <v>1615.029</v>
          </cell>
        </row>
        <row r="332">
          <cell r="Z332">
            <v>19.00374781556814</v>
          </cell>
        </row>
      </sheetData>
      <sheetData sheetId="2"/>
      <sheetData sheetId="3">
        <row r="5">
          <cell r="H5">
            <v>1687.8534829999999</v>
          </cell>
        </row>
      </sheetData>
      <sheetData sheetId="4">
        <row r="15">
          <cell r="F15">
            <v>6669.5806060000004</v>
          </cell>
        </row>
      </sheetData>
      <sheetData sheetId="5"/>
      <sheetData sheetId="6"/>
      <sheetData sheetId="7"/>
      <sheetData sheetId="8" refreshError="1"/>
      <sheetData sheetId="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_com.sap.ip.bi.xl.hiddensheet"/>
      <sheetName val="FCF &amp; OWCR - BUDGET"/>
      <sheetName val="FCF &amp; OWCR - BUDGET_WO_AMS"/>
      <sheetName val="BASE_BI"/>
    </sheetNames>
    <sheetDataSet>
      <sheetData sheetId="0" refreshError="1"/>
      <sheetData sheetId="1">
        <row r="15">
          <cell r="B15">
            <v>1615.029</v>
          </cell>
        </row>
        <row r="332">
          <cell r="Z332">
            <v>25.568069540774438</v>
          </cell>
        </row>
      </sheetData>
      <sheetData sheetId="2" refreshError="1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ntratos_USD_BUD26"/>
      <sheetName val="Mascara_cst_Total"/>
      <sheetName val="Mascara_cst_Var"/>
      <sheetName val="Mascara_cst_Fixo"/>
      <sheetName val="Vol Terceiros MRF6 x MRF7"/>
      <sheetName val="analise var_26"/>
      <sheetName val="SAIDA"/>
      <sheetName val="BOX Logística"/>
      <sheetName val="Contrato_USD_MRF07_26"/>
      <sheetName val="pagamento_mes 26"/>
      <sheetName val="Volume_MRF07_2026"/>
      <sheetName val="Volume_MRF07_26"/>
      <sheetName val="Volume_MRF01_26_Realizado"/>
      <sheetName val="Volume_MRF2024"/>
      <sheetName val="Volume_Budget26"/>
      <sheetName val="Volume_Budget_26_"/>
      <sheetName val="MRF_2024"/>
      <sheetName val="BW_24"/>
      <sheetName val="BW_25"/>
      <sheetName val="MRF_2025"/>
      <sheetName val="BW_26"/>
      <sheetName val="MRF_2026"/>
      <sheetName val="BW_Bud26"/>
      <sheetName val="Budget_26"/>
      <sheetName val="Visão Logística"/>
      <sheetName val="estrutura_nova"/>
      <sheetName val="Ajustes - BW_2026"/>
      <sheetName val="Analise ajuste manual "/>
      <sheetName val="Conciliação"/>
      <sheetName val="Sugestão"/>
      <sheetName val="Efeito cambio"/>
      <sheetName val="Prints BW"/>
    </sheetNames>
    <sheetDataSet>
      <sheetData sheetId="0"/>
      <sheetData sheetId="1"/>
      <sheetData sheetId="2">
        <row r="41">
          <cell r="W41">
            <v>775.88619325946024</v>
          </cell>
          <cell r="AQ41">
            <v>784.95561085772692</v>
          </cell>
        </row>
        <row r="43">
          <cell r="W43">
            <v>-475.43202526000005</v>
          </cell>
          <cell r="AQ43">
            <v>-448.49102059429998</v>
          </cell>
        </row>
        <row r="46">
          <cell r="W46">
            <v>58.395818900099989</v>
          </cell>
          <cell r="AQ46">
            <v>57.491242547489215</v>
          </cell>
        </row>
      </sheetData>
      <sheetData sheetId="3"/>
      <sheetData sheetId="4"/>
      <sheetData sheetId="5"/>
      <sheetData sheetId="6">
        <row r="14">
          <cell r="I14">
            <v>-5.7640203629386235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iscos"/>
      <sheetName val="Unusual USD"/>
    </sheetNames>
    <sheetDataSet>
      <sheetData sheetId="0"/>
      <sheetData sheetId="1">
        <row r="5">
          <cell r="O5">
            <v>-4426264.8566183131</v>
          </cell>
        </row>
        <row r="6">
          <cell r="B6" t="str">
            <v>Non Steel</v>
          </cell>
        </row>
        <row r="7">
          <cell r="B7" t="str">
            <v>Reintegra</v>
          </cell>
        </row>
        <row r="8">
          <cell r="B8" t="str">
            <v>Sucatamento</v>
          </cell>
        </row>
        <row r="10">
          <cell r="B10" t="str">
            <v>Legal contingency</v>
          </cell>
        </row>
        <row r="11">
          <cell r="B11" t="str">
            <v>Changes on tax (Lei Cabral)</v>
          </cell>
        </row>
        <row r="14">
          <cell r="B14" t="str">
            <v>Cost contingency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5"/>
      <sheetName val="2026"/>
    </sheetNames>
    <sheetDataSet>
      <sheetData sheetId="0"/>
      <sheetData sheetId="1">
        <row r="7">
          <cell r="C7">
            <v>0.86658037413524747</v>
          </cell>
          <cell r="D7">
            <v>0.88947656912481576</v>
          </cell>
          <cell r="E7">
            <v>1.6457517207104755</v>
          </cell>
          <cell r="F7">
            <v>1.9409908495303581</v>
          </cell>
          <cell r="G7">
            <v>1.9098272187330692</v>
          </cell>
          <cell r="H7">
            <v>0.39193860251303203</v>
          </cell>
        </row>
        <row r="15">
          <cell r="C15">
            <v>8.1782598285178803E-18</v>
          </cell>
          <cell r="D15">
            <v>-1.8666682476757568E-2</v>
          </cell>
          <cell r="E15">
            <v>-0.83918105997746228</v>
          </cell>
          <cell r="F15">
            <v>-0.20533205048603537</v>
          </cell>
          <cell r="G15">
            <v>7.4457499111775334E-17</v>
          </cell>
          <cell r="H15">
            <v>1.2129730276098403</v>
          </cell>
        </row>
        <row r="20">
          <cell r="C20">
            <v>1.4130593341570135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1.0328423023987963</v>
          </cell>
        </row>
        <row r="24">
          <cell r="C24">
            <v>0</v>
          </cell>
          <cell r="D24">
            <v>0</v>
          </cell>
          <cell r="E24">
            <v>-2.0152497688429292</v>
          </cell>
          <cell r="F24">
            <v>0</v>
          </cell>
          <cell r="G24">
            <v>0</v>
          </cell>
          <cell r="H24">
            <v>-0.10686894129774296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usto Fixo Budget"/>
      <sheetName val="Custo Fixo MRF - Base"/>
      <sheetName val="Ajustes Custo fixo"/>
      <sheetName val="Resumo Ajustes MRF"/>
      <sheetName val="Ajustes Manuais do MRF"/>
      <sheetName val="Custo Fixo Actual Ajust MRF"/>
      <sheetName val="BExRepositorySheet"/>
      <sheetName val="Mascara divulgação"/>
      <sheetName val="Resumos"/>
      <sheetName val="BPM"/>
      <sheetName val="CHECKBPM"/>
      <sheetName val="Leasing"/>
      <sheetName val="% Sales SGA Total 2026"/>
      <sheetName val="Corporate Fee"/>
      <sheetName val="Quadros comparativos"/>
      <sheetName val="Report CF (Marcelo)"/>
      <sheetName val="Mascara divulgação (2)"/>
    </sheetNames>
    <sheetDataSet>
      <sheetData sheetId="0">
        <row r="44">
          <cell r="S44">
            <v>32.982125181481479</v>
          </cell>
        </row>
        <row r="51">
          <cell r="S51">
            <v>87.020437118518515</v>
          </cell>
        </row>
        <row r="52">
          <cell r="S52">
            <v>69.450558854259242</v>
          </cell>
        </row>
        <row r="53">
          <cell r="S53">
            <v>93.915136320185326</v>
          </cell>
        </row>
        <row r="56">
          <cell r="S56">
            <v>167.3542138834442</v>
          </cell>
        </row>
        <row r="57">
          <cell r="S57">
            <v>75.87756987292569</v>
          </cell>
        </row>
        <row r="58">
          <cell r="S58">
            <v>115.15019804444444</v>
          </cell>
        </row>
        <row r="68">
          <cell r="S68">
            <v>3.1456842592592591</v>
          </cell>
        </row>
      </sheetData>
      <sheetData sheetId="1"/>
      <sheetData sheetId="2"/>
      <sheetData sheetId="3"/>
      <sheetData sheetId="4"/>
      <sheetData sheetId="5">
        <row r="33">
          <cell r="P33">
            <v>-2.5376233900000003</v>
          </cell>
        </row>
        <row r="44">
          <cell r="S44">
            <v>38.268965142527122</v>
          </cell>
        </row>
        <row r="51">
          <cell r="S51">
            <v>103.98479425035302</v>
          </cell>
        </row>
        <row r="52">
          <cell r="S52">
            <v>74.052596707442262</v>
          </cell>
        </row>
        <row r="53">
          <cell r="S53">
            <v>99.966339759652868</v>
          </cell>
        </row>
        <row r="56">
          <cell r="S56">
            <v>186.2669568266206</v>
          </cell>
        </row>
        <row r="57">
          <cell r="S57">
            <v>73.959307729614423</v>
          </cell>
        </row>
        <row r="58">
          <cell r="S58">
            <v>120.11811236195922</v>
          </cell>
        </row>
        <row r="68">
          <cell r="S68">
            <v>7.425041978949892</v>
          </cell>
        </row>
      </sheetData>
      <sheetData sheetId="6"/>
      <sheetData sheetId="7">
        <row r="35">
          <cell r="T35">
            <v>913.78287716589989</v>
          </cell>
        </row>
      </sheetData>
      <sheetData sheetId="8"/>
      <sheetData sheetId="9">
        <row r="42">
          <cell r="O42">
            <v>-3312485.5499999993</v>
          </cell>
        </row>
      </sheetData>
      <sheetData sheetId="10"/>
      <sheetData sheetId="11"/>
      <sheetData sheetId="12"/>
      <sheetData sheetId="13">
        <row r="8">
          <cell r="I8">
            <v>775592.33076923073</v>
          </cell>
        </row>
      </sheetData>
      <sheetData sheetId="14"/>
      <sheetData sheetId="15"/>
      <sheetData sheetId="1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ase"/>
      <sheetName val="2025 - US$ EUA  "/>
      <sheetName val="2025 - Dólar Canadense"/>
      <sheetName val="2025 - Dólar Canadense - USD"/>
      <sheetName val="2025 - EUR"/>
      <sheetName val="2025 - US$ EUA - EUR "/>
      <sheetName val="2025 - Peso Arg"/>
      <sheetName val="2025 - P$Arg  - US$ EUA"/>
      <sheetName val="2025 - Peso Mexico"/>
      <sheetName val="2025 - P$ Mex - US$EUA"/>
      <sheetName val="2025 - Peso Chile"/>
      <sheetName val="2025 - P$ Chile - US$ EUA"/>
      <sheetName val="2025 - Peso Uruguai"/>
      <sheetName val="2025 - P$ Uruguai - US$ EUA"/>
      <sheetName val="2025 - Novo Sol Peru"/>
      <sheetName val="2025 - Novo Sol - US$EUA"/>
      <sheetName val="2025 - Cólon "/>
      <sheetName val="2025 - Bolivar Soberano"/>
      <sheetName val="2025 - Iene "/>
      <sheetName val="2025 - Libra"/>
      <sheetName val="2025 - Peso Boliviano"/>
      <sheetName val="2025 - P$ Boliviano - US$EUA"/>
      <sheetName val="Câmbio ArcelorMittal Brasil 202"/>
    </sheetNames>
    <sheetDataSet>
      <sheetData sheetId="0"/>
      <sheetData sheetId="1">
        <row r="44">
          <cell r="D44">
            <v>5.7422000000000004</v>
          </cell>
        </row>
        <row r="57">
          <cell r="J57">
            <v>5.3674090909090912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álculo"/>
      <sheetName val="Box"/>
      <sheetName val="Outras RM"/>
      <sheetName val="Check BPM"/>
      <sheetName val="BPM"/>
      <sheetName val="Box (resumo sem AMD)"/>
      <sheetName val="Box (resumo SAIDA)"/>
      <sheetName val="Bridge"/>
      <sheetName val="Bridge combinada"/>
      <sheetName val="Bridge combinada (2)"/>
      <sheetName val="Box combinado"/>
      <sheetName val="Bridge Book"/>
      <sheetName val="Wanick"/>
      <sheetName val="Box Book"/>
      <sheetName val="Footprint"/>
      <sheetName val="Premissas comercial B21"/>
      <sheetName val="Slab BR FOB"/>
      <sheetName val="Planilha1"/>
      <sheetName val="SV"/>
      <sheetName val="Modelo"/>
    </sheetNames>
    <sheetDataSet>
      <sheetData sheetId="0"/>
      <sheetData sheetId="1">
        <row r="5">
          <cell r="BJ5">
            <v>3149.5708048502947</v>
          </cell>
        </row>
        <row r="6">
          <cell r="U6">
            <v>-22.150569413433406</v>
          </cell>
        </row>
        <row r="7">
          <cell r="U7">
            <v>-1.3049690430438425</v>
          </cell>
        </row>
        <row r="11">
          <cell r="U11">
            <v>-32.207643363434144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álculo"/>
      <sheetName val="Box"/>
      <sheetName val="Outras RM"/>
      <sheetName val="Check BPM"/>
      <sheetName val="BPM"/>
      <sheetName val="Box (resumo sem AMD)"/>
      <sheetName val="Box (resumo SAIDA)"/>
      <sheetName val="Bridge"/>
      <sheetName val="Bridge combinada"/>
      <sheetName val="Bridge combinada (2)"/>
      <sheetName val="Box combinado"/>
      <sheetName val="Bridge Book"/>
      <sheetName val="Wanick"/>
      <sheetName val="Box Book"/>
      <sheetName val="Footprint"/>
      <sheetName val="Premissas comercial B21"/>
      <sheetName val="Slab BR FOB"/>
      <sheetName val="Planilha1"/>
      <sheetName val="SV"/>
      <sheetName val="Modelo"/>
    </sheetNames>
    <sheetDataSet>
      <sheetData sheetId="0">
        <row r="116">
          <cell r="J116">
            <v>-29446.170701103198</v>
          </cell>
        </row>
        <row r="117">
          <cell r="J117">
            <v>-6229.4858685013096</v>
          </cell>
        </row>
      </sheetData>
      <sheetData sheetId="1">
        <row r="11">
          <cell r="U11">
            <v>-24.749472050142433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ew report"/>
      <sheetName val="Others"/>
      <sheetName val="EBITDA"/>
      <sheetName val="Bridges TC"/>
      <sheetName val="Bridge Actual"/>
      <sheetName val="Bridge FY"/>
      <sheetName val="Sensibilidade (2)"/>
      <sheetName val="Saida box receita"/>
      <sheetName val="Graph_FCF_managerial"/>
      <sheetName val="Analise impacto CF- Giro Budget"/>
      <sheetName val="Giro Usage"/>
    </sheetNames>
    <sheetDataSet>
      <sheetData sheetId="0"/>
      <sheetData sheetId="1"/>
      <sheetData sheetId="2"/>
      <sheetData sheetId="3"/>
      <sheetData sheetId="4"/>
      <sheetData sheetId="5">
        <row r="5">
          <cell r="E5" t="str">
            <v>Coal</v>
          </cell>
          <cell r="F5">
            <v>-12.315596393023613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álculo"/>
      <sheetName val="Box"/>
      <sheetName val="Outras RM"/>
      <sheetName val="Check BPM"/>
      <sheetName val="BPM"/>
      <sheetName val="Box (resumo sem AMD)"/>
      <sheetName val="Box (resumo SAIDA)"/>
      <sheetName val="Bridge"/>
      <sheetName val="Bridge combinada"/>
      <sheetName val="Bridge combinada (2)"/>
      <sheetName val="Box combinado"/>
      <sheetName val="Bridge Book"/>
      <sheetName val="Wanick"/>
      <sheetName val="Box Book"/>
      <sheetName val="Footprint"/>
      <sheetName val="Premissas comercial B21"/>
      <sheetName val="Slab BR FOB"/>
      <sheetName val="Planilha1"/>
      <sheetName val="SV"/>
      <sheetName val="Modelo"/>
    </sheetNames>
    <sheetDataSet>
      <sheetData sheetId="0" refreshError="1"/>
      <sheetData sheetId="1">
        <row r="6">
          <cell r="U6">
            <v>-36.600527707844286</v>
          </cell>
        </row>
        <row r="7">
          <cell r="U7">
            <v>-1.9995862071084181</v>
          </cell>
        </row>
        <row r="11">
          <cell r="U11">
            <v>-20.353894215986514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álculo"/>
      <sheetName val="Box"/>
      <sheetName val="Planilha2"/>
      <sheetName val="Outras RM"/>
      <sheetName val="Check BPM"/>
      <sheetName val="BPM"/>
      <sheetName val="Box (resumo sem AMD)"/>
      <sheetName val="Box (resumo SAIDA)"/>
      <sheetName val="Planilha3"/>
      <sheetName val="Bridge"/>
      <sheetName val="Bridge combinada"/>
      <sheetName val="Bridge combinada (2)"/>
      <sheetName val="Box combinado"/>
      <sheetName val="Bridge Book"/>
      <sheetName val="Wanick"/>
      <sheetName val="Box Book"/>
      <sheetName val="Footprint"/>
      <sheetName val="Premissas comercial B21"/>
      <sheetName val="Slab BR FOB"/>
      <sheetName val="Planilha1"/>
      <sheetName val="SV"/>
      <sheetName val="Modelo"/>
    </sheetNames>
    <sheetDataSet>
      <sheetData sheetId="0"/>
      <sheetData sheetId="1">
        <row r="6">
          <cell r="U6">
            <v>-34.514681337044337</v>
          </cell>
        </row>
        <row r="7">
          <cell r="U7">
            <v>5.4472782970091815</v>
          </cell>
        </row>
        <row r="11">
          <cell r="U11">
            <v>36.732446052564484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álculo"/>
      <sheetName val="Box"/>
      <sheetName val="Outras RM"/>
      <sheetName val="Check BPM"/>
      <sheetName val="BPM"/>
      <sheetName val="Box (resumo sem AMD)"/>
      <sheetName val="Box (resumo SAIDA)"/>
      <sheetName val="Planilha3"/>
      <sheetName val="Bridge combinada"/>
      <sheetName val="Bridge"/>
      <sheetName val="Bridge combinada (2)"/>
      <sheetName val="Box combinado"/>
      <sheetName val="Bridge Book"/>
      <sheetName val="Wanick"/>
      <sheetName val="Box Book"/>
      <sheetName val="Footprint"/>
      <sheetName val="Premissas comercial B21"/>
      <sheetName val="Slab BR FOB"/>
      <sheetName val="Planilha1"/>
      <sheetName val="SV"/>
      <sheetName val="Modelo"/>
    </sheetNames>
    <sheetDataSet>
      <sheetData sheetId="0"/>
      <sheetData sheetId="1">
        <row r="6">
          <cell r="U6">
            <v>-35.489338731971024</v>
          </cell>
        </row>
        <row r="7">
          <cell r="U7">
            <v>4.5307711282872125</v>
          </cell>
        </row>
        <row r="11">
          <cell r="U11">
            <v>33.876310542306719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Custo"/>
      <sheetName val="Dados"/>
      <sheetName val="Premios"/>
      <sheetName val="Impacto Giro"/>
      <sheetName val="Coal lag_2months"/>
      <sheetName val="Slide_RM"/>
      <sheetName val="Prêmio pelota"/>
      <sheetName val="Strategy"/>
      <sheetName val="Template Strategy"/>
      <sheetName val="Gráficos Slide Strategy"/>
      <sheetName val="Slide_Strategy"/>
    </sheetNames>
    <sheetDataSet>
      <sheetData sheetId="0">
        <row r="10">
          <cell r="C10">
            <v>234.73</v>
          </cell>
        </row>
      </sheetData>
      <sheetData sheetId="1">
        <row r="14">
          <cell r="O14">
            <v>235.35666666666668</v>
          </cell>
        </row>
      </sheetData>
      <sheetData sheetId="2">
        <row r="14">
          <cell r="J14">
            <v>29</v>
          </cell>
        </row>
      </sheetData>
      <sheetData sheetId="3"/>
      <sheetData sheetId="4">
        <row r="3">
          <cell r="O3">
            <v>183.25</v>
          </cell>
        </row>
        <row r="10">
          <cell r="O10">
            <v>231.63750000000002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sumo"/>
      <sheetName val="Forex Budget 25"/>
      <sheetName val="Forex MRF 2026"/>
      <sheetName val="Forex MRF4 2026 (2)"/>
      <sheetName val="Forex MRF7 (2)"/>
      <sheetName val="Forex MRF3 H2 5,75"/>
      <sheetName val="Forex MRF3 H2 5,90"/>
      <sheetName val="budget Ajuste"/>
      <sheetName val="SV_forex from inventories_MRF7_"/>
    </sheetNames>
    <sheetDataSet>
      <sheetData sheetId="0"/>
      <sheetData sheetId="1"/>
      <sheetData sheetId="2">
        <row r="24">
          <cell r="EA24">
            <v>-22.752792927256831</v>
          </cell>
        </row>
        <row r="30">
          <cell r="EV30">
            <v>-20.388071534073205</v>
          </cell>
        </row>
      </sheetData>
      <sheetData sheetId="3">
        <row r="4">
          <cell r="EM4">
            <v>-3.4376044482146839</v>
          </cell>
        </row>
      </sheetData>
      <sheetData sheetId="4"/>
      <sheetData sheetId="5"/>
      <sheetData sheetId="6"/>
      <sheetData sheetId="7"/>
      <sheetData sheetId="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emissa - Budget 2026"/>
      <sheetName val="Strategy (efeitos)"/>
      <sheetName val="Iron ore - Budget 2012"/>
      <sheetName val="Plataforma - Budget"/>
      <sheetName val="Posição dos Estoques"/>
      <sheetName val="GAP"/>
      <sheetName val="Comentários"/>
      <sheetName val="Vale_Q1'2011"/>
      <sheetName val="Impostos"/>
      <sheetName val="Simulação"/>
      <sheetName val="Input_impact"/>
      <sheetName val="Compara_Forecast_2011Q1"/>
      <sheetName val="Input_impact 2011Q1"/>
      <sheetName val="MIX_impact 2011Q1"/>
      <sheetName val="Ajuste_estoques"/>
      <sheetName val="Producao_Lista"/>
      <sheetName val="Q42011"/>
      <sheetName val="Iron ore - Calculo Strategy"/>
      <sheetName val="ESTOQUE 2018"/>
      <sheetName val="Simulação_Giro"/>
      <sheetName val="Iron ore - Calculo 2026"/>
      <sheetName val="Carga 4cast"/>
      <sheetName val="Validação"/>
      <sheetName val="Composição"/>
      <sheetName val="Carga BPS"/>
    </sheetNames>
    <sheetDataSet>
      <sheetData sheetId="0">
        <row r="6">
          <cell r="U6">
            <v>109.41666666666667</v>
          </cell>
        </row>
        <row r="7">
          <cell r="U7">
            <v>96.416666666666671</v>
          </cell>
        </row>
        <row r="8">
          <cell r="U8">
            <v>15.95710317530826</v>
          </cell>
        </row>
        <row r="9">
          <cell r="U9">
            <v>30</v>
          </cell>
        </row>
        <row r="10">
          <cell r="U10">
            <v>8.2766666666666691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emissa - MRF"/>
      <sheetName val="Strategy (efeitos)"/>
      <sheetName val="Iron ore - Budget 2012"/>
      <sheetName val="Plataforma - Budget"/>
      <sheetName val="Posição dos Estoques"/>
      <sheetName val="GAP"/>
      <sheetName val="Comentários"/>
      <sheetName val="Vale_Q1'2011"/>
      <sheetName val="Impostos"/>
      <sheetName val="Simulação"/>
      <sheetName val="Input_impact"/>
      <sheetName val="Compara_Forecast_2011Q1"/>
      <sheetName val="Input_impact 2011Q1"/>
      <sheetName val="MIX_impact 2011Q1"/>
      <sheetName val="Ajuste_estoques"/>
      <sheetName val="Producao_Lista"/>
      <sheetName val="Q42011"/>
      <sheetName val="Iron ore - Calculo Strategy"/>
      <sheetName val="ESTOQUE 2018"/>
      <sheetName val="Simulação_Giro"/>
      <sheetName val="Iron ore - Calculo 2026"/>
      <sheetName val="Carga 4cast"/>
      <sheetName val="Validação"/>
      <sheetName val="Composição"/>
      <sheetName val="Impactos &gt;&gt;"/>
      <sheetName val="Resumo"/>
      <sheetName val="MB62"/>
      <sheetName val="MB65"/>
      <sheetName val="Netback"/>
      <sheetName val="Pellet Premium"/>
      <sheetName val="Lump Premium"/>
      <sheetName val="VIU"/>
      <sheetName val="Moisture"/>
      <sheetName val="Carga BPS"/>
      <sheetName val="Iron_Ore_MRF7_2026"/>
    </sheetNames>
    <sheetDataSet>
      <sheetData sheetId="0">
        <row r="6">
          <cell r="D6">
            <v>119.1109</v>
          </cell>
          <cell r="U6">
            <v>116.544875</v>
          </cell>
        </row>
        <row r="7">
          <cell r="U7">
            <v>102.62246666666665</v>
          </cell>
        </row>
        <row r="8">
          <cell r="U8">
            <v>19.879362025657894</v>
          </cell>
        </row>
        <row r="9">
          <cell r="U9">
            <v>33.5</v>
          </cell>
        </row>
        <row r="10">
          <cell r="U10">
            <v>6.604166666666667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127">
          <cell r="J127">
            <v>113.19213587988465</v>
          </cell>
          <cell r="K127">
            <v>145.53274613128008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Y"/>
      <sheetName val="Minerio_forex_MRF7 2026"/>
    </sheetNames>
    <sheetDataSet>
      <sheetData sheetId="0">
        <row r="10">
          <cell r="AD10">
            <v>-2111.8583919122289</v>
          </cell>
        </row>
        <row r="11">
          <cell r="AF11">
            <v>-3729.1424860858056</v>
          </cell>
          <cell r="AI11">
            <v>-2098.0932269174441</v>
          </cell>
        </row>
      </sheetData>
      <sheetData sheetId="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Month"/>
      <sheetName val="Q1_MRF"/>
      <sheetName val="Q2_MRF"/>
      <sheetName val="Q3_MRF"/>
      <sheetName val="Q4_MRF"/>
      <sheetName val="FY_MRF"/>
      <sheetName val="Q1_Budget"/>
      <sheetName val="Q2_Budget"/>
      <sheetName val="Q3_Budget"/>
      <sheetName val="Q4_Budget"/>
      <sheetName val="FY_Budget"/>
      <sheetName val="Minério"/>
      <sheetName val="S26_SP24 x FY26B"/>
      <sheetName val="Comentários KD"/>
      <sheetName val="Análise Impactos"/>
      <sheetName val="Q3'25AxQ4'25A"/>
      <sheetName val="Q4'25AxQ1'26#1"/>
      <sheetName val="Q4'24AxQ4'25A"/>
      <sheetName val="FY25BxFY25A"/>
      <sheetName val="FY24AxFY25A"/>
      <sheetName val="Q4'25#10xQ4'25A"/>
      <sheetName val="Base_MRF"/>
      <sheetName val="Base_Budget"/>
      <sheetName val="Base_MRF_trimestral"/>
      <sheetName val="Base_2025"/>
      <sheetName val="Base_2024"/>
      <sheetName val="Base_Budget_25"/>
    </sheetNames>
    <sheetDataSet>
      <sheetData sheetId="0"/>
      <sheetData sheetId="1"/>
      <sheetData sheetId="2"/>
      <sheetData sheetId="3"/>
      <sheetData sheetId="4"/>
      <sheetData sheetId="5"/>
      <sheetData sheetId="6">
        <row r="11">
          <cell r="K11">
            <v>195.78635063696399</v>
          </cell>
        </row>
      </sheetData>
      <sheetData sheetId="7"/>
      <sheetData sheetId="8"/>
      <sheetData sheetId="9"/>
      <sheetData sheetId="10">
        <row r="11">
          <cell r="K11">
            <v>192.44907581258099</v>
          </cell>
        </row>
      </sheetData>
      <sheetData sheetId="11"/>
      <sheetData sheetId="12"/>
      <sheetData sheetId="13">
        <row r="4">
          <cell r="B4">
            <v>6.0009147734640056</v>
          </cell>
        </row>
      </sheetData>
      <sheetData sheetId="14"/>
      <sheetData sheetId="15">
        <row r="11">
          <cell r="K11">
            <v>199.21497985052801</v>
          </cell>
        </row>
      </sheetData>
      <sheetData sheetId="16">
        <row r="11">
          <cell r="K11">
            <v>187.44055944205201</v>
          </cell>
        </row>
      </sheetData>
      <sheetData sheetId="17">
        <row r="11">
          <cell r="K11">
            <v>244.50100295138799</v>
          </cell>
        </row>
      </sheetData>
      <sheetData sheetId="18">
        <row r="10">
          <cell r="M10">
            <v>4583221.4455195703</v>
          </cell>
        </row>
        <row r="45">
          <cell r="P45">
            <v>30880902.982377924</v>
          </cell>
        </row>
      </sheetData>
      <sheetData sheetId="19">
        <row r="11">
          <cell r="K11">
            <v>269.476641284756</v>
          </cell>
        </row>
      </sheetData>
      <sheetData sheetId="20">
        <row r="11">
          <cell r="K11">
            <v>194.11361378411601</v>
          </cell>
        </row>
      </sheetData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ExRepositorySheet"/>
      <sheetName val="CS cost 2016-2025"/>
      <sheetName val="Actual x Forecast"/>
      <sheetName val="Máscara (Divulgação)"/>
      <sheetName val="Bridge"/>
      <sheetName val="Variabilização CF"/>
      <sheetName val="Variabilização CF (HRCe)"/>
      <sheetName val="Planilha1"/>
    </sheetNames>
    <sheetDataSet>
      <sheetData sheetId="0"/>
      <sheetData sheetId="1"/>
      <sheetData sheetId="2">
        <row r="15">
          <cell r="E15">
            <v>438.15240196540299</v>
          </cell>
        </row>
      </sheetData>
      <sheetData sheetId="3">
        <row r="4">
          <cell r="C4">
            <v>182.8106656846941</v>
          </cell>
        </row>
        <row r="20">
          <cell r="BD20">
            <v>29259.861699447596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bertura trimestre"/>
      <sheetName val="Resumo- Analise movimentação"/>
      <sheetName val="Planilha2"/>
      <sheetName val="Planilha1"/>
      <sheetName val="Resumo-Saída Total - Analise 1"/>
      <sheetName val="Resumo-Saída Analise 2"/>
      <sheetName val="Refência Slab FOB"/>
      <sheetName val="Refência Slab EUROPA"/>
      <sheetName val="Refência Slab TURKEY"/>
    </sheetNames>
    <sheetDataSet>
      <sheetData sheetId="0"/>
      <sheetData sheetId="1">
        <row r="4">
          <cell r="C4">
            <v>-1.27625411573942</v>
          </cell>
        </row>
        <row r="5">
          <cell r="C5">
            <v>-77.687436409321037</v>
          </cell>
        </row>
        <row r="12">
          <cell r="C12">
            <v>9</v>
          </cell>
        </row>
        <row r="15">
          <cell r="C15">
            <v>-21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o efeito"/>
      <sheetName val="Resumo base"/>
      <sheetName val="Volume actual"/>
      <sheetName val="Extra Actual"/>
      <sheetName val="Base Actual"/>
      <sheetName val="NRP Actual"/>
      <sheetName val="Consolidado"/>
      <sheetName val="Base"/>
      <sheetName val="Volume F11"/>
      <sheetName val="BASEF11"/>
      <sheetName val="EXTRAF11"/>
      <sheetName val="NRP11"/>
      <sheetName val="Volume Budget"/>
      <sheetName val="Extra Budget"/>
      <sheetName val="Base Budget"/>
      <sheetName val="NRP Budget"/>
      <sheetName val="Analise efeito preço&gt;"/>
      <sheetName val="Analise SLAB Others NRP"/>
      <sheetName val="Analise SLAB Others Base"/>
      <sheetName val="Analise SLAB Others Extra"/>
      <sheetName val="Analise Calvert - NRP"/>
      <sheetName val="Analise Calvert -  Base"/>
      <sheetName val="Analise Calvert -  Extra"/>
      <sheetName val="Analise SLAB Total NR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5">
          <cell r="D45">
            <v>560.76241305806286</v>
          </cell>
          <cell r="F45">
            <v>1655197.7879999999</v>
          </cell>
          <cell r="G45">
            <v>576.87882667781969</v>
          </cell>
        </row>
      </sheetData>
      <sheetData sheetId="19">
        <row r="45">
          <cell r="D45">
            <v>13.473082349446797</v>
          </cell>
          <cell r="G45">
            <v>17.848956507130168</v>
          </cell>
        </row>
      </sheetData>
      <sheetData sheetId="20"/>
      <sheetData sheetId="21">
        <row r="19">
          <cell r="D19">
            <v>601.5710127308198</v>
          </cell>
          <cell r="F19">
            <v>1091657.04</v>
          </cell>
          <cell r="G19">
            <v>604.52526206632967</v>
          </cell>
        </row>
      </sheetData>
      <sheetData sheetId="22">
        <row r="19">
          <cell r="D19">
            <v>59.140000000000008</v>
          </cell>
          <cell r="G19">
            <v>57.901407961564459</v>
          </cell>
        </row>
      </sheetData>
      <sheetData sheetId="23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ew report"/>
      <sheetName val="Others"/>
      <sheetName val="EBITDA"/>
      <sheetName val="EBITDA (consolidada)"/>
      <sheetName val="Bridges TC"/>
      <sheetName val="Bridge Actual"/>
      <sheetName val="Saida box receita Actual"/>
      <sheetName val="Bridges TC (combinada)"/>
      <sheetName val="Bridge FY"/>
      <sheetName val="Saida box receita FY"/>
      <sheetName val="Graph_FCF_managerial"/>
      <sheetName val="Analise impacto CF- Giro Budget"/>
      <sheetName val="Ajuste CF"/>
      <sheetName val="Ajuste CV"/>
      <sheetName val="Ajuste CF (2)"/>
      <sheetName val="Giro Usage"/>
      <sheetName val="Giro Usage (Steelmaking)"/>
    </sheetNames>
    <sheetDataSet>
      <sheetData sheetId="0">
        <row r="3">
          <cell r="F3">
            <v>157.53734759738384</v>
          </cell>
        </row>
      </sheetData>
      <sheetData sheetId="1" refreshError="1"/>
      <sheetData sheetId="2" refreshError="1"/>
      <sheetData sheetId="3">
        <row r="18">
          <cell r="C18">
            <v>0.485604008549816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9">
          <cell r="N29">
            <v>-6.2499620951028891</v>
          </cell>
        </row>
        <row r="30">
          <cell r="N30">
            <v>-27.506643391048286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RF02"/>
      <sheetName val="MRF03"/>
    </sheetNames>
    <sheetDataSet>
      <sheetData sheetId="0">
        <row r="37">
          <cell r="AN37">
            <v>-22</v>
          </cell>
        </row>
      </sheetData>
      <sheetData sheetId="1">
        <row r="37">
          <cell r="AZ37">
            <v>-4151744.8313727011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PR - Key figures mensal USD"/>
    </sheetNames>
    <sheetDataSet>
      <sheetData sheetId="0">
        <row r="35">
          <cell r="Z35">
            <v>16.145083234941957</v>
          </cell>
          <cell r="AA35">
            <v>18.269014061244782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ase"/>
      <sheetName val="2025 - US$ EUA  "/>
      <sheetName val="2025 - Dólar Canadense"/>
      <sheetName val="2025 - Dólar Canadense - USD"/>
      <sheetName val="2025 - EUR"/>
      <sheetName val="2025 - US$ EUA - EUR "/>
      <sheetName val="2025 - Peso Arg"/>
      <sheetName val="2025 - P$Arg  - US$ EUA"/>
      <sheetName val="2025 - Peso Mexico"/>
      <sheetName val="2025 - P$ Mex - US$EUA"/>
      <sheetName val="2025 - Peso Chile"/>
      <sheetName val="2025 - P$ Chile - US$ EUA"/>
      <sheetName val="2025 - Peso Uruguai"/>
      <sheetName val="2025 - P$ Uruguai - US$ EUA"/>
      <sheetName val="2025 - Novo Sol Peru"/>
      <sheetName val="2025 - Novo Sol - US$EUA"/>
      <sheetName val="2025 - Cólon "/>
      <sheetName val="2025 - Bolivar Soberano"/>
      <sheetName val="2025 - Iene "/>
      <sheetName val="2025 - Libra"/>
      <sheetName val="2025 - Peso Boliviano"/>
      <sheetName val="2025 - P$ Boliviano - US$EUA"/>
      <sheetName val="Câmbio ArcelorMittal Brasil 202"/>
    </sheetNames>
    <sheetDataSet>
      <sheetData sheetId="0"/>
      <sheetData sheetId="1">
        <row r="44">
          <cell r="D44">
            <v>5.7422000000000004</v>
          </cell>
        </row>
        <row r="57">
          <cell r="F57">
            <v>5.6673857142857154</v>
          </cell>
          <cell r="G57">
            <v>5.5470549999999985</v>
          </cell>
          <cell r="H57">
            <v>5.528491304347825</v>
          </cell>
          <cell r="I57">
            <v>5.4469238095238097</v>
          </cell>
          <cell r="J57">
            <v>5.6</v>
          </cell>
          <cell r="K57">
            <v>5.6</v>
          </cell>
          <cell r="L57">
            <v>5.6</v>
          </cell>
          <cell r="M57">
            <v>5.6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ew report"/>
      <sheetName val="Planilha1"/>
      <sheetName val="Others"/>
      <sheetName val="Saida box receita Actual"/>
      <sheetName val="Bridge Actual"/>
      <sheetName val="Saida box receita FY"/>
      <sheetName val="EBITDA"/>
      <sheetName val="Bridges TC"/>
      <sheetName val="Bridge FY"/>
      <sheetName val="EBITDA (consolidada) NEW"/>
      <sheetName val="Bridges TC (combinada) New"/>
      <sheetName val="Bridge FY (Consolidada) New"/>
      <sheetName val="Invest-ES"/>
      <sheetName val="Graph_FCF_managerial"/>
      <sheetName val="Giro IP carvão"/>
      <sheetName val="Giro Challenge"/>
      <sheetName val="Giro BP yield screening"/>
      <sheetName val="Giro Condicionamento"/>
      <sheetName val="Giro Placa Pecém"/>
      <sheetName val="Giro CV"/>
      <sheetName val="Giro CF"/>
      <sheetName val="GiroCV"/>
      <sheetName val="Giro Placa pecem"/>
      <sheetName val="Giro Placa pecem (2)"/>
      <sheetName val="Analise impacto C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8">
          <cell r="C18">
            <v>2.24446838055405E-3</v>
          </cell>
          <cell r="O18">
            <v>0.22638700441003703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rquivos"/>
      <sheetName val="Analise"/>
      <sheetName val="Comp AMT x AMPE"/>
      <sheetName val="Calculo_Actual Envio"/>
      <sheetName val="Gráfico Template"/>
      <sheetName val="Template - LEAN vs MRF anterior"/>
      <sheetName val="Template - LEAN Trimestre"/>
      <sheetName val="Gráfico Template Lean"/>
      <sheetName val="Saida extra Jo"/>
      <sheetName val="Ajuste Manual"/>
      <sheetName val="Não rateados"/>
      <sheetName val="TD Grafico MC"/>
      <sheetName val="TD Grafico MC Mensal"/>
      <sheetName val="TD MC "/>
      <sheetName val="Apoio Apuração==&gt;&gt;"/>
      <sheetName val="Final_Actual"/>
      <sheetName val="Para PCS"/>
      <sheetName val="Lei Cabral"/>
      <sheetName val="Calvert vs Others ME"/>
      <sheetName val="Fermazon"/>
      <sheetName val="CPV Slab"/>
      <sheetName val="Análise==&gt;&gt;"/>
      <sheetName val="VALE"/>
      <sheetName val="By Products"/>
      <sheetName val="By Products Actual"/>
      <sheetName val="CC By Products"/>
      <sheetName val="Ajuste AMD"/>
      <sheetName val="Base BI==&gt;&gt;"/>
      <sheetName val="Final_Actual (2)"/>
      <sheetName val="MC VP"/>
      <sheetName val="Base TD"/>
      <sheetName val="TD IND_DOWN"/>
      <sheetName val="TD Análise"/>
      <sheetName val="Dados para Bridge"/>
      <sheetName val="Apres. EBITDA Ajustes"/>
      <sheetName val="Resumo "/>
      <sheetName val="Plan1"/>
      <sheetName val="AMD"/>
      <sheetName val="EBITDA por Produto_2024_MRF2"/>
    </sheetNames>
    <sheetDataSet>
      <sheetData sheetId="0"/>
      <sheetData sheetId="1"/>
      <sheetData sheetId="2"/>
      <sheetData sheetId="3"/>
      <sheetData sheetId="4"/>
      <sheetData sheetId="5">
        <row r="5">
          <cell r="AD5">
            <v>-83.737044888656186</v>
          </cell>
        </row>
        <row r="50">
          <cell r="AO50">
            <v>0.39402674000044496</v>
          </cell>
          <cell r="AQ50">
            <v>-0.45007093000000531</v>
          </cell>
          <cell r="AS50">
            <v>-2.4660247699999709</v>
          </cell>
          <cell r="AU50">
            <v>16.935173653974736</v>
          </cell>
        </row>
        <row r="51">
          <cell r="AO51">
            <v>13.046775092528973</v>
          </cell>
          <cell r="AQ51">
            <v>12.99211989999999</v>
          </cell>
          <cell r="AS51">
            <v>75.702069839999979</v>
          </cell>
          <cell r="AU51">
            <v>65.780910462867823</v>
          </cell>
        </row>
        <row r="52">
          <cell r="AO52">
            <v>-5.3790522839455877</v>
          </cell>
          <cell r="AQ52">
            <v>-5.8421381000000041</v>
          </cell>
          <cell r="AS52">
            <v>-2.1378559399999939</v>
          </cell>
          <cell r="AU52">
            <v>-19.002081600387534</v>
          </cell>
        </row>
        <row r="54">
          <cell r="AO54">
            <v>0.53123999078125417</v>
          </cell>
          <cell r="AQ54">
            <v>0.47279746000000006</v>
          </cell>
          <cell r="AS54">
            <v>1.8875191400000002</v>
          </cell>
          <cell r="AU54">
            <v>1.8170511161779281</v>
          </cell>
        </row>
        <row r="55">
          <cell r="AU55">
            <v>-1.1010397549594373</v>
          </cell>
        </row>
        <row r="56">
          <cell r="AO56">
            <v>8.4662737052962331</v>
          </cell>
          <cell r="AQ56">
            <v>8.0410632599999996</v>
          </cell>
          <cell r="AS56">
            <v>32.516538950000005</v>
          </cell>
          <cell r="AU56">
            <v>32.916230377464167</v>
          </cell>
        </row>
        <row r="65">
          <cell r="AO65">
            <v>58.19704836276474</v>
          </cell>
          <cell r="AQ65">
            <v>60.271716149999975</v>
          </cell>
          <cell r="AS65">
            <v>238.79341185000004</v>
          </cell>
          <cell r="AU65">
            <v>236.13153845722337</v>
          </cell>
        </row>
        <row r="66">
          <cell r="AO66">
            <v>0.37359880831916009</v>
          </cell>
          <cell r="AQ66">
            <v>-0.25064842000000087</v>
          </cell>
          <cell r="AS66">
            <v>-1.6936683299999982</v>
          </cell>
          <cell r="AU66">
            <v>-0.10691912226758131</v>
          </cell>
        </row>
        <row r="83">
          <cell r="AO83">
            <v>59.482470115731495</v>
          </cell>
          <cell r="AQ83">
            <v>40.115548650000029</v>
          </cell>
          <cell r="AS83">
            <v>248.18577119999998</v>
          </cell>
          <cell r="AU83">
            <v>201.48318427827559</v>
          </cell>
        </row>
        <row r="92">
          <cell r="AO92">
            <v>-0.67864418108864299</v>
          </cell>
          <cell r="AQ92">
            <v>-1.7551497360181001</v>
          </cell>
          <cell r="AS92">
            <v>-14.585889117058823</v>
          </cell>
          <cell r="AU92">
            <v>-11.233574623903692</v>
          </cell>
        </row>
        <row r="96">
          <cell r="AU96">
            <v>523.6487582928437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5">
          <cell r="O5">
            <v>944.32943999999998</v>
          </cell>
        </row>
      </sheetData>
      <sheetData sheetId="16"/>
      <sheetData sheetId="17"/>
      <sheetData sheetId="18"/>
      <sheetData sheetId="19"/>
      <sheetData sheetId="20">
        <row r="46">
          <cell r="N46"/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PEP"/>
      <sheetName val="MPR"/>
      <sheetName val="BASE"/>
      <sheetName val="Resumo"/>
      <sheetName val="MPR_BASES"/>
      <sheetName val="Rateio MRF0124"/>
      <sheetName val="Rateio MRF12"/>
      <sheetName val="Rateio MRF11"/>
      <sheetName val="Rateio MRF10"/>
      <sheetName val="Rateio MRF9"/>
      <sheetName val="Rateio MRF8"/>
      <sheetName val="Rateio MRF7"/>
      <sheetName val="Rateio MRF6"/>
      <sheetName val="Rateio MRF4"/>
      <sheetName val="Rateio BDGT"/>
      <sheetName val="CHECKS"/>
    </sheetNames>
    <sheetDataSet>
      <sheetData sheetId="0"/>
      <sheetData sheetId="1">
        <row r="54">
          <cell r="T54">
            <v>92.090540870131946</v>
          </cell>
          <cell r="U54">
            <v>113.21753648307801</v>
          </cell>
        </row>
        <row r="55">
          <cell r="T55">
            <v>108.91539190619814</v>
          </cell>
          <cell r="U55">
            <v>108.03404987699905</v>
          </cell>
        </row>
        <row r="57">
          <cell r="T57">
            <v>170.07478869795261</v>
          </cell>
          <cell r="U57">
            <v>125.64035406453868</v>
          </cell>
        </row>
        <row r="60">
          <cell r="T60">
            <v>0.78270063474372398</v>
          </cell>
          <cell r="U60">
            <v>12.952659149408142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PR"/>
      <sheetName val="SPEP"/>
      <sheetName val="BASE"/>
      <sheetName val="Resumo"/>
      <sheetName val="MPR_BASES"/>
      <sheetName val="Rateio MRF10"/>
      <sheetName val="Rateio MRF9"/>
      <sheetName val="Rateio MRF8"/>
      <sheetName val="Rateio MRF7"/>
      <sheetName val="Rateio MRF6"/>
      <sheetName val="Rateio MRF4"/>
      <sheetName val="Rateio BDGT"/>
      <sheetName val="CHECKS"/>
    </sheetNames>
    <sheetDataSet>
      <sheetData sheetId="0">
        <row r="56">
          <cell r="U56">
            <v>176.55392724554193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álculo"/>
      <sheetName val="Analise mes carvão"/>
      <sheetName val="Cálculo Pecem"/>
      <sheetName val="Box"/>
      <sheetName val="Box (resumo sem AMD)"/>
      <sheetName val="Outras RM"/>
      <sheetName val="Check BPM"/>
      <sheetName val="BPM"/>
      <sheetName val="Box (resumo SAIDA)"/>
      <sheetName val="Analise mes minério"/>
      <sheetName val="Box (resumo SAIDA) (2)"/>
      <sheetName val="jvS"/>
      <sheetName val="Bridge combinada"/>
      <sheetName val="Bridge Consolidade modelo new"/>
      <sheetName val="Bridge Consolidade modelo n (2)"/>
      <sheetName val="Cost reduction"/>
      <sheetName val="Bridge"/>
      <sheetName val="Bridge combinada (2)"/>
      <sheetName val="Box combinado"/>
      <sheetName val="Bridge Book"/>
      <sheetName val="Wanick"/>
      <sheetName val="Box Book"/>
      <sheetName val="Footprint"/>
      <sheetName val="Premissas comercial B21"/>
      <sheetName val="Slab BR FOB"/>
      <sheetName val="Planilha1"/>
      <sheetName val="SV"/>
      <sheetName val="Model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7">
          <cell r="B17" t="str">
            <v>FY25
Budget</v>
          </cell>
        </row>
        <row r="19">
          <cell r="B19">
            <v>926.76654834917611</v>
          </cell>
        </row>
        <row r="64">
          <cell r="B64">
            <v>249.87943952999998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 Dec16th"/>
      <sheetName val="OpenVolume"/>
      <sheetName val="Index"/>
      <sheetName val="Index Impact MRF1 vs MRF10"/>
      <sheetName val="Index Impact MRF1 vs MRF12"/>
      <sheetName val="Suporte"/>
      <sheetName val="Mix MRF1 vs MRF10"/>
      <sheetName val="Mix MRF1 vs MRF12"/>
      <sheetName val="DB_PV"/>
    </sheetNames>
    <sheetDataSet>
      <sheetData sheetId="0">
        <row r="5">
          <cell r="S5">
            <v>251.43220828362433</v>
          </cell>
        </row>
        <row r="29">
          <cell r="S29">
            <v>95.2030449649573</v>
          </cell>
        </row>
        <row r="53">
          <cell r="S53">
            <v>156.22916331866702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Cálculo"/>
      <sheetName val="Analise mes carvão"/>
      <sheetName val="Cálculo (2)"/>
      <sheetName val="Box"/>
      <sheetName val="Planilha1"/>
      <sheetName val="proposta de avaliação PW"/>
      <sheetName val="Box (resumo sem AMD)"/>
      <sheetName val="Outras RM"/>
      <sheetName val="Check BPM"/>
      <sheetName val="BPM"/>
      <sheetName val="Box (resumo SAIDA)"/>
      <sheetName val="Analise mes minério"/>
      <sheetName val="jvS"/>
      <sheetName val="Bridge"/>
      <sheetName val="Bridge combinada"/>
      <sheetName val="Bridge Consolidade modelo n (2)"/>
      <sheetName val="Bridge combinada (2)"/>
      <sheetName val="Box combinado"/>
      <sheetName val="Box combinado (modleo novo)"/>
      <sheetName val="Invest-ES"/>
      <sheetName val="Bridge Book"/>
      <sheetName val="Wanick"/>
      <sheetName val="Box Book"/>
      <sheetName val="Footprint"/>
      <sheetName val="Premissas comercial B21"/>
      <sheetName val="Slab BR FOB"/>
      <sheetName val="SV"/>
      <sheetName val="Model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7">
          <cell r="F7">
            <v>104.66769649364966</v>
          </cell>
        </row>
        <row r="13">
          <cell r="E13">
            <v>-59.926957407652935</v>
          </cell>
          <cell r="F13">
            <v>258.35369038802475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sumo- Analise movimentação se"/>
      <sheetName val="Impacto Shipments"/>
      <sheetName val="Impacto Volume (Até F8)"/>
      <sheetName val="Impacto Volume (F9~)"/>
      <sheetName val="Conciliação do mes"/>
      <sheetName val="Impacto Volume - Com shipments"/>
      <sheetName val="Resumo- Analise movimentaçã Com"/>
      <sheetName val="Planilha1"/>
      <sheetName val="Saida trimestre"/>
      <sheetName val="Saida Vol e mix"/>
      <sheetName val="Saida Vol e mix (2)"/>
      <sheetName val="Saida Preço"/>
      <sheetName val="Somatório TVC"/>
      <sheetName val="Somatório AMP"/>
      <sheetName val="Alloys"/>
      <sheetName val="TC"/>
      <sheetName val="Resumo- MRF4"/>
      <sheetName val="Impacto Volume (F4)"/>
      <sheetName val="Impacto Volume"/>
      <sheetName val="Resumo-Saída Total - Analise 1"/>
      <sheetName val="Resumo-Saída Analise 2"/>
      <sheetName val="Refência Slab FOB"/>
      <sheetName val="Refência Slab EUROPA"/>
      <sheetName val="Refência Slab TURKEY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C4">
            <v>-3.3735280856085339</v>
          </cell>
          <cell r="I4">
            <v>-8.9</v>
          </cell>
        </row>
        <row r="5">
          <cell r="C5">
            <v>-127.32317115988967</v>
          </cell>
          <cell r="I5">
            <v>-131.4</v>
          </cell>
        </row>
        <row r="6">
          <cell r="C6">
            <v>-0.58253922956227022</v>
          </cell>
        </row>
        <row r="7">
          <cell r="C7">
            <v>-131.27923847506045</v>
          </cell>
          <cell r="I7">
            <v>-156.80000000000001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lanilha1"/>
    </sheetNames>
    <sheetDataSet>
      <sheetData sheetId="0">
        <row r="17">
          <cell r="G17">
            <v>41.7</v>
          </cell>
        </row>
        <row r="18">
          <cell r="G18">
            <v>38.700000000000003</v>
          </cell>
        </row>
      </sheetData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abela3"/>
      <sheetName val="Tela SAP"/>
      <sheetName val="BAL BMJF"/>
      <sheetName val="BAL BMJF_old"/>
      <sheetName val="BAL CE00"/>
      <sheetName val="BAL SO03"/>
      <sheetName val="BAL BMJF ST99"/>
      <sheetName val="3303004"/>
      <sheetName val="BAL ACIE"/>
      <sheetName val="Análise"/>
      <sheetName val="EBITDA"/>
      <sheetName val="Contas"/>
      <sheetName val="Saída Combinada"/>
      <sheetName val="Efeito placa Pecém"/>
      <sheetName val="Contas (2)"/>
      <sheetName val="Non Steel"/>
      <sheetName val="VAT"/>
      <sheetName val="Sol"/>
      <sheetName val="BAL_ECC_consolidado_Feb_BRL"/>
    </sheetNames>
    <sheetDataSet>
      <sheetData sheetId="0"/>
      <sheetData sheetId="1"/>
      <sheetData sheetId="2">
        <row r="1">
          <cell r="A1" t="str">
            <v>Texto item balanço/cál.L&amp;P</v>
          </cell>
        </row>
      </sheetData>
      <sheetData sheetId="3"/>
      <sheetData sheetId="4"/>
      <sheetData sheetId="5"/>
      <sheetData sheetId="6"/>
      <sheetData sheetId="7"/>
      <sheetData sheetId="8">
        <row r="1">
          <cell r="A1" t="str">
            <v>Texto item balanço/cál.L&amp;P</v>
          </cell>
        </row>
      </sheetData>
      <sheetData sheetId="9">
        <row r="11">
          <cell r="A11">
            <v>1.4369782159069047</v>
          </cell>
        </row>
        <row r="27">
          <cell r="G27">
            <v>10.061026562449326</v>
          </cell>
        </row>
        <row r="28">
          <cell r="G28">
            <v>0.38281528490852046</v>
          </cell>
        </row>
      </sheetData>
      <sheetData sheetId="10">
        <row r="6">
          <cell r="C6">
            <v>46812250.920000002</v>
          </cell>
        </row>
      </sheetData>
      <sheetData sheetId="11">
        <row r="56">
          <cell r="D56">
            <v>-1747929.08</v>
          </cell>
        </row>
      </sheetData>
      <sheetData sheetId="12"/>
      <sheetData sheetId="13"/>
      <sheetData sheetId="14"/>
      <sheetData sheetId="15">
        <row r="43">
          <cell r="C43">
            <v>4625826.6700000018</v>
          </cell>
        </row>
      </sheetData>
      <sheetData sheetId="16"/>
      <sheetData sheetId="17"/>
      <sheetData sheetId="1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abela3"/>
      <sheetName val="Tela SAP"/>
      <sheetName val="BAL BMJF"/>
      <sheetName val="BAL BMJF_old"/>
      <sheetName val="BAL CE00"/>
      <sheetName val="BAL SO03"/>
      <sheetName val="BAL BMJF ST99"/>
      <sheetName val="3303004"/>
      <sheetName val="BAL ACIE"/>
      <sheetName val="Análise"/>
      <sheetName val="EBITDA"/>
      <sheetName val="Saída Combinada"/>
      <sheetName val="Contas"/>
      <sheetName val="Efeito placa Pecém"/>
      <sheetName val="Contas (2)"/>
      <sheetName val="Non Steel"/>
      <sheetName val="VAT"/>
      <sheetName val="Sol"/>
    </sheetNames>
    <sheetDataSet>
      <sheetData sheetId="0"/>
      <sheetData sheetId="1"/>
      <sheetData sheetId="2">
        <row r="1">
          <cell r="A1" t="str">
            <v>Texto item balanço/cál.L&amp;P</v>
          </cell>
        </row>
      </sheetData>
      <sheetData sheetId="3"/>
      <sheetData sheetId="4"/>
      <sheetData sheetId="5">
        <row r="1">
          <cell r="A1" t="str">
            <v>Texto item balanço/cál.L&amp;P</v>
          </cell>
        </row>
      </sheetData>
      <sheetData sheetId="6">
        <row r="1">
          <cell r="A1" t="str">
            <v>Texto item balanço/cál.L&amp;P</v>
          </cell>
        </row>
      </sheetData>
      <sheetData sheetId="7"/>
      <sheetData sheetId="8">
        <row r="1">
          <cell r="A1" t="str">
            <v>Texto item balanço/cál.L&amp;P</v>
          </cell>
        </row>
      </sheetData>
      <sheetData sheetId="9">
        <row r="2">
          <cell r="F2">
            <v>5.35</v>
          </cell>
        </row>
        <row r="27">
          <cell r="G27">
            <v>11.660462980118579</v>
          </cell>
        </row>
        <row r="28">
          <cell r="G28">
            <v>-0.27586691643982486</v>
          </cell>
        </row>
      </sheetData>
      <sheetData sheetId="10">
        <row r="6">
          <cell r="C6">
            <v>47073096.119999997</v>
          </cell>
        </row>
      </sheetData>
      <sheetData sheetId="11"/>
      <sheetData sheetId="12">
        <row r="56">
          <cell r="D56">
            <v>1195020.3600000001</v>
          </cell>
        </row>
      </sheetData>
      <sheetData sheetId="13"/>
      <sheetData sheetId="14"/>
      <sheetData sheetId="15">
        <row r="43">
          <cell r="C43">
            <v>8609892.2600000054</v>
          </cell>
        </row>
      </sheetData>
      <sheetData sheetId="16"/>
      <sheetData sheetId="17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abela3"/>
      <sheetName val="Tela SAP"/>
      <sheetName val="BAL BMJF"/>
      <sheetName val="DE PARA"/>
      <sheetName val="BAL BMJF_old"/>
      <sheetName val="BAL CE00"/>
      <sheetName val="BAL SO03"/>
      <sheetName val="BAL BMJF ST99"/>
      <sheetName val="BAL ACIE"/>
      <sheetName val="3303004"/>
      <sheetName val="Análise"/>
      <sheetName val="EBITDA"/>
      <sheetName val="Saída Combinada"/>
      <sheetName val="Contas"/>
      <sheetName val="Efeito placa Pecém"/>
      <sheetName val="Contas (2)"/>
      <sheetName val="Non Steel"/>
      <sheetName val="VAT"/>
      <sheetName val="Sol"/>
    </sheetNames>
    <sheetDataSet>
      <sheetData sheetId="0"/>
      <sheetData sheetId="1"/>
      <sheetData sheetId="2">
        <row r="1">
          <cell r="A1" t="str">
            <v>Texto item balanço/cál.L&amp;P</v>
          </cell>
        </row>
      </sheetData>
      <sheetData sheetId="3"/>
      <sheetData sheetId="4"/>
      <sheetData sheetId="5">
        <row r="1">
          <cell r="B1" t="str">
            <v>Nº conta</v>
          </cell>
        </row>
      </sheetData>
      <sheetData sheetId="6">
        <row r="1">
          <cell r="B1" t="str">
            <v>Nº conta</v>
          </cell>
        </row>
      </sheetData>
      <sheetData sheetId="7"/>
      <sheetData sheetId="8">
        <row r="1">
          <cell r="A1" t="str">
            <v>Texto item balanço/cál.L&amp;P</v>
          </cell>
        </row>
      </sheetData>
      <sheetData sheetId="9"/>
      <sheetData sheetId="10">
        <row r="2">
          <cell r="F2">
            <v>5.35</v>
          </cell>
        </row>
        <row r="27">
          <cell r="G27">
            <v>11.6564353345569</v>
          </cell>
        </row>
        <row r="28">
          <cell r="G28">
            <v>0.1681231769246434</v>
          </cell>
        </row>
      </sheetData>
      <sheetData sheetId="11">
        <row r="5">
          <cell r="C5">
            <v>148816706.69</v>
          </cell>
        </row>
      </sheetData>
      <sheetData sheetId="12"/>
      <sheetData sheetId="13">
        <row r="58">
          <cell r="D58">
            <v>1443972.8199999966</v>
          </cell>
        </row>
      </sheetData>
      <sheetData sheetId="14"/>
      <sheetData sheetId="15"/>
      <sheetData sheetId="16">
        <row r="43">
          <cell r="C43">
            <v>9769152.5200000107</v>
          </cell>
        </row>
      </sheetData>
      <sheetData sheetId="17"/>
      <sheetData sheetId="18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ENTROS"/>
      <sheetName val="Apuração FCSA"/>
      <sheetName val="Actual"/>
      <sheetName val="Apuração AMB =&gt;"/>
      <sheetName val="AMB_PIS COFINS"/>
      <sheetName val="AMB_IPI"/>
      <sheetName val="AMB_ICMS ES"/>
      <sheetName val="AMB_ICMS BA"/>
      <sheetName val="AMB_ICMS RS"/>
      <sheetName val="AMB_ICMS RJ"/>
      <sheetName val="AMB_ICMS AM"/>
      <sheetName val="AMB_ICMS PE"/>
      <sheetName val="AMB_ICMS MG"/>
      <sheetName val="AMB_ICMS SP"/>
      <sheetName val="AMB_ICMS PR"/>
      <sheetName val="AMB_ICMS SC"/>
      <sheetName val="MRF1 vs MRF4"/>
      <sheetName val="AMB_Reintegra"/>
      <sheetName val="Apuração ACIE =&gt;"/>
      <sheetName val="ACIE_PIS COFINS"/>
      <sheetName val="ACIE_IPI"/>
      <sheetName val="ACIE_ICMS MG"/>
      <sheetName val="ACIE_ICMS BA"/>
      <sheetName val="ACIE_ICMS SP"/>
      <sheetName val="ACIE_ICMS PR"/>
      <sheetName val="Comparativo =&gt;"/>
      <sheetName val="PISCOFINS"/>
      <sheetName val="ICMS"/>
      <sheetName val="IPI"/>
      <sheetName val="Reintegra"/>
      <sheetName val="Outros"/>
      <sheetName val="Resumo"/>
      <sheetName val="Resumo Trimestral"/>
      <sheetName val="ACIE_ICMS 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63">
          <cell r="D163">
            <v>5.3380238095238095</v>
          </cell>
        </row>
        <row r="187">
          <cell r="H187">
            <v>12629418.825714286</v>
          </cell>
          <cell r="I187">
            <v>14742585.470000001</v>
          </cell>
          <cell r="J187">
            <v>12324342.217142858</v>
          </cell>
          <cell r="K187">
            <v>14002044.035714285</v>
          </cell>
          <cell r="L187">
            <v>12869043.422857143</v>
          </cell>
          <cell r="M187">
            <v>13627621.635714287</v>
          </cell>
          <cell r="N187">
            <v>8737401.5442857146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abela3"/>
      <sheetName val="DE PARA"/>
      <sheetName val="Tela SAP"/>
      <sheetName val="BAL BMJF"/>
      <sheetName val="BAL BMJF_old"/>
      <sheetName val="BAL CE00"/>
      <sheetName val="BAL SO03"/>
      <sheetName val="BAL BMJF ST99"/>
      <sheetName val="BAL ACIE"/>
      <sheetName val="3303004"/>
      <sheetName val="EBITDA"/>
      <sheetName val="Análise"/>
      <sheetName val="Saída Combinada"/>
      <sheetName val="Contas"/>
      <sheetName val="Efeito placa Pecém"/>
      <sheetName val="Contas (2)"/>
      <sheetName val="Non Steel"/>
      <sheetName val="VAT"/>
      <sheetName val="S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F2">
            <v>5.25</v>
          </cell>
        </row>
        <row r="27">
          <cell r="G27">
            <v>13.79883252262877</v>
          </cell>
        </row>
        <row r="28">
          <cell r="G28">
            <v>0.16978882330397094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abela3"/>
      <sheetName val="DE PARA"/>
      <sheetName val="Tela SAP"/>
      <sheetName val="BAL BMJF"/>
      <sheetName val="BAL BMJF_old"/>
      <sheetName val="BAL CE00"/>
      <sheetName val="BAL SO03"/>
      <sheetName val="BAL BMJF ST99"/>
      <sheetName val="BAL ACIE"/>
      <sheetName val="3303004"/>
      <sheetName val="EBITDA"/>
      <sheetName val="Análise"/>
      <sheetName val="Saída Combinada"/>
      <sheetName val="Contas"/>
      <sheetName val="Efeito placa Pecém"/>
      <sheetName val="Contas (2)"/>
      <sheetName val="Non Steel"/>
      <sheetName val="VAT"/>
      <sheetName val="S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7">
          <cell r="G27">
            <v>11.027637071782102</v>
          </cell>
        </row>
        <row r="28">
          <cell r="G28">
            <v>1.4629499860697071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ENTROS"/>
      <sheetName val="Apuração FCSA"/>
      <sheetName val="Actual"/>
      <sheetName val="Apuração AMB =&gt;"/>
      <sheetName val="AMB_PIS COFINS"/>
      <sheetName val="AMB_IPI"/>
      <sheetName val="AMB_ICMS ES"/>
      <sheetName val="AMB_ICMS BA"/>
      <sheetName val="AMB_ICMS RS"/>
      <sheetName val="AMB_ICMS RJ"/>
      <sheetName val="AMB_ICMS AM"/>
      <sheetName val="AMB_ICMS PE"/>
      <sheetName val="AMB_ICMS MG"/>
      <sheetName val="AMB_ICMS SP"/>
      <sheetName val="AMB_ICMS PR"/>
      <sheetName val="AMB_ICMS SC"/>
      <sheetName val="AMB_Reintegra"/>
      <sheetName val="MRF1 vs MRF4"/>
      <sheetName val="Apuração ACIE =&gt;"/>
      <sheetName val="ACIE_PIS COFINS"/>
      <sheetName val="ACIE_IPI"/>
      <sheetName val="ACIE_ICMS MG"/>
      <sheetName val="ACIE_ICMS BA"/>
      <sheetName val="ACIE_ICMS SP"/>
      <sheetName val="ACIE_ICMS PR"/>
      <sheetName val="Comparativo =&gt;"/>
      <sheetName val="PISCOFINS"/>
      <sheetName val="ICMS"/>
      <sheetName val="IPI"/>
      <sheetName val="Reintegra"/>
      <sheetName val="Outros"/>
      <sheetName val="Resumo"/>
      <sheetName val="Resumo Trimestral"/>
      <sheetName val="ACIE_ICMS ES"/>
    </sheetNames>
    <sheetDataSet>
      <sheetData sheetId="0"/>
      <sheetData sheetId="1"/>
      <sheetData sheetId="2"/>
      <sheetData sheetId="3"/>
      <sheetData sheetId="4"/>
      <sheetData sheetId="5"/>
      <sheetData sheetId="6">
        <row r="166">
          <cell r="O166">
            <v>5.2</v>
          </cell>
        </row>
        <row r="199">
          <cell r="J199">
            <v>-5942732.8321394883</v>
          </cell>
          <cell r="K199">
            <v>14311340.852314835</v>
          </cell>
          <cell r="L199">
            <v>11707336.125555219</v>
          </cell>
          <cell r="M199">
            <v>14078424.155358104</v>
          </cell>
          <cell r="N199">
            <v>13470828.712629739</v>
          </cell>
          <cell r="O199">
            <v>10503867.487406183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ainel"/>
      <sheetName val="Marketing BI"/>
      <sheetName val="Base"/>
      <sheetName val="Prod."/>
      <sheetName val="Produção"/>
      <sheetName val="Despacho"/>
      <sheetName val="Preço Base"/>
      <sheetName val="Preço FOB"/>
      <sheetName val="Preço NRP"/>
      <sheetName val="Preço Extra"/>
      <sheetName val="Comissão Remeter"/>
      <sheetName val="Comissão Fonte"/>
      <sheetName val="Volume Desp. x Pr.Real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0">
          <cell r="D40" t="str">
            <v>AM Dofasco 1</v>
          </cell>
        </row>
        <row r="41">
          <cell r="D41" t="str">
            <v>AM Dofasco 2</v>
          </cell>
        </row>
        <row r="46">
          <cell r="D46" t="str">
            <v>CSI</v>
          </cell>
        </row>
        <row r="49">
          <cell r="D49" t="str">
            <v>NLMK USA</v>
          </cell>
        </row>
      </sheetData>
      <sheetData sheetId="9"/>
      <sheetData sheetId="10"/>
      <sheetData sheetId="11"/>
      <sheetData sheetId="12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conomic Assumptions"/>
      <sheetName val="Steel demand (Base)"/>
      <sheetName val="Steel demand (Base - ByProduct)"/>
      <sheetName val="Steel demand (High)"/>
      <sheetName val="Steel demand (Low)"/>
      <sheetName val="Raw materials - nominal USD"/>
      <sheetName val="Regional scrap - nominal USD"/>
      <sheetName val="HRC Prices"/>
      <sheetName val="HRC Spreads"/>
      <sheetName val="Rebar Prices "/>
      <sheetName val="Rebar Spreads  over domestic"/>
      <sheetName val="Semis steel prices and spreads"/>
      <sheetName val="Downstream prices and premium"/>
    </sheetNames>
    <sheetDataSet>
      <sheetData sheetId="0"/>
      <sheetData sheetId="1"/>
      <sheetData sheetId="2"/>
      <sheetData sheetId="3"/>
      <sheetData sheetId="4"/>
      <sheetData sheetId="5">
        <row r="11">
          <cell r="R11">
            <v>100</v>
          </cell>
        </row>
        <row r="65">
          <cell r="Z65">
            <v>140.00079365079364</v>
          </cell>
          <cell r="AA65">
            <v>155.01171875</v>
          </cell>
          <cell r="AB65">
            <v>118.09126984126983</v>
          </cell>
          <cell r="AC65">
            <v>115</v>
          </cell>
          <cell r="AD65">
            <v>145</v>
          </cell>
          <cell r="AE65">
            <v>160</v>
          </cell>
          <cell r="AF65">
            <v>150</v>
          </cell>
          <cell r="AG65">
            <v>140</v>
          </cell>
        </row>
      </sheetData>
      <sheetData sheetId="6"/>
      <sheetData sheetId="7">
        <row r="38">
          <cell r="B38" t="str">
            <v>Black Sea HRC / Black Sea export FOB*</v>
          </cell>
        </row>
        <row r="52">
          <cell r="V52">
            <v>450.55384615384617</v>
          </cell>
          <cell r="W52">
            <v>466.0625</v>
          </cell>
          <cell r="X52">
            <v>417.11864406779659</v>
          </cell>
          <cell r="Y52">
            <v>489.22727272727275</v>
          </cell>
          <cell r="Z52">
            <v>496.65136458385859</v>
          </cell>
          <cell r="AA52">
            <v>489.69499999999999</v>
          </cell>
          <cell r="AB52">
            <v>474.3</v>
          </cell>
          <cell r="AC52">
            <v>460.85</v>
          </cell>
        </row>
      </sheetData>
      <sheetData sheetId="8"/>
      <sheetData sheetId="9"/>
      <sheetData sheetId="10"/>
      <sheetData sheetId="11">
        <row r="10">
          <cell r="V10">
            <v>370.84615384615387</v>
          </cell>
          <cell r="W10">
            <v>413.125</v>
          </cell>
          <cell r="X10">
            <v>343.75</v>
          </cell>
          <cell r="Y10">
            <v>422</v>
          </cell>
          <cell r="Z10">
            <v>443.16531883951598</v>
          </cell>
          <cell r="AA10">
            <v>442.20910230569592</v>
          </cell>
          <cell r="AB10">
            <v>423.89921186631835</v>
          </cell>
          <cell r="AC10">
            <v>407.40561471442408</v>
          </cell>
        </row>
      </sheetData>
      <sheetData sheetId="12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trategy analysis"/>
      <sheetName val="Planilha3"/>
      <sheetName val="Planilha2"/>
      <sheetName val="Planilha1"/>
    </sheetNames>
    <sheetDataSet>
      <sheetData sheetId="0"/>
      <sheetData sheetId="1">
        <row r="5">
          <cell r="S5">
            <v>466.73076923076923</v>
          </cell>
          <cell r="T5">
            <v>374.42307692307691</v>
          </cell>
          <cell r="U5">
            <v>462.19230769230768</v>
          </cell>
          <cell r="V5">
            <v>487.34341347066527</v>
          </cell>
          <cell r="X5">
            <v>484.76502681783921</v>
          </cell>
          <cell r="Y5">
            <v>470.17885857906816</v>
          </cell>
          <cell r="Z5">
            <v>458.80258691415969</v>
          </cell>
          <cell r="AA5">
            <v>458.06778507731451</v>
          </cell>
        </row>
        <row r="10">
          <cell r="W10">
            <v>103.86394483476451</v>
          </cell>
          <cell r="AB10">
            <v>100</v>
          </cell>
        </row>
        <row r="13">
          <cell r="W13">
            <v>132.02594556051588</v>
          </cell>
          <cell r="AB13">
            <v>148.75</v>
          </cell>
        </row>
      </sheetData>
      <sheetData sheetId="2"/>
      <sheetData sheetId="3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inério"/>
      <sheetName val="Custo"/>
      <sheetName val="Iron ore"/>
      <sheetName val="Carvão"/>
    </sheetNames>
    <sheetDataSet>
      <sheetData sheetId="0"/>
      <sheetData sheetId="1"/>
      <sheetData sheetId="2">
        <row r="6">
          <cell r="Q6">
            <v>101.61903015873015</v>
          </cell>
          <cell r="R6">
            <v>91.061599999999999</v>
          </cell>
          <cell r="S6">
            <v>87.967920634920631</v>
          </cell>
          <cell r="T6">
            <v>109.27383333333334</v>
          </cell>
          <cell r="U6">
            <v>118.17276666666667</v>
          </cell>
        </row>
        <row r="7">
          <cell r="Q7">
            <v>14.12694535</v>
          </cell>
        </row>
        <row r="10">
          <cell r="Q10">
            <v>33.375</v>
          </cell>
        </row>
        <row r="11">
          <cell r="Q11">
            <v>8.6736517499999994</v>
          </cell>
        </row>
        <row r="19">
          <cell r="Q19">
            <v>101.66666666666667</v>
          </cell>
          <cell r="R19">
            <v>111.66666666666667</v>
          </cell>
          <cell r="S19">
            <v>103.33333333333333</v>
          </cell>
          <cell r="T19">
            <v>96.666666666666671</v>
          </cell>
          <cell r="U19">
            <v>95</v>
          </cell>
        </row>
        <row r="20">
          <cell r="Q20">
            <v>15.350199999999999</v>
          </cell>
        </row>
        <row r="23">
          <cell r="Q23">
            <v>33.75</v>
          </cell>
        </row>
        <row r="24">
          <cell r="Q24">
            <v>9.7000000000000011</v>
          </cell>
        </row>
      </sheetData>
      <sheetData sheetId="3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CF &amp; OWCR - BUDGET"/>
      <sheetName val="Slide FCF "/>
      <sheetName val="Slide FCF detalhado"/>
      <sheetName val="Slide FCF BP"/>
      <sheetName val="KPI's - Budget"/>
      <sheetName val="KPI's - Budget BP"/>
      <sheetName val="Slide FCF"/>
      <sheetName val="Slide FCF (2)"/>
      <sheetName val="Bridge"/>
      <sheetName val="Planilha1"/>
      <sheetName val="OFCF calculation for budget"/>
      <sheetName val="Safety"/>
    </sheetNames>
    <sheetDataSet>
      <sheetData sheetId="0">
        <row r="15">
          <cell r="B15">
            <v>1484.44</v>
          </cell>
          <cell r="C15">
            <v>865.96299999999997</v>
          </cell>
          <cell r="D15">
            <v>1068.1759999999999</v>
          </cell>
          <cell r="E15">
            <v>1486.8829999999998</v>
          </cell>
          <cell r="M15">
            <v>1749.2429999999999</v>
          </cell>
          <cell r="Q15">
            <v>1728.598</v>
          </cell>
          <cell r="U15">
            <v>1636.7089999999998</v>
          </cell>
          <cell r="Y15">
            <v>1627.7269999999999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ase"/>
      <sheetName val="2018 - US$ EUA  "/>
      <sheetName val="2018 - Dólar Canadense"/>
      <sheetName val="2018 - Dólar Canadense - USD"/>
      <sheetName val="2018 - EUR"/>
      <sheetName val="2018 - US$ EUA - EUR "/>
      <sheetName val="2018 - Peso Arg"/>
      <sheetName val="2018 - P$Arg  - US$ EUA"/>
      <sheetName val="2018 - Peso Mexico"/>
      <sheetName val="2018 - P$ Mex - US$EUA"/>
      <sheetName val="2018 - Peso Chile"/>
      <sheetName val="2018 - P$ Chile - US$ EUA"/>
      <sheetName val="2018 - Peso Uruguai"/>
      <sheetName val="2018 - P$ Uruguai - US$ EUA"/>
      <sheetName val="2018 - Novo Sol Peru"/>
      <sheetName val="2018- Novo Sol - US$EUA"/>
      <sheetName val="2018 - Cólon "/>
      <sheetName val="2018 - Bolivar Soberano"/>
      <sheetName val="2018 - Iene "/>
      <sheetName val="2018 - Libra"/>
      <sheetName val="Câmbio ArcelorMittal Brasil Set"/>
      <sheetName val="2017 - US$ EUA  "/>
    </sheetNames>
    <sheetDataSet>
      <sheetData sheetId="0"/>
      <sheetData sheetId="1">
        <row r="54">
          <cell r="M54">
            <v>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ase"/>
      <sheetName val="2018 - US$ EUA  "/>
      <sheetName val="2018 - Dólar Canadense"/>
      <sheetName val="2018 - Dólar Canadense - USD"/>
      <sheetName val="2018 - EUR"/>
      <sheetName val="2018 - US$ EUA - EUR "/>
      <sheetName val="2018 - Peso Arg"/>
      <sheetName val="2018 - P$Arg  - US$ EUA"/>
      <sheetName val="2018 - Peso Mexico"/>
      <sheetName val="2018 - P$ Mex - US$EUA"/>
      <sheetName val="2018 - Peso Chile"/>
      <sheetName val="2018 - P$ Chile - US$ EUA"/>
      <sheetName val="2018 - Peso Uruguai"/>
      <sheetName val="2018 - P$ Uruguai - US$ EUA"/>
      <sheetName val="2018 - Novo Sol Peru"/>
      <sheetName val="2018- Novo Sol - US$EUA"/>
      <sheetName val="2018 - Cólon "/>
      <sheetName val="2018 - Bolivar Soberano"/>
      <sheetName val="2018 - Iene "/>
      <sheetName val="2018 - Libra"/>
      <sheetName val="Câmbio ArcelorMittal Brasil Dez"/>
      <sheetName val="2019 - US$ EUA  "/>
    </sheetNames>
    <sheetDataSet>
      <sheetData sheetId="0"/>
      <sheetData sheetId="1">
        <row r="44">
          <cell r="B44">
            <v>3.1623999999999999</v>
          </cell>
        </row>
        <row r="54">
          <cell r="M54">
            <v>3.8850549999999999</v>
          </cell>
        </row>
      </sheetData>
      <sheetData sheetId="2"/>
      <sheetData sheetId="3"/>
      <sheetData sheetId="4"/>
      <sheetData sheetId="5">
        <row r="54">
          <cell r="N54">
            <v>1.1816313001844754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CF &amp; OWCR - BUDGET"/>
      <sheetName val="Slide FCF"/>
      <sheetName val="KPI's - Budget"/>
      <sheetName val="AMS"/>
      <sheetName val="Bridge"/>
      <sheetName val="Bridge (2)"/>
      <sheetName val="Planilha1"/>
      <sheetName val="OFCF calculation for budget"/>
      <sheetName val="Safety"/>
    </sheetNames>
    <sheetDataSet>
      <sheetData sheetId="0">
        <row r="15">
          <cell r="Z15">
            <v>6744.7650000000012</v>
          </cell>
        </row>
      </sheetData>
      <sheetData sheetId="1"/>
      <sheetData sheetId="2">
        <row r="31">
          <cell r="M31">
            <v>0.18464814931140422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ase"/>
      <sheetName val="Month"/>
      <sheetName val="Q1"/>
      <sheetName val="Q2"/>
      <sheetName val="Q3"/>
      <sheetName val="Q4"/>
      <sheetName val="FY"/>
    </sheetNames>
    <sheetDataSet>
      <sheetData sheetId="0"/>
      <sheetData sheetId="1"/>
      <sheetData sheetId="2"/>
      <sheetData sheetId="3"/>
      <sheetData sheetId="4"/>
      <sheetData sheetId="5">
        <row r="89">
          <cell r="H89">
            <v>-356458.12057715096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0.bin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2.bin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customProperty" Target="../customProperty13.bin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customProperty" Target="../customProperty14.bin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customProperty" Target="../customProperty17.bin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customProperty" Target="../customProperty18.bin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customProperty" Target="../customProperty19.bin"/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customProperty" Target="../customProperty23.bin"/><Relationship Id="rId1" Type="http://schemas.openxmlformats.org/officeDocument/2006/relationships/customProperty" Target="../customProperty22.bin"/><Relationship Id="rId6" Type="http://schemas.openxmlformats.org/officeDocument/2006/relationships/image" Target="../media/image14.emf"/><Relationship Id="rId5" Type="http://schemas.openxmlformats.org/officeDocument/2006/relationships/control" Target="../activeX/activeX1.xml"/><Relationship Id="rId4" Type="http://schemas.openxmlformats.org/officeDocument/2006/relationships/vmlDrawing" Target="../drawings/vmlDrawing1.v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customProperty" Target="../customProperty24.bin"/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5.bin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>
    <pageSetUpPr fitToPage="1"/>
  </sheetPr>
  <dimension ref="A1:AS246"/>
  <sheetViews>
    <sheetView showGridLines="0" topLeftCell="A3" zoomScale="80" zoomScaleNormal="80" workbookViewId="0">
      <selection activeCell="C9" sqref="C9"/>
    </sheetView>
  </sheetViews>
  <sheetFormatPr defaultColWidth="9.42578125" defaultRowHeight="12.75"/>
  <cols>
    <col min="1" max="1" width="5.5703125" style="1" customWidth="1"/>
    <col min="2" max="2" width="32" style="1" customWidth="1"/>
    <col min="3" max="3" width="13.42578125" style="1" bestFit="1" customWidth="1"/>
    <col min="4" max="4" width="9.42578125" style="1" customWidth="1"/>
    <col min="5" max="5" width="16.42578125" style="1" bestFit="1" customWidth="1"/>
    <col min="6" max="6" width="13.42578125" style="1" bestFit="1" customWidth="1"/>
    <col min="7" max="7" width="14.42578125" style="1" bestFit="1" customWidth="1"/>
    <col min="8" max="8" width="16.42578125" style="1" bestFit="1" customWidth="1"/>
    <col min="9" max="9" width="10.5703125" style="1" customWidth="1"/>
    <col min="10" max="10" width="14.5703125" style="1" customWidth="1"/>
    <col min="11" max="11" width="16.5703125" style="1" bestFit="1" customWidth="1"/>
    <col min="12" max="12" width="13.42578125" style="4" bestFit="1" customWidth="1"/>
    <col min="13" max="13" width="14.42578125" style="4" customWidth="1"/>
    <col min="14" max="14" width="10.42578125" style="4" bestFit="1" customWidth="1"/>
    <col min="15" max="15" width="14.42578125" style="4" bestFit="1" customWidth="1"/>
    <col min="16" max="16" width="11.5703125" style="4" customWidth="1"/>
    <col min="17" max="17" width="17.5703125" style="4" customWidth="1"/>
    <col min="18" max="18" width="10.42578125" style="4" bestFit="1" customWidth="1"/>
    <col min="19" max="19" width="14.5703125" style="1" customWidth="1"/>
    <col min="20" max="20" width="20.5703125" style="1" bestFit="1" customWidth="1"/>
    <col min="21" max="21" width="12.42578125" style="1" customWidth="1"/>
    <col min="22" max="22" width="9.5703125" style="224" customWidth="1"/>
    <col min="23" max="23" width="16.42578125" style="1" customWidth="1"/>
    <col min="24" max="24" width="12.42578125" style="1" customWidth="1"/>
    <col min="25" max="25" width="9.5703125" style="224" customWidth="1"/>
    <col min="26" max="26" width="12.42578125" style="1" customWidth="1"/>
    <col min="27" max="27" width="13.5703125" style="1" customWidth="1"/>
    <col min="28" max="28" width="11" style="1" customWidth="1"/>
    <col min="29" max="29" width="11.5703125" style="1" bestFit="1" customWidth="1"/>
    <col min="30" max="30" width="15.5703125" style="1" bestFit="1" customWidth="1"/>
    <col min="31" max="31" width="5.42578125" style="1" customWidth="1"/>
    <col min="32" max="32" width="15.5703125" style="1" customWidth="1"/>
    <col min="33" max="33" width="34" style="1" customWidth="1"/>
    <col min="34" max="34" width="10.5703125" style="1" bestFit="1" customWidth="1"/>
    <col min="35" max="35" width="6.5703125" style="1" bestFit="1" customWidth="1"/>
    <col min="36" max="16384" width="9.42578125" style="1"/>
  </cols>
  <sheetData>
    <row r="1" spans="2:45">
      <c r="T1" s="223" t="s">
        <v>309</v>
      </c>
      <c r="U1" s="223"/>
      <c r="V1" s="476"/>
      <c r="W1" s="223"/>
      <c r="AJ1" s="1051"/>
      <c r="AK1" s="1051"/>
      <c r="AL1" s="1051"/>
      <c r="AM1" s="398"/>
      <c r="AQ1" s="397"/>
      <c r="AR1" s="397"/>
      <c r="AS1" s="398"/>
    </row>
    <row r="2" spans="2:45" ht="13.5" thickBot="1">
      <c r="C2" s="2" t="s">
        <v>311</v>
      </c>
      <c r="H2" s="6"/>
      <c r="J2" s="3"/>
      <c r="U2" s="89"/>
      <c r="V2" s="89"/>
      <c r="W2" s="89" t="s">
        <v>310</v>
      </c>
      <c r="X2" s="3"/>
      <c r="Y2" s="3"/>
      <c r="AJ2" s="89"/>
      <c r="AM2" s="224"/>
      <c r="AP2" s="3"/>
      <c r="AS2" s="224"/>
    </row>
    <row r="3" spans="2:45" ht="13.5" thickBot="1">
      <c r="B3" s="5" t="str">
        <f>"EBITDA "&amp;D15</f>
        <v>EBITDA FY26'B</v>
      </c>
      <c r="C3" s="95">
        <f>[1]DRE!$O$30/1000</f>
        <v>632.04404452987512</v>
      </c>
      <c r="E3" s="2" t="s">
        <v>0</v>
      </c>
      <c r="F3" s="2" t="s">
        <v>1</v>
      </c>
      <c r="H3" s="6">
        <f>H17+H19</f>
        <v>1046295.7093035857</v>
      </c>
      <c r="L3" s="1"/>
      <c r="M3" s="7" t="s">
        <v>2</v>
      </c>
      <c r="T3" s="5" t="str">
        <f>B3</f>
        <v>EBITDA FY26'B</v>
      </c>
      <c r="U3" s="94">
        <f>C3</f>
        <v>632.04404452987512</v>
      </c>
      <c r="V3" s="94">
        <v>701.06245650737185</v>
      </c>
      <c r="W3" s="224">
        <f>U3-V3</f>
        <v>-69.018411977496726</v>
      </c>
      <c r="Y3" s="1"/>
      <c r="AJ3" s="89"/>
      <c r="AM3" s="224"/>
      <c r="AP3" s="3"/>
      <c r="AS3" s="224"/>
    </row>
    <row r="4" spans="2:45" ht="13.5" thickBot="1">
      <c r="B4" s="8" t="s">
        <v>3</v>
      </c>
      <c r="C4" s="9">
        <f>SUM(E4:F4)</f>
        <v>70.572858606569</v>
      </c>
      <c r="D4" s="1">
        <v>26.209988867843755</v>
      </c>
      <c r="E4" s="10">
        <f>J153/1000</f>
        <v>70.572858606569</v>
      </c>
      <c r="F4" s="10">
        <f t="shared" ref="F4:F12" si="0">SUMIF($J$155:$J$181,B4,$I$155:$I$181)/1000</f>
        <v>0</v>
      </c>
      <c r="H4" s="6">
        <f>F17+F19</f>
        <v>1840632.9120000005</v>
      </c>
      <c r="L4" s="1"/>
      <c r="M4" s="1"/>
      <c r="T4" s="8" t="str">
        <f t="shared" ref="T4:T13" si="1">B4</f>
        <v>Forex</v>
      </c>
      <c r="U4" s="94">
        <f t="shared" ref="U4:U13" si="2">C4</f>
        <v>70.572858606569</v>
      </c>
      <c r="V4" s="9">
        <v>-41.322712204481938</v>
      </c>
      <c r="W4" s="224">
        <f t="shared" ref="W4:W13" si="3">U4-V4</f>
        <v>111.89557081105093</v>
      </c>
      <c r="Y4" s="1"/>
      <c r="AJ4" s="89"/>
      <c r="AM4" s="224"/>
      <c r="AP4" s="3"/>
      <c r="AS4" s="224"/>
    </row>
    <row r="5" spans="2:45" ht="13.5" thickBot="1">
      <c r="B5" s="8" t="s">
        <v>4</v>
      </c>
      <c r="C5" s="9">
        <f>SUM(E5:F5)</f>
        <v>286.54894369344618</v>
      </c>
      <c r="D5" s="1">
        <v>17.600765289201806</v>
      </c>
      <c r="E5" s="9">
        <f>M48/1000</f>
        <v>286.54894369344618</v>
      </c>
      <c r="F5" s="9">
        <f t="shared" si="0"/>
        <v>0</v>
      </c>
      <c r="H5" s="6">
        <f>H3/H4*1000</f>
        <v>568.44344273226022</v>
      </c>
      <c r="J5" s="11" t="s">
        <v>5</v>
      </c>
      <c r="K5" s="12" t="s">
        <v>6</v>
      </c>
      <c r="L5" s="12" t="s">
        <v>7</v>
      </c>
      <c r="M5" s="12" t="s">
        <v>8</v>
      </c>
      <c r="P5" s="11" t="s">
        <v>8</v>
      </c>
      <c r="Q5" s="12" t="s">
        <v>3</v>
      </c>
      <c r="T5" s="8" t="str">
        <f t="shared" si="1"/>
        <v>Price</v>
      </c>
      <c r="U5" s="94">
        <f t="shared" si="2"/>
        <v>286.54894369344618</v>
      </c>
      <c r="V5" s="9">
        <v>-79.358523184208167</v>
      </c>
      <c r="W5" s="859">
        <f>U5-V5</f>
        <v>365.90746687765431</v>
      </c>
      <c r="Y5" s="1"/>
      <c r="AJ5" s="89"/>
      <c r="AM5" s="224"/>
      <c r="AP5" s="3"/>
      <c r="AS5" s="224"/>
    </row>
    <row r="6" spans="2:45" ht="13.5" thickBot="1">
      <c r="B6" s="8" t="s">
        <v>9</v>
      </c>
      <c r="C6" s="9">
        <f>SUM(E6:F6)</f>
        <v>-23.126221100435135</v>
      </c>
      <c r="D6" s="1">
        <v>4.2158521715309583</v>
      </c>
      <c r="E6" s="9">
        <f>L114/1000</f>
        <v>-23.126221100435135</v>
      </c>
      <c r="F6" s="9">
        <f t="shared" si="0"/>
        <v>0</v>
      </c>
      <c r="H6" s="6">
        <f>H5-G18</f>
        <v>51.826059240169457</v>
      </c>
      <c r="J6" s="8" t="s">
        <v>10</v>
      </c>
      <c r="K6" s="13">
        <f>SUM(J83,J84,J88,J94,J95,J99,J100,J104)</f>
        <v>364878.97679773503</v>
      </c>
      <c r="L6" s="14">
        <f>SUM(K83,K84,K88,K94,K95,K99,K100,K104)</f>
        <v>4125.2439904765779</v>
      </c>
      <c r="M6" s="14">
        <f>SUM(M17,M18,M22,M28,M29,M33,M34,M38,M44)</f>
        <v>175788.85137264334</v>
      </c>
      <c r="P6" s="14">
        <f>SUM(P17,P18,P22,P28,P29,P33,P34,P38,P44)</f>
        <v>177667.05358633405</v>
      </c>
      <c r="Q6" s="14">
        <f>SUM(Q17,Q18,Q22,Q29,Q34,Q38,Q44)</f>
        <v>0</v>
      </c>
      <c r="T6" s="8" t="str">
        <f t="shared" si="1"/>
        <v>Volume</v>
      </c>
      <c r="U6" s="94">
        <f t="shared" si="2"/>
        <v>-23.126221100435135</v>
      </c>
      <c r="V6" s="9">
        <v>3.2696067485614786</v>
      </c>
      <c r="W6" s="859">
        <f t="shared" si="3"/>
        <v>-26.395827848996614</v>
      </c>
      <c r="X6" s="14">
        <v>-85996.795813983423</v>
      </c>
      <c r="Z6" s="696">
        <f>M6-X6</f>
        <v>261785.64718662677</v>
      </c>
      <c r="AJ6" s="89"/>
      <c r="AM6" s="224"/>
      <c r="AP6" s="3"/>
      <c r="AS6" s="224"/>
    </row>
    <row r="7" spans="2:45" ht="13.5" thickBot="1">
      <c r="B7" s="8" t="s">
        <v>11</v>
      </c>
      <c r="C7" s="9">
        <f t="shared" ref="C7:C10" si="4">SUM(E7:F7)</f>
        <v>16.445840378799982</v>
      </c>
      <c r="D7" s="1">
        <v>1.1809201299885572</v>
      </c>
      <c r="E7" s="9">
        <f>I114/1000+I166/1000</f>
        <v>16.445840378799982</v>
      </c>
      <c r="F7" s="9">
        <f t="shared" si="0"/>
        <v>0</v>
      </c>
      <c r="H7" s="6">
        <f>H6*F18</f>
        <v>51687532.44469025</v>
      </c>
      <c r="J7" s="8" t="s">
        <v>12</v>
      </c>
      <c r="K7" s="13">
        <f>SUM(J86:J87,J89:J93,J96:J98,J101:J103,J105:J113)</f>
        <v>58125.112507636579</v>
      </c>
      <c r="L7" s="15">
        <f>SUM(K86:K87,K89:K93,K96:K98,K101:K103,K105:K109,K111,K110,K112,K113)</f>
        <v>9448.1481902889682</v>
      </c>
      <c r="M7" s="15">
        <f>SUM(M20:M21,M23:M27,M30:M32,M35:M37,M39:M47)</f>
        <v>52139.578772175795</v>
      </c>
      <c r="P7" s="15">
        <f>SUM(P20:P21,P23:P27,P30:P32,P35:P37,P39:P43,P45,P46,P47)</f>
        <v>193662.29078236088</v>
      </c>
      <c r="Q7" s="15">
        <f>SUM(Q20:Q21,Q23:Q27,Q30:Q32,Q35:Q37,Q39:Q47,Q28,Q33)</f>
        <v>143400.91422387576</v>
      </c>
      <c r="T7" s="8" t="str">
        <f t="shared" si="1"/>
        <v>Mix</v>
      </c>
      <c r="U7" s="94">
        <f t="shared" si="2"/>
        <v>16.445840378799982</v>
      </c>
      <c r="V7" s="9">
        <v>11.585406787577549</v>
      </c>
      <c r="W7" s="859">
        <f t="shared" si="3"/>
        <v>4.8604335912224332</v>
      </c>
      <c r="X7" s="15">
        <v>121689.39757165832</v>
      </c>
      <c r="Y7" s="4"/>
      <c r="Z7" s="696">
        <f>M7-X7</f>
        <v>-69549.818799482528</v>
      </c>
      <c r="AJ7" s="89"/>
      <c r="AM7" s="224"/>
      <c r="AP7" s="3"/>
      <c r="AS7" s="224"/>
    </row>
    <row r="8" spans="2:45" ht="13.5" thickBot="1">
      <c r="B8" s="8" t="s">
        <v>13</v>
      </c>
      <c r="C8" s="9">
        <f t="shared" si="4"/>
        <v>-34.290558515169018</v>
      </c>
      <c r="D8" s="1">
        <v>0</v>
      </c>
      <c r="E8" s="9">
        <f>J126/1000</f>
        <v>-34.290558515169018</v>
      </c>
      <c r="F8" s="9">
        <f t="shared" si="0"/>
        <v>0</v>
      </c>
      <c r="H8" s="6"/>
      <c r="J8" s="16" t="s">
        <v>14</v>
      </c>
      <c r="K8" s="17">
        <f>SUM(K6:K7)</f>
        <v>423004.08930537163</v>
      </c>
      <c r="L8" s="17">
        <f>SUM(L6:L7)</f>
        <v>13573.392180765546</v>
      </c>
      <c r="M8" s="17">
        <f>SUM(M6:M7)</f>
        <v>227928.43014481914</v>
      </c>
      <c r="P8" s="17">
        <f>SUM(P6:P7)</f>
        <v>371329.34436869493</v>
      </c>
      <c r="Q8" s="17">
        <f>SUM(Q6:Q7)</f>
        <v>143400.91422387576</v>
      </c>
      <c r="T8" s="8" t="str">
        <f t="shared" si="1"/>
        <v>Fixed cost</v>
      </c>
      <c r="U8" s="94">
        <f t="shared" si="2"/>
        <v>-34.290558515169018</v>
      </c>
      <c r="V8" s="9">
        <v>-4.2325993671290547</v>
      </c>
      <c r="W8" s="224">
        <f t="shared" si="3"/>
        <v>-30.057959148039963</v>
      </c>
      <c r="X8" s="17">
        <v>35692.6017576749</v>
      </c>
      <c r="Y8" s="4"/>
      <c r="Z8" s="696">
        <f>M8-X8</f>
        <v>192235.82838714425</v>
      </c>
      <c r="AJ8" s="89"/>
      <c r="AM8" s="224"/>
      <c r="AP8" s="3"/>
      <c r="AS8" s="224"/>
    </row>
    <row r="9" spans="2:45" ht="13.5" thickBot="1">
      <c r="B9" s="8" t="s">
        <v>15</v>
      </c>
      <c r="C9" s="9">
        <f t="shared" si="4"/>
        <v>-177.47194678166522</v>
      </c>
      <c r="D9" s="1">
        <v>-60.287403771728009</v>
      </c>
      <c r="E9" s="9">
        <f>J145/1000</f>
        <v>-177.47194678166522</v>
      </c>
      <c r="F9" s="9">
        <f t="shared" si="0"/>
        <v>0</v>
      </c>
      <c r="H9" s="6"/>
      <c r="L9" s="1"/>
      <c r="M9" s="1"/>
      <c r="P9" s="4">
        <f>P8-P48</f>
        <v>-58620.513548626972</v>
      </c>
      <c r="T9" s="8" t="str">
        <f t="shared" si="1"/>
        <v>Input price</v>
      </c>
      <c r="U9" s="94">
        <f t="shared" si="2"/>
        <v>-177.47194678166522</v>
      </c>
      <c r="V9" s="9">
        <v>76.679374044360443</v>
      </c>
      <c r="W9" s="224">
        <f t="shared" si="3"/>
        <v>-254.15132082602565</v>
      </c>
      <c r="Y9" s="4"/>
      <c r="Z9" s="696">
        <f>X9-M9</f>
        <v>0</v>
      </c>
      <c r="AJ9" s="89"/>
      <c r="AM9" s="224"/>
      <c r="AP9" s="3"/>
      <c r="AS9" s="224"/>
    </row>
    <row r="10" spans="2:45" ht="13.5" thickBot="1">
      <c r="B10" s="8" t="s">
        <v>16</v>
      </c>
      <c r="C10" s="9">
        <f t="shared" si="4"/>
        <v>-12.829343372386798</v>
      </c>
      <c r="D10" s="1">
        <v>-3.3109603150171987</v>
      </c>
      <c r="E10" s="9">
        <f>J148/1000</f>
        <v>-12.829343372386798</v>
      </c>
      <c r="F10" s="9">
        <f t="shared" si="0"/>
        <v>0</v>
      </c>
      <c r="H10" s="6"/>
      <c r="J10" s="8" t="s">
        <v>255</v>
      </c>
      <c r="K10" s="13">
        <f>SUM(J86:J87,J90,J93,J97,J102,J105,J108,J91,J98,J103,J106,J110,J111,J112,J113)</f>
        <v>45691.087898479927</v>
      </c>
      <c r="L10" s="15">
        <f>SUM(K86:K87,K90,K93,K97,K102,K105,K108,K91,K98,K103,K106,K111,K110,K112)</f>
        <v>4371.2704046288809</v>
      </c>
      <c r="M10" s="15">
        <f>SUM(M20:M21,M24,M27,M31,M36,M39,M42,M25,M32,M37,M40)+M47+M46+M45</f>
        <v>40156.69740454272</v>
      </c>
      <c r="P10" s="15">
        <f>SUM(P20:P21,P24,P27,P31,P36,P39,P42,P25,P32,P37,P40,P45)</f>
        <v>144239.62716650084</v>
      </c>
      <c r="Q10" s="15">
        <f>SUM(Q20:Q21,Q24,Q27,Q31,Q36,Q39,Q42:Q47,Q25,Q32,Q37,Q40)-Q43</f>
        <v>104082.92976195813</v>
      </c>
      <c r="T10" s="8" t="str">
        <f t="shared" si="1"/>
        <v>Usage</v>
      </c>
      <c r="U10" s="94">
        <f t="shared" si="2"/>
        <v>-12.829343372386798</v>
      </c>
      <c r="V10" s="9">
        <v>2.1295159064723084</v>
      </c>
      <c r="W10" s="224">
        <f t="shared" si="3"/>
        <v>-14.958859278859107</v>
      </c>
      <c r="X10" s="15">
        <v>129883.41611881804</v>
      </c>
      <c r="Y10" s="4"/>
      <c r="Z10" s="696">
        <f>M10-X10</f>
        <v>-89726.718714275325</v>
      </c>
      <c r="AJ10" s="89"/>
      <c r="AM10" s="224"/>
      <c r="AP10" s="3"/>
      <c r="AS10" s="224"/>
    </row>
    <row r="11" spans="2:45" ht="13.5" thickBot="1">
      <c r="B11" s="8" t="s">
        <v>17</v>
      </c>
      <c r="C11" s="9">
        <f>SUM(E11:F11)</f>
        <v>-5.7640203629386235</v>
      </c>
      <c r="D11" s="1">
        <v>-2.376184957333686</v>
      </c>
      <c r="E11" s="9"/>
      <c r="F11" s="9">
        <f t="shared" si="0"/>
        <v>-5.7640203629386235</v>
      </c>
      <c r="G11" s="18"/>
      <c r="H11" s="18"/>
      <c r="J11" s="8" t="s">
        <v>256</v>
      </c>
      <c r="K11" s="13">
        <f>SUM(J89,J92,J96,J101,J107,J109)</f>
        <v>12434.024609156653</v>
      </c>
      <c r="L11" s="15">
        <f>SUM(K89,K92,K96,K101,K107,K109)</f>
        <v>5076.8777856600918</v>
      </c>
      <c r="M11" s="15">
        <f>SUM(M23,M26,M30,M35,M41,M43)</f>
        <v>11982.881367633079</v>
      </c>
      <c r="N11" s="696">
        <f>M10-M20-M21</f>
        <v>40575.521676361859</v>
      </c>
      <c r="P11" s="15">
        <f>SUM(P23,P26,P30,P35,P41,P43)</f>
        <v>49422.663615860001</v>
      </c>
      <c r="Q11" s="15">
        <f>SUM(Q23,Q26,Q30,Q35,Q41,Q43,Q28,Q33)</f>
        <v>39317.984461917622</v>
      </c>
      <c r="T11" s="8" t="str">
        <f t="shared" si="1"/>
        <v>Others</v>
      </c>
      <c r="U11" s="94">
        <f t="shared" si="2"/>
        <v>-5.7640203629386235</v>
      </c>
      <c r="V11" s="9">
        <v>-5.0983694758617002</v>
      </c>
      <c r="W11" s="224">
        <f t="shared" si="3"/>
        <v>-0.66565088707692333</v>
      </c>
      <c r="X11" s="15">
        <v>-8194.0185471597197</v>
      </c>
      <c r="Y11" s="4">
        <v>130619.12244197592</v>
      </c>
      <c r="Z11" s="696">
        <f>M11-X11</f>
        <v>20176.899914792797</v>
      </c>
      <c r="AJ11" s="89"/>
      <c r="AM11" s="224"/>
      <c r="AP11" s="3"/>
      <c r="AS11" s="224"/>
    </row>
    <row r="12" spans="2:45" ht="13.5" thickBot="1">
      <c r="B12" s="19" t="s">
        <v>18</v>
      </c>
      <c r="C12" s="424">
        <f>C13-SUM(C3:C11)</f>
        <v>-4.4371961993175546</v>
      </c>
      <c r="D12" s="1">
        <v>-25.205746992002787</v>
      </c>
      <c r="E12" s="21"/>
      <c r="F12" s="21">
        <f t="shared" si="0"/>
        <v>-3.8604224595991945</v>
      </c>
      <c r="G12" s="18"/>
      <c r="H12" s="18"/>
      <c r="J12" s="38" t="s">
        <v>30</v>
      </c>
      <c r="K12" s="38">
        <f>K7-K10-K11</f>
        <v>0</v>
      </c>
      <c r="L12" s="38">
        <f>L7-L10-L11</f>
        <v>0</v>
      </c>
      <c r="M12" s="38">
        <f>M7-M10-M11</f>
        <v>0</v>
      </c>
      <c r="P12" s="38">
        <f>P7-P10-P11</f>
        <v>0</v>
      </c>
      <c r="Q12" s="38">
        <f>Q7-Q10-Q11</f>
        <v>0</v>
      </c>
      <c r="T12" s="19" t="str">
        <f t="shared" si="1"/>
        <v>Stock variation</v>
      </c>
      <c r="U12" s="94">
        <f t="shared" si="2"/>
        <v>-4.4371961993175546</v>
      </c>
      <c r="V12" s="20">
        <v>46.241529800098306</v>
      </c>
      <c r="W12" s="224">
        <f t="shared" si="3"/>
        <v>-50.67872599941586</v>
      </c>
      <c r="X12" s="3"/>
      <c r="Y12" s="1"/>
      <c r="Z12" s="697">
        <f>N11-Y11</f>
        <v>-90043.600765614072</v>
      </c>
      <c r="AJ12" s="89"/>
      <c r="AM12" s="224"/>
      <c r="AP12" s="3"/>
      <c r="AS12" s="224"/>
    </row>
    <row r="13" spans="2:45" ht="13.5" thickBot="1">
      <c r="B13" s="22" t="str">
        <f>"EBITDA "&amp;G15</f>
        <v>EBITDA FY26'F7</v>
      </c>
      <c r="C13" s="95">
        <f>[2]DRE!$O$30/1000</f>
        <v>747.69240087677792</v>
      </c>
      <c r="D13" s="129"/>
      <c r="E13" s="23"/>
      <c r="F13" s="24">
        <f>F48-F14</f>
        <v>0</v>
      </c>
      <c r="G13" s="24"/>
      <c r="H13" s="24"/>
      <c r="J13" s="218" t="s">
        <v>623</v>
      </c>
      <c r="K13" s="219">
        <f>SUM(H24:H25,H27,H31:H32,H36:H37,H39:H40,H42)</f>
        <v>2460560.8651179196</v>
      </c>
      <c r="N13" s="4">
        <f>K10-J86-J87</f>
        <v>45737.767898479935</v>
      </c>
      <c r="P13" s="4">
        <f>P8/1000</f>
        <v>371.32934436869493</v>
      </c>
      <c r="T13" s="22" t="str">
        <f t="shared" si="1"/>
        <v>EBITDA FY26'F7</v>
      </c>
      <c r="U13" s="94">
        <f t="shared" si="2"/>
        <v>747.69240087677792</v>
      </c>
      <c r="V13" s="95">
        <v>710.95568556276112</v>
      </c>
      <c r="W13" s="224">
        <f t="shared" si="3"/>
        <v>36.736715314016806</v>
      </c>
      <c r="X13" s="3"/>
      <c r="Y13" s="1"/>
      <c r="Z13" s="697">
        <f>Z10-Z12</f>
        <v>316.88205133874726</v>
      </c>
      <c r="AJ13" s="89"/>
      <c r="AM13" s="224"/>
      <c r="AP13" s="3"/>
      <c r="AS13" s="224"/>
    </row>
    <row r="14" spans="2:45" ht="13.5" thickBot="1">
      <c r="B14" s="25"/>
      <c r="C14" s="416">
        <f>'[3]Shipments &amp; Prices'!$O$8*1000-C48</f>
        <v>-0.37999999988824129</v>
      </c>
      <c r="D14" s="418"/>
      <c r="E14" s="417">
        <f>E48-'[3]Shipments &amp; Prices'!$O$234</f>
        <v>0.1558373998850584</v>
      </c>
      <c r="F14" s="416">
        <f>'[4]Shipments &amp; Prices'!$O$20*1000</f>
        <v>7106558.4866279857</v>
      </c>
      <c r="G14" s="839"/>
      <c r="H14" s="840">
        <f>'[4]Shipments &amp; Prices'!$O$234-H48</f>
        <v>0</v>
      </c>
      <c r="I14" s="25"/>
      <c r="J14" s="39" t="s">
        <v>361</v>
      </c>
      <c r="K14" s="220">
        <f>SUM(H23,H26,H30,H35,H41,H43,H20,H21)</f>
        <v>930071.94856467552</v>
      </c>
      <c r="V14" s="1"/>
      <c r="X14" s="3"/>
      <c r="AJ14" s="89"/>
      <c r="AM14" s="224"/>
      <c r="AP14" s="3"/>
      <c r="AS14" s="224"/>
    </row>
    <row r="15" spans="2:45" ht="13.5" thickBot="1">
      <c r="B15" s="25"/>
      <c r="C15" s="26"/>
      <c r="D15" s="91" t="s">
        <v>918</v>
      </c>
      <c r="E15" s="27"/>
      <c r="F15" s="28"/>
      <c r="G15" s="91" t="s">
        <v>962</v>
      </c>
      <c r="H15" s="29"/>
      <c r="K15" s="180"/>
      <c r="N15" s="30"/>
      <c r="O15" s="30"/>
      <c r="P15" s="30"/>
      <c r="Q15" s="30"/>
      <c r="R15" s="30"/>
      <c r="V15" s="224">
        <f>V10-U10</f>
        <v>14.958859278859107</v>
      </c>
      <c r="X15" s="3"/>
      <c r="AJ15" s="89"/>
      <c r="AM15" s="224"/>
      <c r="AP15" s="3"/>
      <c r="AS15" s="224"/>
    </row>
    <row r="16" spans="2:45">
      <c r="B16" s="31" t="s">
        <v>19</v>
      </c>
      <c r="C16" s="32" t="s">
        <v>20</v>
      </c>
      <c r="D16" s="33" t="s">
        <v>21</v>
      </c>
      <c r="E16" s="12" t="s">
        <v>22</v>
      </c>
      <c r="F16" s="32" t="s">
        <v>20</v>
      </c>
      <c r="G16" s="33" t="s">
        <v>21</v>
      </c>
      <c r="H16" s="12" t="s">
        <v>22</v>
      </c>
      <c r="I16" s="11" t="s">
        <v>23</v>
      </c>
      <c r="J16" s="12" t="s">
        <v>24</v>
      </c>
      <c r="K16" s="12" t="s">
        <v>25</v>
      </c>
      <c r="L16" s="12" t="s">
        <v>26</v>
      </c>
      <c r="M16" s="12" t="s">
        <v>8</v>
      </c>
      <c r="O16" s="11" t="s">
        <v>25</v>
      </c>
      <c r="P16" s="12" t="s">
        <v>8</v>
      </c>
      <c r="Q16" s="12" t="s">
        <v>3</v>
      </c>
    </row>
    <row r="17" spans="2:39">
      <c r="B17" s="8" t="s">
        <v>110</v>
      </c>
      <c r="C17" s="92">
        <f>'[3]Shipments &amp; Prices'!$O$23*1000</f>
        <v>961000</v>
      </c>
      <c r="D17" s="35">
        <f t="shared" ref="D17:D45" si="5">IF(ISERROR((+E17/C17)*1000),0,(+E17/C17)*1000)</f>
        <v>521.6467174857612</v>
      </c>
      <c r="E17" s="93">
        <f>'[3]Shipments &amp; Prices'!$O$237</f>
        <v>501302.49550381646</v>
      </c>
      <c r="F17" s="92">
        <f>'[4]Shipments &amp; Prices'!$O$23*1000</f>
        <v>966247.86999999988</v>
      </c>
      <c r="G17" s="35">
        <f t="shared" ref="G17:G46" si="6">IF(ISERROR((+H17/F17)*1000),0,(+H17/F17)*1000)</f>
        <v>611.98900059572838</v>
      </c>
      <c r="H17" s="93">
        <f>'[4]Shipments &amp; Prices'!$O$237</f>
        <v>591333.06828905118</v>
      </c>
      <c r="I17" s="13">
        <f t="shared" ref="I17:I43" si="7">(F17-J17)*D17/1000</f>
        <v>11455.528703057071</v>
      </c>
      <c r="J17" s="13">
        <f t="shared" ref="J17:J47" si="8">$F$48*C17/$C$48</f>
        <v>944287.5502681504</v>
      </c>
      <c r="K17" s="13">
        <f>G17-D17</f>
        <v>90.342283109967184</v>
      </c>
      <c r="L17" s="37"/>
      <c r="M17" s="14">
        <f>K17*F17/1000</f>
        <v>87293.038625942747</v>
      </c>
      <c r="N17" s="4">
        <f>H17-E17</f>
        <v>90030.572785234719</v>
      </c>
      <c r="O17" s="13">
        <f t="shared" ref="O17:O43" si="9">G17-D17</f>
        <v>90.342283109967184</v>
      </c>
      <c r="P17" s="14">
        <f t="shared" ref="P17:P43" si="10">O17*F17/1000</f>
        <v>87293.038625942747</v>
      </c>
      <c r="Q17" s="14">
        <f t="shared" ref="Q17:Q43" si="11">P17-M17</f>
        <v>0</v>
      </c>
      <c r="R17" s="696">
        <f>C17-F17</f>
        <v>-5247.8699999998789</v>
      </c>
    </row>
    <row r="18" spans="2:39">
      <c r="B18" s="8" t="s">
        <v>942</v>
      </c>
      <c r="C18" s="92">
        <f>[5]TUBARÃO_VEGA!$O$614*1000</f>
        <v>400000</v>
      </c>
      <c r="D18" s="35">
        <f t="shared" si="5"/>
        <v>444.57400371677562</v>
      </c>
      <c r="E18" s="93">
        <f>[5]TUBARÃO_VEGA!$O$626</f>
        <v>177829.60148671025</v>
      </c>
      <c r="F18" s="92">
        <f>'[4]Shipments &amp; Prices'!$O$614*1000</f>
        <v>997327.08221481298</v>
      </c>
      <c r="G18" s="35">
        <f t="shared" si="6"/>
        <v>516.61738349209077</v>
      </c>
      <c r="H18" s="93">
        <f>'[4]Shipments &amp; Prices'!$O$626</f>
        <v>515236.507699618</v>
      </c>
      <c r="I18" s="13">
        <f t="shared" si="7"/>
        <v>268648.67131956422</v>
      </c>
      <c r="J18" s="13">
        <f t="shared" si="8"/>
        <v>393043.72539777332</v>
      </c>
      <c r="K18" s="13">
        <f>G18-D18</f>
        <v>72.043379775315145</v>
      </c>
      <c r="L18" s="37"/>
      <c r="M18" s="14">
        <f>K18*F18/1000</f>
        <v>71850.813744208717</v>
      </c>
      <c r="O18" s="13">
        <f t="shared" si="9"/>
        <v>72.043379775315145</v>
      </c>
      <c r="P18" s="14">
        <f t="shared" si="10"/>
        <v>71850.813744208717</v>
      </c>
      <c r="Q18" s="14">
        <f t="shared" si="11"/>
        <v>0</v>
      </c>
      <c r="T18" s="1">
        <v>1789</v>
      </c>
    </row>
    <row r="19" spans="2:39">
      <c r="B19" s="8" t="s">
        <v>943</v>
      </c>
      <c r="C19" s="92">
        <f>[5]TUBARÃO_VEGA!$O$615*1000</f>
        <v>1423164.3800000001</v>
      </c>
      <c r="D19" s="35">
        <f t="shared" si="5"/>
        <v>453.28100142169086</v>
      </c>
      <c r="E19" s="93">
        <f>[5]TUBARÃO_VEGA!$O$627</f>
        <v>645093.37535407988</v>
      </c>
      <c r="F19" s="92">
        <f>'[4]Shipments &amp; Prices'!$O$615*1000</f>
        <v>874385.0420000006</v>
      </c>
      <c r="G19" s="35">
        <f t="shared" si="6"/>
        <v>520.32299177246705</v>
      </c>
      <c r="H19" s="93">
        <f>'[4]Shipments &amp; Prices'!$O$627</f>
        <v>454962.64101453451</v>
      </c>
      <c r="I19" s="13">
        <f t="shared" ref="I19" si="12">(F19-J19)*D19/1000</f>
        <v>-237532.63123057163</v>
      </c>
      <c r="J19" s="13">
        <f t="shared" si="8"/>
        <v>1398414.5744215308</v>
      </c>
      <c r="K19" s="13">
        <f>G19-D19</f>
        <v>67.041990350776189</v>
      </c>
      <c r="L19" s="37"/>
      <c r="M19" s="14">
        <f>K19*F19/1000</f>
        <v>58620.513548627074</v>
      </c>
      <c r="O19" s="13">
        <f t="shared" ref="O19" si="13">G19-D19</f>
        <v>67.041990350776189</v>
      </c>
      <c r="P19" s="14">
        <f t="shared" ref="P19" si="14">O19*F19/1000</f>
        <v>58620.513548627074</v>
      </c>
      <c r="Q19" s="14">
        <f t="shared" ref="Q19" si="15">P19-M19</f>
        <v>0</v>
      </c>
    </row>
    <row r="20" spans="2:39">
      <c r="B20" s="8" t="s">
        <v>274</v>
      </c>
      <c r="C20" s="92">
        <f>'[3]Shipments &amp; Prices'!$O$25*1000</f>
        <v>31000.000000000004</v>
      </c>
      <c r="D20" s="35">
        <f t="shared" si="5"/>
        <v>451.10153901713392</v>
      </c>
      <c r="E20" s="93">
        <f>'[3]Shipments &amp; Prices'!$O$239</f>
        <v>13984.147709531153</v>
      </c>
      <c r="F20" s="92">
        <f>'[4]Shipments &amp; Prices'!$O$25*1000</f>
        <v>32424.16</v>
      </c>
      <c r="G20" s="35">
        <f t="shared" si="6"/>
        <v>464.42370858452688</v>
      </c>
      <c r="H20" s="93">
        <f>'[4]Shipments &amp; Prices'!$O$239</f>
        <v>15058.548634938072</v>
      </c>
      <c r="I20" s="13">
        <f t="shared" ref="I20:I21" si="16">(F20-J20)*D20/1000</f>
        <v>885.6346966706335</v>
      </c>
      <c r="J20" s="13">
        <f t="shared" si="8"/>
        <v>30460.888718327438</v>
      </c>
      <c r="K20" s="37"/>
      <c r="L20" s="13">
        <f>(G20*$H$152)-(D20*$E$152)</f>
        <v>-31.991604487952372</v>
      </c>
      <c r="M20" s="15">
        <f>L20*F20/1000/$E$152</f>
        <v>-192.0927597359418</v>
      </c>
      <c r="O20" s="13">
        <f t="shared" si="9"/>
        <v>13.322169567392962</v>
      </c>
      <c r="P20" s="15">
        <f t="shared" si="10"/>
        <v>431.96015760028018</v>
      </c>
      <c r="Q20" s="15">
        <f t="shared" si="11"/>
        <v>624.05291733622198</v>
      </c>
      <c r="R20" s="187">
        <f>R17/1000</f>
        <v>-5.247869999999879</v>
      </c>
      <c r="T20" s="1">
        <f>T18-C13</f>
        <v>1041.3075991232222</v>
      </c>
    </row>
    <row r="21" spans="2:39">
      <c r="B21" s="8" t="s">
        <v>28</v>
      </c>
      <c r="C21" s="92">
        <f>'[3]Shipments &amp; Prices'!$O$28*1000</f>
        <v>18000</v>
      </c>
      <c r="D21" s="35">
        <f t="shared" si="5"/>
        <v>685.40017271724957</v>
      </c>
      <c r="E21" s="93">
        <f>'[3]Shipments &amp; Prices'!$O$242</f>
        <v>12337.203108910493</v>
      </c>
      <c r="F21" s="92">
        <f>'[4]Shipments &amp; Prices'!$O$28*1000</f>
        <v>16529.159999999996</v>
      </c>
      <c r="G21" s="35">
        <f t="shared" si="6"/>
        <v>700.72228280710522</v>
      </c>
      <c r="H21" s="93">
        <f>'[4]Shipments &amp; Prices'!$O$242</f>
        <v>11582.350728083889</v>
      </c>
      <c r="I21" s="13">
        <f t="shared" si="16"/>
        <v>-793.56155841687644</v>
      </c>
      <c r="J21" s="13">
        <f t="shared" si="8"/>
        <v>17686.967642899799</v>
      </c>
      <c r="K21" s="37"/>
      <c r="L21" s="13">
        <f>(G21*$H$152)-(D21*$E$152)</f>
        <v>-74.07213465471068</v>
      </c>
      <c r="M21" s="15">
        <f>L21*F21/1000/$E$152</f>
        <v>-226.73151208319578</v>
      </c>
      <c r="O21" s="13">
        <f t="shared" si="9"/>
        <v>15.322110089855641</v>
      </c>
      <c r="P21" s="15">
        <f t="shared" si="10"/>
        <v>253.26160921283824</v>
      </c>
      <c r="Q21" s="15">
        <f t="shared" si="11"/>
        <v>479.99312129603402</v>
      </c>
      <c r="R21" s="187"/>
      <c r="AF21" s="89" t="s">
        <v>472</v>
      </c>
    </row>
    <row r="22" spans="2:39">
      <c r="B22" s="8" t="s">
        <v>27</v>
      </c>
      <c r="C22" s="92">
        <f>'[3]Shipments &amp; Prices'!$O$30*1000</f>
        <v>433467</v>
      </c>
      <c r="D22" s="35">
        <f t="shared" si="5"/>
        <v>482.26451396374244</v>
      </c>
      <c r="E22" s="93">
        <f>'[3]Shipments &amp; Prices'!$O$244</f>
        <v>209045.75207432153</v>
      </c>
      <c r="F22" s="92">
        <f>'[4]Shipments &amp; Prices'!$O$30*1000</f>
        <v>197566.82000000007</v>
      </c>
      <c r="G22" s="35">
        <f t="shared" si="6"/>
        <v>557.07307353203691</v>
      </c>
      <c r="H22" s="93">
        <f>'[4]Shipments &amp; Prices'!$O$244</f>
        <v>110059.15564535075</v>
      </c>
      <c r="I22" s="13">
        <f t="shared" si="7"/>
        <v>-110130.8365120144</v>
      </c>
      <c r="J22" s="13">
        <f t="shared" si="8"/>
        <v>425928.71129249159</v>
      </c>
      <c r="K22" s="13">
        <f>G22-D22</f>
        <v>74.80855956829447</v>
      </c>
      <c r="L22" s="37"/>
      <c r="M22" s="14">
        <f>K22*F22/1000</f>
        <v>14779.689222688517</v>
      </c>
      <c r="O22" s="13">
        <f t="shared" si="9"/>
        <v>74.80855956829447</v>
      </c>
      <c r="P22" s="14">
        <f t="shared" si="10"/>
        <v>14779.689222688517</v>
      </c>
      <c r="Q22" s="14">
        <f t="shared" si="11"/>
        <v>0</v>
      </c>
      <c r="R22" s="698"/>
      <c r="S22" s="18"/>
      <c r="T22" s="699"/>
      <c r="U22" s="678"/>
      <c r="V22" s="678"/>
      <c r="AA22" s="678"/>
      <c r="AB22" s="678"/>
      <c r="AC22" s="678"/>
      <c r="AD22" s="678"/>
      <c r="AE22" s="678"/>
      <c r="AF22" s="89"/>
      <c r="AG22" s="678"/>
      <c r="AH22" s="678"/>
      <c r="AI22" s="678"/>
    </row>
    <row r="23" spans="2:39">
      <c r="B23" s="8" t="s">
        <v>275</v>
      </c>
      <c r="C23" s="92">
        <f>'[3]Shipments &amp; Prices'!$O$34*1000</f>
        <v>85817.96</v>
      </c>
      <c r="D23" s="35">
        <f t="shared" si="5"/>
        <v>681.44089467682966</v>
      </c>
      <c r="E23" s="93">
        <f>'[3]Shipments &amp; Prices'!$O$248</f>
        <v>58479.867441740382</v>
      </c>
      <c r="F23" s="92">
        <f>'[4]Shipments &amp; Prices'!$O$34*1000</f>
        <v>100236.84017419748</v>
      </c>
      <c r="G23" s="35">
        <f t="shared" si="6"/>
        <v>725.8299650909795</v>
      </c>
      <c r="H23" s="93">
        <f>'[4]Shipments &amp; Prices'!$O$248</f>
        <v>72754.902204467857</v>
      </c>
      <c r="I23" s="13">
        <f t="shared" si="7"/>
        <v>10842.619647709535</v>
      </c>
      <c r="J23" s="13">
        <f t="shared" si="8"/>
        <v>84325.52676109274</v>
      </c>
      <c r="K23" s="37"/>
      <c r="L23" s="13">
        <f t="shared" ref="L23:L28" si="17">(G23*$H$152)-(D23*$E$152)</f>
        <v>77.270714332004445</v>
      </c>
      <c r="M23" s="15">
        <f t="shared" ref="M23:M28" si="18">L23*F23/1000/$E$152</f>
        <v>1434.328193082074</v>
      </c>
      <c r="O23" s="13">
        <f t="shared" si="9"/>
        <v>44.389070414149842</v>
      </c>
      <c r="P23" s="15">
        <f t="shared" si="10"/>
        <v>4449.4201565843359</v>
      </c>
      <c r="Q23" s="15">
        <f t="shared" si="11"/>
        <v>3015.0919635022619</v>
      </c>
      <c r="R23" s="698"/>
      <c r="S23" s="18"/>
      <c r="T23" s="700"/>
      <c r="U23" s="77"/>
      <c r="V23" s="591"/>
      <c r="AA23" s="6"/>
      <c r="AB23" s="6"/>
      <c r="AC23" s="6"/>
      <c r="AD23" s="6"/>
      <c r="AE23" s="6"/>
      <c r="AF23" s="224"/>
      <c r="AG23" s="6"/>
      <c r="AH23" s="6"/>
      <c r="AI23" s="6"/>
    </row>
    <row r="24" spans="2:39">
      <c r="B24" s="8" t="s">
        <v>276</v>
      </c>
      <c r="C24" s="92">
        <f>('[3]Shipments &amp; Prices'!$O$35)*1000</f>
        <v>1438681.32</v>
      </c>
      <c r="D24" s="35">
        <f t="shared" si="5"/>
        <v>658.7720119535602</v>
      </c>
      <c r="E24" s="93">
        <f>'[3]Shipments &amp; Prices'!$O$249</f>
        <v>947762.98773640371</v>
      </c>
      <c r="F24" s="92">
        <f>('[4]Shipments &amp; Prices'!$O$35)*1000</f>
        <v>1441770.7359999982</v>
      </c>
      <c r="G24" s="35">
        <f t="shared" si="6"/>
        <v>693.84695980764207</v>
      </c>
      <c r="H24" s="93">
        <f>'[4]Shipments &amp; Prices'!$O$249</f>
        <v>1000368.2419132253</v>
      </c>
      <c r="I24" s="13">
        <f t="shared" si="7"/>
        <v>18517.469795383251</v>
      </c>
      <c r="J24" s="13">
        <f t="shared" si="8"/>
        <v>1413661.6641824653</v>
      </c>
      <c r="K24" s="37"/>
      <c r="L24" s="13">
        <f t="shared" si="17"/>
        <v>34.131787286373765</v>
      </c>
      <c r="M24" s="15">
        <f t="shared" si="18"/>
        <v>9113.0022364574961</v>
      </c>
      <c r="O24" s="13">
        <f t="shared" si="9"/>
        <v>35.07494785408187</v>
      </c>
      <c r="P24" s="15">
        <f t="shared" si="10"/>
        <v>50570.033382741174</v>
      </c>
      <c r="Q24" s="15">
        <f t="shared" si="11"/>
        <v>41457.031146283676</v>
      </c>
      <c r="R24" s="18">
        <f>C24+C25</f>
        <v>1866055.1300000001</v>
      </c>
      <c r="S24" s="18">
        <f>(T24/R24)*1000</f>
        <v>680.92611852501068</v>
      </c>
      <c r="T24" s="18">
        <f>E24+E25</f>
        <v>1270645.6766245845</v>
      </c>
      <c r="U24" s="77"/>
      <c r="V24" s="591"/>
      <c r="W24" s="38"/>
      <c r="X24" s="38"/>
      <c r="AA24" s="6"/>
      <c r="AB24" s="6"/>
      <c r="AC24" s="6"/>
      <c r="AD24" s="6"/>
      <c r="AE24" s="6"/>
      <c r="AF24" s="224"/>
      <c r="AG24" s="6"/>
      <c r="AH24" s="6"/>
      <c r="AI24" s="6"/>
    </row>
    <row r="25" spans="2:39">
      <c r="B25" s="8" t="s">
        <v>305</v>
      </c>
      <c r="C25" s="92">
        <f>+'[3]Shipments &amp; Prices'!$O$36*1000</f>
        <v>427373.81000000006</v>
      </c>
      <c r="D25" s="35">
        <f t="shared" si="5"/>
        <v>755.5041542863396</v>
      </c>
      <c r="E25" s="93">
        <f>+'[3]Shipments &amp; Prices'!$O$250</f>
        <v>322882.68888818083</v>
      </c>
      <c r="F25" s="92">
        <f>+'[4]Shipments &amp; Prices'!$O$36*1000</f>
        <v>446359.43442400004</v>
      </c>
      <c r="G25" s="35">
        <f t="shared" si="6"/>
        <v>799.87145597196456</v>
      </c>
      <c r="H25" s="93">
        <f>'[4]Shipments &amp; Prices'!$O$250</f>
        <v>357030.17069954751</v>
      </c>
      <c r="I25" s="13">
        <f t="shared" si="7"/>
        <v>19958.86974458097</v>
      </c>
      <c r="J25" s="13">
        <f t="shared" si="8"/>
        <v>419941.48604960041</v>
      </c>
      <c r="K25" s="37"/>
      <c r="L25" s="13">
        <f t="shared" si="17"/>
        <v>60.583746626350148</v>
      </c>
      <c r="M25" s="15">
        <f t="shared" si="18"/>
        <v>5007.8012739675132</v>
      </c>
      <c r="O25" s="13">
        <f t="shared" si="9"/>
        <v>44.367301685624966</v>
      </c>
      <c r="P25" s="15">
        <f t="shared" si="10"/>
        <v>19803.763687314546</v>
      </c>
      <c r="Q25" s="15">
        <f t="shared" si="11"/>
        <v>14795.962413347032</v>
      </c>
      <c r="R25" s="701">
        <f>F24+F25</f>
        <v>1888130.1704239983</v>
      </c>
      <c r="S25" s="18">
        <f>(T25/R25)*1000</f>
        <v>718.91145741713115</v>
      </c>
      <c r="T25" s="700">
        <f>H24+H25</f>
        <v>1357398.4126127728</v>
      </c>
      <c r="U25" s="77"/>
      <c r="V25" s="591"/>
      <c r="Z25" s="77"/>
      <c r="AA25" s="6"/>
      <c r="AB25" s="6"/>
      <c r="AC25" s="6"/>
      <c r="AD25" s="6"/>
      <c r="AE25" s="6"/>
      <c r="AF25" s="224"/>
      <c r="AG25" s="6"/>
      <c r="AH25" s="6"/>
      <c r="AI25" s="6"/>
    </row>
    <row r="26" spans="2:39">
      <c r="B26" s="8" t="s">
        <v>277</v>
      </c>
      <c r="C26" s="92">
        <f>'[3]Shipments &amp; Prices'!$O$44*1000</f>
        <v>102999.19000000002</v>
      </c>
      <c r="D26" s="35">
        <f t="shared" si="5"/>
        <v>859.20610955438804</v>
      </c>
      <c r="E26" s="93">
        <f>'[3]Shipments &amp; Prices'!$O$258</f>
        <v>88497.533327153244</v>
      </c>
      <c r="F26" s="92">
        <f>'[4]Shipments &amp; Prices'!$O$44*1000</f>
        <v>90523.857724700007</v>
      </c>
      <c r="G26" s="35">
        <f t="shared" si="6"/>
        <v>914.47188458082758</v>
      </c>
      <c r="H26" s="93">
        <f>'[4]Shipments &amp; Prices'!$O$258</f>
        <v>82781.522773033124</v>
      </c>
      <c r="I26" s="13">
        <f t="shared" si="7"/>
        <v>-9179.8488510503485</v>
      </c>
      <c r="J26" s="13">
        <f t="shared" si="8"/>
        <v>101207.96337638272</v>
      </c>
      <c r="K26" s="37"/>
      <c r="L26" s="13">
        <f t="shared" si="17"/>
        <v>93.789581463477589</v>
      </c>
      <c r="M26" s="15">
        <f t="shared" si="18"/>
        <v>1572.2582830479639</v>
      </c>
      <c r="O26" s="13">
        <f t="shared" si="9"/>
        <v>55.265775026439542</v>
      </c>
      <c r="P26" s="15">
        <f t="shared" si="10"/>
        <v>5002.8711555386917</v>
      </c>
      <c r="Q26" s="15">
        <f t="shared" si="11"/>
        <v>3430.6128724907276</v>
      </c>
      <c r="S26" s="697"/>
      <c r="T26" s="590"/>
      <c r="U26" s="77"/>
      <c r="V26" s="591">
        <f>23/5.25</f>
        <v>4.3809523809523814</v>
      </c>
      <c r="Z26" s="77"/>
      <c r="AA26" s="6"/>
      <c r="AB26" s="6"/>
      <c r="AC26" s="6"/>
      <c r="AD26" s="6"/>
      <c r="AE26" s="6"/>
      <c r="AF26" s="224"/>
      <c r="AG26" s="6"/>
      <c r="AH26" s="6"/>
      <c r="AI26" s="6"/>
      <c r="AM26" s="86"/>
    </row>
    <row r="27" spans="2:39">
      <c r="B27" s="8" t="s">
        <v>278</v>
      </c>
      <c r="C27" s="92">
        <f>'[3]Shipments &amp; Prices'!$O$45*1000</f>
        <v>0</v>
      </c>
      <c r="D27" s="949">
        <f>G27</f>
        <v>723.26749918165478</v>
      </c>
      <c r="E27" s="93">
        <f>'[3]Shipments &amp; Prices'!$O$259</f>
        <v>0</v>
      </c>
      <c r="F27" s="92">
        <f>'[4]Shipments &amp; Prices'!$O$45*1000</f>
        <v>45424.208000000021</v>
      </c>
      <c r="G27" s="35">
        <f t="shared" si="6"/>
        <v>723.26749918165478</v>
      </c>
      <c r="H27" s="93">
        <f>'[4]Shipments &amp; Prices'!$O$259</f>
        <v>32853.85332246733</v>
      </c>
      <c r="I27" s="13">
        <f t="shared" si="7"/>
        <v>32853.85332246733</v>
      </c>
      <c r="J27" s="13">
        <f t="shared" si="8"/>
        <v>0</v>
      </c>
      <c r="K27" s="37"/>
      <c r="L27" s="13">
        <f t="shared" si="17"/>
        <v>-161.8568230334281</v>
      </c>
      <c r="M27" s="15">
        <f t="shared" si="18"/>
        <v>-1361.5218510536356</v>
      </c>
      <c r="O27" s="13">
        <f t="shared" si="9"/>
        <v>0</v>
      </c>
      <c r="P27" s="15">
        <f t="shared" si="10"/>
        <v>0</v>
      </c>
      <c r="Q27" s="15">
        <f t="shared" si="11"/>
        <v>1361.5218510536356</v>
      </c>
      <c r="S27" s="697"/>
      <c r="X27" s="3"/>
      <c r="Z27" s="3"/>
      <c r="AE27" s="186"/>
      <c r="AH27" s="186"/>
      <c r="AM27" s="86"/>
    </row>
    <row r="28" spans="2:39">
      <c r="B28" s="8" t="s">
        <v>279</v>
      </c>
      <c r="C28" s="92">
        <f>'[3]Shipments &amp; Prices'!$O$48*1000</f>
        <v>1220.3923579624538</v>
      </c>
      <c r="D28" s="35">
        <f t="shared" si="5"/>
        <v>882.99233785211345</v>
      </c>
      <c r="E28" s="93">
        <f>'[3]Shipments &amp; Prices'!$O$262</f>
        <v>1077.5971012541204</v>
      </c>
      <c r="F28" s="92">
        <f>'[4]Shipments &amp; Prices'!$O$48*1000</f>
        <v>1887.8105506815871</v>
      </c>
      <c r="G28" s="35">
        <f t="shared" si="6"/>
        <v>937.18709384501119</v>
      </c>
      <c r="H28" s="93">
        <f>'[4]Shipments &amp; Prices'!$O$262</f>
        <v>1769.2316837232268</v>
      </c>
      <c r="I28" s="13">
        <f t="shared" si="7"/>
        <v>608.06530368131757</v>
      </c>
      <c r="J28" s="13">
        <f t="shared" si="8"/>
        <v>1199.1688970513396</v>
      </c>
      <c r="K28" s="37"/>
      <c r="L28" s="13">
        <f t="shared" si="17"/>
        <v>82.922742834687597</v>
      </c>
      <c r="M28" s="15">
        <f t="shared" si="18"/>
        <v>28.989338669403555</v>
      </c>
      <c r="O28" s="13">
        <f t="shared" ref="O28" si="19">G28-D28</f>
        <v>54.19475599289774</v>
      </c>
      <c r="P28" s="15">
        <f t="shared" ref="P28" si="20">O28*F28/1000</f>
        <v>102.30943215500652</v>
      </c>
      <c r="Q28" s="15">
        <f t="shared" ref="Q28" si="21">P28-M28</f>
        <v>73.320093485602968</v>
      </c>
      <c r="S28" s="697"/>
    </row>
    <row r="29" spans="2:39">
      <c r="B29" s="8" t="s">
        <v>280</v>
      </c>
      <c r="C29" s="92">
        <f>'[3]Shipments &amp; Prices'!$O$49*1000</f>
        <v>492.26</v>
      </c>
      <c r="D29" s="35">
        <f t="shared" si="5"/>
        <v>323.3149331466999</v>
      </c>
      <c r="E29" s="93">
        <f>'[3]Shipments &amp; Prices'!$O$263</f>
        <v>159.1550089907945</v>
      </c>
      <c r="F29" s="92">
        <f>'[4]Shipments &amp; Prices'!$O$49*1000</f>
        <v>4847.375</v>
      </c>
      <c r="G29" s="35">
        <f t="shared" si="6"/>
        <v>603.52341365485699</v>
      </c>
      <c r="H29" s="93">
        <f>'[4]Shipments &amp; Prices'!$O$263</f>
        <v>2925.504307265212</v>
      </c>
      <c r="I29" s="13">
        <f t="shared" si="7"/>
        <v>1410.8415299383396</v>
      </c>
      <c r="J29" s="13">
        <f t="shared" si="8"/>
        <v>483.69926066076977</v>
      </c>
      <c r="K29" s="13">
        <f>G29-D29</f>
        <v>280.20848050815709</v>
      </c>
      <c r="L29" s="37"/>
      <c r="M29" s="14">
        <f>K29*F29/1000</f>
        <v>1358.2755832032281</v>
      </c>
      <c r="O29" s="13">
        <f t="shared" si="9"/>
        <v>280.20848050815709</v>
      </c>
      <c r="P29" s="14">
        <f t="shared" si="10"/>
        <v>1358.2755832032281</v>
      </c>
      <c r="Q29" s="14">
        <f t="shared" si="11"/>
        <v>0</v>
      </c>
    </row>
    <row r="30" spans="2:39">
      <c r="B30" s="8" t="s">
        <v>29</v>
      </c>
      <c r="C30" s="92">
        <f>'[3]Shipments &amp; Prices'!$O$51*1000</f>
        <v>90127.470395196156</v>
      </c>
      <c r="D30" s="35">
        <f t="shared" si="5"/>
        <v>922.02222687578126</v>
      </c>
      <c r="E30" s="93">
        <f>'[3]Shipments &amp; Prices'!$O$265</f>
        <v>83099.530956459814</v>
      </c>
      <c r="F30" s="92">
        <f>'[4]Shipments &amp; Prices'!$O$51*1000</f>
        <v>95622.293215625148</v>
      </c>
      <c r="G30" s="35">
        <f t="shared" si="6"/>
        <v>982.99579011657045</v>
      </c>
      <c r="H30" s="93">
        <f>'[4]Shipments &amp; Prices'!$O$265</f>
        <v>93996.311672251817</v>
      </c>
      <c r="I30" s="13">
        <f t="shared" si="7"/>
        <v>6511.5066648032234</v>
      </c>
      <c r="J30" s="13">
        <f t="shared" si="8"/>
        <v>88560.091812013561</v>
      </c>
      <c r="K30" s="37"/>
      <c r="L30" s="13">
        <f>(G30*$H$152)-(D30*$E$152)</f>
        <v>109.27697718101263</v>
      </c>
      <c r="M30" s="15">
        <f>L30*F30/1000/$E$152</f>
        <v>1935.0583617999937</v>
      </c>
      <c r="O30" s="13">
        <f t="shared" si="9"/>
        <v>60.97356324078919</v>
      </c>
      <c r="P30" s="15">
        <f t="shared" si="10"/>
        <v>5830.4319426122074</v>
      </c>
      <c r="Q30" s="15">
        <f t="shared" si="11"/>
        <v>3895.3735808122137</v>
      </c>
      <c r="R30" s="128"/>
    </row>
    <row r="31" spans="2:39">
      <c r="B31" s="8" t="s">
        <v>31</v>
      </c>
      <c r="C31" s="92">
        <f>('[3]Shipments &amp; Prices'!$O$52)*1000</f>
        <v>265325.53999999992</v>
      </c>
      <c r="D31" s="35">
        <f t="shared" si="5"/>
        <v>788.21578807237404</v>
      </c>
      <c r="E31" s="93">
        <f>'[3]Shipments &amp; Prices'!$O$266</f>
        <v>209133.77960682815</v>
      </c>
      <c r="F31" s="92">
        <f>('[4]Shipments &amp; Prices'!$O$52)*1000</f>
        <v>286122.31839448167</v>
      </c>
      <c r="G31" s="35">
        <f t="shared" si="6"/>
        <v>844.90554447654165</v>
      </c>
      <c r="H31" s="93">
        <f>'[4]Shipments &amp; Prices'!$O$266</f>
        <v>241746.33320997993</v>
      </c>
      <c r="I31" s="13">
        <f t="shared" si="7"/>
        <v>20029.329070439559</v>
      </c>
      <c r="J31" s="13">
        <f t="shared" si="8"/>
        <v>260711.34671193975</v>
      </c>
      <c r="K31" s="37"/>
      <c r="L31" s="13">
        <f>(G31*$H$152)-(D31*$E$152)</f>
        <v>117.04702334785452</v>
      </c>
      <c r="M31" s="15">
        <f>L31*F31/1000/$E$152</f>
        <v>6201.8084595298442</v>
      </c>
      <c r="O31" s="13">
        <f t="shared" si="9"/>
        <v>56.689756404167611</v>
      </c>
      <c r="P31" s="15">
        <f t="shared" si="10"/>
        <v>16220.204531578853</v>
      </c>
      <c r="Q31" s="15">
        <f t="shared" si="11"/>
        <v>10018.396072049009</v>
      </c>
      <c r="R31" s="18">
        <f>C31+C32</f>
        <v>375627.50999999995</v>
      </c>
      <c r="S31" s="18">
        <f>(T31/R31)*1000</f>
        <v>801.5134936506895</v>
      </c>
      <c r="T31" s="18">
        <f>E31+E32</f>
        <v>301070.51785140927</v>
      </c>
      <c r="U31" s="77"/>
      <c r="V31" s="591"/>
      <c r="Z31" s="77"/>
      <c r="AA31" s="6"/>
      <c r="AB31" s="6"/>
      <c r="AC31" s="6"/>
      <c r="AD31" s="6"/>
      <c r="AE31" s="6"/>
      <c r="AF31" s="4"/>
      <c r="AG31" s="6"/>
      <c r="AH31" s="6"/>
      <c r="AI31" s="6"/>
    </row>
    <row r="32" spans="2:39">
      <c r="B32" s="8" t="s">
        <v>306</v>
      </c>
      <c r="C32" s="92">
        <f>+'[3]Shipments &amp; Prices'!$O$53*1000</f>
        <v>110301.97000000002</v>
      </c>
      <c r="D32" s="35">
        <f t="shared" si="5"/>
        <v>833.5004192996837</v>
      </c>
      <c r="E32" s="93">
        <f>+'[3]Shipments &amp; Prices'!$O$267</f>
        <v>91936.738244581138</v>
      </c>
      <c r="F32" s="92">
        <f>+'[4]Shipments &amp; Prices'!$O$53*1000</f>
        <v>117390.91099999999</v>
      </c>
      <c r="G32" s="35">
        <f t="shared" si="6"/>
        <v>892.18139614142331</v>
      </c>
      <c r="H32" s="93">
        <f>+'[4]Shipments &amp; Prices'!$O$267</f>
        <v>104733.98687029356</v>
      </c>
      <c r="I32" s="13">
        <f t="shared" si="7"/>
        <v>7507.4782890465494</v>
      </c>
      <c r="J32" s="13">
        <f t="shared" si="8"/>
        <v>108383.7430187836</v>
      </c>
      <c r="K32" s="37"/>
      <c r="L32" s="13">
        <f>(G32*$H$152)-(D32*$E$152)</f>
        <v>117.21996072573438</v>
      </c>
      <c r="M32" s="15">
        <f>L32*F32/1000/$E$152</f>
        <v>2548.2514772181812</v>
      </c>
      <c r="O32" s="13">
        <f t="shared" si="9"/>
        <v>58.680976841739607</v>
      </c>
      <c r="P32" s="15">
        <f t="shared" si="10"/>
        <v>6888.6133298217155</v>
      </c>
      <c r="Q32" s="15">
        <f t="shared" si="11"/>
        <v>4340.3618526035343</v>
      </c>
      <c r="R32" s="701">
        <f>F31+F32</f>
        <v>403513.22939448163</v>
      </c>
      <c r="S32" s="18">
        <f>(T32/R32)*1000</f>
        <v>858.65913392779555</v>
      </c>
      <c r="T32" s="700">
        <f>H31+H32</f>
        <v>346480.32008027349</v>
      </c>
      <c r="U32" s="77"/>
      <c r="V32" s="591"/>
      <c r="Y32" s="591"/>
      <c r="Z32" s="77"/>
      <c r="AA32" s="6"/>
      <c r="AB32" s="6"/>
      <c r="AC32" s="6"/>
      <c r="AD32" s="6"/>
      <c r="AE32" s="6"/>
      <c r="AF32" s="4"/>
      <c r="AG32" s="6"/>
      <c r="AH32" s="6"/>
      <c r="AI32" s="6"/>
    </row>
    <row r="33" spans="2:35">
      <c r="B33" s="8" t="s">
        <v>281</v>
      </c>
      <c r="C33" s="92">
        <f>'[3]Shipments &amp; Prices'!$O$61*1000</f>
        <v>49551.853244528029</v>
      </c>
      <c r="D33" s="35">
        <f t="shared" si="5"/>
        <v>1018.0180553139453</v>
      </c>
      <c r="E33" s="93">
        <f>'[3]Shipments &amp; Prices'!$O$275</f>
        <v>50444.681277196432</v>
      </c>
      <c r="F33" s="92">
        <f>'[4]Shipments &amp; Prices'!$O$61*1000</f>
        <v>41148.523634731071</v>
      </c>
      <c r="G33" s="35">
        <f t="shared" si="6"/>
        <v>1058.4157236736737</v>
      </c>
      <c r="H33" s="93">
        <f>'[4]Shipments &amp; Prices'!$O$275</f>
        <v>43552.244420957155</v>
      </c>
      <c r="I33" s="13">
        <f t="shared" si="7"/>
        <v>-7677.4736295626453</v>
      </c>
      <c r="J33" s="13">
        <f t="shared" si="8"/>
        <v>48690.112498982598</v>
      </c>
      <c r="K33" s="37"/>
      <c r="L33" s="13">
        <f>(G33*$H$152)-(D33*$E$152)</f>
        <v>-18.710747315871231</v>
      </c>
      <c r="M33" s="15">
        <f>L33*F33/1000/$E$152</f>
        <v>-142.5777089167793</v>
      </c>
      <c r="O33" s="13">
        <f t="shared" ref="O33" si="22">G33-D33</f>
        <v>40.397668359728414</v>
      </c>
      <c r="P33" s="15">
        <f t="shared" ref="P33" si="23">O33*F33/1000</f>
        <v>1662.3044112883122</v>
      </c>
      <c r="Q33" s="15">
        <f t="shared" ref="Q33" si="24">P33-M33</f>
        <v>1804.8821202050915</v>
      </c>
      <c r="S33" s="697"/>
      <c r="T33" s="590"/>
      <c r="U33" s="77"/>
      <c r="V33" s="591"/>
      <c r="Y33" s="591"/>
      <c r="Z33" s="77"/>
      <c r="AA33" s="6"/>
      <c r="AB33" s="6"/>
      <c r="AC33" s="6"/>
      <c r="AD33" s="6"/>
      <c r="AE33" s="6"/>
      <c r="AF33" s="4"/>
      <c r="AG33" s="6"/>
      <c r="AH33" s="6"/>
      <c r="AI33" s="6"/>
    </row>
    <row r="34" spans="2:35">
      <c r="B34" s="8" t="s">
        <v>282</v>
      </c>
      <c r="C34" s="92">
        <f>'[3]Shipments &amp; Prices'!$O$62*1000</f>
        <v>1014.1200000000001</v>
      </c>
      <c r="D34" s="35">
        <f t="shared" si="5"/>
        <v>323.3149331466999</v>
      </c>
      <c r="E34" s="93">
        <f>'[3]Shipments &amp; Prices'!$O$276</f>
        <v>327.88014000273137</v>
      </c>
      <c r="F34" s="92">
        <f>'[4]Shipments &amp; Prices'!$O$62*1000</f>
        <v>2599.1210000000001</v>
      </c>
      <c r="G34" s="35">
        <f t="shared" si="6"/>
        <v>562.09664698283348</v>
      </c>
      <c r="H34" s="93">
        <f>'[4]Shipments &amp; Prices'!$O$276</f>
        <v>1460.9571992026692</v>
      </c>
      <c r="I34" s="13">
        <f t="shared" si="7"/>
        <v>518.1565530786412</v>
      </c>
      <c r="J34" s="13">
        <f t="shared" si="8"/>
        <v>996.48375700097495</v>
      </c>
      <c r="K34" s="13">
        <f>G34-D34</f>
        <v>238.78171383613358</v>
      </c>
      <c r="L34" s="37"/>
      <c r="M34" s="14">
        <f>K34*F34/1000</f>
        <v>620.62256684748536</v>
      </c>
      <c r="O34" s="13">
        <f t="shared" si="9"/>
        <v>238.78171383613358</v>
      </c>
      <c r="P34" s="14">
        <f t="shared" si="10"/>
        <v>620.62256684748536</v>
      </c>
      <c r="Q34" s="14">
        <f t="shared" si="11"/>
        <v>0</v>
      </c>
      <c r="T34" s="590"/>
      <c r="U34" s="77"/>
      <c r="V34" s="591"/>
      <c r="W34" s="1">
        <f>220-167</f>
        <v>53</v>
      </c>
      <c r="Y34" s="591"/>
      <c r="Z34" s="77"/>
      <c r="AA34" s="6"/>
      <c r="AB34" s="6"/>
      <c r="AC34" s="6"/>
      <c r="AD34" s="6"/>
      <c r="AE34" s="6"/>
      <c r="AF34" s="4"/>
      <c r="AG34" s="6"/>
      <c r="AH34" s="6"/>
      <c r="AI34" s="6"/>
    </row>
    <row r="35" spans="2:35">
      <c r="B35" s="8" t="s">
        <v>32</v>
      </c>
      <c r="C35" s="92">
        <f>'[3]Shipments &amp; Prices'!$O$64*1000</f>
        <v>463694.02845894557</v>
      </c>
      <c r="D35" s="35">
        <f t="shared" si="5"/>
        <v>1045.098613309294</v>
      </c>
      <c r="E35" s="93">
        <f>'[3]Shipments &amp; Prices'!$O$278</f>
        <v>484605.98614224436</v>
      </c>
      <c r="F35" s="92">
        <f>'[4]Shipments &amp; Prices'!$O$64*1000</f>
        <v>463787.28951984947</v>
      </c>
      <c r="G35" s="35">
        <f t="shared" si="6"/>
        <v>1098.8490261551694</v>
      </c>
      <c r="H35" s="93">
        <f>'[4]Shipments &amp; Prices'!$O$278</f>
        <v>509632.21143203217</v>
      </c>
      <c r="I35" s="13">
        <f t="shared" si="7"/>
        <v>8525.0977891471794</v>
      </c>
      <c r="J35" s="13">
        <f t="shared" si="8"/>
        <v>455630.07097551273</v>
      </c>
      <c r="K35" s="37"/>
      <c r="L35" s="13">
        <f>(G35*$H$152)-(D35*$E$152)</f>
        <v>44.345683631760039</v>
      </c>
      <c r="M35" s="15">
        <f>L35*F35/1000/$E$152</f>
        <v>3808.6971136071747</v>
      </c>
      <c r="O35" s="13">
        <f t="shared" si="9"/>
        <v>53.750412845875417</v>
      </c>
      <c r="P35" s="15">
        <f t="shared" si="10"/>
        <v>24928.758284361458</v>
      </c>
      <c r="Q35" s="15">
        <f t="shared" si="11"/>
        <v>21120.061170754285</v>
      </c>
      <c r="R35" s="128"/>
      <c r="AE35" s="186"/>
      <c r="AH35" s="186"/>
    </row>
    <row r="36" spans="2:35">
      <c r="B36" s="8" t="s">
        <v>33</v>
      </c>
      <c r="C36" s="92">
        <f>('[3]Shipments &amp; Prices'!$O$65)*1000</f>
        <v>416584.70999999996</v>
      </c>
      <c r="D36" s="35">
        <f t="shared" si="5"/>
        <v>848.78295422451879</v>
      </c>
      <c r="E36" s="93">
        <f>'[3]Shipments &amp; Prices'!$O$279</f>
        <v>353590.00083856442</v>
      </c>
      <c r="F36" s="92">
        <f>('[4]Shipments &amp; Prices'!$O$65)*1000</f>
        <v>438619.17</v>
      </c>
      <c r="G36" s="35">
        <f t="shared" si="6"/>
        <v>912.55185611988099</v>
      </c>
      <c r="H36" s="93">
        <f>'[4]Shipments &amp; Prices'!$O$279</f>
        <v>400262.73771326162</v>
      </c>
      <c r="I36" s="13">
        <f t="shared" si="7"/>
        <v>24851.646909628525</v>
      </c>
      <c r="J36" s="13">
        <f t="shared" si="8"/>
        <v>409340.01590537757</v>
      </c>
      <c r="K36" s="37"/>
      <c r="L36" s="13">
        <f>(G36*$H$152)-(D36*$E$152)</f>
        <v>140.13614120186503</v>
      </c>
      <c r="M36" s="15">
        <f>L36*F36/1000/$E$152</f>
        <v>11382.666285363859</v>
      </c>
      <c r="O36" s="13">
        <f t="shared" si="9"/>
        <v>63.768901895362205</v>
      </c>
      <c r="P36" s="15">
        <f t="shared" si="10"/>
        <v>27970.262821155196</v>
      </c>
      <c r="Q36" s="15">
        <f t="shared" si="11"/>
        <v>16587.596535791337</v>
      </c>
      <c r="R36" s="18">
        <f>C36+C37</f>
        <v>500124.03999999992</v>
      </c>
      <c r="S36" s="18">
        <f>(T36/R36)*1000</f>
        <v>854.04782053469592</v>
      </c>
      <c r="T36" s="18">
        <f>E36+E37</f>
        <v>427129.84635900706</v>
      </c>
      <c r="U36" s="77"/>
      <c r="V36" s="591"/>
      <c r="W36" s="679"/>
      <c r="X36" s="679"/>
      <c r="Y36" s="680"/>
      <c r="Z36" s="679"/>
      <c r="AA36" s="6"/>
      <c r="AB36" s="6"/>
      <c r="AC36" s="6"/>
      <c r="AD36" s="6"/>
      <c r="AE36" s="6"/>
      <c r="AF36" s="4"/>
      <c r="AG36" s="6"/>
      <c r="AH36" s="6"/>
      <c r="AI36" s="6"/>
    </row>
    <row r="37" spans="2:35">
      <c r="B37" s="8" t="s">
        <v>307</v>
      </c>
      <c r="C37" s="92">
        <f>+'[3]Shipments &amp; Prices'!$O$66*1000</f>
        <v>83539.329999999987</v>
      </c>
      <c r="D37" s="35">
        <f t="shared" si="5"/>
        <v>880.30207472866596</v>
      </c>
      <c r="E37" s="93">
        <f>+'[3]Shipments &amp; Prices'!$O$280</f>
        <v>73539.845520442672</v>
      </c>
      <c r="F37" s="92">
        <f>+'[4]Shipments &amp; Prices'!$O$66*1000</f>
        <v>76159.621079999997</v>
      </c>
      <c r="G37" s="35">
        <f t="shared" si="6"/>
        <v>950.63960616797078</v>
      </c>
      <c r="H37" s="93">
        <f>+'[4]Shipments &amp; Prices'!$O$280</f>
        <v>72400.352189393088</v>
      </c>
      <c r="I37" s="13">
        <f t="shared" si="7"/>
        <v>-5217.4646740558155</v>
      </c>
      <c r="J37" s="13">
        <f t="shared" si="8"/>
        <v>82086.523701084909</v>
      </c>
      <c r="K37" s="37"/>
      <c r="L37" s="13">
        <f>(G37*$H$152)-(D37*$E$152)</f>
        <v>167.08325222868007</v>
      </c>
      <c r="M37" s="15">
        <f>L37*F37/1000/$E$152</f>
        <v>2356.4809589908032</v>
      </c>
      <c r="O37" s="13">
        <f t="shared" si="9"/>
        <v>70.337531439304826</v>
      </c>
      <c r="P37" s="15">
        <f t="shared" si="10"/>
        <v>5356.8797421200425</v>
      </c>
      <c r="Q37" s="15">
        <f t="shared" si="11"/>
        <v>3000.3987831292393</v>
      </c>
      <c r="R37" s="701">
        <f>F36+F37</f>
        <v>514778.79108</v>
      </c>
      <c r="S37" s="18">
        <f>(T37/R37)*1000</f>
        <v>918.18679808275112</v>
      </c>
      <c r="T37" s="700">
        <f>H36+H37</f>
        <v>472663.0899026547</v>
      </c>
      <c r="U37" s="77"/>
      <c r="V37" s="591"/>
      <c r="W37" s="77"/>
      <c r="X37" s="77"/>
      <c r="Y37" s="591"/>
      <c r="Z37" s="77"/>
      <c r="AA37" s="6"/>
      <c r="AB37" s="6"/>
      <c r="AC37" s="6"/>
      <c r="AD37" s="6"/>
      <c r="AE37" s="6"/>
      <c r="AF37" s="4"/>
      <c r="AG37" s="6"/>
      <c r="AH37" s="6"/>
      <c r="AI37" s="6"/>
    </row>
    <row r="38" spans="2:35">
      <c r="B38" s="8" t="s">
        <v>283</v>
      </c>
      <c r="C38" s="92">
        <f>'[3]Shipments &amp; Prices'!$O$74*1000</f>
        <v>0</v>
      </c>
      <c r="D38" s="35">
        <f t="shared" si="5"/>
        <v>0</v>
      </c>
      <c r="E38" s="93">
        <f>'[3]Shipments &amp; Prices'!$O$288</f>
        <v>0</v>
      </c>
      <c r="F38" s="92">
        <f>'[4]Shipments &amp; Prices'!$O$74*1000</f>
        <v>0</v>
      </c>
      <c r="G38" s="35">
        <f t="shared" si="6"/>
        <v>0</v>
      </c>
      <c r="H38" s="93">
        <f>'[4]Shipments &amp; Prices'!$O$288</f>
        <v>0</v>
      </c>
      <c r="I38" s="13">
        <f t="shared" si="7"/>
        <v>0</v>
      </c>
      <c r="J38" s="13">
        <f t="shared" si="8"/>
        <v>0</v>
      </c>
      <c r="K38" s="13">
        <f>G38-D38</f>
        <v>0</v>
      </c>
      <c r="L38" s="37"/>
      <c r="M38" s="14">
        <f>K38*F38/1000</f>
        <v>0</v>
      </c>
      <c r="O38" s="13">
        <f t="shared" si="9"/>
        <v>0</v>
      </c>
      <c r="P38" s="14">
        <f t="shared" si="10"/>
        <v>0</v>
      </c>
      <c r="Q38" s="14">
        <f t="shared" si="11"/>
        <v>0</v>
      </c>
      <c r="T38" s="590"/>
      <c r="U38" s="77"/>
      <c r="V38" s="591"/>
      <c r="W38" s="77"/>
      <c r="X38" s="77"/>
      <c r="Y38" s="591"/>
      <c r="Z38" s="77"/>
      <c r="AA38" s="6"/>
      <c r="AB38" s="6"/>
      <c r="AC38" s="6"/>
      <c r="AD38" s="6"/>
      <c r="AE38" s="6"/>
      <c r="AF38" s="4"/>
      <c r="AG38" s="6"/>
      <c r="AH38" s="6"/>
      <c r="AI38" s="6"/>
    </row>
    <row r="39" spans="2:35">
      <c r="B39" s="8" t="s">
        <v>34</v>
      </c>
      <c r="C39" s="92">
        <f>('[3]Shipments &amp; Prices'!$O$79)*1000</f>
        <v>181457.09000000003</v>
      </c>
      <c r="D39" s="35">
        <f t="shared" si="5"/>
        <v>973.02160893390283</v>
      </c>
      <c r="E39" s="93">
        <f>'[3]Shipments &amp; Prices'!$O$293</f>
        <v>176561.66966426402</v>
      </c>
      <c r="F39" s="92">
        <f>('[4]Shipments &amp; Prices'!$O$79)*1000</f>
        <v>136271.78900000008</v>
      </c>
      <c r="G39" s="35">
        <f t="shared" si="6"/>
        <v>1027.6409820521678</v>
      </c>
      <c r="H39" s="93">
        <f>'[4]Shipments &amp; Prices'!$O$293</f>
        <v>140038.47507396591</v>
      </c>
      <c r="I39" s="13">
        <f t="shared" si="7"/>
        <v>-40895.745633151986</v>
      </c>
      <c r="J39" s="13">
        <f t="shared" si="8"/>
        <v>178301.42663359761</v>
      </c>
      <c r="K39" s="37"/>
      <c r="L39" s="13">
        <f>(G39*$H$152)-(D39*$E$152)</f>
        <v>64.97340119760338</v>
      </c>
      <c r="M39" s="15">
        <f>L39*F39/1000/$E$152</f>
        <v>1639.6373367800295</v>
      </c>
      <c r="O39" s="13">
        <f t="shared" si="9"/>
        <v>54.619373118265003</v>
      </c>
      <c r="P39" s="15">
        <f t="shared" si="10"/>
        <v>7443.0796888844843</v>
      </c>
      <c r="Q39" s="15">
        <f t="shared" si="11"/>
        <v>5803.4423521044546</v>
      </c>
      <c r="R39" s="18">
        <f>C39+C40</f>
        <v>287792.97000000003</v>
      </c>
      <c r="S39" s="18">
        <f>(T39/R39)*1000</f>
        <v>1015.5455588957141</v>
      </c>
      <c r="T39" s="18">
        <f>E39+E40</f>
        <v>292266.87256490753</v>
      </c>
      <c r="U39" s="77"/>
      <c r="V39" s="591"/>
      <c r="W39" s="77"/>
      <c r="X39" s="77"/>
      <c r="Y39" s="591"/>
      <c r="Z39" s="77"/>
      <c r="AA39" s="6"/>
      <c r="AB39" s="6"/>
      <c r="AC39" s="6"/>
      <c r="AD39" s="6"/>
      <c r="AE39" s="6"/>
      <c r="AF39" s="4"/>
      <c r="AG39" s="6"/>
      <c r="AH39" s="6"/>
      <c r="AI39" s="6"/>
    </row>
    <row r="40" spans="2:35">
      <c r="B40" s="8" t="s">
        <v>530</v>
      </c>
      <c r="C40" s="92">
        <f>+'[3]Shipments &amp; Prices'!$O$80*1000</f>
        <v>106335.88</v>
      </c>
      <c r="D40" s="35">
        <f t="shared" si="5"/>
        <v>1088.1106443153853</v>
      </c>
      <c r="E40" s="93">
        <f>+'[3]Shipments &amp; Prices'!$O$294</f>
        <v>115705.20290064352</v>
      </c>
      <c r="F40" s="92">
        <f>+'[4]Shipments &amp; Prices'!$O$80*1000</f>
        <v>88523.367000000013</v>
      </c>
      <c r="G40" s="35">
        <f t="shared" si="6"/>
        <v>1184.3832810817546</v>
      </c>
      <c r="H40" s="93">
        <f>+'[4]Shipments &amp; Prices'!$O$294</f>
        <v>104845.59585986432</v>
      </c>
      <c r="I40" s="13">
        <f t="shared" si="7"/>
        <v>-17369.7920865981</v>
      </c>
      <c r="J40" s="13">
        <f t="shared" si="8"/>
        <v>104486.62604662645</v>
      </c>
      <c r="K40" s="37"/>
      <c r="L40" s="13">
        <f>(G40*$H$152)-(D40*$E$152)</f>
        <v>254.8243615818028</v>
      </c>
      <c r="M40" s="15">
        <f>L40*F40/1000/$E$152</f>
        <v>4177.3908297864136</v>
      </c>
      <c r="O40" s="13">
        <f t="shared" si="9"/>
        <v>96.27263676636926</v>
      </c>
      <c r="P40" s="15">
        <f t="shared" si="10"/>
        <v>8522.3779565269997</v>
      </c>
      <c r="Q40" s="15">
        <f t="shared" si="11"/>
        <v>4344.9871267405861</v>
      </c>
      <c r="R40" s="701">
        <f>F39+F40</f>
        <v>224795.15600000008</v>
      </c>
      <c r="S40" s="18">
        <f>(T40/R40)*1000</f>
        <v>1089.365426245351</v>
      </c>
      <c r="T40" s="700">
        <f>H39+H40</f>
        <v>244884.07093383023</v>
      </c>
      <c r="U40" s="77"/>
      <c r="V40" s="591"/>
      <c r="Y40" s="591"/>
      <c r="Z40" s="77"/>
      <c r="AA40" s="6"/>
      <c r="AB40" s="6"/>
      <c r="AC40" s="6"/>
      <c r="AD40" s="6"/>
      <c r="AE40" s="6"/>
      <c r="AF40" s="4"/>
      <c r="AG40" s="6"/>
      <c r="AH40" s="6"/>
      <c r="AI40" s="6"/>
    </row>
    <row r="41" spans="2:35">
      <c r="B41" s="8" t="s">
        <v>284</v>
      </c>
      <c r="C41" s="92">
        <f>'[3]Shipments &amp; Prices'!$O$90*1000</f>
        <v>94231.594684142721</v>
      </c>
      <c r="D41" s="35">
        <f t="shared" si="5"/>
        <v>1291.3710733114247</v>
      </c>
      <c r="E41" s="93">
        <f>'[3]Shipments &amp; Prices'!$O$304</f>
        <v>121687.95556710853</v>
      </c>
      <c r="F41" s="92">
        <f>'[4]Shipments &amp; Prices'!$O$90*1000</f>
        <v>99323.020800091981</v>
      </c>
      <c r="G41" s="35">
        <f t="shared" si="6"/>
        <v>1381.2513280098087</v>
      </c>
      <c r="H41" s="93">
        <f>'[4]Shipments &amp; Prices'!$O$304</f>
        <v>137190.05438207291</v>
      </c>
      <c r="I41" s="13">
        <f t="shared" si="7"/>
        <v>8691.1574948101152</v>
      </c>
      <c r="J41" s="13">
        <f t="shared" si="8"/>
        <v>92592.842562071179</v>
      </c>
      <c r="K41" s="37"/>
      <c r="L41" s="13">
        <f>(G41*$H$152)-(D41*$E$152)</f>
        <v>176.2492720964492</v>
      </c>
      <c r="M41" s="15">
        <f>L41*F41/1000/$E$152</f>
        <v>3241.7796515623504</v>
      </c>
      <c r="O41" s="13">
        <f t="shared" si="9"/>
        <v>89.880254698384078</v>
      </c>
      <c r="P41" s="15">
        <f t="shared" si="10"/>
        <v>8927.1784069251662</v>
      </c>
      <c r="Q41" s="15">
        <f t="shared" si="11"/>
        <v>5685.3987553628158</v>
      </c>
      <c r="R41" s="128"/>
      <c r="W41" s="77"/>
      <c r="X41" s="77"/>
      <c r="AE41" s="186"/>
      <c r="AH41" s="186"/>
    </row>
    <row r="42" spans="2:35">
      <c r="B42" s="19" t="s">
        <v>289</v>
      </c>
      <c r="C42" s="92">
        <f>'[3]Shipments &amp; Prices'!$O$91*1000</f>
        <v>7737.5399999999991</v>
      </c>
      <c r="D42" s="35">
        <f t="shared" si="5"/>
        <v>848.71896027417995</v>
      </c>
      <c r="E42" s="93">
        <f>'[3]Shipments &amp; Prices'!$O$305</f>
        <v>6566.9969038798772</v>
      </c>
      <c r="F42" s="92">
        <f>'[4]Shipments &amp; Prices'!$O$91*1000</f>
        <v>7661.2250000000004</v>
      </c>
      <c r="G42" s="35">
        <f t="shared" si="6"/>
        <v>819.85821665871219</v>
      </c>
      <c r="H42" s="93">
        <f>'[4]Shipments &amp; Prices'!$O$305</f>
        <v>6281.1182659211427</v>
      </c>
      <c r="I42" s="706">
        <f t="shared" si="7"/>
        <v>49.434596985078954</v>
      </c>
      <c r="J42" s="706">
        <f t="shared" si="8"/>
        <v>7602.9788675357167</v>
      </c>
      <c r="K42" s="707"/>
      <c r="L42" s="706">
        <f>(G42*$H$152)-(D42*$E$152)</f>
        <v>-339.32044645174392</v>
      </c>
      <c r="M42" s="706">
        <f>L42*F42/1000/$E$152</f>
        <v>-481.40931247541886</v>
      </c>
      <c r="N42" s="708"/>
      <c r="O42" s="706">
        <f t="shared" si="9"/>
        <v>-28.860743615467754</v>
      </c>
      <c r="P42" s="706">
        <f t="shared" si="10"/>
        <v>-221.10865050541196</v>
      </c>
      <c r="Q42" s="706">
        <f t="shared" si="11"/>
        <v>260.3006619700069</v>
      </c>
      <c r="R42" s="128"/>
      <c r="T42" s="590"/>
      <c r="U42" s="77"/>
      <c r="V42" s="591"/>
      <c r="W42" s="77"/>
      <c r="X42" s="77"/>
      <c r="Y42" s="591"/>
      <c r="Z42" s="77"/>
      <c r="AA42" s="6"/>
      <c r="AB42" s="6"/>
      <c r="AC42" s="6"/>
      <c r="AD42" s="6"/>
      <c r="AE42" s="6"/>
      <c r="AF42" s="4"/>
      <c r="AG42" s="6"/>
      <c r="AH42" s="6"/>
      <c r="AI42" s="6"/>
    </row>
    <row r="43" spans="2:35">
      <c r="B43" s="793" t="s">
        <v>358</v>
      </c>
      <c r="C43" s="92">
        <f>'[3]Shipments &amp; Prices'!$O$107*1000</f>
        <v>3816.3261818387646</v>
      </c>
      <c r="D43" s="35">
        <f t="shared" si="5"/>
        <v>1872.4826654238002</v>
      </c>
      <c r="E43" s="93">
        <f>'[3]Shipments &amp; Prices'!$O$321</f>
        <v>7146.0046210960845</v>
      </c>
      <c r="F43" s="92">
        <f>'[4]Shipments &amp; Prices'!$O$107*1000+'[4]Shipments &amp; Prices'!$O$105*1000</f>
        <v>3627.2928948158055</v>
      </c>
      <c r="G43" s="35">
        <f t="shared" si="6"/>
        <v>1950.7789811814962</v>
      </c>
      <c r="H43" s="93">
        <f>'[4]Shipments &amp; Prices'!$O$321+'[4]Shipments &amp; Prices'!$O$319</f>
        <v>7076.0467377956575</v>
      </c>
      <c r="I43" s="13">
        <f t="shared" si="7"/>
        <v>-229.68762700576013</v>
      </c>
      <c r="J43" s="13">
        <f t="shared" si="8"/>
        <v>3749.9576496074205</v>
      </c>
      <c r="K43" s="37"/>
      <c r="L43" s="13">
        <f>(G43*$H$152)-(D43*$E$152)</f>
        <v>-13.756063534403438</v>
      </c>
      <c r="M43" s="15">
        <f>L43*F43/1000/$E$152</f>
        <v>-9.2402354664771078</v>
      </c>
      <c r="O43" s="13">
        <f t="shared" si="9"/>
        <v>78.296315757695993</v>
      </c>
      <c r="P43" s="15">
        <f t="shared" si="10"/>
        <v>284.00366983814547</v>
      </c>
      <c r="Q43" s="15">
        <f t="shared" si="11"/>
        <v>293.24390530462256</v>
      </c>
      <c r="T43" s="590"/>
      <c r="U43" s="77"/>
      <c r="V43" s="591"/>
      <c r="W43" s="77"/>
      <c r="X43" s="77"/>
      <c r="Y43" s="591"/>
      <c r="Z43" s="77"/>
      <c r="AA43" s="6"/>
      <c r="AB43" s="6"/>
      <c r="AC43" s="6"/>
      <c r="AD43" s="6"/>
      <c r="AE43" s="6"/>
      <c r="AF43" s="4"/>
      <c r="AG43" s="6"/>
      <c r="AH43" s="6"/>
      <c r="AI43" s="6"/>
    </row>
    <row r="44" spans="2:35">
      <c r="B44" s="8" t="s">
        <v>920</v>
      </c>
      <c r="C44" s="92">
        <f>'[3]Shipments &amp; Prices'!$O$95*1000</f>
        <v>0</v>
      </c>
      <c r="D44" s="949">
        <f>G44</f>
        <v>481.23641067916822</v>
      </c>
      <c r="E44" s="93">
        <f>'[3]Shipments &amp; Prices'!$O$309</f>
        <v>0</v>
      </c>
      <c r="F44" s="92">
        <f>'[4]Shipments &amp; Prices'!$O$95*1000</f>
        <v>10000</v>
      </c>
      <c r="G44" s="35">
        <f t="shared" ref="G44" si="25">IF(ISERROR((+H44/F44)*1000),0,(+H44/F44)*1000)</f>
        <v>481.23641067916822</v>
      </c>
      <c r="H44" s="93">
        <f>'[4]Shipments &amp; Prices'!$O$309</f>
        <v>4812.3641067916824</v>
      </c>
      <c r="I44" s="13">
        <f t="shared" ref="I44" si="26">(F44-J44)*D44/1000</f>
        <v>4812.3641067916824</v>
      </c>
      <c r="J44" s="13">
        <f t="shared" si="8"/>
        <v>0</v>
      </c>
      <c r="K44" s="13">
        <f>G44-D44</f>
        <v>0</v>
      </c>
      <c r="L44" s="37"/>
      <c r="M44" s="14">
        <f>K44*F44/1000</f>
        <v>0</v>
      </c>
      <c r="O44" s="13">
        <f t="shared" ref="O44" si="27">G44-D44</f>
        <v>0</v>
      </c>
      <c r="P44" s="14">
        <f t="shared" ref="P44" si="28">O44*F44/1000</f>
        <v>0</v>
      </c>
      <c r="Q44" s="14">
        <f t="shared" ref="Q44" si="29">P44-M44</f>
        <v>0</v>
      </c>
      <c r="T44" s="590"/>
      <c r="U44" s="77"/>
      <c r="V44" s="591"/>
      <c r="W44" s="77"/>
      <c r="X44" s="77"/>
      <c r="Y44" s="591"/>
      <c r="Z44" s="77"/>
      <c r="AA44" s="6"/>
      <c r="AB44" s="6"/>
      <c r="AC44" s="6"/>
      <c r="AD44" s="6"/>
      <c r="AE44" s="6"/>
      <c r="AF44" s="4"/>
      <c r="AG44" s="6"/>
      <c r="AH44" s="6"/>
      <c r="AI44" s="6"/>
    </row>
    <row r="45" spans="2:35">
      <c r="B45" s="8" t="s">
        <v>921</v>
      </c>
      <c r="C45" s="92">
        <f>'[3]Shipments &amp; Prices'!$O$98*1000</f>
        <v>35399.969999999994</v>
      </c>
      <c r="D45" s="35">
        <f t="shared" si="5"/>
        <v>948.71897268627947</v>
      </c>
      <c r="E45" s="93">
        <f>'[3]Shipments &amp; Prices'!$O$312</f>
        <v>33584.623171525105</v>
      </c>
      <c r="F45" s="92">
        <f>('[4]Shipments &amp; Prices'!$O$98)*1000</f>
        <v>17169.268000000007</v>
      </c>
      <c r="G45" s="35">
        <f t="shared" si="6"/>
        <v>1006.9799835837825</v>
      </c>
      <c r="H45" s="93">
        <f>'[4]Shipments &amp; Prices'!$O$312</f>
        <v>17289.109208785569</v>
      </c>
      <c r="I45" s="13">
        <f t="shared" ref="I45" si="30">(F45-J45)*D45/1000</f>
        <v>-16711.753219806105</v>
      </c>
      <c r="J45" s="13">
        <f t="shared" si="8"/>
        <v>34784.340219423531</v>
      </c>
      <c r="K45" s="37"/>
      <c r="L45" s="13">
        <f>(G45*$H$152)-(D45*$E$152)</f>
        <v>89.261878337871167</v>
      </c>
      <c r="M45" s="15">
        <f>L45*F45/1000/$E$152</f>
        <v>283.80761321598243</v>
      </c>
      <c r="O45" s="13">
        <f t="shared" ref="O45" si="31">G45-D45</f>
        <v>58.26101089750307</v>
      </c>
      <c r="P45" s="15">
        <f t="shared" ref="P45" si="32">O45*F45/1000</f>
        <v>1000.2989100501512</v>
      </c>
      <c r="Q45" s="15">
        <f t="shared" ref="Q45" si="33">P45-M45</f>
        <v>716.49129683416879</v>
      </c>
      <c r="T45" s="590"/>
      <c r="U45" s="77"/>
      <c r="V45" s="591"/>
      <c r="W45" s="77"/>
      <c r="X45" s="77"/>
      <c r="Y45" s="591"/>
      <c r="Z45" s="77"/>
      <c r="AA45" s="6"/>
      <c r="AB45" s="6"/>
      <c r="AC45" s="6"/>
      <c r="AD45" s="6"/>
      <c r="AE45" s="6"/>
      <c r="AF45" s="4"/>
      <c r="AG45" s="6"/>
      <c r="AH45" s="6"/>
      <c r="AI45" s="6"/>
    </row>
    <row r="46" spans="2:35">
      <c r="B46" s="8" t="s">
        <v>922</v>
      </c>
      <c r="C46" s="92">
        <f>'[3]Shipments &amp; Prices'!$O$97*1000</f>
        <v>0</v>
      </c>
      <c r="D46" s="949">
        <f>G46</f>
        <v>1007.5182528038496</v>
      </c>
      <c r="E46" s="93">
        <f>'[3]Shipments &amp; Prices'!$O$311</f>
        <v>0</v>
      </c>
      <c r="F46" s="92">
        <f>'[4]Shipments &amp; Prices'!$O$97*1000</f>
        <v>7002.88</v>
      </c>
      <c r="G46" s="35">
        <f t="shared" si="6"/>
        <v>1007.5182528038496</v>
      </c>
      <c r="H46" s="93">
        <f>'[4]Shipments &amp; Prices'!$O$311</f>
        <v>7055.5294221950217</v>
      </c>
      <c r="I46" s="13">
        <f t="shared" ref="I46" si="34">(F46-J46)*D46/1000</f>
        <v>7055.5294221950217</v>
      </c>
      <c r="J46" s="13">
        <f t="shared" si="8"/>
        <v>0</v>
      </c>
      <c r="K46" s="37"/>
      <c r="L46" s="13">
        <f>(G46*$H$152)-(D46*$E$152)</f>
        <v>-225.46803738800918</v>
      </c>
      <c r="M46" s="15">
        <f>L46*F46/1000/$E$152</f>
        <v>-292.39363141921137</v>
      </c>
      <c r="O46" s="13">
        <f t="shared" ref="O46" si="35">G46-D46</f>
        <v>0</v>
      </c>
      <c r="P46" s="15">
        <f t="shared" ref="P46" si="36">O46*F46/1000</f>
        <v>0</v>
      </c>
      <c r="Q46" s="15">
        <f t="shared" ref="Q46" si="37">P46-M46</f>
        <v>292.39363141921137</v>
      </c>
      <c r="T46" s="590"/>
      <c r="U46" s="77"/>
      <c r="V46" s="591"/>
      <c r="W46" s="77"/>
      <c r="X46" s="77"/>
      <c r="Y46" s="591"/>
      <c r="Z46" s="77"/>
      <c r="AA46" s="6"/>
      <c r="AB46" s="6"/>
      <c r="AC46" s="6"/>
      <c r="AD46" s="6"/>
      <c r="AE46" s="6"/>
      <c r="AF46" s="4"/>
      <c r="AG46" s="6"/>
      <c r="AH46" s="6"/>
      <c r="AI46" s="6"/>
    </row>
    <row r="47" spans="2:35" ht="13.5" thickBot="1">
      <c r="B47" s="790" t="s">
        <v>733</v>
      </c>
      <c r="C47" s="92"/>
      <c r="D47" s="35"/>
      <c r="E47" s="93"/>
      <c r="F47" s="92"/>
      <c r="G47" s="35"/>
      <c r="H47" s="93"/>
      <c r="I47" s="13">
        <f t="shared" ref="I47" si="38">(F47-J47)*D47/1000</f>
        <v>0</v>
      </c>
      <c r="J47" s="13">
        <f t="shared" si="8"/>
        <v>0</v>
      </c>
      <c r="K47" s="37"/>
      <c r="L47" s="13">
        <f>(G47*$H$152)-(D47*$E$152)</f>
        <v>0</v>
      </c>
      <c r="M47" s="15">
        <f>L47*F47/1000/$E$152</f>
        <v>0</v>
      </c>
      <c r="O47" s="13">
        <f t="shared" ref="O47" si="39">G47-D47</f>
        <v>0</v>
      </c>
      <c r="P47" s="15">
        <f t="shared" ref="P47" si="40">O47*F47/1000</f>
        <v>0</v>
      </c>
      <c r="Q47" s="15">
        <f t="shared" ref="Q47" si="41">P47-M47</f>
        <v>0</v>
      </c>
      <c r="T47" s="590"/>
      <c r="U47" s="77"/>
      <c r="V47" s="591"/>
      <c r="W47" s="77"/>
      <c r="X47" s="77"/>
      <c r="Y47" s="591"/>
      <c r="Z47" s="77"/>
      <c r="AA47" s="6"/>
      <c r="AB47" s="6"/>
      <c r="AC47" s="6"/>
      <c r="AD47" s="6"/>
      <c r="AE47" s="6"/>
      <c r="AF47" s="4"/>
      <c r="AG47" s="6"/>
      <c r="AH47" s="6"/>
      <c r="AI47" s="6"/>
    </row>
    <row r="48" spans="2:35" ht="13.5" thickBot="1">
      <c r="B48" s="40" t="s">
        <v>35</v>
      </c>
      <c r="C48" s="596">
        <f>SUM(C17:C47)</f>
        <v>7232333.7353226142</v>
      </c>
      <c r="D48" s="597">
        <f>+E48/C48*1000</f>
        <v>661.80343378227985</v>
      </c>
      <c r="E48" s="596">
        <f>SUM(E17:E47)</f>
        <v>4786383.3002959285</v>
      </c>
      <c r="F48" s="596">
        <f>SUM(F17:F47)</f>
        <v>7106558.4866279848</v>
      </c>
      <c r="G48" s="597">
        <f>+H48/F48*1000</f>
        <v>723.42880683438705</v>
      </c>
      <c r="H48" s="596">
        <f>SUM(H17:H47)</f>
        <v>5141089.1266800705</v>
      </c>
      <c r="I48" s="596">
        <f>SUM(I17:I47)</f>
        <v>7994.4599377446002</v>
      </c>
      <c r="J48" s="596">
        <f>SUM(J17:J47)</f>
        <v>7106558.4866279839</v>
      </c>
      <c r="K48" s="44"/>
      <c r="L48" s="44"/>
      <c r="M48" s="596">
        <f>SUM(M17:M47)</f>
        <v>286548.94369344617</v>
      </c>
      <c r="O48" s="44"/>
      <c r="P48" s="596">
        <f>SUM(P17:P47)</f>
        <v>429949.8579173219</v>
      </c>
      <c r="Q48" s="596">
        <f>SUM(Q17:Q47)</f>
        <v>143400.91422387576</v>
      </c>
      <c r="T48" s="590"/>
      <c r="U48" s="77"/>
      <c r="V48" s="591"/>
      <c r="W48" s="77"/>
      <c r="X48" s="77"/>
      <c r="Y48" s="591"/>
      <c r="Z48" s="77"/>
      <c r="AA48" s="6"/>
      <c r="AB48" s="6"/>
      <c r="AC48" s="6"/>
      <c r="AD48" s="6"/>
      <c r="AE48" s="6"/>
      <c r="AF48" s="4"/>
      <c r="AG48" s="6"/>
      <c r="AH48" s="6"/>
      <c r="AI48" s="6"/>
    </row>
    <row r="49" spans="1:34">
      <c r="B49" s="45" t="s">
        <v>36</v>
      </c>
      <c r="C49" s="46" t="s">
        <v>20</v>
      </c>
      <c r="D49" s="2" t="s">
        <v>21</v>
      </c>
      <c r="E49" s="47" t="s">
        <v>22</v>
      </c>
      <c r="F49" s="46" t="s">
        <v>20</v>
      </c>
      <c r="G49" s="2" t="s">
        <v>21</v>
      </c>
      <c r="H49" s="47" t="s">
        <v>22</v>
      </c>
      <c r="I49" s="11" t="s">
        <v>37</v>
      </c>
      <c r="J49" s="697"/>
      <c r="AE49" s="186">
        <f>AE42-AE43-AE48</f>
        <v>0</v>
      </c>
      <c r="AH49" s="186">
        <f>AH42-AH43-AH48</f>
        <v>0</v>
      </c>
    </row>
    <row r="50" spans="1:34">
      <c r="A50" s="7">
        <v>30</v>
      </c>
      <c r="B50" s="8" t="s">
        <v>110</v>
      </c>
      <c r="C50" s="34">
        <f t="shared" ref="C50:C80" si="42">C17</f>
        <v>961000</v>
      </c>
      <c r="D50" s="35">
        <f>'[6]Mensal MRF USD2'!$T$259+A50</f>
        <v>437.37404902764735</v>
      </c>
      <c r="E50" s="36">
        <f t="shared" ref="E50:E76" si="43">D50*C50/1000</f>
        <v>420316.46111556911</v>
      </c>
      <c r="F50" s="34">
        <f t="shared" ref="F50:F80" si="44">F17</f>
        <v>966247.86999999988</v>
      </c>
      <c r="G50" s="48"/>
      <c r="H50" s="49"/>
      <c r="I50" s="13">
        <f t="shared" ref="I50:I80" si="45">(J17-F50)*D50/1000</f>
        <v>-9604.8739590607456</v>
      </c>
      <c r="J50" s="697"/>
      <c r="L50" s="224"/>
    </row>
    <row r="51" spans="1:34">
      <c r="A51" s="209">
        <v>9</v>
      </c>
      <c r="B51" s="8" t="s">
        <v>942</v>
      </c>
      <c r="C51" s="34">
        <f t="shared" si="42"/>
        <v>400000</v>
      </c>
      <c r="D51" s="35">
        <f>'[6]Mensal MRF USD2'!$T$259+A51</f>
        <v>416.37404902764735</v>
      </c>
      <c r="E51" s="36">
        <f t="shared" si="43"/>
        <v>166549.61961105894</v>
      </c>
      <c r="F51" s="34">
        <f t="shared" si="44"/>
        <v>997327.08221481298</v>
      </c>
      <c r="G51" s="48"/>
      <c r="H51" s="49"/>
      <c r="I51" s="13">
        <f t="shared" si="45"/>
        <v>-251607.90803792939</v>
      </c>
      <c r="J51" s="697"/>
    </row>
    <row r="52" spans="1:34">
      <c r="A52" s="209">
        <v>9</v>
      </c>
      <c r="B52" s="8" t="s">
        <v>943</v>
      </c>
      <c r="C52" s="34">
        <f t="shared" si="42"/>
        <v>1423164.3800000001</v>
      </c>
      <c r="D52" s="35">
        <f>'[6]Mensal MRF USD2'!$T$259+A52</f>
        <v>416.37404902764735</v>
      </c>
      <c r="E52" s="36">
        <f t="shared" ref="E52" si="46">D52*C52/1000</f>
        <v>592568.71533252147</v>
      </c>
      <c r="F52" s="34">
        <f t="shared" si="44"/>
        <v>874385.0420000006</v>
      </c>
      <c r="G52" s="48"/>
      <c r="H52" s="49"/>
      <c r="I52" s="13">
        <f t="shared" si="45"/>
        <v>218192.29822441732</v>
      </c>
      <c r="J52" s="697"/>
      <c r="K52" s="1">
        <f>F48-C48</f>
        <v>-125775.24869462941</v>
      </c>
    </row>
    <row r="53" spans="1:34">
      <c r="A53" s="7">
        <v>43</v>
      </c>
      <c r="B53" s="8" t="s">
        <v>274</v>
      </c>
      <c r="C53" s="34">
        <f t="shared" si="42"/>
        <v>31000.000000000004</v>
      </c>
      <c r="D53" s="61">
        <f>'[6]Mensal MRF USD2'!$T$259+A53</f>
        <v>450.37404902764735</v>
      </c>
      <c r="E53" s="36">
        <f t="shared" si="43"/>
        <v>13961.59551985707</v>
      </c>
      <c r="F53" s="34">
        <f t="shared" si="44"/>
        <v>32424.16</v>
      </c>
      <c r="G53" s="48"/>
      <c r="H53" s="49"/>
      <c r="I53" s="13">
        <f t="shared" si="45"/>
        <v>-884.20643646657027</v>
      </c>
      <c r="J53" s="697"/>
      <c r="M53" s="696"/>
    </row>
    <row r="54" spans="1:34">
      <c r="B54" s="8" t="s">
        <v>28</v>
      </c>
      <c r="C54" s="34">
        <f t="shared" si="42"/>
        <v>18000</v>
      </c>
      <c r="D54" s="35">
        <f>$D$51+A54</f>
        <v>416.37404902764735</v>
      </c>
      <c r="E54" s="36">
        <f t="shared" si="43"/>
        <v>7494.7328824976521</v>
      </c>
      <c r="F54" s="34">
        <f t="shared" si="44"/>
        <v>16529.159999999996</v>
      </c>
      <c r="G54" s="48"/>
      <c r="H54" s="49"/>
      <c r="I54" s="13">
        <f t="shared" si="45"/>
        <v>482.0810562693473</v>
      </c>
      <c r="L54" s="696"/>
      <c r="M54" s="696"/>
    </row>
    <row r="55" spans="1:34">
      <c r="A55" s="209">
        <v>9</v>
      </c>
      <c r="B55" s="8" t="s">
        <v>27</v>
      </c>
      <c r="C55" s="34">
        <f t="shared" si="42"/>
        <v>433467</v>
      </c>
      <c r="D55" s="35">
        <f>$D$56+A55</f>
        <v>446.21225084963947</v>
      </c>
      <c r="E55" s="36">
        <f t="shared" si="43"/>
        <v>193418.28573904067</v>
      </c>
      <c r="F55" s="34">
        <f t="shared" si="44"/>
        <v>197566.82000000007</v>
      </c>
      <c r="G55" s="48"/>
      <c r="H55" s="49"/>
      <c r="I55" s="13">
        <f t="shared" si="45"/>
        <v>101897.87352190333</v>
      </c>
      <c r="L55" s="187"/>
      <c r="M55" s="696"/>
    </row>
    <row r="56" spans="1:34">
      <c r="B56" s="8" t="s">
        <v>275</v>
      </c>
      <c r="C56" s="34">
        <f t="shared" si="42"/>
        <v>85817.96</v>
      </c>
      <c r="D56" s="61">
        <f>'[6]Mensal MRF USD2'!$T$279</f>
        <v>437.21225084963947</v>
      </c>
      <c r="E56" s="36">
        <f t="shared" si="43"/>
        <v>37520.663454924332</v>
      </c>
      <c r="F56" s="34">
        <f t="shared" si="44"/>
        <v>100236.84017419748</v>
      </c>
      <c r="G56" s="48"/>
      <c r="H56" s="49"/>
      <c r="I56" s="13">
        <f t="shared" si="45"/>
        <v>-6956.6211513175831</v>
      </c>
      <c r="L56" s="187"/>
      <c r="M56" s="696"/>
    </row>
    <row r="57" spans="1:34">
      <c r="B57" s="8" t="s">
        <v>276</v>
      </c>
      <c r="C57" s="34">
        <f t="shared" si="42"/>
        <v>1438681.32</v>
      </c>
      <c r="D57" s="695">
        <f>D56</f>
        <v>437.21225084963947</v>
      </c>
      <c r="E57" s="36">
        <f t="shared" si="43"/>
        <v>629009.09817253042</v>
      </c>
      <c r="F57" s="34">
        <f t="shared" si="44"/>
        <v>1441770.7359999982</v>
      </c>
      <c r="G57" s="48"/>
      <c r="H57" s="49"/>
      <c r="I57" s="13">
        <f t="shared" si="45"/>
        <v>-12289.630558637718</v>
      </c>
      <c r="M57" s="187"/>
    </row>
    <row r="58" spans="1:34">
      <c r="A58" s="7">
        <v>80</v>
      </c>
      <c r="B58" s="8" t="s">
        <v>305</v>
      </c>
      <c r="C58" s="34">
        <f t="shared" si="42"/>
        <v>427373.81000000006</v>
      </c>
      <c r="D58" s="695">
        <f>D57+A58</f>
        <v>517.21225084963953</v>
      </c>
      <c r="E58" s="36">
        <f>D58*C58/1000</f>
        <v>221042.9702242862</v>
      </c>
      <c r="F58" s="34">
        <f t="shared" si="44"/>
        <v>446359.43442400004</v>
      </c>
      <c r="G58" s="48"/>
      <c r="H58" s="49"/>
      <c r="I58" s="13">
        <f t="shared" si="45"/>
        <v>-13663.686541552806</v>
      </c>
      <c r="M58" s="187"/>
    </row>
    <row r="59" spans="1:34">
      <c r="A59" s="7">
        <f>(195+170)/$E$152</f>
        <v>67.592592592592595</v>
      </c>
      <c r="B59" s="8" t="s">
        <v>277</v>
      </c>
      <c r="C59" s="34">
        <f t="shared" si="42"/>
        <v>102999.19000000002</v>
      </c>
      <c r="D59" s="35">
        <f>D58</f>
        <v>517.21225084963953</v>
      </c>
      <c r="E59" s="36">
        <f>D59*C59/1000</f>
        <v>53272.442895589695</v>
      </c>
      <c r="F59" s="34">
        <f t="shared" si="44"/>
        <v>90523.857724700007</v>
      </c>
      <c r="G59" s="48"/>
      <c r="H59" s="49"/>
      <c r="I59" s="13">
        <f t="shared" si="45"/>
        <v>5525.9503324221678</v>
      </c>
      <c r="M59" s="187"/>
    </row>
    <row r="60" spans="1:34">
      <c r="A60" s="7">
        <f>(40+50)/$E$152</f>
        <v>16.666666666666664</v>
      </c>
      <c r="B60" s="8" t="s">
        <v>278</v>
      </c>
      <c r="C60" s="34">
        <f t="shared" si="42"/>
        <v>0</v>
      </c>
      <c r="D60" s="35">
        <f>$D$56+A60</f>
        <v>453.87891751630616</v>
      </c>
      <c r="E60" s="36">
        <f t="shared" si="43"/>
        <v>0</v>
      </c>
      <c r="F60" s="34">
        <f t="shared" si="44"/>
        <v>45424.208000000021</v>
      </c>
      <c r="G60" s="48"/>
      <c r="H60" s="49"/>
      <c r="I60" s="13">
        <f t="shared" si="45"/>
        <v>-20617.090356075543</v>
      </c>
    </row>
    <row r="61" spans="1:34">
      <c r="A61" s="7">
        <f>21*0</f>
        <v>0</v>
      </c>
      <c r="B61" s="8" t="s">
        <v>279</v>
      </c>
      <c r="C61" s="34">
        <f t="shared" si="42"/>
        <v>1220.3923579624538</v>
      </c>
      <c r="D61" s="35">
        <f>$D$63+A61</f>
        <v>494.72402405836459</v>
      </c>
      <c r="E61" s="36">
        <f t="shared" si="43"/>
        <v>603.75741826126136</v>
      </c>
      <c r="F61" s="34">
        <f t="shared" si="44"/>
        <v>1887.8105506815871</v>
      </c>
      <c r="G61" s="48"/>
      <c r="H61" s="49"/>
      <c r="I61" s="13">
        <f t="shared" si="45"/>
        <v>-340.68757001816249</v>
      </c>
      <c r="M61" s="187"/>
    </row>
    <row r="62" spans="1:34">
      <c r="A62" s="7">
        <f>21*0</f>
        <v>0</v>
      </c>
      <c r="B62" s="8" t="s">
        <v>280</v>
      </c>
      <c r="C62" s="34">
        <f t="shared" si="42"/>
        <v>492.26</v>
      </c>
      <c r="D62" s="35">
        <f>$D$63+A62</f>
        <v>494.72402405836459</v>
      </c>
      <c r="E62" s="36">
        <f t="shared" si="43"/>
        <v>243.53284808297053</v>
      </c>
      <c r="F62" s="34">
        <f t="shared" si="44"/>
        <v>4847.375</v>
      </c>
      <c r="G62" s="48"/>
      <c r="H62" s="49"/>
      <c r="I62" s="13">
        <f t="shared" si="45"/>
        <v>-2158.8152214517631</v>
      </c>
      <c r="M62" s="187"/>
    </row>
    <row r="63" spans="1:34">
      <c r="B63" s="8" t="s">
        <v>29</v>
      </c>
      <c r="C63" s="34">
        <f t="shared" si="42"/>
        <v>90127.470395196156</v>
      </c>
      <c r="D63" s="61">
        <f>'[7]Mensal USD'!$R$21</f>
        <v>494.72402405836459</v>
      </c>
      <c r="E63" s="36">
        <f t="shared" si="43"/>
        <v>44588.224832112566</v>
      </c>
      <c r="F63" s="34">
        <f t="shared" si="44"/>
        <v>95622.293215625148</v>
      </c>
      <c r="G63" s="48"/>
      <c r="H63" s="49"/>
      <c r="I63" s="13">
        <f t="shared" si="45"/>
        <v>-3493.840697105355</v>
      </c>
      <c r="M63" s="187"/>
    </row>
    <row r="64" spans="1:34">
      <c r="B64" s="8" t="s">
        <v>31</v>
      </c>
      <c r="C64" s="34">
        <f t="shared" si="42"/>
        <v>265325.53999999992</v>
      </c>
      <c r="D64" s="35">
        <f>D63</f>
        <v>494.72402405836459</v>
      </c>
      <c r="E64" s="36">
        <f>D64*C64/1000</f>
        <v>131262.91883425854</v>
      </c>
      <c r="F64" s="34">
        <f t="shared" si="44"/>
        <v>286122.31839448167</v>
      </c>
      <c r="G64" s="48"/>
      <c r="H64" s="49"/>
      <c r="I64" s="13">
        <f t="shared" si="45"/>
        <v>-12571.418166020288</v>
      </c>
      <c r="M64" s="187"/>
    </row>
    <row r="65" spans="1:21">
      <c r="A65" s="7">
        <v>80</v>
      </c>
      <c r="B65" s="8" t="s">
        <v>306</v>
      </c>
      <c r="C65" s="34">
        <f t="shared" si="42"/>
        <v>110301.97000000002</v>
      </c>
      <c r="D65" s="35">
        <f>D64+A65</f>
        <v>574.72402405836465</v>
      </c>
      <c r="E65" s="36">
        <f>D65*C65/1000</f>
        <v>63393.192059965018</v>
      </c>
      <c r="F65" s="34">
        <f t="shared" si="44"/>
        <v>117390.91099999999</v>
      </c>
      <c r="G65" s="48"/>
      <c r="H65" s="49"/>
      <c r="I65" s="13">
        <f t="shared" si="45"/>
        <v>-5176.6358275343418</v>
      </c>
      <c r="M65" s="187"/>
    </row>
    <row r="66" spans="1:21">
      <c r="A66" s="7">
        <f>21*0</f>
        <v>0</v>
      </c>
      <c r="B66" s="8" t="s">
        <v>281</v>
      </c>
      <c r="C66" s="34">
        <f t="shared" si="42"/>
        <v>49551.853244528029</v>
      </c>
      <c r="D66" s="35">
        <f>$D$68+A66</f>
        <v>572.56249932596791</v>
      </c>
      <c r="E66" s="36">
        <f t="shared" si="43"/>
        <v>28371.53293992054</v>
      </c>
      <c r="F66" s="34">
        <f t="shared" si="44"/>
        <v>41148.523634731071</v>
      </c>
      <c r="G66" s="48"/>
      <c r="H66" s="49"/>
      <c r="I66" s="13">
        <f t="shared" si="45"/>
        <v>4318.0309690047416</v>
      </c>
      <c r="M66" s="187"/>
    </row>
    <row r="67" spans="1:21">
      <c r="A67" s="7">
        <f>21*0</f>
        <v>0</v>
      </c>
      <c r="B67" s="8" t="s">
        <v>282</v>
      </c>
      <c r="C67" s="34">
        <f t="shared" si="42"/>
        <v>1014.1200000000001</v>
      </c>
      <c r="D67" s="35">
        <f>$D$69+A67</f>
        <v>592.20465813842532</v>
      </c>
      <c r="E67" s="36">
        <f t="shared" si="43"/>
        <v>600.56658791133998</v>
      </c>
      <c r="F67" s="34">
        <f t="shared" si="44"/>
        <v>2599.1210000000001</v>
      </c>
      <c r="G67" s="48"/>
      <c r="H67" s="49"/>
      <c r="I67" s="13">
        <f t="shared" si="45"/>
        <v>-949.08924061014625</v>
      </c>
      <c r="M67" s="187"/>
    </row>
    <row r="68" spans="1:21">
      <c r="B68" s="8" t="s">
        <v>32</v>
      </c>
      <c r="C68" s="34">
        <f t="shared" si="42"/>
        <v>463694.02845894557</v>
      </c>
      <c r="D68" s="61">
        <f>'[7]Mensal USD'!$R$31</f>
        <v>572.56249932596791</v>
      </c>
      <c r="E68" s="36">
        <f t="shared" si="43"/>
        <v>265493.81185698038</v>
      </c>
      <c r="F68" s="34">
        <f t="shared" si="44"/>
        <v>463787.28951984947</v>
      </c>
      <c r="G68" s="48"/>
      <c r="H68" s="49"/>
      <c r="I68" s="13">
        <f t="shared" si="45"/>
        <v>-4670.5174372935744</v>
      </c>
    </row>
    <row r="69" spans="1:21">
      <c r="B69" s="8" t="s">
        <v>33</v>
      </c>
      <c r="C69" s="34">
        <f t="shared" si="42"/>
        <v>416584.70999999996</v>
      </c>
      <c r="D69" s="61">
        <f>'[7]Mensal USD'!$R$51</f>
        <v>592.20465813842532</v>
      </c>
      <c r="E69" s="36">
        <f t="shared" si="43"/>
        <v>246703.40577124504</v>
      </c>
      <c r="F69" s="34">
        <f t="shared" si="44"/>
        <v>438619.17</v>
      </c>
      <c r="G69" s="48"/>
      <c r="H69" s="49"/>
      <c r="I69" s="13">
        <f t="shared" si="45"/>
        <v>-17339.251441188142</v>
      </c>
      <c r="S69" s="4"/>
    </row>
    <row r="70" spans="1:21">
      <c r="A70" s="7">
        <v>80</v>
      </c>
      <c r="B70" s="8" t="s">
        <v>307</v>
      </c>
      <c r="C70" s="34">
        <f t="shared" si="42"/>
        <v>83539.329999999987</v>
      </c>
      <c r="D70" s="35">
        <f>D69+A70</f>
        <v>672.20465813842532</v>
      </c>
      <c r="E70" s="36">
        <f>D70*C70/1000</f>
        <v>56155.52676376309</v>
      </c>
      <c r="F70" s="34">
        <f t="shared" si="44"/>
        <v>76159.621079999997</v>
      </c>
      <c r="G70" s="48"/>
      <c r="H70" s="49"/>
      <c r="I70" s="13">
        <f t="shared" si="45"/>
        <v>3984.09155022612</v>
      </c>
      <c r="S70" s="4"/>
    </row>
    <row r="71" spans="1:21">
      <c r="A71" s="209">
        <f>21*0</f>
        <v>0</v>
      </c>
      <c r="B71" s="8" t="s">
        <v>283</v>
      </c>
      <c r="C71" s="34">
        <f t="shared" si="42"/>
        <v>0</v>
      </c>
      <c r="D71" s="35">
        <f>$D$72+A71</f>
        <v>663.85930953456682</v>
      </c>
      <c r="E71" s="36">
        <f t="shared" si="43"/>
        <v>0</v>
      </c>
      <c r="F71" s="34">
        <f t="shared" si="44"/>
        <v>0</v>
      </c>
      <c r="G71" s="48"/>
      <c r="H71" s="49"/>
      <c r="I71" s="13">
        <f t="shared" si="45"/>
        <v>0</v>
      </c>
      <c r="S71" s="4"/>
    </row>
    <row r="72" spans="1:21">
      <c r="B72" s="8" t="s">
        <v>34</v>
      </c>
      <c r="C72" s="34">
        <f t="shared" si="42"/>
        <v>181457.09000000003</v>
      </c>
      <c r="D72" s="61">
        <f>'[7]Mensal USD'!$R$61</f>
        <v>663.85930953456682</v>
      </c>
      <c r="E72" s="36">
        <f t="shared" si="43"/>
        <v>120461.97847755178</v>
      </c>
      <c r="F72" s="34">
        <f t="shared" si="44"/>
        <v>136271.78900000008</v>
      </c>
      <c r="G72" s="48"/>
      <c r="H72" s="49"/>
      <c r="I72" s="13">
        <f t="shared" si="45"/>
        <v>27901.766219428107</v>
      </c>
      <c r="S72" s="4"/>
    </row>
    <row r="73" spans="1:21">
      <c r="A73" s="594">
        <v>80</v>
      </c>
      <c r="B73" s="8" t="s">
        <v>530</v>
      </c>
      <c r="C73" s="34">
        <f t="shared" si="42"/>
        <v>106335.88</v>
      </c>
      <c r="D73" s="35">
        <f>D72+A73</f>
        <v>743.85930953456682</v>
      </c>
      <c r="E73" s="36">
        <f>D73*C73/1000</f>
        <v>79098.934275550564</v>
      </c>
      <c r="F73" s="34">
        <f t="shared" si="44"/>
        <v>88523.367000000013</v>
      </c>
      <c r="G73" s="48"/>
      <c r="H73" s="49"/>
      <c r="I73" s="13">
        <f t="shared" si="45"/>
        <v>11874.418852344968</v>
      </c>
      <c r="S73" s="4"/>
    </row>
    <row r="74" spans="1:21">
      <c r="B74" s="8" t="s">
        <v>284</v>
      </c>
      <c r="C74" s="34">
        <f t="shared" si="42"/>
        <v>94231.594684142721</v>
      </c>
      <c r="D74" s="61">
        <f>'[7]Mensal USD'!$R$71</f>
        <v>572.84269131951839</v>
      </c>
      <c r="E74" s="36">
        <f t="shared" si="43"/>
        <v>53979.88030619434</v>
      </c>
      <c r="F74" s="34">
        <f t="shared" si="44"/>
        <v>99323.020800091981</v>
      </c>
      <c r="G74" s="48"/>
      <c r="H74" s="49"/>
      <c r="I74" s="13">
        <f t="shared" si="45"/>
        <v>-3855.3334149278903</v>
      </c>
      <c r="S74" s="4"/>
      <c r="T74" s="4"/>
      <c r="U74" s="4"/>
    </row>
    <row r="75" spans="1:21">
      <c r="B75" s="19" t="s">
        <v>289</v>
      </c>
      <c r="C75" s="34">
        <f t="shared" si="42"/>
        <v>7737.5399999999991</v>
      </c>
      <c r="D75" s="35">
        <f>D74</f>
        <v>572.84269131951839</v>
      </c>
      <c r="E75" s="36">
        <f>D75*C75/1000</f>
        <v>4432.3932377924257</v>
      </c>
      <c r="F75" s="34">
        <f t="shared" si="44"/>
        <v>7661.2250000000004</v>
      </c>
      <c r="G75" s="48"/>
      <c r="H75" s="49"/>
      <c r="I75" s="13">
        <f t="shared" si="45"/>
        <v>-33.365871279793396</v>
      </c>
      <c r="S75" s="4"/>
      <c r="T75" s="4"/>
      <c r="U75" s="4"/>
    </row>
    <row r="76" spans="1:21">
      <c r="B76" s="8" t="s">
        <v>358</v>
      </c>
      <c r="C76" s="34">
        <f t="shared" si="42"/>
        <v>3816.3261818387646</v>
      </c>
      <c r="D76" s="61">
        <f>D72</f>
        <v>663.85930953456682</v>
      </c>
      <c r="E76" s="36">
        <f t="shared" si="43"/>
        <v>2533.5036640341718</v>
      </c>
      <c r="F76" s="34">
        <f t="shared" si="44"/>
        <v>3627.2928948158055</v>
      </c>
      <c r="G76" s="48"/>
      <c r="H76" s="49"/>
      <c r="I76" s="13">
        <f t="shared" si="45"/>
        <v>81.432139420188477</v>
      </c>
      <c r="S76" s="4"/>
      <c r="T76" s="4"/>
      <c r="U76" s="4"/>
    </row>
    <row r="77" spans="1:21">
      <c r="B77" s="8" t="str">
        <f>B44</f>
        <v>Magnelis DM Industry</v>
      </c>
      <c r="C77" s="34">
        <f t="shared" si="42"/>
        <v>0</v>
      </c>
      <c r="D77" s="61">
        <f>D71</f>
        <v>663.85930953456682</v>
      </c>
      <c r="E77" s="36">
        <f>D77*C77/1000</f>
        <v>0</v>
      </c>
      <c r="F77" s="34">
        <f t="shared" si="44"/>
        <v>10000</v>
      </c>
      <c r="G77" s="48"/>
      <c r="H77" s="49"/>
      <c r="I77" s="13">
        <f t="shared" si="45"/>
        <v>-6638.5930953456682</v>
      </c>
      <c r="S77" s="4"/>
      <c r="T77" s="4"/>
      <c r="U77" s="4"/>
    </row>
    <row r="78" spans="1:21">
      <c r="B78" s="8" t="str">
        <f>B45</f>
        <v>Industry Imports</v>
      </c>
      <c r="C78" s="34">
        <f t="shared" si="42"/>
        <v>35399.969999999994</v>
      </c>
      <c r="D78" s="61">
        <f>D72</f>
        <v>663.85930953456682</v>
      </c>
      <c r="E78" s="36">
        <f t="shared" ref="E78" si="47">D78*C78/1000</f>
        <v>23500.599641744375</v>
      </c>
      <c r="F78" s="34">
        <f t="shared" si="44"/>
        <v>17169.268000000007</v>
      </c>
      <c r="G78" s="48"/>
      <c r="H78" s="49"/>
      <c r="I78" s="13">
        <f t="shared" si="45"/>
        <v>11693.929680988031</v>
      </c>
      <c r="S78" s="4"/>
      <c r="T78" s="4"/>
      <c r="U78" s="4"/>
    </row>
    <row r="79" spans="1:21">
      <c r="B79" s="8" t="str">
        <f>B46</f>
        <v>Magnelis DM Downstream</v>
      </c>
      <c r="C79" s="34">
        <f t="shared" si="42"/>
        <v>0</v>
      </c>
      <c r="D79" s="61">
        <f>D77</f>
        <v>663.85930953456682</v>
      </c>
      <c r="E79" s="36">
        <f t="shared" ref="E79" si="48">D79*C79/1000</f>
        <v>0</v>
      </c>
      <c r="F79" s="34">
        <f t="shared" si="44"/>
        <v>7002.88</v>
      </c>
      <c r="G79" s="48"/>
      <c r="H79" s="49"/>
      <c r="I79" s="13">
        <f t="shared" si="45"/>
        <v>-4648.9270815534273</v>
      </c>
      <c r="S79" s="4"/>
      <c r="T79" s="4"/>
      <c r="U79" s="4"/>
    </row>
    <row r="80" spans="1:21" ht="13.5" thickBot="1">
      <c r="B80" s="39" t="str">
        <f>B47</f>
        <v>HRC Aperam baixo carbono</v>
      </c>
      <c r="C80" s="34">
        <f t="shared" si="42"/>
        <v>0</v>
      </c>
      <c r="D80" s="61">
        <f>D47-30</f>
        <v>-30</v>
      </c>
      <c r="E80" s="36">
        <f t="shared" ref="E80" si="49">D80*C80/1000</f>
        <v>0</v>
      </c>
      <c r="F80" s="34">
        <f t="shared" si="44"/>
        <v>0</v>
      </c>
      <c r="G80" s="48"/>
      <c r="H80" s="49"/>
      <c r="I80" s="13">
        <f t="shared" si="45"/>
        <v>0</v>
      </c>
      <c r="S80" s="4"/>
      <c r="T80" s="4"/>
      <c r="U80" s="4"/>
    </row>
    <row r="81" spans="2:21" ht="13.5" thickBot="1">
      <c r="B81" s="50" t="s">
        <v>38</v>
      </c>
      <c r="C81" s="41">
        <f>SUM(C50:C80)</f>
        <v>7232333.7353226142</v>
      </c>
      <c r="D81" s="42">
        <f>+E81/C81*1000</f>
        <v>477.9340211557668</v>
      </c>
      <c r="E81" s="41">
        <f>SUM(E50:E80)</f>
        <v>3456578.3444632441</v>
      </c>
      <c r="F81" s="41">
        <f>SUM(F50:F80)</f>
        <v>7106558.4866279848</v>
      </c>
      <c r="G81" s="42"/>
      <c r="H81" s="43"/>
      <c r="I81" s="41">
        <f>SUM(I50:I80)</f>
        <v>8451.3804410553839</v>
      </c>
      <c r="S81" s="4"/>
      <c r="T81" s="4"/>
      <c r="U81" s="4"/>
    </row>
    <row r="82" spans="2:21">
      <c r="B82" s="45" t="s">
        <v>39</v>
      </c>
      <c r="C82" s="46" t="s">
        <v>20</v>
      </c>
      <c r="D82" s="2" t="s">
        <v>21</v>
      </c>
      <c r="E82" s="47" t="s">
        <v>22</v>
      </c>
      <c r="F82" s="46" t="s">
        <v>20</v>
      </c>
      <c r="G82" s="2"/>
      <c r="H82" s="47"/>
      <c r="I82" s="11" t="s">
        <v>11</v>
      </c>
      <c r="J82" s="12" t="s">
        <v>40</v>
      </c>
      <c r="K82" s="12" t="s">
        <v>41</v>
      </c>
      <c r="L82" s="12" t="s">
        <v>9</v>
      </c>
      <c r="M82" s="1"/>
      <c r="S82" s="4"/>
      <c r="T82" s="4"/>
      <c r="U82" s="4"/>
    </row>
    <row r="83" spans="2:21">
      <c r="B83" s="8" t="s">
        <v>110</v>
      </c>
      <c r="C83" s="34">
        <f t="shared" ref="C83:C113" si="50">C50</f>
        <v>961000</v>
      </c>
      <c r="D83" s="35">
        <f t="shared" ref="D83:E113" si="51">D17-D50</f>
        <v>84.272668458113856</v>
      </c>
      <c r="E83" s="36">
        <f t="shared" si="51"/>
        <v>80986.034388247353</v>
      </c>
      <c r="F83" s="34">
        <f t="shared" ref="F83:F113" si="52">F50</f>
        <v>966247.86999999988</v>
      </c>
      <c r="G83" s="48"/>
      <c r="H83" s="49"/>
      <c r="I83" s="14">
        <f t="shared" ref="I83:I113" si="53">+I17+I50</f>
        <v>1850.6547439963251</v>
      </c>
      <c r="J83" s="13">
        <f t="shared" ref="J83:J113" si="54">F17-C17</f>
        <v>5247.8699999998789</v>
      </c>
      <c r="K83" s="14">
        <f>J83*D83/1000</f>
        <v>442.25200862127178</v>
      </c>
      <c r="L83" s="14">
        <f t="shared" ref="L83:L109" si="55">K83-I83</f>
        <v>-1408.4027353750535</v>
      </c>
      <c r="M83" s="129">
        <f>J83/C83</f>
        <v>5.4608428720081988E-3</v>
      </c>
      <c r="O83" s="85"/>
      <c r="P83" s="4">
        <f>I83+L83</f>
        <v>442.25200862127167</v>
      </c>
      <c r="S83" s="4"/>
      <c r="T83" s="4"/>
      <c r="U83" s="4"/>
    </row>
    <row r="84" spans="2:21">
      <c r="B84" s="8" t="s">
        <v>942</v>
      </c>
      <c r="C84" s="34">
        <f t="shared" si="50"/>
        <v>400000</v>
      </c>
      <c r="D84" s="35">
        <f t="shared" si="51"/>
        <v>28.199954689128276</v>
      </c>
      <c r="E84" s="36">
        <f t="shared" si="51"/>
        <v>11279.981875651312</v>
      </c>
      <c r="F84" s="34">
        <f t="shared" si="52"/>
        <v>997327.08221481298</v>
      </c>
      <c r="G84" s="48"/>
      <c r="H84" s="49"/>
      <c r="I84" s="14">
        <f t="shared" si="53"/>
        <v>17040.763281634834</v>
      </c>
      <c r="J84" s="13">
        <f t="shared" si="54"/>
        <v>597327.08221481298</v>
      </c>
      <c r="K84" s="14">
        <f t="shared" ref="K84:K109" si="56">J84*D84/1000</f>
        <v>16844.596653046927</v>
      </c>
      <c r="L84" s="14">
        <f t="shared" si="55"/>
        <v>-196.16662858790733</v>
      </c>
      <c r="M84" s="129">
        <f t="shared" ref="M84:M109" si="57">J84/C84</f>
        <v>1.4933177055370324</v>
      </c>
      <c r="P84" s="4">
        <f t="shared" ref="P84:P114" si="58">I84+L84</f>
        <v>16844.596653046927</v>
      </c>
      <c r="S84" s="4"/>
      <c r="T84" s="4"/>
      <c r="U84" s="4"/>
    </row>
    <row r="85" spans="2:21">
      <c r="B85" s="8" t="s">
        <v>943</v>
      </c>
      <c r="C85" s="34">
        <f t="shared" si="50"/>
        <v>1423164.3800000001</v>
      </c>
      <c r="D85" s="35">
        <f t="shared" si="51"/>
        <v>36.906952394043515</v>
      </c>
      <c r="E85" s="36">
        <f t="shared" si="51"/>
        <v>52524.660021558404</v>
      </c>
      <c r="F85" s="34">
        <f t="shared" si="52"/>
        <v>874385.0420000006</v>
      </c>
      <c r="G85" s="48"/>
      <c r="H85" s="49"/>
      <c r="I85" s="14">
        <f t="shared" si="53"/>
        <v>-19340.333006154309</v>
      </c>
      <c r="J85" s="13">
        <f t="shared" si="54"/>
        <v>-548779.33799999952</v>
      </c>
      <c r="K85" s="14">
        <f t="shared" ref="K85" si="59">J85*D85/1000</f>
        <v>-20253.772902400699</v>
      </c>
      <c r="L85" s="14">
        <f t="shared" ref="L85" si="60">K85-I85</f>
        <v>-913.43989624638925</v>
      </c>
      <c r="M85" s="129"/>
      <c r="S85" s="4"/>
      <c r="T85" s="4"/>
      <c r="U85" s="4"/>
    </row>
    <row r="86" spans="2:21">
      <c r="B86" s="8" t="s">
        <v>274</v>
      </c>
      <c r="C86" s="34">
        <f t="shared" si="50"/>
        <v>31000.000000000004</v>
      </c>
      <c r="D86" s="35">
        <f t="shared" si="51"/>
        <v>0.72748998948657118</v>
      </c>
      <c r="E86" s="36">
        <f t="shared" si="51"/>
        <v>22.552189674082911</v>
      </c>
      <c r="F86" s="34">
        <f t="shared" si="52"/>
        <v>32424.16</v>
      </c>
      <c r="G86" s="48"/>
      <c r="H86" s="49"/>
      <c r="I86" s="15">
        <f t="shared" si="53"/>
        <v>1.4282602040632355</v>
      </c>
      <c r="J86" s="13">
        <f t="shared" si="54"/>
        <v>1424.1599999999962</v>
      </c>
      <c r="K86" s="15">
        <f t="shared" si="56"/>
        <v>1.0360621434271926</v>
      </c>
      <c r="L86" s="15">
        <f t="shared" si="55"/>
        <v>-0.3921980606360429</v>
      </c>
      <c r="M86" s="129">
        <f t="shared" si="57"/>
        <v>4.5940645161290192E-2</v>
      </c>
      <c r="P86" s="4">
        <f t="shared" si="58"/>
        <v>1.0360621434271926</v>
      </c>
      <c r="S86" s="4"/>
      <c r="T86" s="4"/>
      <c r="U86" s="4"/>
    </row>
    <row r="87" spans="2:21">
      <c r="B87" s="8" t="s">
        <v>28</v>
      </c>
      <c r="C87" s="34">
        <f t="shared" si="50"/>
        <v>18000</v>
      </c>
      <c r="D87" s="35">
        <f t="shared" si="51"/>
        <v>269.02612368960223</v>
      </c>
      <c r="E87" s="36">
        <f t="shared" si="51"/>
        <v>4842.4702264128409</v>
      </c>
      <c r="F87" s="34">
        <f t="shared" si="52"/>
        <v>16529.159999999996</v>
      </c>
      <c r="G87" s="48"/>
      <c r="H87" s="49"/>
      <c r="I87" s="15">
        <f t="shared" si="53"/>
        <v>-311.48050214752914</v>
      </c>
      <c r="J87" s="13">
        <f t="shared" si="54"/>
        <v>-1470.8400000000038</v>
      </c>
      <c r="K87" s="15">
        <f t="shared" si="56"/>
        <v>-395.69438376761553</v>
      </c>
      <c r="L87" s="15">
        <f t="shared" si="55"/>
        <v>-84.213881620086397</v>
      </c>
      <c r="M87" s="129">
        <f t="shared" si="57"/>
        <v>-8.171333333333354E-2</v>
      </c>
      <c r="P87" s="4">
        <f t="shared" si="58"/>
        <v>-395.69438376761553</v>
      </c>
      <c r="S87" s="4"/>
      <c r="T87" s="4"/>
      <c r="U87" s="4"/>
    </row>
    <row r="88" spans="2:21">
      <c r="B88" s="8" t="s">
        <v>27</v>
      </c>
      <c r="C88" s="34">
        <f t="shared" si="50"/>
        <v>433467</v>
      </c>
      <c r="D88" s="35">
        <f t="shared" si="51"/>
        <v>36.052263114102971</v>
      </c>
      <c r="E88" s="36">
        <f t="shared" si="51"/>
        <v>15627.466335280857</v>
      </c>
      <c r="F88" s="34">
        <f t="shared" si="52"/>
        <v>197566.82000000007</v>
      </c>
      <c r="G88" s="48"/>
      <c r="H88" s="49"/>
      <c r="I88" s="14">
        <f t="shared" si="53"/>
        <v>-8232.9629901110748</v>
      </c>
      <c r="J88" s="13">
        <f t="shared" si="54"/>
        <v>-235900.17999999993</v>
      </c>
      <c r="K88" s="14">
        <f t="shared" si="56"/>
        <v>-8504.7353580242489</v>
      </c>
      <c r="L88" s="14">
        <f t="shared" si="55"/>
        <v>-271.77236791317409</v>
      </c>
      <c r="M88" s="129">
        <f t="shared" si="57"/>
        <v>-0.54421716070658188</v>
      </c>
      <c r="P88" s="4">
        <f t="shared" si="58"/>
        <v>-8504.7353580242489</v>
      </c>
      <c r="S88" s="4"/>
      <c r="T88" s="4"/>
      <c r="U88" s="4"/>
    </row>
    <row r="89" spans="2:21">
      <c r="B89" s="956" t="s">
        <v>275</v>
      </c>
      <c r="C89" s="957">
        <f t="shared" si="50"/>
        <v>85817.96</v>
      </c>
      <c r="D89" s="958">
        <f t="shared" si="51"/>
        <v>244.22864382719018</v>
      </c>
      <c r="E89" s="959">
        <f t="shared" si="51"/>
        <v>20959.20398681605</v>
      </c>
      <c r="F89" s="34">
        <f t="shared" si="52"/>
        <v>100236.84017419748</v>
      </c>
      <c r="G89" s="48"/>
      <c r="H89" s="49"/>
      <c r="I89" s="15">
        <f t="shared" si="53"/>
        <v>3885.9984963919514</v>
      </c>
      <c r="J89" s="13">
        <f t="shared" si="54"/>
        <v>14418.880174197475</v>
      </c>
      <c r="K89" s="15">
        <f t="shared" si="56"/>
        <v>3521.5035504510092</v>
      </c>
      <c r="L89" s="15">
        <f t="shared" si="55"/>
        <v>-364.49494594094222</v>
      </c>
      <c r="M89" s="129">
        <f t="shared" si="57"/>
        <v>0.16801704648068391</v>
      </c>
      <c r="O89" s="420">
        <f>K89</f>
        <v>3521.5035504510092</v>
      </c>
      <c r="P89" s="4">
        <f t="shared" si="58"/>
        <v>3521.5035504510092</v>
      </c>
      <c r="Q89" s="696">
        <f>C89*D89</f>
        <v>20959203.986816056</v>
      </c>
      <c r="R89" s="696">
        <f>C89</f>
        <v>85817.96</v>
      </c>
      <c r="S89" s="696">
        <f>F89</f>
        <v>100236.84017419748</v>
      </c>
      <c r="T89" s="4"/>
      <c r="U89" s="4"/>
    </row>
    <row r="90" spans="2:21">
      <c r="B90" s="8" t="s">
        <v>276</v>
      </c>
      <c r="C90" s="34">
        <f t="shared" si="50"/>
        <v>1438681.32</v>
      </c>
      <c r="D90" s="35">
        <f t="shared" si="51"/>
        <v>221.55976110392072</v>
      </c>
      <c r="E90" s="36">
        <f t="shared" si="51"/>
        <v>318753.88956387329</v>
      </c>
      <c r="F90" s="34">
        <f t="shared" si="52"/>
        <v>1441770.7359999982</v>
      </c>
      <c r="G90" s="48"/>
      <c r="H90" s="49"/>
      <c r="I90" s="15">
        <f t="shared" si="53"/>
        <v>6227.8392367455326</v>
      </c>
      <c r="J90" s="13">
        <f t="shared" si="54"/>
        <v>3089.4159999981057</v>
      </c>
      <c r="K90" s="15">
        <f t="shared" si="56"/>
        <v>684.49027091021071</v>
      </c>
      <c r="L90" s="15">
        <f t="shared" si="55"/>
        <v>-5543.3489658353219</v>
      </c>
      <c r="M90" s="129">
        <f t="shared" si="57"/>
        <v>2.1473942540646217E-3</v>
      </c>
      <c r="P90" s="4">
        <f t="shared" si="58"/>
        <v>684.49027091021071</v>
      </c>
      <c r="R90" s="696"/>
      <c r="S90" s="696"/>
      <c r="T90" s="4"/>
      <c r="U90" s="4"/>
    </row>
    <row r="91" spans="2:21">
      <c r="B91" s="8" t="s">
        <v>305</v>
      </c>
      <c r="C91" s="34">
        <f t="shared" si="50"/>
        <v>427373.81000000006</v>
      </c>
      <c r="D91" s="35">
        <f t="shared" si="51"/>
        <v>238.29190343670007</v>
      </c>
      <c r="E91" s="36">
        <f t="shared" si="51"/>
        <v>101839.71866389463</v>
      </c>
      <c r="F91" s="34">
        <f t="shared" si="52"/>
        <v>446359.43442400004</v>
      </c>
      <c r="G91" s="48"/>
      <c r="H91" s="49"/>
      <c r="I91" s="15">
        <f t="shared" si="53"/>
        <v>6295.1832030281639</v>
      </c>
      <c r="J91" s="13">
        <f t="shared" si="54"/>
        <v>18985.62442399998</v>
      </c>
      <c r="K91" s="15">
        <f>J91*D91/1000</f>
        <v>4524.1205819292572</v>
      </c>
      <c r="L91" s="15">
        <f>K91-I91</f>
        <v>-1771.0626210989067</v>
      </c>
      <c r="M91" s="129">
        <f t="shared" si="57"/>
        <v>4.4423930479034215E-2</v>
      </c>
      <c r="P91" s="4">
        <f t="shared" si="58"/>
        <v>4524.1205819292572</v>
      </c>
      <c r="R91" s="696"/>
      <c r="S91" s="696"/>
      <c r="T91" s="4"/>
      <c r="U91" s="4"/>
    </row>
    <row r="92" spans="2:21">
      <c r="B92" s="956" t="s">
        <v>277</v>
      </c>
      <c r="C92" s="957">
        <f t="shared" si="50"/>
        <v>102999.19000000002</v>
      </c>
      <c r="D92" s="958">
        <f t="shared" si="51"/>
        <v>341.9938587047485</v>
      </c>
      <c r="E92" s="959">
        <f t="shared" si="51"/>
        <v>35225.090431563549</v>
      </c>
      <c r="F92" s="34">
        <f t="shared" si="52"/>
        <v>90523.857724700007</v>
      </c>
      <c r="G92" s="48"/>
      <c r="H92" s="49"/>
      <c r="I92" s="15">
        <f t="shared" si="53"/>
        <v>-3653.8985186281807</v>
      </c>
      <c r="J92" s="13">
        <f t="shared" si="54"/>
        <v>-12475.33227530001</v>
      </c>
      <c r="K92" s="15">
        <f>J92*D92/1000</f>
        <v>-4266.4870234537402</v>
      </c>
      <c r="L92" s="15">
        <f>K92-I92</f>
        <v>-612.58850482555954</v>
      </c>
      <c r="M92" s="129">
        <f t="shared" si="57"/>
        <v>-0.12112068333061657</v>
      </c>
      <c r="O92" s="420">
        <f>K92</f>
        <v>-4266.4870234537402</v>
      </c>
      <c r="P92" s="4">
        <f t="shared" si="58"/>
        <v>-4266.4870234537402</v>
      </c>
      <c r="Q92" s="696">
        <f>C92*D92</f>
        <v>35225090.431563549</v>
      </c>
      <c r="R92" s="696">
        <f>C92</f>
        <v>102999.19000000002</v>
      </c>
      <c r="S92" s="696">
        <f>F92</f>
        <v>90523.857724700007</v>
      </c>
      <c r="T92" s="4"/>
      <c r="U92" s="4"/>
    </row>
    <row r="93" spans="2:21">
      <c r="B93" s="8" t="s">
        <v>278</v>
      </c>
      <c r="C93" s="34">
        <f t="shared" si="50"/>
        <v>0</v>
      </c>
      <c r="D93" s="35">
        <f t="shared" si="51"/>
        <v>269.38858166534862</v>
      </c>
      <c r="E93" s="36">
        <f t="shared" si="51"/>
        <v>0</v>
      </c>
      <c r="F93" s="34">
        <f t="shared" si="52"/>
        <v>45424.208000000021</v>
      </c>
      <c r="G93" s="48"/>
      <c r="H93" s="49"/>
      <c r="I93" s="15">
        <f t="shared" si="53"/>
        <v>12236.762966391787</v>
      </c>
      <c r="J93" s="13">
        <f t="shared" si="54"/>
        <v>45424.208000000021</v>
      </c>
      <c r="K93" s="15">
        <f t="shared" si="56"/>
        <v>12236.762966391787</v>
      </c>
      <c r="L93" s="15">
        <f t="shared" si="55"/>
        <v>0</v>
      </c>
      <c r="M93" s="129" t="e">
        <f t="shared" si="57"/>
        <v>#DIV/0!</v>
      </c>
      <c r="P93" s="4">
        <f t="shared" si="58"/>
        <v>12236.762966391787</v>
      </c>
      <c r="R93" s="696"/>
      <c r="S93" s="696"/>
      <c r="T93" s="4"/>
      <c r="U93" s="4"/>
    </row>
    <row r="94" spans="2:21">
      <c r="B94" s="956" t="s">
        <v>279</v>
      </c>
      <c r="C94" s="957">
        <f t="shared" si="50"/>
        <v>1220.3923579624538</v>
      </c>
      <c r="D94" s="958">
        <f t="shared" si="51"/>
        <v>388.26831379374886</v>
      </c>
      <c r="E94" s="959">
        <f t="shared" si="51"/>
        <v>473.83968299285903</v>
      </c>
      <c r="F94" s="34">
        <f t="shared" si="52"/>
        <v>1887.8105506815871</v>
      </c>
      <c r="G94" s="48"/>
      <c r="H94" s="49"/>
      <c r="I94" s="14">
        <f t="shared" si="53"/>
        <v>267.37773366315508</v>
      </c>
      <c r="J94" s="13">
        <f t="shared" si="54"/>
        <v>667.41819271913323</v>
      </c>
      <c r="K94" s="14">
        <f t="shared" si="56"/>
        <v>259.13733628232916</v>
      </c>
      <c r="L94" s="14">
        <f t="shared" si="55"/>
        <v>-8.2403973808259252</v>
      </c>
      <c r="M94" s="129">
        <f t="shared" si="57"/>
        <v>0.54688821047146119</v>
      </c>
      <c r="O94" s="420">
        <f>K94</f>
        <v>259.13733628232916</v>
      </c>
      <c r="P94" s="4">
        <f t="shared" si="58"/>
        <v>259.13733628232916</v>
      </c>
      <c r="Q94" s="696"/>
      <c r="R94" s="696"/>
      <c r="S94" s="696"/>
      <c r="T94" s="4"/>
      <c r="U94" s="4"/>
    </row>
    <row r="95" spans="2:21">
      <c r="B95" s="8" t="s">
        <v>280</v>
      </c>
      <c r="C95" s="34">
        <f t="shared" si="50"/>
        <v>492.26</v>
      </c>
      <c r="D95" s="35">
        <f t="shared" si="51"/>
        <v>-171.40909091166469</v>
      </c>
      <c r="E95" s="36">
        <f t="shared" si="51"/>
        <v>-84.377839092176032</v>
      </c>
      <c r="F95" s="34">
        <f t="shared" si="52"/>
        <v>4847.375</v>
      </c>
      <c r="G95" s="48"/>
      <c r="H95" s="49"/>
      <c r="I95" s="14">
        <f t="shared" si="53"/>
        <v>-747.97369151342355</v>
      </c>
      <c r="J95" s="13">
        <f t="shared" si="54"/>
        <v>4355.1149999999998</v>
      </c>
      <c r="K95" s="14">
        <f t="shared" si="56"/>
        <v>-746.50630296575457</v>
      </c>
      <c r="L95" s="14">
        <f t="shared" si="55"/>
        <v>1.4673885476689748</v>
      </c>
      <c r="M95" s="129">
        <f t="shared" si="57"/>
        <v>8.8471844147401768</v>
      </c>
      <c r="P95" s="4">
        <f t="shared" si="58"/>
        <v>-746.50630296575457</v>
      </c>
      <c r="R95" s="696"/>
      <c r="S95" s="696"/>
      <c r="T95" s="4"/>
      <c r="U95" s="4"/>
    </row>
    <row r="96" spans="2:21">
      <c r="B96" s="956" t="s">
        <v>29</v>
      </c>
      <c r="C96" s="957">
        <f t="shared" si="50"/>
        <v>90127.470395196156</v>
      </c>
      <c r="D96" s="958">
        <f t="shared" si="51"/>
        <v>427.29820281741667</v>
      </c>
      <c r="E96" s="959">
        <f t="shared" si="51"/>
        <v>38511.306124347248</v>
      </c>
      <c r="F96" s="34">
        <f t="shared" si="52"/>
        <v>95622.293215625148</v>
      </c>
      <c r="G96" s="48"/>
      <c r="H96" s="49"/>
      <c r="I96" s="15">
        <f t="shared" si="53"/>
        <v>3017.6659676978684</v>
      </c>
      <c r="J96" s="13">
        <f t="shared" si="54"/>
        <v>5494.8228204289917</v>
      </c>
      <c r="K96" s="15">
        <f t="shared" si="56"/>
        <v>2347.927915969437</v>
      </c>
      <c r="L96" s="15">
        <f t="shared" si="55"/>
        <v>-669.7380517284314</v>
      </c>
      <c r="M96" s="129">
        <f t="shared" si="57"/>
        <v>6.0967236696369866E-2</v>
      </c>
      <c r="O96" s="420">
        <f>K96</f>
        <v>2347.927915969437</v>
      </c>
      <c r="P96" s="4">
        <f t="shared" si="58"/>
        <v>2347.927915969437</v>
      </c>
      <c r="Q96" s="696">
        <f>C96*D96</f>
        <v>38511306.12434724</v>
      </c>
      <c r="R96" s="696">
        <f>C96</f>
        <v>90127.470395196156</v>
      </c>
      <c r="S96" s="696">
        <f>F96</f>
        <v>95622.293215625148</v>
      </c>
      <c r="T96" s="4"/>
      <c r="U96" s="4"/>
    </row>
    <row r="97" spans="2:23">
      <c r="B97" s="8" t="s">
        <v>31</v>
      </c>
      <c r="C97" s="34">
        <f t="shared" si="50"/>
        <v>265325.53999999992</v>
      </c>
      <c r="D97" s="35">
        <f t="shared" si="51"/>
        <v>293.49176401400945</v>
      </c>
      <c r="E97" s="36">
        <f t="shared" si="51"/>
        <v>77870.860772569606</v>
      </c>
      <c r="F97" s="34">
        <f t="shared" si="52"/>
        <v>286122.31839448167</v>
      </c>
      <c r="G97" s="48"/>
      <c r="H97" s="49"/>
      <c r="I97" s="15">
        <f t="shared" si="53"/>
        <v>7457.9109044192701</v>
      </c>
      <c r="J97" s="13">
        <f t="shared" si="54"/>
        <v>20796.778394481749</v>
      </c>
      <c r="K97" s="15">
        <f t="shared" si="56"/>
        <v>6103.6831768048878</v>
      </c>
      <c r="L97" s="15">
        <f t="shared" si="55"/>
        <v>-1354.2277276143823</v>
      </c>
      <c r="M97" s="129">
        <f t="shared" si="57"/>
        <v>7.8382120298263622E-2</v>
      </c>
      <c r="P97" s="4">
        <f t="shared" si="58"/>
        <v>6103.6831768048878</v>
      </c>
      <c r="R97" s="696"/>
      <c r="S97" s="696"/>
      <c r="T97" s="4"/>
      <c r="U97" s="4"/>
    </row>
    <row r="98" spans="2:23">
      <c r="B98" s="8" t="s">
        <v>306</v>
      </c>
      <c r="C98" s="34">
        <f t="shared" si="50"/>
        <v>110301.97000000002</v>
      </c>
      <c r="D98" s="35">
        <f t="shared" si="51"/>
        <v>258.77639524131905</v>
      </c>
      <c r="E98" s="36">
        <f t="shared" si="51"/>
        <v>28543.54618461612</v>
      </c>
      <c r="F98" s="34">
        <f t="shared" si="52"/>
        <v>117390.91099999999</v>
      </c>
      <c r="G98" s="48"/>
      <c r="H98" s="49"/>
      <c r="I98" s="15">
        <f t="shared" si="53"/>
        <v>2330.8424615122076</v>
      </c>
      <c r="J98" s="13">
        <f t="shared" si="54"/>
        <v>7088.9409999999771</v>
      </c>
      <c r="K98" s="15">
        <f>J98*D98/1000</f>
        <v>1834.4505980583856</v>
      </c>
      <c r="L98" s="15">
        <f>K98-I98</f>
        <v>-496.391863453822</v>
      </c>
      <c r="M98" s="129">
        <f t="shared" si="57"/>
        <v>6.4268489492979822E-2</v>
      </c>
      <c r="P98" s="4">
        <f t="shared" si="58"/>
        <v>1834.4505980583856</v>
      </c>
      <c r="R98" s="696"/>
      <c r="S98" s="696"/>
      <c r="T98" s="4"/>
      <c r="U98" s="4"/>
      <c r="W98" s="1">
        <f>160+217</f>
        <v>377</v>
      </c>
    </row>
    <row r="99" spans="2:23">
      <c r="B99" s="956" t="s">
        <v>281</v>
      </c>
      <c r="C99" s="957">
        <f t="shared" si="50"/>
        <v>49551.853244528029</v>
      </c>
      <c r="D99" s="958">
        <f t="shared" si="51"/>
        <v>445.45555598797739</v>
      </c>
      <c r="E99" s="959">
        <f t="shared" si="51"/>
        <v>22073.148337275892</v>
      </c>
      <c r="F99" s="34">
        <f t="shared" si="52"/>
        <v>41148.523634731071</v>
      </c>
      <c r="G99" s="48"/>
      <c r="H99" s="49"/>
      <c r="I99" s="14">
        <f t="shared" si="53"/>
        <v>-3359.4426605579038</v>
      </c>
      <c r="J99" s="13">
        <f t="shared" si="54"/>
        <v>-8403.3296097969578</v>
      </c>
      <c r="K99" s="14">
        <f t="shared" si="56"/>
        <v>-3743.3098634823368</v>
      </c>
      <c r="L99" s="14">
        <f t="shared" si="55"/>
        <v>-383.86720292443306</v>
      </c>
      <c r="M99" s="129">
        <f t="shared" si="57"/>
        <v>-0.16958658575953323</v>
      </c>
      <c r="O99" s="420">
        <f>K99</f>
        <v>-3743.3098634823368</v>
      </c>
      <c r="P99" s="4">
        <f t="shared" si="58"/>
        <v>-3743.3098634823368</v>
      </c>
      <c r="Q99" s="960"/>
      <c r="R99" s="960"/>
      <c r="S99" s="960"/>
      <c r="T99" s="4"/>
      <c r="U99" s="4"/>
    </row>
    <row r="100" spans="2:23">
      <c r="B100" s="8" t="s">
        <v>282</v>
      </c>
      <c r="C100" s="34">
        <f t="shared" si="50"/>
        <v>1014.1200000000001</v>
      </c>
      <c r="D100" s="35">
        <f t="shared" si="51"/>
        <v>-268.88972499172542</v>
      </c>
      <c r="E100" s="36">
        <f t="shared" si="51"/>
        <v>-272.68644790860861</v>
      </c>
      <c r="F100" s="34">
        <f t="shared" si="52"/>
        <v>2599.1210000000001</v>
      </c>
      <c r="G100" s="48"/>
      <c r="H100" s="49"/>
      <c r="I100" s="14">
        <f t="shared" si="53"/>
        <v>-430.93268753150505</v>
      </c>
      <c r="J100" s="13">
        <f t="shared" si="54"/>
        <v>1585.001</v>
      </c>
      <c r="K100" s="14">
        <f t="shared" si="56"/>
        <v>-426.19048300160972</v>
      </c>
      <c r="L100" s="14">
        <f t="shared" si="55"/>
        <v>4.7422045298953321</v>
      </c>
      <c r="M100" s="129">
        <f t="shared" si="57"/>
        <v>1.5629323945884115</v>
      </c>
      <c r="P100" s="4">
        <f t="shared" si="58"/>
        <v>-426.19048300160972</v>
      </c>
      <c r="R100" s="696"/>
      <c r="S100" s="696"/>
      <c r="T100" s="4"/>
      <c r="U100" s="4"/>
    </row>
    <row r="101" spans="2:23">
      <c r="B101" s="956" t="s">
        <v>32</v>
      </c>
      <c r="C101" s="957">
        <f t="shared" si="50"/>
        <v>463694.02845894557</v>
      </c>
      <c r="D101" s="958">
        <f t="shared" si="51"/>
        <v>472.53611398332612</v>
      </c>
      <c r="E101" s="959">
        <f t="shared" si="51"/>
        <v>219112.17428526399</v>
      </c>
      <c r="F101" s="34">
        <f t="shared" si="52"/>
        <v>463787.28951984947</v>
      </c>
      <c r="G101" s="48"/>
      <c r="H101" s="49"/>
      <c r="I101" s="15">
        <f t="shared" si="53"/>
        <v>3854.580351853605</v>
      </c>
      <c r="J101" s="13">
        <f t="shared" si="54"/>
        <v>93.261060903896578</v>
      </c>
      <c r="K101" s="15">
        <f t="shared" si="56"/>
        <v>44.06921930548959</v>
      </c>
      <c r="L101" s="15">
        <f t="shared" si="55"/>
        <v>-3810.5111325481153</v>
      </c>
      <c r="M101" s="129">
        <f t="shared" si="57"/>
        <v>2.0112629272764875E-4</v>
      </c>
      <c r="O101" s="420">
        <f>C48-O21*1000</f>
        <v>7217011.6252327589</v>
      </c>
      <c r="P101" s="4">
        <f t="shared" si="58"/>
        <v>44.069219305489696</v>
      </c>
      <c r="Q101" s="696">
        <f>C101*D101</f>
        <v>219112174.28526396</v>
      </c>
      <c r="R101" s="696">
        <f>C101</f>
        <v>463694.02845894557</v>
      </c>
      <c r="S101" s="696">
        <f>F101</f>
        <v>463787.28951984947</v>
      </c>
      <c r="T101" s="4"/>
      <c r="U101" s="4"/>
    </row>
    <row r="102" spans="2:23">
      <c r="B102" s="8" t="s">
        <v>33</v>
      </c>
      <c r="C102" s="34">
        <f t="shared" si="50"/>
        <v>416584.70999999996</v>
      </c>
      <c r="D102" s="35">
        <f t="shared" si="51"/>
        <v>256.57829608609347</v>
      </c>
      <c r="E102" s="36">
        <f t="shared" si="51"/>
        <v>106886.59506731937</v>
      </c>
      <c r="F102" s="34">
        <f t="shared" si="52"/>
        <v>438619.17</v>
      </c>
      <c r="G102" s="48"/>
      <c r="H102" s="49"/>
      <c r="I102" s="15">
        <f t="shared" si="53"/>
        <v>7512.3954684403834</v>
      </c>
      <c r="J102" s="13">
        <f t="shared" si="54"/>
        <v>22034.460000000021</v>
      </c>
      <c r="K102" s="15">
        <f t="shared" si="56"/>
        <v>5653.5642019771885</v>
      </c>
      <c r="L102" s="15">
        <f t="shared" si="55"/>
        <v>-1858.8312664631949</v>
      </c>
      <c r="M102" s="129">
        <f t="shared" si="57"/>
        <v>5.2893107862744225E-2</v>
      </c>
      <c r="P102" s="4">
        <f t="shared" si="58"/>
        <v>5653.5642019771885</v>
      </c>
      <c r="R102" s="696"/>
      <c r="S102" s="696"/>
      <c r="T102" s="4"/>
      <c r="U102" s="4"/>
    </row>
    <row r="103" spans="2:23">
      <c r="B103" s="8" t="s">
        <v>307</v>
      </c>
      <c r="C103" s="34">
        <f t="shared" si="50"/>
        <v>83539.329999999987</v>
      </c>
      <c r="D103" s="35">
        <f t="shared" si="51"/>
        <v>208.09741659024064</v>
      </c>
      <c r="E103" s="36">
        <f t="shared" si="51"/>
        <v>17384.318756679582</v>
      </c>
      <c r="F103" s="34">
        <f t="shared" si="52"/>
        <v>76159.621079999997</v>
      </c>
      <c r="G103" s="48"/>
      <c r="H103" s="49"/>
      <c r="I103" s="15">
        <f t="shared" si="53"/>
        <v>-1233.3731238296955</v>
      </c>
      <c r="J103" s="13">
        <f t="shared" si="54"/>
        <v>-7379.70891999999</v>
      </c>
      <c r="K103" s="15">
        <f>J103*D103/1000</f>
        <v>-1535.6983614399528</v>
      </c>
      <c r="L103" s="15">
        <f>K103-I103</f>
        <v>-302.32523761025732</v>
      </c>
      <c r="M103" s="129">
        <f t="shared" si="57"/>
        <v>-8.8338138694672205E-2</v>
      </c>
      <c r="P103" s="4">
        <f t="shared" si="58"/>
        <v>-1535.6983614399528</v>
      </c>
      <c r="R103" s="696"/>
      <c r="S103" s="696"/>
      <c r="T103" s="4"/>
      <c r="U103" s="4"/>
    </row>
    <row r="104" spans="2:23">
      <c r="B104" s="8" t="s">
        <v>283</v>
      </c>
      <c r="C104" s="34">
        <f t="shared" si="50"/>
        <v>0</v>
      </c>
      <c r="D104" s="35">
        <f t="shared" si="51"/>
        <v>-663.85930953456682</v>
      </c>
      <c r="E104" s="36">
        <f t="shared" si="51"/>
        <v>0</v>
      </c>
      <c r="F104" s="34">
        <f t="shared" si="52"/>
        <v>0</v>
      </c>
      <c r="G104" s="48"/>
      <c r="H104" s="49"/>
      <c r="I104" s="14">
        <f t="shared" si="53"/>
        <v>0</v>
      </c>
      <c r="J104" s="13">
        <f t="shared" si="54"/>
        <v>0</v>
      </c>
      <c r="K104" s="14">
        <f t="shared" si="56"/>
        <v>0</v>
      </c>
      <c r="L104" s="14">
        <f t="shared" si="55"/>
        <v>0</v>
      </c>
      <c r="M104" s="129" t="e">
        <f t="shared" si="57"/>
        <v>#DIV/0!</v>
      </c>
      <c r="P104" s="4">
        <f t="shared" si="58"/>
        <v>0</v>
      </c>
      <c r="R104" s="696"/>
      <c r="S104" s="696"/>
      <c r="T104" s="4"/>
      <c r="U104" s="4"/>
    </row>
    <row r="105" spans="2:23">
      <c r="B105" s="8" t="s">
        <v>34</v>
      </c>
      <c r="C105" s="34">
        <f t="shared" si="50"/>
        <v>181457.09000000003</v>
      </c>
      <c r="D105" s="35">
        <f t="shared" si="51"/>
        <v>309.16229939933601</v>
      </c>
      <c r="E105" s="36">
        <f t="shared" si="51"/>
        <v>56099.69118671224</v>
      </c>
      <c r="F105" s="34">
        <f t="shared" si="52"/>
        <v>136271.78900000008</v>
      </c>
      <c r="G105" s="48"/>
      <c r="H105" s="49"/>
      <c r="I105" s="15">
        <f t="shared" si="53"/>
        <v>-12993.979413723879</v>
      </c>
      <c r="J105" s="13">
        <f t="shared" si="54"/>
        <v>-45185.300999999949</v>
      </c>
      <c r="K105" s="15">
        <f t="shared" si="56"/>
        <v>-13969.5915562111</v>
      </c>
      <c r="L105" s="15">
        <f t="shared" si="55"/>
        <v>-975.61214248722172</v>
      </c>
      <c r="M105" s="129">
        <f t="shared" si="57"/>
        <v>-0.24901369794919528</v>
      </c>
      <c r="P105" s="4">
        <f t="shared" si="58"/>
        <v>-13969.5915562111</v>
      </c>
      <c r="R105" s="696"/>
      <c r="S105" s="696"/>
      <c r="T105" s="4"/>
      <c r="U105" s="4"/>
    </row>
    <row r="106" spans="2:23">
      <c r="B106" s="8" t="s">
        <v>530</v>
      </c>
      <c r="C106" s="34">
        <f t="shared" si="50"/>
        <v>106335.88</v>
      </c>
      <c r="D106" s="35">
        <f t="shared" si="51"/>
        <v>344.25133478081852</v>
      </c>
      <c r="E106" s="36">
        <f t="shared" si="51"/>
        <v>36606.268625092955</v>
      </c>
      <c r="F106" s="34">
        <f t="shared" si="52"/>
        <v>88523.367000000013</v>
      </c>
      <c r="G106" s="48"/>
      <c r="H106" s="49"/>
      <c r="I106" s="15">
        <f t="shared" si="53"/>
        <v>-5495.3732342531312</v>
      </c>
      <c r="J106" s="13">
        <f t="shared" si="54"/>
        <v>-17812.512999999992</v>
      </c>
      <c r="K106" s="15">
        <f>J106*D106/1000</f>
        <v>-6131.9813760506786</v>
      </c>
      <c r="L106" s="15">
        <f>K106-I106</f>
        <v>-636.60814179754743</v>
      </c>
      <c r="M106" s="129">
        <f t="shared" si="57"/>
        <v>-0.16751178435726483</v>
      </c>
      <c r="P106" s="4">
        <f t="shared" si="58"/>
        <v>-6131.9813760506786</v>
      </c>
      <c r="R106" s="696"/>
      <c r="S106" s="696"/>
      <c r="T106" s="4"/>
      <c r="U106" s="4"/>
    </row>
    <row r="107" spans="2:23">
      <c r="B107" s="956" t="s">
        <v>284</v>
      </c>
      <c r="C107" s="957">
        <f t="shared" si="50"/>
        <v>94231.594684142721</v>
      </c>
      <c r="D107" s="958">
        <f t="shared" si="51"/>
        <v>718.52838199190626</v>
      </c>
      <c r="E107" s="959">
        <f t="shared" si="51"/>
        <v>67708.075260914193</v>
      </c>
      <c r="F107" s="34">
        <f t="shared" si="52"/>
        <v>99323.020800091981</v>
      </c>
      <c r="G107" s="48"/>
      <c r="H107" s="49"/>
      <c r="I107" s="15">
        <f t="shared" si="53"/>
        <v>4835.8240798822244</v>
      </c>
      <c r="J107" s="13">
        <f t="shared" si="54"/>
        <v>5091.4261159492598</v>
      </c>
      <c r="K107" s="15">
        <f t="shared" si="56"/>
        <v>3658.3341691243572</v>
      </c>
      <c r="L107" s="15">
        <f t="shared" si="55"/>
        <v>-1177.4899107578672</v>
      </c>
      <c r="M107" s="129">
        <f t="shared" si="57"/>
        <v>5.4030987515549751E-2</v>
      </c>
      <c r="O107" s="420">
        <f>K107</f>
        <v>3658.3341691243572</v>
      </c>
      <c r="P107" s="4">
        <f t="shared" si="58"/>
        <v>3658.3341691243572</v>
      </c>
      <c r="Q107" s="696">
        <f>C107*D107</f>
        <v>67708075.260914192</v>
      </c>
      <c r="R107" s="696">
        <f>C107</f>
        <v>94231.594684142721</v>
      </c>
      <c r="S107" s="696">
        <f>F107</f>
        <v>99323.020800091981</v>
      </c>
      <c r="T107" s="4"/>
      <c r="U107" s="4"/>
    </row>
    <row r="108" spans="2:23">
      <c r="B108" s="8" t="s">
        <v>289</v>
      </c>
      <c r="C108" s="34">
        <f t="shared" si="50"/>
        <v>7737.5399999999991</v>
      </c>
      <c r="D108" s="35">
        <f t="shared" si="51"/>
        <v>275.87626895466155</v>
      </c>
      <c r="E108" s="36">
        <f t="shared" si="51"/>
        <v>2134.6036660874515</v>
      </c>
      <c r="F108" s="34">
        <f t="shared" si="52"/>
        <v>7661.2250000000004</v>
      </c>
      <c r="G108" s="48"/>
      <c r="H108" s="49"/>
      <c r="I108" s="15">
        <f t="shared" si="53"/>
        <v>16.068725705285559</v>
      </c>
      <c r="J108" s="13">
        <f t="shared" si="54"/>
        <v>-76.31499999999869</v>
      </c>
      <c r="K108" s="15">
        <f>J108*D108/1000</f>
        <v>-21.053497465274635</v>
      </c>
      <c r="L108" s="15">
        <f>K108-I108</f>
        <v>-37.12222317056019</v>
      </c>
      <c r="M108" s="129">
        <f t="shared" si="57"/>
        <v>-9.8629538587197869E-3</v>
      </c>
      <c r="P108" s="4">
        <f t="shared" si="58"/>
        <v>-21.053497465274631</v>
      </c>
      <c r="R108" s="696"/>
      <c r="S108" s="696"/>
      <c r="T108" s="4"/>
      <c r="U108" s="4"/>
    </row>
    <row r="109" spans="2:23">
      <c r="B109" s="956" t="s">
        <v>358</v>
      </c>
      <c r="C109" s="957">
        <f t="shared" si="50"/>
        <v>3816.3261818387646</v>
      </c>
      <c r="D109" s="958">
        <f t="shared" si="51"/>
        <v>1208.6233558892334</v>
      </c>
      <c r="E109" s="959">
        <f t="shared" si="51"/>
        <v>4612.5009570619131</v>
      </c>
      <c r="F109" s="34">
        <f t="shared" si="52"/>
        <v>3627.2928948158055</v>
      </c>
      <c r="G109" s="48"/>
      <c r="H109" s="49"/>
      <c r="I109" s="15">
        <f t="shared" si="53"/>
        <v>-148.25548758557164</v>
      </c>
      <c r="J109" s="13">
        <f t="shared" si="54"/>
        <v>-189.03328702295903</v>
      </c>
      <c r="K109" s="15">
        <f t="shared" si="56"/>
        <v>-228.4700457364614</v>
      </c>
      <c r="L109" s="15">
        <f t="shared" si="55"/>
        <v>-80.214558150889758</v>
      </c>
      <c r="M109" s="129">
        <f t="shared" si="57"/>
        <v>-4.9532790965965044E-2</v>
      </c>
      <c r="P109" s="4">
        <f t="shared" si="58"/>
        <v>-228.4700457364614</v>
      </c>
      <c r="Q109" s="696">
        <f>C109*D109</f>
        <v>4612500.9570619119</v>
      </c>
      <c r="R109" s="696">
        <f>C109</f>
        <v>3816.3261818387646</v>
      </c>
      <c r="S109" s="696">
        <f>F109</f>
        <v>3627.2928948158055</v>
      </c>
      <c r="T109" s="4"/>
      <c r="U109" s="4"/>
    </row>
    <row r="110" spans="2:23">
      <c r="B110" s="8" t="str">
        <f>B77</f>
        <v>Magnelis DM Industry</v>
      </c>
      <c r="C110" s="34">
        <f t="shared" si="50"/>
        <v>0</v>
      </c>
      <c r="D110" s="35">
        <f t="shared" si="51"/>
        <v>-182.6228988553986</v>
      </c>
      <c r="E110" s="36">
        <f t="shared" si="51"/>
        <v>0</v>
      </c>
      <c r="F110" s="34">
        <f t="shared" si="52"/>
        <v>10000</v>
      </c>
      <c r="G110" s="48"/>
      <c r="H110" s="49"/>
      <c r="I110" s="14">
        <f t="shared" si="53"/>
        <v>-1826.2289885539858</v>
      </c>
      <c r="J110" s="13">
        <f t="shared" si="54"/>
        <v>10000</v>
      </c>
      <c r="K110" s="14">
        <f>J110*D110/1000</f>
        <v>-1826.228988553986</v>
      </c>
      <c r="L110" s="14">
        <f>K110-I110</f>
        <v>0</v>
      </c>
      <c r="M110" s="129"/>
      <c r="Q110" s="696">
        <f>SUM(Q88:Q109)</f>
        <v>386128351.04596686</v>
      </c>
      <c r="R110" s="696">
        <f>SUM(R88:R109)</f>
        <v>840686.56972012331</v>
      </c>
      <c r="S110" s="696">
        <f>SUM(S88:S109)</f>
        <v>853120.59432927985</v>
      </c>
      <c r="T110" s="4">
        <f>S110-R110</f>
        <v>12434.024609156535</v>
      </c>
      <c r="U110" s="4"/>
    </row>
    <row r="111" spans="2:23">
      <c r="B111" s="8" t="str">
        <f>B78</f>
        <v>Industry Imports</v>
      </c>
      <c r="C111" s="34">
        <f t="shared" si="50"/>
        <v>35399.969999999994</v>
      </c>
      <c r="D111" s="35">
        <f t="shared" si="51"/>
        <v>284.85966315171265</v>
      </c>
      <c r="E111" s="36">
        <f t="shared" si="51"/>
        <v>10084.02352978073</v>
      </c>
      <c r="F111" s="34">
        <f t="shared" si="52"/>
        <v>17169.268000000007</v>
      </c>
      <c r="G111" s="48"/>
      <c r="H111" s="49"/>
      <c r="I111" s="15">
        <f t="shared" si="53"/>
        <v>-5017.8235388180747</v>
      </c>
      <c r="J111" s="13">
        <f t="shared" si="54"/>
        <v>-18230.701999999987</v>
      </c>
      <c r="K111" s="15">
        <f t="shared" ref="K111" si="61">J111*D111/1000</f>
        <v>-5193.1916307392503</v>
      </c>
      <c r="L111" s="15">
        <f t="shared" ref="L111" si="62">K111-I111</f>
        <v>-175.36809192117562</v>
      </c>
      <c r="M111" s="129"/>
      <c r="Q111" s="4">
        <f>Q110/R110</f>
        <v>459.3012008916885</v>
      </c>
      <c r="R111" s="4">
        <f>'Box (resumo SAIDA)'!C14*1000</f>
        <v>891458.81532261381</v>
      </c>
      <c r="S111" s="4"/>
      <c r="T111" s="4"/>
      <c r="U111" s="4"/>
    </row>
    <row r="112" spans="2:23">
      <c r="B112" s="19" t="str">
        <f>B79</f>
        <v>Magnelis DM Downstream</v>
      </c>
      <c r="C112" s="34">
        <f t="shared" si="50"/>
        <v>0</v>
      </c>
      <c r="D112" s="35">
        <f t="shared" si="51"/>
        <v>343.65894326928276</v>
      </c>
      <c r="E112" s="36">
        <f t="shared" si="51"/>
        <v>0</v>
      </c>
      <c r="F112" s="34">
        <f t="shared" si="52"/>
        <v>7002.88</v>
      </c>
      <c r="G112" s="48"/>
      <c r="H112" s="49"/>
      <c r="I112" s="15">
        <f t="shared" si="53"/>
        <v>2406.6023406415943</v>
      </c>
      <c r="J112" s="13">
        <f t="shared" si="54"/>
        <v>7002.88</v>
      </c>
      <c r="K112" s="15">
        <f t="shared" ref="K112" si="63">J112*D112/1000</f>
        <v>2406.6023406415948</v>
      </c>
      <c r="L112" s="15">
        <f t="shared" ref="L112" si="64">K112-I112</f>
        <v>0</v>
      </c>
      <c r="M112" s="129"/>
      <c r="R112" s="4">
        <f>R111-R110</f>
        <v>50772.245602490497</v>
      </c>
      <c r="S112" s="4"/>
      <c r="T112" s="4">
        <f>460*2</f>
        <v>920</v>
      </c>
      <c r="U112" s="4"/>
    </row>
    <row r="113" spans="2:21" ht="13.5" thickBot="1">
      <c r="B113" s="19" t="str">
        <f>B80</f>
        <v>HRC Aperam baixo carbono</v>
      </c>
      <c r="C113" s="35">
        <f t="shared" si="50"/>
        <v>0</v>
      </c>
      <c r="D113" s="35">
        <f t="shared" si="51"/>
        <v>30</v>
      </c>
      <c r="E113" s="36">
        <f t="shared" si="51"/>
        <v>0</v>
      </c>
      <c r="F113" s="34">
        <f t="shared" si="52"/>
        <v>0</v>
      </c>
      <c r="G113" s="48"/>
      <c r="H113" s="49"/>
      <c r="I113" s="15">
        <f t="shared" si="53"/>
        <v>0</v>
      </c>
      <c r="J113" s="13">
        <f t="shared" si="54"/>
        <v>0</v>
      </c>
      <c r="K113" s="15">
        <f t="shared" ref="K113" si="65">J113*D113/1000</f>
        <v>0</v>
      </c>
      <c r="L113" s="15">
        <f t="shared" ref="L113" si="66">K113-I113</f>
        <v>0</v>
      </c>
      <c r="M113" s="129"/>
      <c r="S113" s="4"/>
      <c r="T113" s="4"/>
      <c r="U113" s="4"/>
    </row>
    <row r="114" spans="2:21" ht="13.5" thickBot="1">
      <c r="B114" s="40" t="s">
        <v>42</v>
      </c>
      <c r="C114" s="44">
        <f>SUM(C83:C113)</f>
        <v>7232333.7353226142</v>
      </c>
      <c r="D114" s="42">
        <f>E114/C114*1000</f>
        <v>183.86941262651328</v>
      </c>
      <c r="E114" s="44">
        <f>SUM(E83:E113)</f>
        <v>1329804.9558326858</v>
      </c>
      <c r="F114" s="44">
        <f>SUM(F83:F113)</f>
        <v>7106558.4866279848</v>
      </c>
      <c r="G114" s="42"/>
      <c r="H114" s="43"/>
      <c r="I114" s="44">
        <f>SUM(I83:I113)</f>
        <v>16445.840378799981</v>
      </c>
      <c r="J114" s="44">
        <f>SUM(J83:J113)</f>
        <v>-125775.24869462778</v>
      </c>
      <c r="K114" s="44">
        <f>SUM(K83:K113)</f>
        <v>-6680.3807216351506</v>
      </c>
      <c r="L114" s="44">
        <f>SUM(L83:L113)</f>
        <v>-23126.221100435134</v>
      </c>
      <c r="M114" s="1"/>
      <c r="P114" s="4">
        <f t="shared" si="58"/>
        <v>-6680.3807216351524</v>
      </c>
      <c r="S114" s="4"/>
      <c r="T114" s="4"/>
      <c r="U114" s="4"/>
    </row>
    <row r="115" spans="2:21">
      <c r="B115" s="45" t="s">
        <v>43</v>
      </c>
      <c r="C115" s="51"/>
      <c r="D115" s="52"/>
      <c r="E115" s="47" t="s">
        <v>22</v>
      </c>
      <c r="F115" s="53"/>
      <c r="G115" s="54"/>
      <c r="H115" s="47" t="s">
        <v>22</v>
      </c>
      <c r="I115" s="11" t="s">
        <v>44</v>
      </c>
      <c r="J115" s="11" t="s">
        <v>45</v>
      </c>
      <c r="L115" s="55"/>
      <c r="M115" s="55">
        <f>F114-C114</f>
        <v>-125775.24869462941</v>
      </c>
      <c r="S115" s="4"/>
      <c r="T115" s="4"/>
      <c r="U115" s="4"/>
    </row>
    <row r="116" spans="2:21">
      <c r="B116" s="8" t="s">
        <v>46</v>
      </c>
      <c r="C116" s="56"/>
      <c r="D116" s="48"/>
      <c r="E116" s="93">
        <f>[8]FYB26xFYMRF7!$D$9+[8]FYB26xFYMRF7!$D$35</f>
        <v>290502.46044270345</v>
      </c>
      <c r="F116" s="393"/>
      <c r="G116" s="394"/>
      <c r="H116" s="93">
        <f>[8]FYB26xFYMRF7!$G$9+[8]FYB26xFYMRF7!$G$35</f>
        <v>335945.75819845067</v>
      </c>
      <c r="I116" s="57">
        <f>H116*($H$125/$E$125-1)</f>
        <v>-14075.790740054203</v>
      </c>
      <c r="J116" s="58">
        <f>E116-H116-I116</f>
        <v>-31367.507015693016</v>
      </c>
      <c r="L116" s="55"/>
      <c r="M116" s="55"/>
      <c r="S116" s="4"/>
      <c r="T116" s="4"/>
      <c r="U116" s="4"/>
    </row>
    <row r="117" spans="2:21">
      <c r="B117" s="8" t="s">
        <v>47</v>
      </c>
      <c r="C117" s="56"/>
      <c r="D117" s="48"/>
      <c r="E117" s="93">
        <f>[8]FYB26xFYMRF7!$D$10</f>
        <v>162910.37548555571</v>
      </c>
      <c r="F117" s="393"/>
      <c r="G117" s="394"/>
      <c r="H117" s="93">
        <f>[8]FYB26xFYMRF7!$G$10</f>
        <v>173542.33833959477</v>
      </c>
      <c r="I117" s="57">
        <f t="shared" ref="I117:I123" si="67">H117*($H$125/$E$125-1)</f>
        <v>-7271.2501330790346</v>
      </c>
      <c r="J117" s="58">
        <f t="shared" ref="J117:J124" si="68">E117-H117-I117</f>
        <v>-3360.7127209600349</v>
      </c>
      <c r="L117" s="55"/>
      <c r="M117" s="55"/>
      <c r="S117" s="4"/>
      <c r="T117" s="4"/>
      <c r="U117" s="4"/>
    </row>
    <row r="118" spans="2:21">
      <c r="B118" s="8" t="s">
        <v>254</v>
      </c>
      <c r="C118" s="56"/>
      <c r="D118" s="48"/>
      <c r="E118" s="93">
        <f>[8]FYB26xFYMRF7!$D$11</f>
        <v>455.31968888888878</v>
      </c>
      <c r="F118" s="393"/>
      <c r="G118" s="394"/>
      <c r="H118" s="93">
        <f>[8]FYB26xFYMRF7!$G$11</f>
        <v>476.59812750037719</v>
      </c>
      <c r="I118" s="57"/>
      <c r="J118" s="58">
        <f t="shared" si="68"/>
        <v>-21.278438611488411</v>
      </c>
      <c r="L118" s="55"/>
      <c r="M118" s="55"/>
      <c r="S118" s="4"/>
      <c r="T118" s="4"/>
      <c r="U118" s="4"/>
    </row>
    <row r="119" spans="2:21">
      <c r="B119" s="8" t="s">
        <v>48</v>
      </c>
      <c r="C119" s="56"/>
      <c r="D119" s="48"/>
      <c r="E119" s="93">
        <f>[8]FYB26xFYMRF7!$D$12+[8]FYB26xFYMRF7!$D$34</f>
        <v>36445.369559722225</v>
      </c>
      <c r="F119" s="393"/>
      <c r="G119" s="394"/>
      <c r="H119" s="93">
        <f>[8]FYB26xFYMRF7!$G$12+[8]FYB26xFYMRF7!$G$34</f>
        <v>39799.933372505184</v>
      </c>
      <c r="I119" s="57">
        <f t="shared" si="67"/>
        <v>-1667.5773393410459</v>
      </c>
      <c r="J119" s="58">
        <f>E119-H119-I119</f>
        <v>-1686.9864734419129</v>
      </c>
      <c r="L119" s="55"/>
      <c r="M119" s="55"/>
      <c r="S119" s="4"/>
      <c r="T119" s="4"/>
      <c r="U119" s="4"/>
    </row>
    <row r="120" spans="2:21">
      <c r="B120" s="8" t="s">
        <v>98</v>
      </c>
      <c r="C120" s="56"/>
      <c r="D120" s="48"/>
      <c r="E120" s="93">
        <f>[8]FYB26xFYMRF7!$D$13</f>
        <v>4329.6571425925922</v>
      </c>
      <c r="F120" s="393"/>
      <c r="G120" s="394"/>
      <c r="H120" s="93">
        <f>[8]FYB26xFYMRF7!$G$13</f>
        <v>4366.7997161010962</v>
      </c>
      <c r="I120" s="57"/>
      <c r="J120" s="58">
        <f t="shared" si="68"/>
        <v>-37.142573508504029</v>
      </c>
      <c r="L120" s="55"/>
      <c r="M120" s="55"/>
      <c r="S120" s="4"/>
      <c r="T120" s="4"/>
      <c r="U120" s="4"/>
    </row>
    <row r="121" spans="2:21">
      <c r="B121" s="8" t="s">
        <v>251</v>
      </c>
      <c r="C121" s="56"/>
      <c r="D121" s="48"/>
      <c r="E121" s="93">
        <f>[8]FYB26xFYMRF7!$D$14</f>
        <v>0</v>
      </c>
      <c r="F121" s="393"/>
      <c r="G121" s="394"/>
      <c r="H121" s="93">
        <f>[8]FYB26xFYMRF7!$G$14</f>
        <v>0</v>
      </c>
      <c r="I121" s="57">
        <f t="shared" si="67"/>
        <v>0</v>
      </c>
      <c r="J121" s="58">
        <f t="shared" si="68"/>
        <v>0</v>
      </c>
      <c r="L121" s="55"/>
      <c r="M121" s="55"/>
      <c r="S121" s="4"/>
      <c r="T121" s="4"/>
      <c r="U121" s="4"/>
    </row>
    <row r="122" spans="2:21">
      <c r="B122" s="8" t="s">
        <v>100</v>
      </c>
      <c r="C122" s="56"/>
      <c r="D122" s="48"/>
      <c r="E122" s="93">
        <f>[8]FYB26xFYMRF7!$D$15</f>
        <v>3800.2258148148148</v>
      </c>
      <c r="F122" s="393"/>
      <c r="G122" s="394"/>
      <c r="H122" s="93">
        <f>[8]FYB26xFYMRF7!$G$15</f>
        <v>4339.9682851539674</v>
      </c>
      <c r="I122" s="57"/>
      <c r="J122" s="58">
        <f t="shared" si="68"/>
        <v>-539.74247033915253</v>
      </c>
      <c r="L122" s="55"/>
      <c r="M122" s="55"/>
      <c r="S122" s="4"/>
      <c r="T122" s="4"/>
      <c r="U122" s="4"/>
    </row>
    <row r="123" spans="2:21">
      <c r="B123" s="8" t="s">
        <v>49</v>
      </c>
      <c r="C123" s="56"/>
      <c r="D123" s="48"/>
      <c r="E123" s="93">
        <f>[8]FYB26xFYMRF7!$D$16</f>
        <v>133766.87453033309</v>
      </c>
      <c r="F123" s="393"/>
      <c r="G123" s="394"/>
      <c r="H123" s="93">
        <f>[8]FYB26xFYMRF7!$G$16</f>
        <v>137770.91554820424</v>
      </c>
      <c r="I123" s="57">
        <f t="shared" si="67"/>
        <v>-5772.4633515886026</v>
      </c>
      <c r="J123" s="58">
        <f t="shared" si="68"/>
        <v>1768.4223337174562</v>
      </c>
      <c r="L123" s="55"/>
      <c r="M123" s="55"/>
      <c r="S123" s="4"/>
      <c r="T123" s="4"/>
      <c r="U123" s="4"/>
    </row>
    <row r="124" spans="2:21">
      <c r="B124" s="8" t="s">
        <v>101</v>
      </c>
      <c r="C124" s="56"/>
      <c r="D124" s="48"/>
      <c r="E124" s="93">
        <f>[8]FYB26xFYMRF7!$D$17</f>
        <v>57260.893387037046</v>
      </c>
      <c r="F124" s="393"/>
      <c r="G124" s="394"/>
      <c r="H124" s="93">
        <f>[8]FYB26xFYMRF7!$G$17</f>
        <v>56306.50454336941</v>
      </c>
      <c r="I124" s="57"/>
      <c r="J124" s="58">
        <f t="shared" si="68"/>
        <v>954.38884366763523</v>
      </c>
      <c r="L124" s="55"/>
      <c r="M124" s="55"/>
      <c r="S124" s="4"/>
      <c r="T124" s="4"/>
      <c r="U124" s="4"/>
    </row>
    <row r="125" spans="2:21" ht="13.5" thickBot="1">
      <c r="B125" s="8" t="s">
        <v>3</v>
      </c>
      <c r="C125" s="34"/>
      <c r="D125" s="35"/>
      <c r="E125" s="674">
        <f>[8]FYB26xFYMRF7!$B$23</f>
        <v>5.4000000000000012</v>
      </c>
      <c r="F125" s="395"/>
      <c r="G125" s="396"/>
      <c r="H125" s="674">
        <f>[8]FYB26xFYMRF7!$B$24</f>
        <v>5.1737454093663775</v>
      </c>
      <c r="I125" s="59"/>
      <c r="J125" s="59"/>
      <c r="K125" s="18"/>
      <c r="L125" s="18"/>
      <c r="M125" s="55"/>
      <c r="S125" s="4"/>
      <c r="T125" s="4"/>
      <c r="U125" s="4"/>
    </row>
    <row r="126" spans="2:21" ht="13.5" thickBot="1">
      <c r="B126" s="50" t="s">
        <v>50</v>
      </c>
      <c r="C126" s="60"/>
      <c r="D126" s="42"/>
      <c r="E126" s="43">
        <f>SUM(E116:E124)</f>
        <v>689471.17605164787</v>
      </c>
      <c r="F126" s="41"/>
      <c r="G126" s="42"/>
      <c r="H126" s="43">
        <f>SUM(H116:H124)</f>
        <v>752548.8161308798</v>
      </c>
      <c r="I126" s="675">
        <f>SUM(I116:I124)</f>
        <v>-28787.081564062883</v>
      </c>
      <c r="J126" s="675">
        <f>SUM(J116:J124)</f>
        <v>-34290.558515169017</v>
      </c>
      <c r="L126" s="55"/>
      <c r="M126" s="55"/>
      <c r="S126" s="4"/>
      <c r="T126" s="4"/>
      <c r="U126" s="4"/>
    </row>
    <row r="127" spans="2:21">
      <c r="B127" s="45" t="s">
        <v>15</v>
      </c>
      <c r="C127" s="51"/>
      <c r="D127" s="2" t="s">
        <v>21</v>
      </c>
      <c r="E127" s="47"/>
      <c r="F127" s="53"/>
      <c r="G127" s="2" t="s">
        <v>21</v>
      </c>
      <c r="H127" s="47"/>
      <c r="I127" s="11" t="s">
        <v>51</v>
      </c>
      <c r="J127" s="11" t="s">
        <v>15</v>
      </c>
      <c r="L127" s="55"/>
      <c r="M127" s="55"/>
      <c r="S127" s="4"/>
      <c r="T127" s="4"/>
      <c r="U127" s="4"/>
    </row>
    <row r="128" spans="2:21">
      <c r="B128" s="8" t="s">
        <v>52</v>
      </c>
      <c r="C128" s="34"/>
      <c r="D128" s="61">
        <f>[9]FY_Budget!K11</f>
        <v>192.44907581258099</v>
      </c>
      <c r="E128" s="36"/>
      <c r="F128" s="34"/>
      <c r="G128" s="61">
        <f>[9]FY_Budget!O11</f>
        <v>209.830332011846</v>
      </c>
      <c r="H128" s="36"/>
      <c r="I128" s="204">
        <f>[9]FY_Budget!N11</f>
        <v>0.39731562421943001</v>
      </c>
      <c r="J128" s="58">
        <f>(D128-G128)*I128*$G$144</f>
        <v>-48135.709979590429</v>
      </c>
      <c r="K128" s="816"/>
      <c r="L128" s="55"/>
      <c r="M128" s="842"/>
      <c r="N128" s="842"/>
      <c r="O128" s="842"/>
      <c r="S128" s="224"/>
      <c r="T128" s="224"/>
      <c r="U128" s="224"/>
    </row>
    <row r="129" spans="2:23">
      <c r="B129" s="8" t="s">
        <v>53</v>
      </c>
      <c r="C129" s="34"/>
      <c r="D129" s="61">
        <f>[9]FY_Budget!K12</f>
        <v>193.47907998159599</v>
      </c>
      <c r="E129" s="36"/>
      <c r="F129" s="34"/>
      <c r="G129" s="61">
        <f>[9]FY_Budget!O12</f>
        <v>218.48672314443101</v>
      </c>
      <c r="H129" s="36"/>
      <c r="I129" s="204">
        <f>[9]FY_Budget!N12</f>
        <v>0.27102848197245</v>
      </c>
      <c r="J129" s="58">
        <f t="shared" ref="J129:J134" si="69">(D129-G129)*I129*$G$144</f>
        <v>-47243.087583652239</v>
      </c>
      <c r="K129" s="816"/>
      <c r="L129" s="55"/>
      <c r="M129" s="55"/>
      <c r="N129" s="55"/>
      <c r="O129" s="842"/>
      <c r="S129" s="4"/>
      <c r="T129" s="224"/>
      <c r="U129" s="224"/>
      <c r="W129" s="224"/>
    </row>
    <row r="130" spans="2:23">
      <c r="B130" s="8" t="s">
        <v>54</v>
      </c>
      <c r="C130" s="34"/>
      <c r="D130" s="61">
        <f>[9]FY_Budget!K13</f>
        <v>0</v>
      </c>
      <c r="E130" s="36"/>
      <c r="F130" s="34"/>
      <c r="G130" s="61">
        <f>[9]FY_Budget!O13</f>
        <v>0</v>
      </c>
      <c r="H130" s="36"/>
      <c r="I130" s="204">
        <f>[9]FY_Budget!N13</f>
        <v>0</v>
      </c>
      <c r="J130" s="58">
        <f>(D130-G130)*I130*$G$144</f>
        <v>0</v>
      </c>
      <c r="K130" s="816"/>
      <c r="L130" s="55"/>
      <c r="M130" s="55"/>
      <c r="O130" s="842"/>
      <c r="W130" s="224"/>
    </row>
    <row r="131" spans="2:23">
      <c r="B131" s="8" t="s">
        <v>55</v>
      </c>
      <c r="C131" s="34"/>
      <c r="D131" s="61">
        <f>[9]FY_Budget!K14</f>
        <v>312.92944510136499</v>
      </c>
      <c r="E131" s="36"/>
      <c r="F131" s="34"/>
      <c r="G131" s="61">
        <f>[9]FY_Budget!O14</f>
        <v>340.61822721504302</v>
      </c>
      <c r="H131" s="36"/>
      <c r="I131" s="204">
        <f>[9]FY_Budget!N14</f>
        <v>1.407606697906E-2</v>
      </c>
      <c r="J131" s="58">
        <f>(D131-G131)*I131*$G$144</f>
        <v>-2716.6629223997379</v>
      </c>
      <c r="K131" s="816"/>
      <c r="L131" s="55"/>
      <c r="M131" s="55"/>
      <c r="O131" s="842"/>
      <c r="S131" s="89"/>
      <c r="T131" s="89"/>
      <c r="U131" s="89"/>
      <c r="V131" s="89"/>
      <c r="W131" s="224"/>
    </row>
    <row r="132" spans="2:23">
      <c r="B132" s="8" t="s">
        <v>56</v>
      </c>
      <c r="C132" s="34"/>
      <c r="D132" s="61">
        <f>[9]FY_Budget!K16</f>
        <v>72.724805563142596</v>
      </c>
      <c r="E132" s="36"/>
      <c r="F132" s="34"/>
      <c r="G132" s="61">
        <f>[9]FY_Budget!O16</f>
        <v>75.803893593564496</v>
      </c>
      <c r="H132" s="36"/>
      <c r="I132" s="204">
        <f>[9]FY_Budget!N16</f>
        <v>0.50546147907213002</v>
      </c>
      <c r="J132" s="58">
        <f t="shared" si="69"/>
        <v>-10848.276508559929</v>
      </c>
      <c r="K132" s="816"/>
      <c r="L132" s="55"/>
      <c r="M132" s="55"/>
      <c r="N132" s="817"/>
      <c r="P132" s="818"/>
      <c r="R132" s="224"/>
      <c r="S132" s="822"/>
      <c r="T132" s="224"/>
      <c r="U132" s="224"/>
      <c r="W132" s="224"/>
    </row>
    <row r="133" spans="2:23">
      <c r="B133" s="8" t="s">
        <v>57</v>
      </c>
      <c r="C133" s="34"/>
      <c r="D133" s="61">
        <f>[9]FY_Budget!K17</f>
        <v>121.438930180537</v>
      </c>
      <c r="E133" s="36"/>
      <c r="F133" s="34"/>
      <c r="G133" s="61">
        <f>[9]FY_Budget!O17</f>
        <v>128.95792596468499</v>
      </c>
      <c r="H133" s="36"/>
      <c r="I133" s="204">
        <f>[9]FY_Budget!N17</f>
        <v>0.78699859872350997</v>
      </c>
      <c r="J133" s="58">
        <f t="shared" si="69"/>
        <v>-41246.241222815581</v>
      </c>
      <c r="K133" s="816"/>
      <c r="L133" s="55"/>
      <c r="M133" s="55"/>
      <c r="N133" s="819"/>
      <c r="P133" s="818"/>
      <c r="R133" s="224"/>
      <c r="S133" s="822"/>
      <c r="T133" s="224"/>
      <c r="U133" s="224"/>
      <c r="W133" s="224"/>
    </row>
    <row r="134" spans="2:23">
      <c r="B134" s="8" t="s">
        <v>58</v>
      </c>
      <c r="C134" s="34"/>
      <c r="D134" s="61">
        <f>[9]FY_Budget!K18</f>
        <v>82.183924470554302</v>
      </c>
      <c r="E134" s="36"/>
      <c r="F134" s="34"/>
      <c r="G134" s="61">
        <f>[9]FY_Budget!O18</f>
        <v>83.470247491985404</v>
      </c>
      <c r="H134" s="36"/>
      <c r="I134" s="204">
        <f>[9]FY_Budget!N18</f>
        <v>0.2207053984765</v>
      </c>
      <c r="J134" s="58">
        <f t="shared" si="69"/>
        <v>-1978.8531904776401</v>
      </c>
      <c r="K134" s="816"/>
      <c r="L134" s="55"/>
      <c r="M134" s="55"/>
      <c r="N134" s="819"/>
      <c r="P134" s="818"/>
      <c r="R134" s="224"/>
      <c r="S134" s="224"/>
      <c r="T134" s="224"/>
      <c r="U134" s="224"/>
      <c r="W134" s="224"/>
    </row>
    <row r="135" spans="2:23">
      <c r="B135" s="8" t="s">
        <v>59</v>
      </c>
      <c r="C135" s="34"/>
      <c r="D135" s="61"/>
      <c r="E135" s="36"/>
      <c r="F135" s="34"/>
      <c r="G135" s="61"/>
      <c r="H135" s="36"/>
      <c r="I135" s="204"/>
      <c r="J135" s="824">
        <f>'[10]Bridges IP'!$U$6*1000</f>
        <v>-12014.339143844159</v>
      </c>
      <c r="K135" s="816"/>
      <c r="L135" s="55"/>
      <c r="M135" s="55"/>
      <c r="R135" s="224"/>
      <c r="S135" s="4"/>
      <c r="T135" s="224"/>
      <c r="U135" s="224"/>
      <c r="W135" s="224"/>
    </row>
    <row r="136" spans="2:23">
      <c r="B136" s="8" t="s">
        <v>60</v>
      </c>
      <c r="C136" s="34"/>
      <c r="D136" s="61"/>
      <c r="E136" s="36"/>
      <c r="F136" s="34"/>
      <c r="G136" s="61"/>
      <c r="H136" s="36"/>
      <c r="I136" s="204"/>
      <c r="J136" s="824">
        <f>'[10]Bridges IP'!$U$7*1000</f>
        <v>-11030</v>
      </c>
      <c r="K136" s="816"/>
      <c r="L136" s="55"/>
      <c r="M136" s="55"/>
    </row>
    <row r="137" spans="2:23">
      <c r="B137" s="8" t="s">
        <v>906</v>
      </c>
      <c r="C137" s="34"/>
      <c r="D137" s="61">
        <f>'[11]FCF &amp; OWCR - BUDGET'!$Z$332*1000</f>
        <v>19003.747815568138</v>
      </c>
      <c r="E137" s="36"/>
      <c r="F137" s="34"/>
      <c r="G137" s="61">
        <f>'[12]FCF &amp; OWCR - BUDGET'!$Z$332*1000</f>
        <v>25568.069540774439</v>
      </c>
      <c r="H137" s="36"/>
      <c r="I137" s="204"/>
      <c r="J137" s="58">
        <f>G137-D137</f>
        <v>6564.3217252063005</v>
      </c>
      <c r="K137" s="816"/>
      <c r="L137" s="55"/>
      <c r="M137" s="55"/>
      <c r="S137" s="4"/>
      <c r="T137" s="4"/>
      <c r="U137" s="4"/>
    </row>
    <row r="138" spans="2:23">
      <c r="B138" s="8" t="s">
        <v>674</v>
      </c>
      <c r="C138" s="34"/>
      <c r="D138" s="61"/>
      <c r="E138" s="36"/>
      <c r="F138" s="34"/>
      <c r="G138" s="61"/>
      <c r="H138" s="36"/>
      <c r="I138" s="204"/>
      <c r="J138" s="824">
        <f>'[10]Bridges IP'!$U$9*1000</f>
        <v>206.90204446817884</v>
      </c>
      <c r="L138" s="55"/>
      <c r="M138" s="55"/>
      <c r="S138" s="4"/>
      <c r="T138" s="224"/>
      <c r="U138" s="224"/>
    </row>
    <row r="139" spans="2:23">
      <c r="B139" s="8" t="s">
        <v>258</v>
      </c>
      <c r="C139" s="34"/>
      <c r="D139" s="61"/>
      <c r="E139" s="36"/>
      <c r="F139" s="34"/>
      <c r="G139" s="61"/>
      <c r="H139" s="36"/>
      <c r="I139" s="204"/>
      <c r="J139" s="824">
        <f>'[10]Bridges IP'!$U$8*1000</f>
        <v>-7030</v>
      </c>
      <c r="L139" s="55"/>
      <c r="M139" s="55"/>
      <c r="S139" s="4"/>
      <c r="T139" s="224"/>
      <c r="U139" s="224"/>
    </row>
    <row r="140" spans="2:23">
      <c r="B140" s="8" t="s">
        <v>940</v>
      </c>
      <c r="C140" s="34"/>
      <c r="D140" s="61"/>
      <c r="E140" s="36"/>
      <c r="F140" s="34"/>
      <c r="G140" s="61"/>
      <c r="H140" s="36"/>
      <c r="I140" s="204"/>
      <c r="J140" s="824">
        <f>'[10]Bridges IP'!$U$10*1000</f>
        <v>-2000</v>
      </c>
      <c r="L140" s="55"/>
      <c r="M140" s="55"/>
    </row>
    <row r="141" spans="2:23">
      <c r="B141" s="8" t="s">
        <v>535</v>
      </c>
      <c r="C141" s="34"/>
      <c r="D141" s="35"/>
      <c r="E141" s="36"/>
      <c r="F141" s="34"/>
      <c r="G141" s="35"/>
      <c r="H141" s="36"/>
      <c r="I141" s="179"/>
      <c r="J141" s="57"/>
      <c r="L141" s="55"/>
      <c r="M141" s="55"/>
      <c r="O141" s="740"/>
      <c r="S141" s="822"/>
      <c r="T141" s="224"/>
      <c r="U141" s="224"/>
    </row>
    <row r="142" spans="2:23">
      <c r="B142" s="8" t="s">
        <v>536</v>
      </c>
      <c r="C142" s="34"/>
      <c r="D142" s="35"/>
      <c r="E142" s="36"/>
      <c r="F142" s="34"/>
      <c r="G142" s="35"/>
      <c r="H142" s="36"/>
      <c r="I142" s="179"/>
      <c r="J142" s="783"/>
      <c r="L142" s="55"/>
      <c r="M142" s="55"/>
      <c r="O142" s="740"/>
      <c r="S142" s="822"/>
      <c r="T142" s="224"/>
      <c r="U142" s="224"/>
    </row>
    <row r="143" spans="2:23">
      <c r="B143" s="8" t="s">
        <v>308</v>
      </c>
      <c r="C143" s="34"/>
      <c r="D143" s="35"/>
      <c r="E143" s="36"/>
      <c r="F143" s="34"/>
      <c r="G143" s="35"/>
      <c r="H143" s="36"/>
      <c r="I143" s="179"/>
      <c r="J143" s="783"/>
      <c r="L143" s="55"/>
      <c r="M143" s="55"/>
      <c r="O143" s="740"/>
    </row>
    <row r="144" spans="2:23" ht="13.5" thickBot="1">
      <c r="B144" s="8" t="s">
        <v>61</v>
      </c>
      <c r="C144" s="34"/>
      <c r="D144" s="35"/>
      <c r="E144" s="36"/>
      <c r="F144" s="34"/>
      <c r="G144" s="61">
        <f>[9]FY_Budget!$M$38/1000</f>
        <v>6970.2856600000005</v>
      </c>
      <c r="H144" s="36"/>
      <c r="I144" s="62"/>
      <c r="J144" s="63"/>
      <c r="L144" s="55"/>
      <c r="M144" s="55"/>
      <c r="O144" s="740"/>
    </row>
    <row r="145" spans="2:25" ht="13.5" thickBot="1">
      <c r="B145" s="50" t="s">
        <v>62</v>
      </c>
      <c r="C145" s="60"/>
      <c r="D145" s="42"/>
      <c r="E145" s="43"/>
      <c r="F145" s="41"/>
      <c r="G145" s="42"/>
      <c r="H145" s="43"/>
      <c r="I145" s="64"/>
      <c r="J145" s="44">
        <f>SUM(J128:J144)</f>
        <v>-177471.94678166523</v>
      </c>
      <c r="K145" s="44">
        <f>SUM(K128:K144)</f>
        <v>0</v>
      </c>
      <c r="L145" s="820">
        <f>J145-K145</f>
        <v>-177471.94678166523</v>
      </c>
      <c r="M145" s="820">
        <f>J145+J148</f>
        <v>-190301.29015405203</v>
      </c>
      <c r="O145" s="852"/>
    </row>
    <row r="146" spans="2:25">
      <c r="B146" s="45" t="s">
        <v>16</v>
      </c>
      <c r="C146" s="51"/>
      <c r="D146" s="2"/>
      <c r="E146" s="47"/>
      <c r="F146" s="53"/>
      <c r="G146" s="2"/>
      <c r="H146" s="47"/>
      <c r="I146" s="11"/>
      <c r="J146" s="65" t="s">
        <v>16</v>
      </c>
      <c r="L146" s="55"/>
      <c r="M146" s="55"/>
      <c r="O146" s="817"/>
    </row>
    <row r="147" spans="2:25" ht="13.5" thickBot="1">
      <c r="B147" s="66"/>
      <c r="C147" s="67"/>
      <c r="D147" s="68"/>
      <c r="E147" s="69"/>
      <c r="F147" s="70"/>
      <c r="G147" s="71"/>
      <c r="H147" s="69"/>
      <c r="J147" s="205">
        <f>'[10]Bridges complementares'!$F$17*1000</f>
        <v>-12829.343372386798</v>
      </c>
      <c r="L147" s="55"/>
      <c r="M147" s="55"/>
      <c r="O147" s="817"/>
    </row>
    <row r="148" spans="2:25" ht="13.5" thickBot="1">
      <c r="B148" s="50" t="s">
        <v>63</v>
      </c>
      <c r="C148" s="60"/>
      <c r="D148" s="42"/>
      <c r="E148" s="43"/>
      <c r="F148" s="41"/>
      <c r="G148" s="42"/>
      <c r="H148" s="43"/>
      <c r="I148" s="64"/>
      <c r="J148" s="44">
        <f>SUM(J147)</f>
        <v>-12829.343372386798</v>
      </c>
      <c r="L148" s="820"/>
      <c r="M148" s="820"/>
    </row>
    <row r="149" spans="2:25">
      <c r="B149" s="45" t="s">
        <v>3</v>
      </c>
      <c r="C149" s="51"/>
      <c r="D149" s="2"/>
      <c r="E149" s="47"/>
      <c r="F149" s="53"/>
      <c r="G149" s="2" t="s">
        <v>64</v>
      </c>
      <c r="H149" s="47" t="s">
        <v>65</v>
      </c>
      <c r="I149" s="11" t="s">
        <v>66</v>
      </c>
      <c r="J149" s="11" t="s">
        <v>3</v>
      </c>
      <c r="L149" s="55"/>
      <c r="M149" s="55"/>
    </row>
    <row r="150" spans="2:25">
      <c r="B150" s="8" t="s">
        <v>67</v>
      </c>
      <c r="C150" s="34"/>
      <c r="D150" s="35"/>
      <c r="E150" s="36"/>
      <c r="F150" s="34"/>
      <c r="G150" s="35">
        <f>H48</f>
        <v>5141089.1266800705</v>
      </c>
      <c r="H150" s="36">
        <f>SUM(H23:H27,H30:H32,H35:H37,H39:H43,H47,H46,H45,H28,H33,H20,H21)</f>
        <v>3460298.9284182563</v>
      </c>
      <c r="I150" s="72">
        <f>H150/G150</f>
        <v>0.67306729044255886</v>
      </c>
      <c r="J150" s="73">
        <f>H150-(H150*H152/E152)</f>
        <v>143400.91422387538</v>
      </c>
      <c r="L150" s="55"/>
      <c r="M150" s="55"/>
    </row>
    <row r="151" spans="2:25">
      <c r="B151" s="8" t="s">
        <v>68</v>
      </c>
      <c r="C151" s="34"/>
      <c r="D151" s="35"/>
      <c r="E151" s="36"/>
      <c r="F151" s="34"/>
      <c r="G151" s="35">
        <f>C13*1000-G150</f>
        <v>-4393396.7258032924</v>
      </c>
      <c r="H151" s="36">
        <f>G151*I151</f>
        <v>-1757358.6903213169</v>
      </c>
      <c r="I151" s="74">
        <v>0.4</v>
      </c>
      <c r="J151" s="73">
        <f>H151-(H151*H152/E152)</f>
        <v>-72828.055617306381</v>
      </c>
      <c r="K151" s="55"/>
      <c r="L151" s="821"/>
      <c r="M151" s="819"/>
    </row>
    <row r="152" spans="2:25" ht="13.5" thickBot="1">
      <c r="B152" s="75" t="s">
        <v>3</v>
      </c>
      <c r="C152" s="76"/>
      <c r="D152" s="77"/>
      <c r="E152" s="650">
        <f>[1]DRE!$O$1</f>
        <v>5.4</v>
      </c>
      <c r="F152" s="76"/>
      <c r="G152" s="77"/>
      <c r="H152" s="650">
        <f>[2]DRE!$O$1</f>
        <v>5.176214439033191</v>
      </c>
      <c r="I152" s="78"/>
      <c r="J152" s="73"/>
      <c r="L152" s="55"/>
      <c r="M152" s="55"/>
    </row>
    <row r="153" spans="2:25" s="3" customFormat="1" ht="13.5" thickBot="1">
      <c r="B153" s="50" t="s">
        <v>69</v>
      </c>
      <c r="C153" s="79"/>
      <c r="D153" s="80"/>
      <c r="E153" s="81"/>
      <c r="F153" s="82"/>
      <c r="G153" s="83"/>
      <c r="H153" s="81"/>
      <c r="I153" s="81"/>
      <c r="J153" s="81">
        <f>SUM(J150:J151)</f>
        <v>70572.858606569003</v>
      </c>
      <c r="K153" s="1"/>
      <c r="L153" s="55"/>
      <c r="M153" s="84"/>
      <c r="N153" s="84"/>
      <c r="O153" s="84"/>
      <c r="P153" s="84"/>
      <c r="V153" s="89"/>
      <c r="Y153" s="89"/>
    </row>
    <row r="154" spans="2:25">
      <c r="B154" s="45" t="s">
        <v>17</v>
      </c>
      <c r="C154" s="51"/>
      <c r="D154" s="2"/>
      <c r="E154" s="47" t="s">
        <v>22</v>
      </c>
      <c r="F154" s="53"/>
      <c r="G154" s="2"/>
      <c r="H154" s="47" t="s">
        <v>22</v>
      </c>
      <c r="I154" s="11" t="s">
        <v>17</v>
      </c>
      <c r="J154" s="11" t="s">
        <v>70</v>
      </c>
      <c r="L154" s="55">
        <f>E152</f>
        <v>5.4</v>
      </c>
      <c r="M154" s="86">
        <f>H152</f>
        <v>5.176214439033191</v>
      </c>
      <c r="N154" s="1"/>
      <c r="O154" s="85"/>
      <c r="P154" s="85"/>
    </row>
    <row r="155" spans="2:25">
      <c r="B155" s="8" t="s">
        <v>313</v>
      </c>
      <c r="C155" s="56"/>
      <c r="D155" s="48"/>
      <c r="E155" s="48"/>
      <c r="F155" s="56"/>
      <c r="G155" s="48"/>
      <c r="H155" s="48"/>
      <c r="I155" s="666">
        <f>[13]SAIDA!$I$14*1000</f>
        <v>-5764.0203629386233</v>
      </c>
      <c r="J155" s="87" t="s">
        <v>17</v>
      </c>
      <c r="K155" s="55" t="s">
        <v>71</v>
      </c>
      <c r="L155" s="420">
        <f>[13]Mascara_cst_Var!$W$41+[13]Mascara_cst_Var!$W$43+[13]Mascara_cst_Var!$W$56</f>
        <v>300.4541679994602</v>
      </c>
      <c r="M155" s="420">
        <f>[13]Mascara_cst_Var!$AQ$41+[13]Mascara_cst_Var!$AQ$43+[13]Mascara_cst_Var!$AQ$57</f>
        <v>336.46459026342694</v>
      </c>
      <c r="O155" s="697"/>
    </row>
    <row r="156" spans="2:25">
      <c r="B156" s="8" t="str">
        <f>'[14]Unusual USD'!B6</f>
        <v>Non Steel</v>
      </c>
      <c r="C156" s="56"/>
      <c r="D156" s="48"/>
      <c r="E156" s="93">
        <v>12000</v>
      </c>
      <c r="F156" s="56"/>
      <c r="G156" s="48"/>
      <c r="H156" s="93">
        <f>SUM('[15]2026'!$C$7:$H$7,'[15]2026'!$C$20:$GH$20)*1000+1400*6</f>
        <v>18490.466971302809</v>
      </c>
      <c r="I156" s="58">
        <f>H156-E156</f>
        <v>6490.4669713028088</v>
      </c>
      <c r="J156" s="87" t="s">
        <v>18</v>
      </c>
      <c r="K156" s="55" t="s">
        <v>72</v>
      </c>
      <c r="L156" s="739">
        <f>[13]Mascara_cst_Var!$W$46</f>
        <v>58.395818900099989</v>
      </c>
      <c r="M156" s="739">
        <f>[13]Mascara_cst_Var!$AQ$46</f>
        <v>57.491242547489215</v>
      </c>
      <c r="N156" s="861">
        <f>L156-M156</f>
        <v>0.90457635261077485</v>
      </c>
      <c r="O156" s="697"/>
    </row>
    <row r="157" spans="2:25">
      <c r="B157" s="8" t="str">
        <f>'[14]Unusual USD'!B7</f>
        <v>Reintegra</v>
      </c>
      <c r="C157" s="56"/>
      <c r="D157" s="48"/>
      <c r="E157" s="93"/>
      <c r="F157" s="56"/>
      <c r="G157" s="48"/>
      <c r="H157" s="93"/>
      <c r="I157" s="58">
        <f>H157-E157</f>
        <v>0</v>
      </c>
      <c r="J157" s="87" t="s">
        <v>18</v>
      </c>
      <c r="L157" s="740"/>
      <c r="M157" s="1"/>
      <c r="N157" s="861"/>
      <c r="O157" s="697"/>
    </row>
    <row r="158" spans="2:25">
      <c r="B158" s="8" t="str">
        <f>'[14]Unusual USD'!B8</f>
        <v>Sucatamento</v>
      </c>
      <c r="C158" s="56"/>
      <c r="D158" s="48"/>
      <c r="E158" s="93"/>
      <c r="F158" s="56"/>
      <c r="G158" s="48"/>
      <c r="H158" s="93"/>
      <c r="I158" s="58"/>
      <c r="J158" s="87" t="s">
        <v>18</v>
      </c>
      <c r="L158" s="738">
        <f>L155/L154</f>
        <v>55.639660740640771</v>
      </c>
      <c r="M158" s="738">
        <f>M155/M154</f>
        <v>65.002057821675464</v>
      </c>
      <c r="N158" s="861">
        <f t="shared" ref="N158:N159" si="70">L158-M158</f>
        <v>-9.3623970810346933</v>
      </c>
      <c r="O158" s="696"/>
    </row>
    <row r="159" spans="2:25">
      <c r="B159" s="8" t="s">
        <v>784</v>
      </c>
      <c r="C159" s="56"/>
      <c r="D159" s="48"/>
      <c r="E159" s="93"/>
      <c r="F159" s="56"/>
      <c r="G159" s="48"/>
      <c r="H159" s="93"/>
      <c r="I159" s="58">
        <f>H159-E159</f>
        <v>0</v>
      </c>
      <c r="J159" s="87" t="s">
        <v>18</v>
      </c>
      <c r="L159" s="737">
        <f>SUM(L156:L158)</f>
        <v>114.03547964074076</v>
      </c>
      <c r="M159" s="737">
        <f>SUM(M156:M158)</f>
        <v>122.49330036916467</v>
      </c>
      <c r="N159" s="861">
        <f t="shared" si="70"/>
        <v>-8.4578207284239113</v>
      </c>
      <c r="O159" s="697"/>
    </row>
    <row r="160" spans="2:25">
      <c r="B160" s="8" t="str">
        <f>'[14]Unusual USD'!B10</f>
        <v>Legal contingency</v>
      </c>
      <c r="C160" s="56"/>
      <c r="D160" s="48"/>
      <c r="E160" s="93"/>
      <c r="F160" s="56"/>
      <c r="G160" s="48"/>
      <c r="H160" s="93">
        <f>SUM('[15]2026'!$C$15:$H$15)*1000</f>
        <v>149.79323466958516</v>
      </c>
      <c r="I160" s="58">
        <f>H160-E160</f>
        <v>149.79323466958516</v>
      </c>
      <c r="J160" s="87" t="s">
        <v>18</v>
      </c>
      <c r="L160" s="55"/>
      <c r="M160" s="55"/>
      <c r="O160" s="740"/>
    </row>
    <row r="161" spans="2:13">
      <c r="B161" s="8" t="str">
        <f>'[14]Unusual USD'!B11</f>
        <v>Changes on tax (Lei Cabral)</v>
      </c>
      <c r="C161" s="56"/>
      <c r="D161" s="48"/>
      <c r="E161" s="93"/>
      <c r="F161" s="56"/>
      <c r="G161" s="48"/>
      <c r="H161" s="93"/>
      <c r="I161" s="58"/>
      <c r="J161" s="87" t="s">
        <v>18</v>
      </c>
      <c r="L161" s="55"/>
      <c r="M161" s="55"/>
    </row>
    <row r="162" spans="2:13">
      <c r="B162" s="8" t="str">
        <f>'[14]Unusual USD'!B14</f>
        <v>Cost contingency</v>
      </c>
      <c r="C162" s="56"/>
      <c r="D162" s="48"/>
      <c r="E162" s="93"/>
      <c r="F162" s="56"/>
      <c r="G162" s="48"/>
      <c r="H162" s="93"/>
      <c r="I162" s="58">
        <f>H162-E162</f>
        <v>0</v>
      </c>
      <c r="J162" s="87" t="s">
        <v>18</v>
      </c>
      <c r="L162" s="55"/>
      <c r="M162" s="55"/>
    </row>
    <row r="163" spans="2:13">
      <c r="B163" s="8" t="s">
        <v>631</v>
      </c>
      <c r="C163" s="56"/>
      <c r="D163" s="48"/>
      <c r="E163" s="93"/>
      <c r="F163" s="56"/>
      <c r="G163" s="48"/>
      <c r="H163" s="93"/>
      <c r="I163" s="58"/>
      <c r="J163" s="87" t="s">
        <v>18</v>
      </c>
      <c r="L163" s="55"/>
      <c r="M163" s="55"/>
    </row>
    <row r="164" spans="2:13">
      <c r="B164" s="8" t="s">
        <v>664</v>
      </c>
      <c r="C164" s="56"/>
      <c r="D164" s="48"/>
      <c r="E164" s="93"/>
      <c r="F164" s="56"/>
      <c r="G164" s="48"/>
      <c r="H164" s="93"/>
      <c r="I164" s="58"/>
      <c r="J164" s="87" t="s">
        <v>18</v>
      </c>
      <c r="L164" s="55"/>
      <c r="M164" s="55"/>
    </row>
    <row r="165" spans="2:13">
      <c r="B165" s="8" t="s">
        <v>716</v>
      </c>
      <c r="C165" s="56"/>
      <c r="D165" s="48"/>
      <c r="E165" s="93"/>
      <c r="F165" s="56"/>
      <c r="G165" s="48"/>
      <c r="H165" s="93"/>
      <c r="I165" s="58">
        <f>H165-E165</f>
        <v>0</v>
      </c>
      <c r="J165" s="87" t="s">
        <v>18</v>
      </c>
      <c r="L165" s="55"/>
      <c r="M165" s="55"/>
    </row>
    <row r="166" spans="2:13">
      <c r="B166" s="8" t="s">
        <v>630</v>
      </c>
      <c r="C166" s="56"/>
      <c r="D166" s="48"/>
      <c r="E166" s="93">
        <v>0</v>
      </c>
      <c r="F166" s="56"/>
      <c r="G166" s="48"/>
      <c r="H166" s="93"/>
      <c r="I166" s="58">
        <f t="shared" ref="I166:I177" si="71">H166-E166</f>
        <v>0</v>
      </c>
      <c r="J166" s="87" t="s">
        <v>18</v>
      </c>
      <c r="L166" s="55"/>
      <c r="M166" s="55"/>
    </row>
    <row r="167" spans="2:13">
      <c r="B167" s="8" t="s">
        <v>715</v>
      </c>
      <c r="C167" s="56"/>
      <c r="D167" s="48"/>
      <c r="E167" s="93"/>
      <c r="F167" s="56"/>
      <c r="G167" s="48"/>
      <c r="H167" s="93"/>
      <c r="I167" s="58">
        <f t="shared" si="71"/>
        <v>0</v>
      </c>
      <c r="J167" s="87" t="s">
        <v>18</v>
      </c>
      <c r="L167" s="55"/>
      <c r="M167" s="55"/>
    </row>
    <row r="168" spans="2:13">
      <c r="B168" s="8" t="s">
        <v>783</v>
      </c>
      <c r="C168" s="56"/>
      <c r="D168" s="48"/>
      <c r="E168" s="93"/>
      <c r="F168" s="56"/>
      <c r="G168" s="48"/>
      <c r="H168" s="93">
        <f>SUM('[15]2026'!$C$24:$H$24)*1000-482</f>
        <v>-2604.1187101406722</v>
      </c>
      <c r="I168" s="58">
        <f t="shared" si="71"/>
        <v>-2604.1187101406722</v>
      </c>
      <c r="J168" s="87" t="s">
        <v>18</v>
      </c>
      <c r="L168" s="55"/>
      <c r="M168" s="55"/>
    </row>
    <row r="169" spans="2:13">
      <c r="B169" s="8" t="s">
        <v>298</v>
      </c>
      <c r="C169" s="56"/>
      <c r="D169" s="48"/>
      <c r="E169" s="93"/>
      <c r="F169" s="56"/>
      <c r="G169" s="48"/>
      <c r="H169" s="93"/>
      <c r="I169" s="58">
        <f t="shared" si="71"/>
        <v>0</v>
      </c>
      <c r="J169" s="87" t="s">
        <v>18</v>
      </c>
      <c r="L169" s="55"/>
      <c r="M169" s="55"/>
    </row>
    <row r="170" spans="2:13">
      <c r="B170" s="8" t="s">
        <v>734</v>
      </c>
      <c r="C170" s="56"/>
      <c r="D170" s="48"/>
      <c r="E170" s="93"/>
      <c r="F170" s="56"/>
      <c r="G170" s="48"/>
      <c r="H170" s="93"/>
      <c r="I170" s="58">
        <f t="shared" si="71"/>
        <v>0</v>
      </c>
      <c r="J170" s="87" t="s">
        <v>18</v>
      </c>
      <c r="L170" s="55"/>
      <c r="M170" s="55"/>
    </row>
    <row r="171" spans="2:13">
      <c r="B171" s="8" t="s">
        <v>758</v>
      </c>
      <c r="C171" s="56"/>
      <c r="D171" s="48"/>
      <c r="E171" s="93"/>
      <c r="F171" s="56"/>
      <c r="G171" s="48"/>
      <c r="H171" s="93"/>
      <c r="I171" s="58">
        <f t="shared" si="71"/>
        <v>0</v>
      </c>
      <c r="J171" s="87" t="s">
        <v>18</v>
      </c>
      <c r="L171" s="55"/>
      <c r="M171" s="55"/>
    </row>
    <row r="172" spans="2:13">
      <c r="B172" s="8" t="s">
        <v>909</v>
      </c>
      <c r="C172" s="56"/>
      <c r="D172" s="48"/>
      <c r="E172" s="93"/>
      <c r="F172" s="56"/>
      <c r="G172" s="48"/>
      <c r="H172" s="93"/>
      <c r="I172" s="58">
        <f t="shared" si="71"/>
        <v>0</v>
      </c>
      <c r="J172" s="87" t="s">
        <v>18</v>
      </c>
      <c r="L172" s="55"/>
      <c r="M172" s="55"/>
    </row>
    <row r="173" spans="2:13">
      <c r="B173" s="8" t="s">
        <v>782</v>
      </c>
      <c r="C173" s="56"/>
      <c r="D173" s="48"/>
      <c r="E173" s="93"/>
      <c r="F173" s="56"/>
      <c r="G173" s="48"/>
      <c r="H173" s="93"/>
      <c r="I173" s="58">
        <f t="shared" si="71"/>
        <v>0</v>
      </c>
      <c r="J173" s="87" t="s">
        <v>18</v>
      </c>
      <c r="L173" s="55"/>
      <c r="M173" s="55"/>
    </row>
    <row r="174" spans="2:13">
      <c r="B174" s="8" t="s">
        <v>761</v>
      </c>
      <c r="C174" s="56"/>
      <c r="D174" s="48"/>
      <c r="E174" s="93"/>
      <c r="F174" s="56"/>
      <c r="G174" s="48"/>
      <c r="H174" s="955"/>
      <c r="I174" s="58">
        <f t="shared" si="71"/>
        <v>0</v>
      </c>
      <c r="J174" s="87" t="s">
        <v>18</v>
      </c>
      <c r="L174" s="55"/>
      <c r="M174" s="55"/>
    </row>
    <row r="175" spans="2:13">
      <c r="B175" s="8" t="s">
        <v>764</v>
      </c>
      <c r="C175" s="56"/>
      <c r="D175" s="48"/>
      <c r="E175" s="93">
        <f>'Invest-ES'!P4/1000</f>
        <v>134784.708518517</v>
      </c>
      <c r="F175" s="56"/>
      <c r="G175" s="48"/>
      <c r="H175" s="93">
        <f>'Invest-ES'!P11/1000</f>
        <v>129888.14456308608</v>
      </c>
      <c r="I175" s="58">
        <f t="shared" si="71"/>
        <v>-4896.5639554309164</v>
      </c>
      <c r="J175" s="87" t="s">
        <v>18</v>
      </c>
      <c r="K175" s="425" t="s">
        <v>17</v>
      </c>
      <c r="L175" s="55"/>
      <c r="M175" s="55"/>
    </row>
    <row r="176" spans="2:13">
      <c r="B176" s="8" t="s">
        <v>763</v>
      </c>
      <c r="C176" s="56"/>
      <c r="D176" s="48"/>
      <c r="E176" s="93"/>
      <c r="F176" s="56"/>
      <c r="G176" s="48"/>
      <c r="H176" s="93"/>
      <c r="I176" s="58">
        <f t="shared" si="71"/>
        <v>0</v>
      </c>
      <c r="J176" s="87" t="s">
        <v>18</v>
      </c>
      <c r="L176" s="55"/>
      <c r="M176" s="55"/>
    </row>
    <row r="177" spans="2:13">
      <c r="B177" s="8" t="s">
        <v>950</v>
      </c>
      <c r="C177" s="56"/>
      <c r="D177" s="48"/>
      <c r="E177" s="93"/>
      <c r="F177" s="56"/>
      <c r="G177" s="48"/>
      <c r="H177" s="93">
        <v>-3000</v>
      </c>
      <c r="I177" s="58">
        <f t="shared" si="71"/>
        <v>-3000</v>
      </c>
      <c r="J177" s="87" t="s">
        <v>18</v>
      </c>
      <c r="L177" s="55"/>
      <c r="M177" s="55"/>
    </row>
    <row r="178" spans="2:13">
      <c r="B178" s="8" t="s">
        <v>628</v>
      </c>
      <c r="C178" s="56"/>
      <c r="D178" s="48"/>
      <c r="E178" s="93"/>
      <c r="F178" s="56"/>
      <c r="G178" s="48"/>
      <c r="H178" s="93"/>
      <c r="I178" s="58">
        <f t="shared" ref="I178:I180" si="72">H178-E178</f>
        <v>0</v>
      </c>
      <c r="J178" s="87" t="s">
        <v>18</v>
      </c>
      <c r="L178" s="55"/>
      <c r="M178" s="55"/>
    </row>
    <row r="179" spans="2:13">
      <c r="B179" s="8" t="s">
        <v>910</v>
      </c>
      <c r="C179" s="56"/>
      <c r="D179" s="48"/>
      <c r="E179" s="93"/>
      <c r="F179" s="56"/>
      <c r="G179" s="48"/>
      <c r="H179" s="93"/>
      <c r="I179" s="58">
        <f t="shared" si="72"/>
        <v>0</v>
      </c>
      <c r="J179" s="87" t="s">
        <v>18</v>
      </c>
      <c r="L179" s="55"/>
      <c r="M179" s="55"/>
    </row>
    <row r="180" spans="2:13">
      <c r="B180" s="8" t="s">
        <v>939</v>
      </c>
      <c r="C180" s="56"/>
      <c r="D180" s="48"/>
      <c r="E180" s="93"/>
      <c r="F180" s="56"/>
      <c r="G180" s="48"/>
      <c r="H180" s="93"/>
      <c r="I180" s="58">
        <f t="shared" si="72"/>
        <v>0</v>
      </c>
      <c r="J180" s="87" t="s">
        <v>18</v>
      </c>
      <c r="L180" s="55"/>
      <c r="M180" s="55"/>
    </row>
    <row r="181" spans="2:13" ht="13.5" thickBot="1">
      <c r="B181" s="8"/>
      <c r="C181" s="34"/>
      <c r="D181" s="35"/>
      <c r="E181" s="36"/>
      <c r="F181" s="34"/>
      <c r="G181" s="35"/>
      <c r="H181" s="93"/>
      <c r="I181" s="58"/>
      <c r="J181" s="87"/>
      <c r="L181" s="55"/>
      <c r="M181" s="55"/>
    </row>
    <row r="182" spans="2:13" ht="13.5" thickBot="1">
      <c r="B182" s="50" t="s">
        <v>73</v>
      </c>
      <c r="C182" s="79"/>
      <c r="D182" s="80"/>
      <c r="E182" s="81">
        <f>SUM(E156:E181)</f>
        <v>146784.708518517</v>
      </c>
      <c r="F182" s="82"/>
      <c r="G182" s="83"/>
      <c r="H182" s="81">
        <f>SUM(H156:H181)</f>
        <v>142924.28605891782</v>
      </c>
      <c r="I182" s="81">
        <f>SUM(I156:I181)</f>
        <v>-3860.4224595991946</v>
      </c>
      <c r="J182" s="81"/>
      <c r="L182" s="55"/>
      <c r="M182" s="55"/>
    </row>
    <row r="183" spans="2:13">
      <c r="E183" s="186"/>
      <c r="F183" s="6"/>
      <c r="G183" s="6"/>
      <c r="H183" s="186"/>
      <c r="L183" s="55"/>
      <c r="M183" s="55"/>
    </row>
    <row r="184" spans="2:13">
      <c r="E184" s="6"/>
      <c r="F184" s="6"/>
      <c r="G184" s="6"/>
      <c r="H184" s="6"/>
      <c r="L184" s="55"/>
      <c r="M184" s="55"/>
    </row>
    <row r="185" spans="2:13">
      <c r="E185" s="6"/>
      <c r="F185" s="6"/>
      <c r="G185" s="6"/>
      <c r="H185" s="6"/>
      <c r="L185" s="55"/>
      <c r="M185" s="55"/>
    </row>
    <row r="186" spans="2:13">
      <c r="E186" s="6"/>
      <c r="F186" s="6"/>
      <c r="G186" s="6"/>
      <c r="H186" s="6"/>
      <c r="L186" s="55"/>
      <c r="M186" s="55"/>
    </row>
    <row r="187" spans="2:13">
      <c r="B187" s="3"/>
      <c r="E187" s="6"/>
      <c r="F187" s="6"/>
      <c r="G187" s="6"/>
      <c r="H187" s="6"/>
      <c r="L187" s="55"/>
      <c r="M187" s="55"/>
    </row>
    <row r="188" spans="2:13">
      <c r="E188" s="6"/>
      <c r="F188" s="6"/>
      <c r="G188" s="6"/>
      <c r="H188" s="6"/>
      <c r="L188" s="55"/>
      <c r="M188" s="55"/>
    </row>
    <row r="189" spans="2:13">
      <c r="B189" s="1" t="s">
        <v>171</v>
      </c>
      <c r="E189" s="733">
        <f>'[16]Custo Fixo Budget'!$S$51+'[16]Custo Fixo Budget'!$S$56+'[16]Custo Fixo Budget'!$S$68</f>
        <v>257.52033526122199</v>
      </c>
      <c r="F189" s="186"/>
      <c r="G189" s="186"/>
      <c r="H189" s="733">
        <f>'[16]Custo Fixo Actual Ajust MRF'!$S$51+'[16]Custo Fixo Actual Ajust MRF'!$S$56+'[16]Custo Fixo Actual Ajust MRF'!$S$68</f>
        <v>297.6767930559235</v>
      </c>
      <c r="I189" s="1">
        <f>H189*($H$125/$E$125-1)</f>
        <v>-12.472359435925521</v>
      </c>
      <c r="J189" s="734">
        <f>E189-H189-I189</f>
        <v>-27.684098358775991</v>
      </c>
      <c r="L189" s="55"/>
      <c r="M189" s="55"/>
    </row>
    <row r="190" spans="2:13">
      <c r="B190" s="1" t="s">
        <v>173</v>
      </c>
      <c r="E190" s="733">
        <f>'[16]Custo Fixo Budget'!$S$44</f>
        <v>32.982125181481479</v>
      </c>
      <c r="F190" s="186"/>
      <c r="G190" s="186"/>
      <c r="H190" s="733">
        <f>'[16]Custo Fixo Actual Ajust MRF'!$S$44</f>
        <v>38.268965142527122</v>
      </c>
      <c r="I190" s="1">
        <f>H190*($H$125/$E$125-1)</f>
        <v>-1.6034313041286812</v>
      </c>
      <c r="J190" s="734">
        <f>E190-H190-I190</f>
        <v>-3.6834086569169626</v>
      </c>
      <c r="L190" s="737"/>
      <c r="M190" s="55"/>
    </row>
    <row r="191" spans="2:13">
      <c r="B191" s="1" t="s">
        <v>175</v>
      </c>
      <c r="E191" s="6">
        <f>SUM(E119,E121)/1000</f>
        <v>36.445369559722224</v>
      </c>
      <c r="F191" s="186"/>
      <c r="G191" s="186"/>
      <c r="H191" s="6">
        <f>SUM(H119,H121)/1000</f>
        <v>39.799933372505187</v>
      </c>
      <c r="I191" s="1">
        <f t="shared" ref="I191:I197" si="73">H191*($H$125/$E$125-1)</f>
        <v>-1.667577339341046</v>
      </c>
      <c r="J191" s="734">
        <f t="shared" ref="J191:J197" si="74">E191-H191-I191</f>
        <v>-1.6869864734419173</v>
      </c>
      <c r="L191" s="737"/>
      <c r="M191" s="55"/>
    </row>
    <row r="192" spans="2:13">
      <c r="B192" s="1" t="s">
        <v>632</v>
      </c>
      <c r="E192" s="6">
        <f>SUM(E120,E122)/1000</f>
        <v>8.129882957407407</v>
      </c>
      <c r="F192" s="186"/>
      <c r="G192" s="186"/>
      <c r="H192" s="6">
        <f>SUM(H120,H122)/1000</f>
        <v>8.7067680012550621</v>
      </c>
      <c r="J192" s="734">
        <f t="shared" si="74"/>
        <v>-0.57688504384765515</v>
      </c>
      <c r="L192" s="737"/>
      <c r="M192" s="55"/>
    </row>
    <row r="193" spans="2:30">
      <c r="B193" s="1" t="s">
        <v>177</v>
      </c>
      <c r="E193" s="733">
        <f>'[16]Custo Fixo Budget'!$S$53</f>
        <v>93.915136320185326</v>
      </c>
      <c r="F193" s="186"/>
      <c r="G193" s="186"/>
      <c r="H193" s="733">
        <f>'[16]Custo Fixo Actual Ajust MRF'!$S$53</f>
        <v>99.966339759652868</v>
      </c>
      <c r="I193" s="1">
        <f t="shared" si="73"/>
        <v>-4.1884894961966621</v>
      </c>
      <c r="J193" s="734">
        <f t="shared" si="74"/>
        <v>-1.8627139432708804</v>
      </c>
      <c r="L193" s="55"/>
      <c r="M193" s="55"/>
    </row>
    <row r="194" spans="2:30">
      <c r="B194" s="1" t="s">
        <v>179</v>
      </c>
      <c r="E194" s="733">
        <f>'[16]Custo Fixo Budget'!$S$52+'[16]Custo Fixo Budget'!$S$57</f>
        <v>145.32812872718495</v>
      </c>
      <c r="F194" s="186"/>
      <c r="G194" s="186"/>
      <c r="H194" s="733">
        <f>'[16]Custo Fixo Actual Ajust MRF'!$S$52+'[16]Custo Fixo Actual Ajust MRF'!$S$57</f>
        <v>148.01190443705667</v>
      </c>
      <c r="I194" s="1">
        <f t="shared" si="73"/>
        <v>-6.2015505272794904</v>
      </c>
      <c r="J194" s="1">
        <f t="shared" si="74"/>
        <v>3.5177748174077657</v>
      </c>
      <c r="L194" s="55"/>
      <c r="M194" s="55"/>
    </row>
    <row r="195" spans="2:30">
      <c r="B195" s="1" t="s">
        <v>181</v>
      </c>
      <c r="E195" s="733">
        <f>'[16]Custo Fixo Budget'!$S$58-E196</f>
        <v>57.889304657407394</v>
      </c>
      <c r="F195" s="186"/>
      <c r="G195" s="186"/>
      <c r="H195" s="733">
        <f>'[16]Custo Fixo Actual Ajust MRF'!$S$58-H196</f>
        <v>63.811607818589806</v>
      </c>
      <c r="I195" s="1">
        <f t="shared" si="73"/>
        <v>-2.6736424453089556</v>
      </c>
      <c r="J195" s="1">
        <f t="shared" si="74"/>
        <v>-3.2486607158734571</v>
      </c>
      <c r="L195" s="55"/>
      <c r="M195" s="55"/>
    </row>
    <row r="196" spans="2:30">
      <c r="B196" s="1" t="s">
        <v>633</v>
      </c>
      <c r="E196" s="1">
        <f>E124/1000</f>
        <v>57.260893387037044</v>
      </c>
      <c r="F196" s="186"/>
      <c r="G196" s="186"/>
      <c r="H196" s="1">
        <f>H124/1000</f>
        <v>56.306504543369414</v>
      </c>
      <c r="J196" s="1">
        <f t="shared" si="74"/>
        <v>0.95438884366762977</v>
      </c>
      <c r="L196" s="55"/>
      <c r="M196" s="55"/>
    </row>
    <row r="197" spans="2:30">
      <c r="B197" s="1" t="s">
        <v>183</v>
      </c>
      <c r="F197" s="186"/>
      <c r="G197" s="186"/>
      <c r="I197" s="1">
        <f t="shared" si="73"/>
        <v>0</v>
      </c>
      <c r="J197" s="1">
        <f t="shared" si="74"/>
        <v>0</v>
      </c>
      <c r="L197" s="55"/>
      <c r="M197" s="55"/>
    </row>
    <row r="198" spans="2:30">
      <c r="B198" s="3" t="s">
        <v>14</v>
      </c>
      <c r="C198" s="3"/>
      <c r="D198" s="3"/>
      <c r="E198" s="3">
        <f>SUM(E189:E197)</f>
        <v>689.47117605164783</v>
      </c>
      <c r="F198" s="186"/>
      <c r="G198" s="186"/>
      <c r="H198" s="735">
        <f>SUM(H189:H197)</f>
        <v>752.54881613087969</v>
      </c>
      <c r="I198" s="3"/>
      <c r="J198" s="3">
        <f>SUM(J189:J197)</f>
        <v>-34.270589531051471</v>
      </c>
      <c r="L198" s="55"/>
      <c r="M198" s="55"/>
    </row>
    <row r="199" spans="2:30">
      <c r="E199" s="1">
        <f>E126/1000</f>
        <v>689.47117605164783</v>
      </c>
      <c r="F199" s="186"/>
      <c r="G199" s="186"/>
      <c r="H199" s="738">
        <f>H126/1000</f>
        <v>752.5488161308798</v>
      </c>
      <c r="J199" s="1">
        <f>J126/1000</f>
        <v>-34.290558515169018</v>
      </c>
      <c r="L199" s="55"/>
      <c r="M199" s="55"/>
    </row>
    <row r="200" spans="2:30">
      <c r="B200" s="38" t="s">
        <v>30</v>
      </c>
      <c r="C200" s="38"/>
      <c r="D200" s="38"/>
      <c r="E200" s="736">
        <f>E198-E199</f>
        <v>0</v>
      </c>
      <c r="F200" s="186"/>
      <c r="G200" s="185"/>
      <c r="H200" s="736">
        <f>H198-H199</f>
        <v>0</v>
      </c>
      <c r="I200" s="38"/>
      <c r="J200" s="736">
        <f>J198-J199</f>
        <v>1.9968984117546995E-2</v>
      </c>
      <c r="K200" s="38"/>
      <c r="N200" s="1"/>
      <c r="O200" s="1"/>
      <c r="P200" s="1"/>
      <c r="Q200" s="1"/>
      <c r="R200" s="1"/>
    </row>
    <row r="201" spans="2:30">
      <c r="B201" s="3"/>
      <c r="E201" s="6"/>
      <c r="F201" s="6"/>
      <c r="G201" s="6"/>
      <c r="H201" s="6"/>
      <c r="N201" s="1"/>
      <c r="O201" s="1"/>
      <c r="P201" s="1"/>
      <c r="Q201" s="1"/>
      <c r="R201" s="1"/>
    </row>
    <row r="202" spans="2:30">
      <c r="B202" s="3"/>
      <c r="E202" s="6"/>
      <c r="F202" s="6"/>
      <c r="G202" s="6"/>
      <c r="H202" s="6"/>
      <c r="N202" s="1"/>
      <c r="O202" s="1"/>
      <c r="P202" s="1"/>
      <c r="Q202" s="1"/>
      <c r="R202" s="1"/>
    </row>
    <row r="203" spans="2:30">
      <c r="J203" s="4"/>
      <c r="N203" s="1"/>
      <c r="O203" s="1"/>
      <c r="P203" s="1"/>
      <c r="Q203" s="1"/>
      <c r="R203" s="1"/>
    </row>
    <row r="204" spans="2:30">
      <c r="J204" s="4"/>
      <c r="N204" s="1"/>
      <c r="O204" s="1"/>
      <c r="P204" s="1"/>
      <c r="Q204" s="1"/>
      <c r="R204" s="1"/>
      <c r="AD204" s="697">
        <f>13865960/'[17]2025 - US$ EUA  '!$J$57</f>
        <v>2583361.8725811504</v>
      </c>
    </row>
    <row r="205" spans="2:30">
      <c r="J205" s="4"/>
      <c r="N205" s="1"/>
      <c r="O205" s="1"/>
      <c r="P205" s="1"/>
      <c r="Q205" s="1"/>
      <c r="R205" s="1"/>
    </row>
    <row r="206" spans="2:30">
      <c r="J206" s="4"/>
      <c r="N206" s="1"/>
      <c r="O206" s="1"/>
      <c r="P206" s="1"/>
      <c r="Q206" s="1"/>
      <c r="R206" s="1"/>
    </row>
    <row r="207" spans="2:30">
      <c r="J207" s="4"/>
      <c r="N207" s="1"/>
      <c r="O207" s="1"/>
      <c r="P207" s="1"/>
      <c r="Q207" s="1"/>
      <c r="R207" s="1"/>
    </row>
    <row r="208" spans="2:30">
      <c r="J208" s="4"/>
      <c r="N208" s="1"/>
      <c r="O208" s="1"/>
      <c r="P208" s="1"/>
      <c r="Q208" s="1"/>
      <c r="R208" s="1"/>
    </row>
    <row r="209" spans="3:18">
      <c r="J209" s="4"/>
      <c r="N209" s="1"/>
      <c r="O209" s="1"/>
      <c r="P209" s="1"/>
      <c r="Q209" s="1"/>
      <c r="R209" s="1"/>
    </row>
    <row r="210" spans="3:18">
      <c r="J210" s="4"/>
      <c r="N210" s="1"/>
      <c r="O210" s="1"/>
      <c r="P210" s="1"/>
      <c r="Q210" s="1"/>
      <c r="R210" s="1"/>
    </row>
    <row r="211" spans="3:18">
      <c r="J211" s="4"/>
      <c r="N211" s="1"/>
      <c r="O211" s="1"/>
      <c r="P211" s="1"/>
      <c r="Q211" s="1"/>
      <c r="R211" s="1"/>
    </row>
    <row r="212" spans="3:18">
      <c r="J212" s="4"/>
      <c r="N212" s="1"/>
      <c r="O212" s="1"/>
      <c r="P212" s="1"/>
      <c r="Q212" s="1"/>
      <c r="R212" s="1"/>
    </row>
    <row r="213" spans="3:18">
      <c r="J213" s="4"/>
      <c r="N213" s="1"/>
      <c r="O213" s="1"/>
      <c r="P213" s="1"/>
      <c r="Q213" s="1"/>
      <c r="R213" s="1"/>
    </row>
    <row r="214" spans="3:18">
      <c r="J214" s="4"/>
      <c r="N214" s="1"/>
      <c r="O214" s="1"/>
      <c r="P214" s="1"/>
      <c r="Q214" s="1"/>
      <c r="R214" s="1"/>
    </row>
    <row r="215" spans="3:18">
      <c r="J215" s="4"/>
      <c r="N215" s="1"/>
      <c r="O215" s="1"/>
      <c r="P215" s="1"/>
      <c r="Q215" s="1"/>
      <c r="R215" s="1"/>
    </row>
    <row r="216" spans="3:18">
      <c r="J216" s="4"/>
      <c r="N216" s="1"/>
      <c r="O216" s="1"/>
      <c r="P216" s="1"/>
      <c r="Q216" s="1"/>
      <c r="R216" s="1"/>
    </row>
    <row r="217" spans="3:18">
      <c r="J217" s="4"/>
      <c r="N217" s="1"/>
      <c r="O217" s="1"/>
      <c r="P217" s="1"/>
      <c r="Q217" s="1"/>
      <c r="R217" s="1"/>
    </row>
    <row r="218" spans="3:18">
      <c r="J218" s="4"/>
      <c r="N218" s="1"/>
      <c r="O218" s="1"/>
      <c r="P218" s="1"/>
      <c r="Q218" s="1"/>
      <c r="R218" s="1"/>
    </row>
    <row r="219" spans="3:18">
      <c r="J219" s="4"/>
      <c r="N219" s="1"/>
      <c r="O219" s="1"/>
      <c r="P219" s="1"/>
      <c r="Q219" s="1"/>
      <c r="R219" s="1"/>
    </row>
    <row r="220" spans="3:18">
      <c r="J220" s="4"/>
      <c r="N220" s="1"/>
      <c r="O220" s="1"/>
      <c r="P220" s="1"/>
      <c r="Q220" s="1"/>
      <c r="R220" s="1"/>
    </row>
    <row r="221" spans="3:18">
      <c r="J221" s="4"/>
      <c r="N221" s="1"/>
      <c r="O221" s="1"/>
      <c r="P221" s="1"/>
      <c r="Q221" s="1"/>
      <c r="R221" s="1"/>
    </row>
    <row r="222" spans="3:18">
      <c r="J222" s="4"/>
      <c r="N222" s="1"/>
      <c r="O222" s="1"/>
      <c r="P222" s="1"/>
      <c r="Q222" s="1"/>
      <c r="R222" s="1"/>
    </row>
    <row r="223" spans="3:18">
      <c r="J223" s="4"/>
      <c r="N223" s="1"/>
      <c r="O223" s="1"/>
      <c r="P223" s="1"/>
      <c r="Q223" s="1"/>
      <c r="R223" s="1"/>
    </row>
    <row r="224" spans="3:18">
      <c r="C224" s="88"/>
      <c r="D224" s="88"/>
      <c r="E224" s="88"/>
      <c r="F224" s="88"/>
      <c r="G224" s="88"/>
      <c r="H224" s="88"/>
    </row>
    <row r="225" spans="3:8">
      <c r="C225" s="88"/>
      <c r="D225" s="88"/>
      <c r="E225" s="88"/>
      <c r="F225" s="88"/>
      <c r="G225" s="88"/>
      <c r="H225" s="88"/>
    </row>
    <row r="226" spans="3:8">
      <c r="C226" s="88"/>
      <c r="D226" s="88"/>
      <c r="E226" s="88"/>
      <c r="F226" s="88"/>
      <c r="G226" s="88"/>
      <c r="H226" s="88"/>
    </row>
    <row r="227" spans="3:8">
      <c r="C227" s="88"/>
      <c r="D227" s="88"/>
      <c r="E227" s="88"/>
      <c r="F227" s="88"/>
      <c r="G227" s="88"/>
      <c r="H227" s="88"/>
    </row>
    <row r="228" spans="3:8">
      <c r="C228" s="88"/>
      <c r="D228" s="88"/>
      <c r="E228" s="88"/>
      <c r="F228" s="88"/>
      <c r="G228" s="88"/>
      <c r="H228" s="88"/>
    </row>
    <row r="229" spans="3:8">
      <c r="C229" s="88"/>
      <c r="D229" s="88"/>
      <c r="E229" s="88"/>
      <c r="G229" s="89"/>
    </row>
    <row r="230" spans="3:8">
      <c r="F230" s="89"/>
      <c r="G230" s="89"/>
      <c r="H230" s="89"/>
    </row>
    <row r="231" spans="3:8">
      <c r="C231" s="88"/>
      <c r="D231" s="88"/>
      <c r="E231" s="88"/>
      <c r="F231" s="88"/>
      <c r="G231" s="88"/>
      <c r="H231" s="88"/>
    </row>
    <row r="232" spans="3:8">
      <c r="C232" s="88"/>
      <c r="D232" s="88"/>
      <c r="E232" s="88"/>
      <c r="F232" s="88"/>
      <c r="G232" s="88"/>
      <c r="H232" s="88"/>
    </row>
    <row r="233" spans="3:8">
      <c r="C233" s="88"/>
      <c r="D233" s="88"/>
      <c r="E233" s="88"/>
      <c r="F233" s="88"/>
      <c r="G233" s="88"/>
      <c r="H233" s="88"/>
    </row>
    <row r="234" spans="3:8">
      <c r="C234" s="88"/>
      <c r="D234" s="88"/>
      <c r="E234" s="88"/>
      <c r="F234" s="88"/>
      <c r="G234" s="88"/>
      <c r="H234" s="88"/>
    </row>
    <row r="235" spans="3:8">
      <c r="C235" s="88"/>
      <c r="D235" s="88"/>
      <c r="E235" s="88"/>
      <c r="F235" s="88"/>
      <c r="G235" s="88"/>
      <c r="H235" s="88"/>
    </row>
    <row r="236" spans="3:8">
      <c r="C236" s="88"/>
      <c r="D236" s="88"/>
      <c r="E236" s="88"/>
      <c r="F236" s="88"/>
      <c r="G236" s="88"/>
      <c r="H236" s="88"/>
    </row>
    <row r="237" spans="3:8">
      <c r="C237" s="88"/>
      <c r="D237" s="88"/>
      <c r="E237" s="88"/>
      <c r="F237" s="88"/>
      <c r="G237" s="88"/>
      <c r="H237" s="88"/>
    </row>
    <row r="238" spans="3:8">
      <c r="C238" s="88"/>
      <c r="D238" s="88"/>
      <c r="E238" s="88"/>
      <c r="F238" s="88"/>
      <c r="G238" s="88"/>
      <c r="H238" s="88"/>
    </row>
    <row r="239" spans="3:8">
      <c r="C239" s="88"/>
      <c r="D239" s="88"/>
      <c r="E239" s="88"/>
      <c r="F239" s="88"/>
      <c r="G239" s="88"/>
      <c r="H239" s="88"/>
    </row>
    <row r="240" spans="3:8">
      <c r="C240" s="88"/>
      <c r="D240" s="88"/>
      <c r="E240" s="88"/>
      <c r="F240" s="88"/>
      <c r="G240" s="88"/>
      <c r="H240" s="88"/>
    </row>
    <row r="241" spans="3:15">
      <c r="C241" s="88"/>
      <c r="D241" s="88"/>
      <c r="E241" s="88"/>
      <c r="F241" s="88"/>
      <c r="G241" s="88"/>
      <c r="H241" s="88"/>
    </row>
    <row r="242" spans="3:15">
      <c r="C242" s="88"/>
      <c r="D242" s="88"/>
      <c r="E242" s="88"/>
      <c r="F242" s="88"/>
      <c r="G242" s="88"/>
      <c r="H242" s="88"/>
    </row>
    <row r="243" spans="3:15">
      <c r="C243" s="88"/>
      <c r="D243" s="88"/>
      <c r="E243" s="88"/>
      <c r="F243" s="88"/>
      <c r="G243" s="88"/>
      <c r="H243" s="88"/>
      <c r="O243" s="4">
        <f>F48</f>
        <v>7106558.4866279848</v>
      </c>
    </row>
    <row r="244" spans="3:15">
      <c r="C244" s="88"/>
      <c r="D244" s="88"/>
      <c r="E244" s="88"/>
      <c r="F244" s="88"/>
      <c r="G244" s="88"/>
      <c r="H244" s="88"/>
      <c r="O244" s="4" t="s">
        <v>870</v>
      </c>
    </row>
    <row r="245" spans="3:15">
      <c r="C245" s="88"/>
      <c r="D245" s="88"/>
      <c r="E245" s="88"/>
      <c r="F245" s="88"/>
      <c r="G245" s="88"/>
      <c r="H245" s="88"/>
    </row>
    <row r="246" spans="3:15">
      <c r="C246" s="88"/>
      <c r="D246" s="88"/>
      <c r="E246" s="88"/>
      <c r="F246" s="90"/>
      <c r="G246" s="88"/>
      <c r="H246" s="90"/>
    </row>
  </sheetData>
  <autoFilter ref="B81:S180" xr:uid="{00000000-0001-0000-0000-000000000000}"/>
  <mergeCells count="1">
    <mergeCell ref="AJ1:AL1"/>
  </mergeCells>
  <pageMargins left="0.19685039370078741" right="0.19685039370078741" top="0.19685039370078741" bottom="0.19685039370078741" header="0.19685039370078741" footer="0"/>
  <pageSetup paperSize="9" scale="29" orientation="portrait" r:id="rId1"/>
  <headerFooter alignWithMargins="0"/>
  <customProperties>
    <customPr name="_pios_id" r:id="rId2"/>
  </customProperties>
  <ignoredErrors>
    <ignoredError sqref="D48 G48 D81 D114 M43:Q43 E76 M41:N41 V49:AA50 M22:Q24 M26:Q27 M35:Q36 M38:Q39 M29:Q31 M34 O34:Q34" formula="1"/>
  </ignoredError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DD895-D9D3-45A0-9032-52D2F532DFEC}">
  <dimension ref="B1:U29"/>
  <sheetViews>
    <sheetView zoomScale="70" zoomScaleNormal="70" workbookViewId="0">
      <selection activeCell="T10" sqref="T10"/>
    </sheetView>
  </sheetViews>
  <sheetFormatPr defaultColWidth="8.5703125" defaultRowHeight="15"/>
  <cols>
    <col min="1" max="1" width="8.5703125" style="843"/>
    <col min="2" max="2" width="14.42578125" style="843" bestFit="1" customWidth="1"/>
    <col min="3" max="4" width="10.42578125" style="843" customWidth="1"/>
    <col min="5" max="5" width="14.42578125" style="843" bestFit="1" customWidth="1"/>
    <col min="6" max="7" width="8.5703125" style="843"/>
    <col min="8" max="8" width="19" style="843" bestFit="1" customWidth="1"/>
    <col min="9" max="16384" width="8.5703125" style="843"/>
  </cols>
  <sheetData>
    <row r="1" spans="2:21">
      <c r="C1" s="843" t="s">
        <v>70</v>
      </c>
      <c r="D1" s="843" t="s">
        <v>736</v>
      </c>
      <c r="E1" s="843" t="s">
        <v>727</v>
      </c>
      <c r="G1" s="843" t="s">
        <v>737</v>
      </c>
    </row>
    <row r="2" spans="2:21">
      <c r="B2" s="843" t="s">
        <v>738</v>
      </c>
      <c r="C2" s="844">
        <f>[18]Box!$U$6+[18]Box!$U$7</f>
        <v>-23.45553845647725</v>
      </c>
      <c r="D2" s="844">
        <f>C2</f>
        <v>-23.45553845647725</v>
      </c>
      <c r="E2" s="844">
        <f>F14</f>
        <v>-23.830202438472565</v>
      </c>
      <c r="F2" s="845">
        <f>C2-E2</f>
        <v>0.37466398199531525</v>
      </c>
    </row>
    <row r="3" spans="2:21">
      <c r="B3" s="843" t="s">
        <v>739</v>
      </c>
      <c r="C3" s="846">
        <f>([19]Cálculo!$J$116+[19]Cálculo!$J$117)/1000</f>
        <v>-35.675656569604506</v>
      </c>
      <c r="D3" s="846">
        <f>C3-C2</f>
        <v>-12.220118113127256</v>
      </c>
      <c r="E3" s="844">
        <f>'[20]Bridge FY'!$F$5</f>
        <v>-12.315596393023613</v>
      </c>
      <c r="F3" s="846">
        <f>D3-E3</f>
        <v>9.547827989635671E-2</v>
      </c>
    </row>
    <row r="4" spans="2:21">
      <c r="B4" s="843" t="s">
        <v>740</v>
      </c>
      <c r="C4" s="843">
        <f>[21]Box!$U$6+[21]Box!$U$7</f>
        <v>-38.600113914952701</v>
      </c>
      <c r="D4" s="846">
        <f t="shared" ref="D4:D7" si="0">C4-C3</f>
        <v>-2.9244573453481948</v>
      </c>
      <c r="E4" s="844">
        <f>L14</f>
        <v>-3</v>
      </c>
      <c r="F4" s="846">
        <f t="shared" ref="F4:F7" si="1">D4-E4</f>
        <v>7.5542654651805208E-2</v>
      </c>
    </row>
    <row r="5" spans="2:21">
      <c r="B5" s="843" t="s">
        <v>741</v>
      </c>
      <c r="C5" s="843">
        <f>[22]Box!$U$6+[22]Box!$U$7</f>
        <v>-29.067403040035156</v>
      </c>
      <c r="D5" s="846">
        <f t="shared" si="0"/>
        <v>9.5327108749175444</v>
      </c>
      <c r="E5" s="844">
        <f>O14</f>
        <v>7.2991733966854202</v>
      </c>
      <c r="F5" s="846">
        <f t="shared" si="1"/>
        <v>2.2335374782321242</v>
      </c>
    </row>
    <row r="6" spans="2:21">
      <c r="B6" s="843" t="s">
        <v>742</v>
      </c>
      <c r="C6" s="843">
        <f>[23]Box!$U$6+[23]Box!$U$7</f>
        <v>-30.958567603683811</v>
      </c>
      <c r="D6" s="846">
        <f t="shared" si="0"/>
        <v>-1.8911645636486547</v>
      </c>
      <c r="E6" s="844">
        <f>R14</f>
        <v>0</v>
      </c>
      <c r="F6" s="846">
        <f t="shared" si="1"/>
        <v>-1.8911645636486547</v>
      </c>
    </row>
    <row r="7" spans="2:21">
      <c r="B7" s="843" t="s">
        <v>743</v>
      </c>
      <c r="C7" s="843">
        <f>Box!$U$6+Box!$U$7</f>
        <v>-95.378797563242671</v>
      </c>
      <c r="D7" s="853">
        <f t="shared" si="0"/>
        <v>-64.420229959558867</v>
      </c>
      <c r="E7" s="854">
        <f>U14</f>
        <v>1.6357735159872409</v>
      </c>
      <c r="F7" s="846">
        <f t="shared" si="1"/>
        <v>-66.056003475546106</v>
      </c>
    </row>
    <row r="8" spans="2:21">
      <c r="D8" s="847">
        <f>SUM(D2:D7)</f>
        <v>-95.378797563242671</v>
      </c>
      <c r="E8" s="847">
        <f>SUM(E2:E7)</f>
        <v>-30.210851918823522</v>
      </c>
    </row>
    <row r="10" spans="2:21">
      <c r="E10" s="843" t="s">
        <v>672</v>
      </c>
      <c r="H10" s="843" t="s">
        <v>724</v>
      </c>
      <c r="K10" s="843" t="s">
        <v>744</v>
      </c>
      <c r="N10" s="843" t="s">
        <v>745</v>
      </c>
      <c r="Q10" s="843" t="s">
        <v>746</v>
      </c>
    </row>
    <row r="11" spans="2:21">
      <c r="E11" s="1052" t="s">
        <v>710</v>
      </c>
      <c r="F11" s="1053"/>
      <c r="H11" s="1052" t="s">
        <v>710</v>
      </c>
      <c r="I11" s="1053"/>
      <c r="K11" s="1052" t="s">
        <v>710</v>
      </c>
      <c r="L11" s="1053"/>
      <c r="N11" s="1052" t="s">
        <v>710</v>
      </c>
      <c r="O11" s="1053"/>
      <c r="Q11" s="1052" t="s">
        <v>710</v>
      </c>
      <c r="R11" s="1053"/>
      <c r="T11" s="1052" t="s">
        <v>710</v>
      </c>
      <c r="U11" s="1053"/>
    </row>
    <row r="12" spans="2:21" ht="15.75">
      <c r="E12" s="848"/>
      <c r="F12" s="848"/>
      <c r="H12" s="848"/>
      <c r="I12" s="848"/>
      <c r="K12" s="848"/>
      <c r="L12" s="848"/>
      <c r="N12" s="848"/>
      <c r="O12" s="848"/>
      <c r="Q12" s="848"/>
      <c r="R12" s="848"/>
      <c r="T12" s="848"/>
      <c r="U12" s="848"/>
    </row>
    <row r="13" spans="2:21" ht="15.75">
      <c r="E13" s="811">
        <f>A13</f>
        <v>0</v>
      </c>
      <c r="F13" s="812">
        <f>F15+F16+F17</f>
        <v>-23.830202438472565</v>
      </c>
      <c r="H13" s="811" t="s">
        <v>747</v>
      </c>
      <c r="I13" s="825" t="s">
        <v>90</v>
      </c>
      <c r="K13" s="811" t="s">
        <v>747</v>
      </c>
      <c r="L13" s="825" t="s">
        <v>90</v>
      </c>
      <c r="N13" s="811" t="str">
        <f>K13</f>
        <v>Impact</v>
      </c>
      <c r="O13" s="825" t="s">
        <v>90</v>
      </c>
      <c r="Q13" s="811" t="s">
        <v>747</v>
      </c>
      <c r="R13" s="825" t="s">
        <v>90</v>
      </c>
      <c r="T13" s="811" t="s">
        <v>747</v>
      </c>
      <c r="U13" s="825" t="s">
        <v>90</v>
      </c>
    </row>
    <row r="14" spans="2:21" ht="15.75">
      <c r="E14" s="798" t="s">
        <v>52</v>
      </c>
      <c r="F14" s="794">
        <v>-23.830202438472565</v>
      </c>
      <c r="H14" s="798" t="s">
        <v>52</v>
      </c>
      <c r="I14" s="794">
        <v>-12.315596393023613</v>
      </c>
      <c r="K14" s="798" t="s">
        <v>52</v>
      </c>
      <c r="L14" s="794">
        <v>-3</v>
      </c>
      <c r="N14" s="798" t="s">
        <v>52</v>
      </c>
      <c r="O14" s="794">
        <v>7.2991733966854202</v>
      </c>
      <c r="Q14" s="798" t="s">
        <v>52</v>
      </c>
      <c r="R14" s="794">
        <v>0</v>
      </c>
      <c r="T14" s="798" t="s">
        <v>52</v>
      </c>
      <c r="U14" s="794">
        <v>1.6357735159872409</v>
      </c>
    </row>
    <row r="15" spans="2:21" ht="15.75">
      <c r="E15" s="799" t="s">
        <v>684</v>
      </c>
      <c r="F15" s="800">
        <v>-12.762719125771032</v>
      </c>
      <c r="H15" s="799" t="s">
        <v>722</v>
      </c>
      <c r="I15" s="800">
        <v>-14.315596393023613</v>
      </c>
      <c r="K15" s="799" t="s">
        <v>11</v>
      </c>
      <c r="L15" s="800">
        <v>-5</v>
      </c>
      <c r="N15" s="799" t="s">
        <v>684</v>
      </c>
      <c r="O15" s="800">
        <v>12</v>
      </c>
      <c r="Q15" s="799" t="s">
        <v>684</v>
      </c>
      <c r="R15" s="800">
        <v>0</v>
      </c>
      <c r="T15" s="799" t="s">
        <v>748</v>
      </c>
      <c r="U15" s="800">
        <v>3</v>
      </c>
    </row>
    <row r="16" spans="2:21" ht="15.75">
      <c r="E16" s="799" t="s">
        <v>711</v>
      </c>
      <c r="F16" s="800">
        <v>-13.216352296574721</v>
      </c>
      <c r="H16" s="799" t="s">
        <v>749</v>
      </c>
      <c r="I16" s="800">
        <v>2</v>
      </c>
      <c r="K16" s="799" t="s">
        <v>750</v>
      </c>
      <c r="L16" s="800">
        <v>4</v>
      </c>
      <c r="N16" s="799" t="s">
        <v>751</v>
      </c>
      <c r="O16" s="800">
        <v>5.3</v>
      </c>
      <c r="Q16" s="799" t="s">
        <v>11</v>
      </c>
      <c r="R16" s="800">
        <v>0</v>
      </c>
      <c r="T16" s="799" t="s">
        <v>752</v>
      </c>
      <c r="U16" s="800">
        <v>6</v>
      </c>
    </row>
    <row r="17" spans="5:21" ht="15.75">
      <c r="E17" s="799" t="s">
        <v>712</v>
      </c>
      <c r="F17" s="800">
        <v>2.1488689838731894</v>
      </c>
      <c r="H17" s="826" t="s">
        <v>686</v>
      </c>
      <c r="I17" s="827">
        <v>-0.49931137927745828</v>
      </c>
      <c r="K17" s="799" t="s">
        <v>631</v>
      </c>
      <c r="L17" s="800">
        <v>-2</v>
      </c>
      <c r="N17" s="799" t="s">
        <v>405</v>
      </c>
      <c r="O17" s="800">
        <v>-2</v>
      </c>
      <c r="Q17" s="813" t="s">
        <v>686</v>
      </c>
      <c r="R17" s="794">
        <v>0</v>
      </c>
      <c r="T17" s="799" t="s">
        <v>735</v>
      </c>
      <c r="U17" s="800">
        <v>-1.2956606341074541</v>
      </c>
    </row>
    <row r="18" spans="5:21" ht="15.75">
      <c r="E18" s="813" t="s">
        <v>686</v>
      </c>
      <c r="F18" s="794">
        <v>-5.9951705782416065</v>
      </c>
      <c r="H18" s="798" t="s">
        <v>685</v>
      </c>
      <c r="I18" s="794">
        <v>6.3784712367104568</v>
      </c>
      <c r="K18" s="813" t="s">
        <v>686</v>
      </c>
      <c r="L18" s="794">
        <v>0</v>
      </c>
      <c r="N18" s="813" t="s">
        <v>686</v>
      </c>
      <c r="O18" s="794">
        <v>2.5347094194639546</v>
      </c>
      <c r="Q18" s="798" t="s">
        <v>685</v>
      </c>
      <c r="R18" s="794">
        <v>-11.161321589301297</v>
      </c>
      <c r="T18" s="799" t="s">
        <v>631</v>
      </c>
      <c r="U18" s="800">
        <v>-3.0685658499053048</v>
      </c>
    </row>
    <row r="19" spans="5:21" ht="15.75">
      <c r="E19" s="798" t="s">
        <v>685</v>
      </c>
      <c r="F19" s="794">
        <v>-32.404121435456275</v>
      </c>
      <c r="H19" s="799" t="s">
        <v>722</v>
      </c>
      <c r="I19" s="800">
        <v>5.8423734725615466</v>
      </c>
      <c r="K19" s="798" t="s">
        <v>685</v>
      </c>
      <c r="L19" s="794">
        <v>3.6635359398285066</v>
      </c>
      <c r="N19" s="799" t="s">
        <v>11</v>
      </c>
      <c r="O19" s="800">
        <v>-8</v>
      </c>
      <c r="Q19" s="799" t="s">
        <v>684</v>
      </c>
      <c r="R19" s="800">
        <v>-11.161321589301297</v>
      </c>
      <c r="T19" s="799" t="s">
        <v>11</v>
      </c>
      <c r="U19" s="800">
        <v>-3</v>
      </c>
    </row>
    <row r="20" spans="5:21" ht="15.75">
      <c r="E20" s="799" t="s">
        <v>684</v>
      </c>
      <c r="F20" s="800">
        <v>-17.602786633972997</v>
      </c>
      <c r="H20" s="799" t="s">
        <v>723</v>
      </c>
      <c r="I20" s="800">
        <v>2</v>
      </c>
      <c r="K20" s="799" t="s">
        <v>684</v>
      </c>
      <c r="L20" s="800">
        <v>11.963352300386898</v>
      </c>
      <c r="N20" s="798" t="s">
        <v>685</v>
      </c>
      <c r="O20" s="794">
        <v>59.494899465961012</v>
      </c>
      <c r="Q20" s="798" t="s">
        <v>725</v>
      </c>
      <c r="R20" s="794">
        <v>0</v>
      </c>
      <c r="T20" s="813" t="s">
        <v>686</v>
      </c>
      <c r="U20" s="794">
        <v>0.38990434321766865</v>
      </c>
    </row>
    <row r="21" spans="5:21" ht="15.75">
      <c r="E21" s="799" t="s">
        <v>683</v>
      </c>
      <c r="F21" s="800">
        <v>-5.5778136479882772</v>
      </c>
      <c r="H21" s="799" t="s">
        <v>753</v>
      </c>
      <c r="I21" s="800">
        <v>-1.4639022358510898</v>
      </c>
      <c r="K21" s="799" t="s">
        <v>754</v>
      </c>
      <c r="L21" s="800">
        <v>-12.30114419381739</v>
      </c>
      <c r="N21" s="799" t="s">
        <v>684</v>
      </c>
      <c r="O21" s="800">
        <v>49.727698369274954</v>
      </c>
      <c r="Q21" s="798" t="s">
        <v>59</v>
      </c>
      <c r="R21" s="794">
        <v>0.13000000000000003</v>
      </c>
      <c r="T21" s="798" t="s">
        <v>685</v>
      </c>
      <c r="U21" s="794">
        <v>2.2260463431669697</v>
      </c>
    </row>
    <row r="22" spans="5:21" ht="15.75">
      <c r="E22" s="799" t="s">
        <v>270</v>
      </c>
      <c r="F22" s="800">
        <v>-9.2235211534949961</v>
      </c>
      <c r="H22" s="826" t="s">
        <v>59</v>
      </c>
      <c r="I22" s="827">
        <v>-6.0000000000000005E-2</v>
      </c>
      <c r="K22" s="799" t="s">
        <v>755</v>
      </c>
      <c r="L22" s="800">
        <v>4.4431403886766843</v>
      </c>
      <c r="N22" s="799" t="s">
        <v>666</v>
      </c>
      <c r="O22" s="800">
        <v>17.634237801548021</v>
      </c>
      <c r="Q22" s="798" t="s">
        <v>713</v>
      </c>
      <c r="R22" s="794">
        <v>-1.47</v>
      </c>
      <c r="T22" s="799" t="s">
        <v>684</v>
      </c>
      <c r="U22" s="800">
        <v>-6.2737641443733319</v>
      </c>
    </row>
    <row r="23" spans="5:21" ht="15.75">
      <c r="E23" s="798" t="s">
        <v>59</v>
      </c>
      <c r="F23" s="794">
        <v>-0.29000000000000004</v>
      </c>
      <c r="H23" s="826" t="s">
        <v>713</v>
      </c>
      <c r="I23" s="827">
        <v>0.63000000000000012</v>
      </c>
      <c r="K23" s="798" t="s">
        <v>59</v>
      </c>
      <c r="L23" s="794">
        <v>-0.27</v>
      </c>
      <c r="N23" s="799" t="s">
        <v>270</v>
      </c>
      <c r="O23" s="800">
        <v>-6.2029298864837861</v>
      </c>
      <c r="Q23" s="798" t="s">
        <v>258</v>
      </c>
      <c r="R23" s="794">
        <v>0</v>
      </c>
      <c r="T23" s="799" t="s">
        <v>270</v>
      </c>
      <c r="U23" s="800">
        <v>3.1816104741183091</v>
      </c>
    </row>
    <row r="24" spans="5:21" ht="15.75">
      <c r="E24" s="798" t="s">
        <v>713</v>
      </c>
      <c r="F24" s="794">
        <v>0.8600000000000001</v>
      </c>
      <c r="H24" s="826" t="s">
        <v>258</v>
      </c>
      <c r="I24" s="827">
        <v>0</v>
      </c>
      <c r="K24" s="798" t="s">
        <v>713</v>
      </c>
      <c r="L24" s="794">
        <v>0.79</v>
      </c>
      <c r="N24" s="799" t="s">
        <v>755</v>
      </c>
      <c r="O24" s="800">
        <v>-1.464106818378172</v>
      </c>
      <c r="Q24" s="814" t="s">
        <v>14</v>
      </c>
      <c r="R24" s="815">
        <v>-12.401321589301297</v>
      </c>
      <c r="T24" s="799" t="s">
        <v>756</v>
      </c>
      <c r="U24" s="800">
        <v>5.3182000134219924</v>
      </c>
    </row>
    <row r="25" spans="5:21" ht="15.75">
      <c r="E25" s="798" t="s">
        <v>258</v>
      </c>
      <c r="F25" s="794">
        <v>2</v>
      </c>
      <c r="H25" s="814" t="s">
        <v>14</v>
      </c>
      <c r="I25" s="815">
        <v>-5.8664365355906138</v>
      </c>
      <c r="K25" s="798" t="s">
        <v>258</v>
      </c>
      <c r="L25" s="794">
        <v>3</v>
      </c>
      <c r="N25" s="798" t="s">
        <v>725</v>
      </c>
      <c r="O25" s="794">
        <v>1.0073148814943673</v>
      </c>
      <c r="T25" s="798" t="s">
        <v>725</v>
      </c>
      <c r="U25" s="794">
        <v>0</v>
      </c>
    </row>
    <row r="26" spans="5:21" ht="15.75">
      <c r="E26" s="814" t="s">
        <v>14</v>
      </c>
      <c r="F26" s="815">
        <v>-59.659494452170442</v>
      </c>
      <c r="H26" s="814"/>
      <c r="I26" s="815"/>
      <c r="K26" s="814" t="s">
        <v>14</v>
      </c>
      <c r="L26" s="815">
        <v>4.1835359398285066</v>
      </c>
      <c r="N26" s="798" t="s">
        <v>59</v>
      </c>
      <c r="O26" s="794">
        <v>0.62</v>
      </c>
      <c r="T26" s="798" t="s">
        <v>59</v>
      </c>
      <c r="U26" s="794">
        <v>-2.3499999999999996</v>
      </c>
    </row>
    <row r="27" spans="5:21" ht="15.75">
      <c r="N27" s="798" t="s">
        <v>713</v>
      </c>
      <c r="O27" s="794">
        <v>2.95</v>
      </c>
      <c r="T27" s="798" t="s">
        <v>713</v>
      </c>
      <c r="U27" s="794">
        <v>1.05</v>
      </c>
    </row>
    <row r="28" spans="5:21" ht="15.75">
      <c r="N28" s="798" t="s">
        <v>258</v>
      </c>
      <c r="O28" s="794">
        <v>0</v>
      </c>
      <c r="T28" s="798" t="s">
        <v>258</v>
      </c>
      <c r="U28" s="794">
        <v>1.32</v>
      </c>
    </row>
    <row r="29" spans="5:21" ht="15.75">
      <c r="N29" s="814" t="s">
        <v>14</v>
      </c>
      <c r="O29" s="815">
        <v>73.906097163604755</v>
      </c>
      <c r="T29" s="814" t="s">
        <v>14</v>
      </c>
      <c r="U29" s="815">
        <v>4.27172420237188</v>
      </c>
    </row>
  </sheetData>
  <mergeCells count="6">
    <mergeCell ref="T11:U11"/>
    <mergeCell ref="E11:F11"/>
    <mergeCell ref="H11:I11"/>
    <mergeCell ref="K11:L11"/>
    <mergeCell ref="N11:O11"/>
    <mergeCell ref="Q11:R11"/>
  </mergeCells>
  <pageMargins left="0.511811024" right="0.511811024" top="0.78740157499999996" bottom="0.78740157499999996" header="0.31496062000000002" footer="0.31496062000000002"/>
  <customProperties>
    <customPr name="_pios_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3"/>
  <dimension ref="A1:CP121"/>
  <sheetViews>
    <sheetView showGridLines="0" topLeftCell="AW1" zoomScale="140" zoomScaleNormal="140" workbookViewId="0">
      <selection activeCell="BH17" sqref="BH17"/>
    </sheetView>
  </sheetViews>
  <sheetFormatPr defaultColWidth="9.42578125" defaultRowHeight="11.25" outlineLevelRow="1" outlineLevelCol="1"/>
  <cols>
    <col min="1" max="1" width="5.42578125" style="130" customWidth="1"/>
    <col min="2" max="2" width="16.5703125" style="130" customWidth="1"/>
    <col min="3" max="3" width="6.5703125" style="130" customWidth="1" outlineLevel="1"/>
    <col min="4" max="4" width="6.42578125" style="130" customWidth="1" outlineLevel="1"/>
    <col min="5" max="5" width="6.42578125" style="130" customWidth="1"/>
    <col min="6" max="6" width="6.5703125" style="130" customWidth="1"/>
    <col min="7" max="7" width="7.42578125" style="130" customWidth="1"/>
    <col min="8" max="8" width="9.42578125" style="130" customWidth="1"/>
    <col min="9" max="9" width="10.42578125" style="130" customWidth="1"/>
    <col min="10" max="11" width="7.42578125" style="130" customWidth="1" outlineLevel="1"/>
    <col min="12" max="12" width="7.42578125" style="130" customWidth="1"/>
    <col min="13" max="13" width="9.5703125" style="130" customWidth="1"/>
    <col min="14" max="14" width="7.5703125" style="130" customWidth="1"/>
    <col min="15" max="15" width="7.5703125" style="683" customWidth="1"/>
    <col min="16" max="16" width="8.42578125" style="130" customWidth="1"/>
    <col min="17" max="17" width="7.42578125" style="130" hidden="1" customWidth="1" outlineLevel="1"/>
    <col min="18" max="18" width="6.5703125" style="130" hidden="1" customWidth="1" outlineLevel="1"/>
    <col min="19" max="19" width="5" style="130" bestFit="1" customWidth="1" collapsed="1"/>
    <col min="20" max="20" width="5.42578125" style="130" bestFit="1" customWidth="1"/>
    <col min="21" max="21" width="6.42578125" style="130" customWidth="1"/>
    <col min="22" max="22" width="10" style="130" bestFit="1" customWidth="1"/>
    <col min="23" max="23" width="19.42578125" style="130" customWidth="1"/>
    <col min="24" max="24" width="6.5703125" style="130" bestFit="1" customWidth="1"/>
    <col min="25" max="25" width="3.42578125" style="130" customWidth="1"/>
    <col min="26" max="26" width="17.5703125" style="130" customWidth="1"/>
    <col min="27" max="27" width="6.5703125" style="130" bestFit="1" customWidth="1"/>
    <col min="28" max="28" width="3.42578125" style="130" customWidth="1"/>
    <col min="29" max="29" width="13.42578125" style="130" customWidth="1"/>
    <col min="30" max="30" width="5.42578125" style="130" customWidth="1"/>
    <col min="31" max="32" width="3.42578125" style="130" customWidth="1"/>
    <col min="33" max="33" width="8.140625" style="130" customWidth="1"/>
    <col min="34" max="34" width="9.5703125" style="130" bestFit="1" customWidth="1"/>
    <col min="35" max="35" width="5.140625" style="130" bestFit="1" customWidth="1"/>
    <col min="36" max="36" width="7" style="130" bestFit="1" customWidth="1"/>
    <col min="37" max="39" width="6.42578125" style="130" customWidth="1"/>
    <col min="40" max="40" width="3.42578125" style="130" customWidth="1"/>
    <col min="41" max="41" width="16.42578125" style="130" customWidth="1"/>
    <col min="42" max="42" width="5.42578125" style="130" bestFit="1" customWidth="1"/>
    <col min="43" max="43" width="3.42578125" style="130" customWidth="1"/>
    <col min="44" max="44" width="15.140625" style="130" customWidth="1"/>
    <col min="45" max="45" width="7.5703125" style="130" bestFit="1" customWidth="1"/>
    <col min="46" max="46" width="6.42578125" style="130" bestFit="1" customWidth="1"/>
    <col min="47" max="47" width="6.5703125" style="130" bestFit="1" customWidth="1"/>
    <col min="48" max="48" width="2" style="130" customWidth="1"/>
    <col min="49" max="49" width="26.140625" style="130" customWidth="1"/>
    <col min="50" max="50" width="5.5703125" style="130" customWidth="1"/>
    <col min="51" max="51" width="3" style="130" customWidth="1"/>
    <col min="52" max="52" width="10" style="130" customWidth="1"/>
    <col min="53" max="53" width="5.5703125" style="130" hidden="1" customWidth="1"/>
    <col min="54" max="54" width="6" style="130" hidden="1" customWidth="1"/>
    <col min="55" max="55" width="6.42578125" style="130" customWidth="1"/>
    <col min="56" max="56" width="3" style="130" customWidth="1"/>
    <col min="57" max="57" width="15.5703125" style="130" customWidth="1"/>
    <col min="58" max="58" width="6.42578125" style="130" bestFit="1" customWidth="1"/>
    <col min="59" max="59" width="3" style="130" customWidth="1"/>
    <col min="60" max="60" width="19.5703125" style="130" customWidth="1"/>
    <col min="61" max="62" width="7.5703125" style="130" bestFit="1" customWidth="1"/>
    <col min="63" max="63" width="5.85546875" style="245" customWidth="1"/>
    <col min="64" max="64" width="5.5703125" style="130" bestFit="1" customWidth="1"/>
    <col min="65" max="65" width="6.5703125" style="130" bestFit="1" customWidth="1"/>
    <col min="66" max="66" width="9.42578125" style="831"/>
    <col min="67" max="68" width="10.42578125" style="130" customWidth="1"/>
    <col min="69" max="69" width="10.5703125" style="130" customWidth="1"/>
    <col min="70" max="71" width="7.42578125" style="130" bestFit="1" customWidth="1"/>
    <col min="72" max="73" width="6.5703125" style="130" customWidth="1"/>
    <col min="74" max="74" width="28.28515625" style="130" customWidth="1"/>
    <col min="75" max="75" width="6.140625" style="130" customWidth="1"/>
    <col min="76" max="76" width="19.42578125" style="130" bestFit="1" customWidth="1"/>
    <col min="77" max="77" width="5.5703125" style="130" bestFit="1" customWidth="1"/>
    <col min="78" max="78" width="3.42578125" style="130" customWidth="1"/>
    <col min="79" max="79" width="17.140625" style="130" customWidth="1"/>
    <col min="80" max="80" width="6" style="130" customWidth="1"/>
    <col min="81" max="81" width="10.42578125" style="130" customWidth="1"/>
    <col min="82" max="82" width="17.42578125" style="130" customWidth="1"/>
    <col min="83" max="83" width="6" style="130" customWidth="1"/>
    <col min="84" max="84" width="16.5703125" style="130" bestFit="1" customWidth="1"/>
    <col min="85" max="85" width="15.85546875" style="130" bestFit="1" customWidth="1"/>
    <col min="86" max="86" width="6" style="130" customWidth="1"/>
    <col min="87" max="87" width="12.42578125" style="130" customWidth="1"/>
    <col min="88" max="88" width="7.42578125" style="130" customWidth="1"/>
    <col min="89" max="89" width="15.85546875" style="130" customWidth="1"/>
    <col min="90" max="90" width="6" style="130" customWidth="1"/>
    <col min="91" max="91" width="9.42578125" style="130"/>
    <col min="92" max="92" width="23.85546875" style="130" customWidth="1"/>
    <col min="93" max="16384" width="9.42578125" style="130"/>
  </cols>
  <sheetData>
    <row r="1" spans="1:94">
      <c r="V1" s="681"/>
      <c r="BN1" s="864"/>
      <c r="BO1" s="460"/>
      <c r="BP1" s="703"/>
      <c r="CD1" s="1046" t="s">
        <v>695</v>
      </c>
      <c r="CG1" s="1046" t="s">
        <v>688</v>
      </c>
      <c r="CK1" s="1046" t="s">
        <v>956</v>
      </c>
    </row>
    <row r="2" spans="1:94" ht="11.25" customHeight="1">
      <c r="B2" s="1059" t="s">
        <v>412</v>
      </c>
      <c r="C2" s="1059"/>
      <c r="D2" s="1059"/>
      <c r="E2" s="1059"/>
      <c r="F2" s="1059"/>
      <c r="G2" s="1059"/>
      <c r="I2" s="1059" t="s">
        <v>74</v>
      </c>
      <c r="J2" s="1059"/>
      <c r="K2" s="1059"/>
      <c r="L2" s="1059"/>
      <c r="M2" s="1059"/>
      <c r="N2" s="1059"/>
      <c r="P2" s="1059" t="s">
        <v>15</v>
      </c>
      <c r="Q2" s="1059"/>
      <c r="R2" s="1059"/>
      <c r="S2" s="1059"/>
      <c r="T2" s="1059"/>
      <c r="U2" s="1059"/>
      <c r="V2" s="182"/>
      <c r="W2" s="1059" t="s">
        <v>16</v>
      </c>
      <c r="X2" s="1059"/>
      <c r="Z2" s="1059" t="s">
        <v>770</v>
      </c>
      <c r="AA2" s="1059"/>
      <c r="AC2" s="1059" t="s">
        <v>698</v>
      </c>
      <c r="AD2" s="1059"/>
      <c r="AG2" s="1059" t="s">
        <v>629</v>
      </c>
      <c r="AH2" s="1059"/>
      <c r="AI2" s="1059"/>
      <c r="AJ2" s="1059"/>
      <c r="AK2" s="1059"/>
      <c r="AL2" s="1059"/>
      <c r="AM2" s="1059"/>
      <c r="AO2" s="1064" t="s">
        <v>560</v>
      </c>
      <c r="AP2" s="1059"/>
      <c r="AR2" s="1064" t="s">
        <v>951</v>
      </c>
      <c r="AS2" s="1064"/>
      <c r="AT2" s="1064"/>
      <c r="AU2" s="1059"/>
      <c r="AW2" s="1059" t="s">
        <v>13</v>
      </c>
      <c r="AX2" s="1059"/>
      <c r="AZ2" s="1059" t="s">
        <v>628</v>
      </c>
      <c r="BA2" s="1059"/>
      <c r="BB2" s="1059"/>
      <c r="BC2" s="1059"/>
      <c r="BE2" s="1059" t="s">
        <v>610</v>
      </c>
      <c r="BF2" s="1059"/>
      <c r="BH2" s="1058" t="s">
        <v>677</v>
      </c>
      <c r="BI2" s="1058"/>
      <c r="BJ2" s="1058"/>
      <c r="BK2" s="1058"/>
      <c r="BL2" s="1058"/>
      <c r="BM2" s="1058"/>
      <c r="BN2" s="835"/>
      <c r="BO2" s="703"/>
      <c r="BP2" s="703"/>
      <c r="BQ2" s="1058" t="s">
        <v>667</v>
      </c>
      <c r="BR2" s="1058"/>
      <c r="BS2" s="1058"/>
      <c r="BT2" s="1058"/>
      <c r="BV2" s="1054" t="s">
        <v>948</v>
      </c>
      <c r="BW2" s="1054"/>
      <c r="BX2" s="1036"/>
      <c r="BY2" s="1036"/>
      <c r="BZ2" s="1036"/>
      <c r="CA2" s="1054" t="s">
        <v>954</v>
      </c>
      <c r="CB2" s="1054"/>
      <c r="CC2" s="1036"/>
      <c r="CD2" s="1054" t="s">
        <v>954</v>
      </c>
      <c r="CE2" s="1054"/>
      <c r="CF2" s="1036"/>
      <c r="CG2" s="1054" t="s">
        <v>954</v>
      </c>
      <c r="CH2" s="1054"/>
      <c r="CI2" s="1055"/>
      <c r="CJ2" s="1055"/>
      <c r="CK2" s="1054" t="s">
        <v>954</v>
      </c>
      <c r="CL2" s="1054"/>
      <c r="CN2" s="1054" t="s">
        <v>961</v>
      </c>
      <c r="CO2" s="1054"/>
    </row>
    <row r="3" spans="1:94" ht="5.0999999999999996" customHeight="1">
      <c r="BH3" s="189"/>
      <c r="BI3" s="189"/>
      <c r="BJ3" s="189"/>
      <c r="BK3" s="317"/>
      <c r="BL3" s="189"/>
      <c r="BM3" s="189"/>
      <c r="BQ3" s="189"/>
      <c r="BR3" s="189"/>
      <c r="BS3" s="189"/>
      <c r="BT3" s="189"/>
      <c r="BU3" s="189"/>
      <c r="BV3" s="898"/>
      <c r="BW3" s="898"/>
      <c r="CC3" s="1036"/>
      <c r="CD3" s="1036"/>
      <c r="CF3" s="1036"/>
      <c r="CG3" s="1036"/>
      <c r="CK3" s="1036"/>
      <c r="CN3" s="898"/>
      <c r="CO3" s="898"/>
    </row>
    <row r="4" spans="1:94" ht="10.5" customHeight="1">
      <c r="B4" s="131" t="s">
        <v>88</v>
      </c>
      <c r="C4" s="132" t="str">
        <f>J4</f>
        <v>FY26'B</v>
      </c>
      <c r="D4" s="132" t="str">
        <f>K4</f>
        <v>FY26'F7</v>
      </c>
      <c r="E4" s="133" t="s">
        <v>89</v>
      </c>
      <c r="F4" s="133" t="str">
        <f>"CM "&amp;C4</f>
        <v>CM FY26'B</v>
      </c>
      <c r="G4" s="133" t="s">
        <v>90</v>
      </c>
      <c r="I4" s="131" t="s">
        <v>91</v>
      </c>
      <c r="J4" s="132" t="str">
        <f>Cálculo!D15</f>
        <v>FY26'B</v>
      </c>
      <c r="K4" s="132" t="str">
        <f>Cálculo!G15</f>
        <v>FY26'F7</v>
      </c>
      <c r="L4" s="133" t="s">
        <v>89</v>
      </c>
      <c r="M4" s="133" t="str">
        <f>"Vol "&amp;K4</f>
        <v>Vol FY26'F7</v>
      </c>
      <c r="N4" s="133" t="s">
        <v>90</v>
      </c>
      <c r="P4" s="131" t="s">
        <v>92</v>
      </c>
      <c r="Q4" s="132" t="str">
        <f>J16</f>
        <v>FY26'B</v>
      </c>
      <c r="R4" s="132" t="str">
        <f>K16</f>
        <v>FY26'F7</v>
      </c>
      <c r="S4" s="133" t="s">
        <v>89</v>
      </c>
      <c r="T4" s="133" t="s">
        <v>93</v>
      </c>
      <c r="U4" s="133" t="s">
        <v>90</v>
      </c>
      <c r="V4" s="786"/>
      <c r="W4" s="230" t="s">
        <v>16</v>
      </c>
      <c r="X4" s="232" t="s">
        <v>90</v>
      </c>
      <c r="Z4" s="230" t="s">
        <v>16</v>
      </c>
      <c r="AA4" s="232" t="s">
        <v>90</v>
      </c>
      <c r="AC4" s="230" t="s">
        <v>16</v>
      </c>
      <c r="AD4" s="232" t="s">
        <v>90</v>
      </c>
      <c r="AG4" s="131" t="s">
        <v>3</v>
      </c>
      <c r="AH4" s="132" t="str">
        <f>Cálculo!G15</f>
        <v>FY26'F7</v>
      </c>
      <c r="AI4" s="1062" t="s">
        <v>700</v>
      </c>
      <c r="AJ4" s="1063"/>
      <c r="AK4" s="132" t="str">
        <f>Cálculo!G15</f>
        <v>FY26'F7</v>
      </c>
      <c r="AL4" s="132" t="str">
        <f>Cálculo!D15</f>
        <v>FY26'B</v>
      </c>
      <c r="AM4" s="132" t="s">
        <v>90</v>
      </c>
      <c r="AO4" s="131" t="s">
        <v>560</v>
      </c>
      <c r="AP4" s="133" t="s">
        <v>90</v>
      </c>
      <c r="AR4" s="131" t="s">
        <v>17</v>
      </c>
      <c r="AS4" s="880" t="str">
        <f>AL4</f>
        <v>FY26'B</v>
      </c>
      <c r="AT4" s="880" t="str">
        <f>AK4</f>
        <v>FY26'F7</v>
      </c>
      <c r="AU4" s="133" t="s">
        <v>90</v>
      </c>
      <c r="AW4" s="390" t="s">
        <v>13</v>
      </c>
      <c r="AX4" s="604" t="s">
        <v>90</v>
      </c>
      <c r="AZ4" s="592" t="s">
        <v>628</v>
      </c>
      <c r="BA4" s="593" t="s">
        <v>357</v>
      </c>
      <c r="BB4" s="593" t="s">
        <v>419</v>
      </c>
      <c r="BC4" s="604" t="s">
        <v>90</v>
      </c>
      <c r="BE4" s="592" t="str">
        <f>BE2</f>
        <v>AMS consolidation</v>
      </c>
      <c r="BF4" s="604" t="s">
        <v>90</v>
      </c>
      <c r="BH4" s="131" t="s">
        <v>92</v>
      </c>
      <c r="BI4" s="132" t="s">
        <v>918</v>
      </c>
      <c r="BJ4" s="132" t="s">
        <v>962</v>
      </c>
      <c r="BK4" s="133" t="s">
        <v>89</v>
      </c>
      <c r="BL4" s="133" t="s">
        <v>20</v>
      </c>
      <c r="BM4" s="133" t="s">
        <v>261</v>
      </c>
      <c r="BQ4" s="131" t="s">
        <v>670</v>
      </c>
      <c r="BR4" s="132" t="s">
        <v>765</v>
      </c>
      <c r="BS4" s="132" t="s">
        <v>766</v>
      </c>
      <c r="BT4" s="592" t="s">
        <v>261</v>
      </c>
      <c r="BV4" s="811" t="s">
        <v>747</v>
      </c>
      <c r="BW4" s="811" t="s">
        <v>90</v>
      </c>
      <c r="BX4" s="715"/>
      <c r="BY4" s="716"/>
      <c r="BZ4" s="715"/>
      <c r="CA4" s="1041" t="s">
        <v>747</v>
      </c>
      <c r="CB4" s="811" t="s">
        <v>90</v>
      </c>
      <c r="CC4" s="1036"/>
      <c r="CD4" s="1041" t="s">
        <v>747</v>
      </c>
      <c r="CE4" s="811" t="s">
        <v>90</v>
      </c>
      <c r="CF4" s="1036"/>
      <c r="CG4" s="1041" t="s">
        <v>747</v>
      </c>
      <c r="CH4" s="811" t="s">
        <v>90</v>
      </c>
      <c r="CI4" s="718"/>
      <c r="CJ4" s="716"/>
      <c r="CK4" s="1041" t="s">
        <v>747</v>
      </c>
      <c r="CL4" s="811" t="s">
        <v>90</v>
      </c>
      <c r="CN4" s="1041" t="s">
        <v>747</v>
      </c>
      <c r="CO4" s="811" t="s">
        <v>90</v>
      </c>
    </row>
    <row r="5" spans="1:94" ht="13.5">
      <c r="A5" s="709"/>
      <c r="B5" s="473" t="s">
        <v>110</v>
      </c>
      <c r="C5" s="1000">
        <f>Cálculo!C17/1000</f>
        <v>961</v>
      </c>
      <c r="D5" s="1000">
        <f>Cálculo!F17/1000</f>
        <v>966.24786999999992</v>
      </c>
      <c r="E5" s="474">
        <f>D5-C5</f>
        <v>5.2478699999999208</v>
      </c>
      <c r="F5" s="382">
        <f>Cálculo!D83</f>
        <v>84.272668458113856</v>
      </c>
      <c r="G5" s="990">
        <f t="shared" ref="G5:G13" si="0">E5*F5/1000</f>
        <v>0.44225200862127528</v>
      </c>
      <c r="H5" s="791">
        <f>Cálculo!P83/1000</f>
        <v>0.44225200862127168</v>
      </c>
      <c r="I5" s="473" t="s">
        <v>110</v>
      </c>
      <c r="J5" s="1001">
        <f>Cálculo!D17</f>
        <v>521.6467174857612</v>
      </c>
      <c r="K5" s="1001">
        <f>Cálculo!G17</f>
        <v>611.98900059572838</v>
      </c>
      <c r="L5" s="382">
        <f t="shared" ref="L5:L13" si="1">K5-J5</f>
        <v>90.342283109967184</v>
      </c>
      <c r="M5" s="884">
        <f>D5</f>
        <v>966.24786999999992</v>
      </c>
      <c r="N5" s="456">
        <f t="shared" ref="N5:N12" si="2">L5*M5/1000</f>
        <v>87.293038625942756</v>
      </c>
      <c r="P5" s="580" t="s">
        <v>673</v>
      </c>
      <c r="Q5" s="208"/>
      <c r="R5" s="340"/>
      <c r="S5" s="340"/>
      <c r="T5" s="340"/>
      <c r="U5" s="1002">
        <f>U6+U7+U9+U10</f>
        <v>-91.531138760436107</v>
      </c>
      <c r="V5" s="683"/>
      <c r="W5" s="582" t="str">
        <f>'[10]Bridges complementares'!$E$5</f>
        <v>Operational performance</v>
      </c>
      <c r="X5" s="997">
        <f>'[10]Bridges complementares'!$F$5</f>
        <v>-4.0925449488067995</v>
      </c>
      <c r="Z5" s="582" t="str">
        <f>W5</f>
        <v>Operational performance</v>
      </c>
      <c r="AA5" s="997">
        <f>X5</f>
        <v>-4.0925449488067995</v>
      </c>
      <c r="AC5" s="582" t="str">
        <f t="shared" ref="AC5:AD6" si="3">W16</f>
        <v>Market driven</v>
      </c>
      <c r="AD5" s="997">
        <f t="shared" si="3"/>
        <v>-8.7367984235799998</v>
      </c>
      <c r="AG5" s="970" t="s">
        <v>619</v>
      </c>
      <c r="AH5" s="1060">
        <f>Cálculo!G150/1000</f>
        <v>5141.0891266800709</v>
      </c>
      <c r="AI5" s="647">
        <f>AJ5/AH5</f>
        <v>0.47860692637065028</v>
      </c>
      <c r="AJ5" s="392">
        <f>Cálculo!K13/1000</f>
        <v>2460.5608651179195</v>
      </c>
      <c r="AK5" s="1065">
        <f>Cálculo!H152</f>
        <v>5.176214439033191</v>
      </c>
      <c r="AL5" s="1065">
        <f>Cálculo!E152</f>
        <v>5.4</v>
      </c>
      <c r="AM5" s="248">
        <f>Cálculo!Q10/1000</f>
        <v>104.08292976195813</v>
      </c>
      <c r="AO5" s="887" t="s">
        <v>908</v>
      </c>
      <c r="AP5" s="456">
        <v>-3</v>
      </c>
      <c r="AR5" s="967" t="str">
        <f>Cálculo!B175</f>
        <v>Invest-ES</v>
      </c>
      <c r="AS5" s="717">
        <f>Cálculo!E175/1000</f>
        <v>134.78470851851699</v>
      </c>
      <c r="AT5" s="717">
        <f>Cálculo!H175/1000</f>
        <v>129.88814456308609</v>
      </c>
      <c r="AU5" s="997">
        <f>Cálculo!I175/1000</f>
        <v>-4.8965639554309162</v>
      </c>
      <c r="AW5" s="967" t="str">
        <f>[8]FYB26xFYMRF7!$P$21</f>
        <v>Controllable</v>
      </c>
      <c r="AX5" s="997">
        <f>[8]FYB26xFYMRF7!$Q$21</f>
        <v>-2.8984407567442751</v>
      </c>
      <c r="AZ5" s="211" t="s">
        <v>628</v>
      </c>
      <c r="BA5" s="392" t="e">
        <f>#REF!</f>
        <v>#REF!</v>
      </c>
      <c r="BB5" s="392" t="e">
        <f>#REF!</f>
        <v>#REF!</v>
      </c>
      <c r="BC5" s="248"/>
      <c r="BE5" s="247"/>
      <c r="BF5" s="248"/>
      <c r="BH5" s="473" t="s">
        <v>762</v>
      </c>
      <c r="BI5" s="475">
        <f>'[24]Coal lag_2months'!$O$3</f>
        <v>183.25</v>
      </c>
      <c r="BJ5" s="475">
        <f>'[24]Coal lag_2months'!$O$10</f>
        <v>231.63750000000002</v>
      </c>
      <c r="BK5" s="475">
        <f>BJ5-BI5</f>
        <v>48.387500000000017</v>
      </c>
      <c r="BL5" s="989">
        <f>SUM(Cálculo!I128)*Cálculo!G144</f>
        <v>2769.4033979906417</v>
      </c>
      <c r="BM5" s="990">
        <f>-BK5*BL5/1000</f>
        <v>-134.00450692027223</v>
      </c>
      <c r="BN5" s="835"/>
      <c r="BO5" s="460"/>
      <c r="BQ5" s="582" t="s">
        <v>668</v>
      </c>
      <c r="BR5" s="778">
        <f>BR6+BR7</f>
        <v>25</v>
      </c>
      <c r="BS5" s="778">
        <f>BS6+BS7</f>
        <v>19.7</v>
      </c>
      <c r="BT5" s="779">
        <f>BT6+BT7</f>
        <v>5.3000000000000007</v>
      </c>
      <c r="BV5" s="1003" t="s">
        <v>666</v>
      </c>
      <c r="BW5" s="1004">
        <v>3</v>
      </c>
      <c r="BY5" s="415"/>
      <c r="CA5" s="1039" t="str">
        <f>AG5</f>
        <v>Sales Ind</v>
      </c>
      <c r="CB5" s="1037">
        <f>AM5</f>
        <v>104.08292976195813</v>
      </c>
      <c r="CC5" s="1036"/>
      <c r="CD5" s="1039" t="str">
        <f>CA5</f>
        <v>Sales Ind</v>
      </c>
      <c r="CE5" s="1037">
        <f>CB5+CL5</f>
        <v>106.28292976195813</v>
      </c>
      <c r="CF5" s="1036"/>
      <c r="CG5" s="1039" t="str">
        <f>CD7</f>
        <v>COGS</v>
      </c>
      <c r="CH5" s="1037">
        <v>-23</v>
      </c>
      <c r="CJ5" s="415"/>
      <c r="CK5" s="1039" t="str">
        <f>CD5</f>
        <v>Sales Ind</v>
      </c>
      <c r="CL5" s="1050">
        <v>2.2000000000000002</v>
      </c>
      <c r="CN5" s="1039" t="s">
        <v>958</v>
      </c>
      <c r="CO5" s="1037">
        <v>17</v>
      </c>
    </row>
    <row r="6" spans="1:94" ht="13.5">
      <c r="A6" s="709"/>
      <c r="B6" s="668" t="s">
        <v>942</v>
      </c>
      <c r="C6" s="1005">
        <f>Cálculo!C18/1000</f>
        <v>400</v>
      </c>
      <c r="D6" s="1005">
        <f>Cálculo!F18/1000</f>
        <v>997.327082214813</v>
      </c>
      <c r="E6" s="1006">
        <f>D6-C6</f>
        <v>597.327082214813</v>
      </c>
      <c r="F6" s="382">
        <f>Cálculo!D84</f>
        <v>28.199954689128276</v>
      </c>
      <c r="G6" s="456">
        <f t="shared" si="0"/>
        <v>16.844596653046928</v>
      </c>
      <c r="H6" s="791">
        <f>Cálculo!P84/1000</f>
        <v>16.844596653046928</v>
      </c>
      <c r="I6" s="668" t="s">
        <v>942</v>
      </c>
      <c r="J6" s="1007">
        <f>Cálculo!D18</f>
        <v>444.57400371677562</v>
      </c>
      <c r="K6" s="1007">
        <f>Cálculo!G18</f>
        <v>516.61738349209077</v>
      </c>
      <c r="L6" s="382">
        <f>K6-J6</f>
        <v>72.043379775315145</v>
      </c>
      <c r="M6" s="884">
        <f t="shared" ref="M6:M13" si="4">D6</f>
        <v>997.327082214813</v>
      </c>
      <c r="N6" s="456">
        <f t="shared" si="2"/>
        <v>71.850813744208722</v>
      </c>
      <c r="P6" s="712" t="s">
        <v>52</v>
      </c>
      <c r="Q6" s="415">
        <f>Cálculo!D128</f>
        <v>192.44907581258099</v>
      </c>
      <c r="R6" s="415">
        <f>Cálculo!G128</f>
        <v>209.830332011846</v>
      </c>
      <c r="S6" s="415">
        <f>R6-Q6</f>
        <v>17.38125619926501</v>
      </c>
      <c r="T6" s="996">
        <f>Cálculo!I128</f>
        <v>0.39731562421943001</v>
      </c>
      <c r="U6" s="246">
        <f>-S6*T6*$U$23/1000</f>
        <v>-48.13570997959043</v>
      </c>
      <c r="V6" s="683">
        <f>(Cálculo!J128+Cálculo!J129)/1000</f>
        <v>-95.378797563242671</v>
      </c>
      <c r="W6" s="970" t="str">
        <f>'[10]Bridges complementares'!E6</f>
        <v>Ironmaking</v>
      </c>
      <c r="X6" s="246">
        <f>'[10]Bridges complementares'!F6</f>
        <v>-3.3995495963107976</v>
      </c>
      <c r="Z6" s="712" t="str">
        <f>W6</f>
        <v>Ironmaking</v>
      </c>
      <c r="AA6" s="246">
        <f>X6</f>
        <v>-3.3995495963107976</v>
      </c>
      <c r="AC6" s="712" t="str">
        <f t="shared" si="3"/>
        <v>Alloys</v>
      </c>
      <c r="AD6" s="246">
        <f t="shared" si="3"/>
        <v>-6.5367984235799996</v>
      </c>
      <c r="AG6" s="970" t="s">
        <v>620</v>
      </c>
      <c r="AH6" s="1061"/>
      <c r="AI6" s="221">
        <f>AJ6/AH5</f>
        <v>0.18090951657266488</v>
      </c>
      <c r="AJ6" s="415">
        <f>Cálculo!K14/1000</f>
        <v>930.07194856467549</v>
      </c>
      <c r="AK6" s="1066"/>
      <c r="AL6" s="1066"/>
      <c r="AM6" s="246">
        <f>Cálculo!Q11/1000</f>
        <v>39.317984461917625</v>
      </c>
      <c r="AO6" s="887" t="s">
        <v>964</v>
      </c>
      <c r="AP6" s="456">
        <v>-3</v>
      </c>
      <c r="AR6" s="967" t="s">
        <v>900</v>
      </c>
      <c r="AS6" s="717">
        <f>AS7</f>
        <v>0</v>
      </c>
      <c r="AT6" s="717">
        <f>AT7</f>
        <v>0.14979323466958516</v>
      </c>
      <c r="AU6" s="997">
        <f>AU7</f>
        <v>0.14979323466958516</v>
      </c>
      <c r="AW6" s="1045" t="str">
        <f>[8]FYB26xFYMRF7!$P$22</f>
        <v>2025 CLA</v>
      </c>
      <c r="AX6" s="246">
        <f>[8]FYB26xFYMRF7!$Q$22</f>
        <v>-3.7644492111111099</v>
      </c>
      <c r="AZ6" s="1008" t="s">
        <v>14</v>
      </c>
      <c r="BA6" s="374"/>
      <c r="BB6" s="374"/>
      <c r="BC6" s="781">
        <f>BC5</f>
        <v>0</v>
      </c>
      <c r="BE6" s="1008" t="s">
        <v>14</v>
      </c>
      <c r="BF6" s="781">
        <f>SUM(BF5:BF5)</f>
        <v>0</v>
      </c>
      <c r="BH6" s="211" t="s">
        <v>929</v>
      </c>
      <c r="BM6" s="246">
        <f>BM11-SUM(BM7:BM10,BM5:BM5)</f>
        <v>96.789906300048614</v>
      </c>
      <c r="BN6" s="835"/>
      <c r="BO6" s="460"/>
      <c r="BQ6" s="970" t="s">
        <v>52</v>
      </c>
      <c r="BR6" s="382">
        <v>23</v>
      </c>
      <c r="BS6" s="382">
        <v>17.7</v>
      </c>
      <c r="BT6" s="456">
        <f>-BS6+BR6</f>
        <v>5.3000000000000007</v>
      </c>
      <c r="BV6" s="1003" t="s">
        <v>665</v>
      </c>
      <c r="BW6" s="1004">
        <f>-(0.3+0.8)</f>
        <v>-1.1000000000000001</v>
      </c>
      <c r="CA6" s="1039" t="str">
        <f>AG6</f>
        <v>Sales Auto</v>
      </c>
      <c r="CB6" s="1037">
        <f t="shared" ref="CB6:CB7" si="5">AM6</f>
        <v>39.317984461917625</v>
      </c>
      <c r="CC6" s="1036"/>
      <c r="CD6" s="1039" t="str">
        <f>CA6</f>
        <v>Sales Auto</v>
      </c>
      <c r="CE6" s="1037">
        <f>CB6</f>
        <v>39.317984461917625</v>
      </c>
      <c r="CF6" s="1036"/>
      <c r="CG6" s="1039" t="str">
        <f>CD8</f>
        <v>Forex from inventories</v>
      </c>
      <c r="CH6" s="1037">
        <v>-8</v>
      </c>
      <c r="CJ6" s="415"/>
      <c r="CK6" s="1042" t="s">
        <v>14</v>
      </c>
      <c r="CL6" s="1038">
        <f ca="1">SUM(CL5:CL6)</f>
        <v>2</v>
      </c>
      <c r="CN6" s="1039" t="s">
        <v>959</v>
      </c>
      <c r="CO6" s="1037">
        <v>-131</v>
      </c>
    </row>
    <row r="7" spans="1:94" ht="13.5">
      <c r="A7" s="709"/>
      <c r="B7" s="668" t="s">
        <v>943</v>
      </c>
      <c r="C7" s="1005">
        <f>Cálculo!C19/1000</f>
        <v>1423.1643800000002</v>
      </c>
      <c r="D7" s="1005">
        <f>Cálculo!F19/1000</f>
        <v>874.38504200000057</v>
      </c>
      <c r="E7" s="1006">
        <f>D7-C7</f>
        <v>-548.7793379999996</v>
      </c>
      <c r="F7" s="382">
        <f>Cálculo!D85</f>
        <v>36.906952394043515</v>
      </c>
      <c r="G7" s="456">
        <f t="shared" ref="G7" si="6">E7*F7/1000</f>
        <v>-20.253772902400698</v>
      </c>
      <c r="H7" s="791">
        <f>Cálculo!P85/1000</f>
        <v>0</v>
      </c>
      <c r="I7" s="668" t="s">
        <v>943</v>
      </c>
      <c r="J7" s="1007">
        <f>Cálculo!D19</f>
        <v>453.28100142169086</v>
      </c>
      <c r="K7" s="1007">
        <f>Cálculo!G19</f>
        <v>520.32299177246705</v>
      </c>
      <c r="L7" s="382">
        <f>K7-J7</f>
        <v>67.041990350776189</v>
      </c>
      <c r="M7" s="884">
        <f t="shared" ref="M7" si="7">D7</f>
        <v>874.38504200000057</v>
      </c>
      <c r="N7" s="456">
        <f t="shared" ref="N7" si="8">L7*M7/1000</f>
        <v>58.620513548627073</v>
      </c>
      <c r="P7" s="712" t="s">
        <v>53</v>
      </c>
      <c r="Q7" s="415">
        <f>Cálculo!D129</f>
        <v>193.47907998159599</v>
      </c>
      <c r="R7" s="415">
        <f>Cálculo!G129</f>
        <v>218.48672314443101</v>
      </c>
      <c r="S7" s="415">
        <f>R7-Q7</f>
        <v>25.007643162835024</v>
      </c>
      <c r="T7" s="996">
        <f>Cálculo!I129</f>
        <v>0.27102848197245</v>
      </c>
      <c r="U7" s="246">
        <f>-S7*T7*$U$23/1000</f>
        <v>-47.24308758365224</v>
      </c>
      <c r="V7" s="683"/>
      <c r="W7" s="970" t="str">
        <f>'[10]Bridges complementares'!E7</f>
        <v>Steelmaking</v>
      </c>
      <c r="X7" s="246">
        <f>'[10]Bridges complementares'!F7</f>
        <v>-3</v>
      </c>
      <c r="Z7" s="712" t="str">
        <f t="shared" ref="Z7:Z9" si="9">W7</f>
        <v>Steelmaking</v>
      </c>
      <c r="AA7" s="246">
        <f t="shared" ref="AA7:AA9" si="10">X7</f>
        <v>-3</v>
      </c>
      <c r="AC7" s="712" t="str">
        <f t="shared" ref="AC7" si="11">W18</f>
        <v>Coated lines</v>
      </c>
      <c r="AD7" s="246">
        <f t="shared" ref="AD7" si="12">X18</f>
        <v>-2.2000000000000002</v>
      </c>
      <c r="AG7" s="970" t="s">
        <v>95</v>
      </c>
      <c r="AH7" s="415">
        <f>Cálculo!G151/1000</f>
        <v>-4393.3967258032926</v>
      </c>
      <c r="AI7" s="221">
        <f>AJ7/AH7</f>
        <v>0.39999999999999997</v>
      </c>
      <c r="AJ7" s="415">
        <f>Cálculo!H151/1000</f>
        <v>-1757.358690321317</v>
      </c>
      <c r="AK7" s="1066"/>
      <c r="AL7" s="1066"/>
      <c r="AM7" s="246">
        <f>AJ7-(AJ7*AK5)/AL5</f>
        <v>-72.828055617306063</v>
      </c>
      <c r="AO7" s="375" t="s">
        <v>14</v>
      </c>
      <c r="AP7" s="992">
        <f>AP5+AP6</f>
        <v>-6</v>
      </c>
      <c r="AR7" s="1044" t="str">
        <f>Cálculo!B160</f>
        <v>Legal contingency</v>
      </c>
      <c r="AS7" s="415">
        <f>Cálculo!E160/1000</f>
        <v>0</v>
      </c>
      <c r="AT7" s="415">
        <f>Cálculo!H160/1000</f>
        <v>0.14979323466958516</v>
      </c>
      <c r="AU7" s="246">
        <f>(Cálculo!I160)/1000</f>
        <v>0.14979323466958516</v>
      </c>
      <c r="AW7" s="1045" t="str">
        <f>[8]FYB26xFYMRF7!$P$23</f>
        <v>Publicity</v>
      </c>
      <c r="AX7" s="246">
        <f>[8]FYB26xFYMRF7!$Q$23</f>
        <v>0.8660084543668346</v>
      </c>
      <c r="AZ7" s="1009"/>
      <c r="BC7" s="208"/>
      <c r="BE7" s="1009"/>
      <c r="BF7" s="208"/>
      <c r="BH7" s="211" t="s">
        <v>405</v>
      </c>
      <c r="BM7" s="456">
        <f>[9]FY_Budget!$AH$13</f>
        <v>-7.3567876341604945</v>
      </c>
      <c r="BN7" s="835"/>
      <c r="BO7" s="460"/>
      <c r="BQ7" s="970" t="s">
        <v>298</v>
      </c>
      <c r="BR7" s="382">
        <v>2</v>
      </c>
      <c r="BS7" s="382">
        <v>2</v>
      </c>
      <c r="BT7" s="456">
        <f>-BS7+BR7</f>
        <v>0</v>
      </c>
      <c r="BV7" s="1003" t="s">
        <v>947</v>
      </c>
      <c r="BW7" s="1004">
        <v>-0.7</v>
      </c>
      <c r="CA7" s="1039" t="str">
        <f>AG7</f>
        <v>COGS</v>
      </c>
      <c r="CB7" s="1037">
        <f t="shared" si="5"/>
        <v>-72.828055617306063</v>
      </c>
      <c r="CC7" s="1036"/>
      <c r="CD7" s="1039" t="str">
        <f>CA7</f>
        <v>COGS</v>
      </c>
      <c r="CE7" s="1037">
        <f>CB7+CH5</f>
        <v>-95.828055617306063</v>
      </c>
      <c r="CF7" s="1036"/>
      <c r="CG7" s="1042" t="s">
        <v>14</v>
      </c>
      <c r="CH7" s="1038">
        <f>SUM(CH5:CH6)</f>
        <v>-31</v>
      </c>
      <c r="CJ7" s="415"/>
      <c r="CN7" s="1039" t="s">
        <v>960</v>
      </c>
      <c r="CO7" s="1037">
        <v>35</v>
      </c>
    </row>
    <row r="8" spans="1:94" ht="13.5">
      <c r="A8" s="709"/>
      <c r="B8" s="211" t="s">
        <v>94</v>
      </c>
      <c r="C8" s="1005">
        <f>Cálculo!C22/1000</f>
        <v>433.46699999999998</v>
      </c>
      <c r="D8" s="1005">
        <f>Cálculo!F22/1000</f>
        <v>197.56682000000006</v>
      </c>
      <c r="E8" s="1006">
        <f t="shared" ref="E8:E13" si="13">D8-C8</f>
        <v>-235.90017999999992</v>
      </c>
      <c r="F8" s="382">
        <f>Cálculo!D88</f>
        <v>36.052263114102971</v>
      </c>
      <c r="G8" s="456">
        <f>E8*F8/1000</f>
        <v>-8.5047353580242486</v>
      </c>
      <c r="H8" s="791">
        <f>Cálculo!P88/1000</f>
        <v>-8.5047353580242486</v>
      </c>
      <c r="I8" s="211" t="s">
        <v>94</v>
      </c>
      <c r="J8" s="1007">
        <f>Cálculo!D22</f>
        <v>482.26451396374244</v>
      </c>
      <c r="K8" s="1007">
        <f>Cálculo!G22</f>
        <v>557.07307353203691</v>
      </c>
      <c r="L8" s="382">
        <f t="shared" si="1"/>
        <v>74.80855956829447</v>
      </c>
      <c r="M8" s="884">
        <f t="shared" si="4"/>
        <v>197.56682000000006</v>
      </c>
      <c r="N8" s="456">
        <f t="shared" si="2"/>
        <v>14.779689222688516</v>
      </c>
      <c r="O8" s="1010"/>
      <c r="P8" s="712" t="s">
        <v>253</v>
      </c>
      <c r="Q8" s="415">
        <f>Cálculo!D130</f>
        <v>0</v>
      </c>
      <c r="R8" s="415">
        <f>Cálculo!G130</f>
        <v>0</v>
      </c>
      <c r="S8" s="415">
        <f t="shared" ref="S8" si="14">R8-Q8</f>
        <v>0</v>
      </c>
      <c r="T8" s="996">
        <f>Cálculo!I130</f>
        <v>0</v>
      </c>
      <c r="U8" s="246">
        <f>-S8*T8*$U$23/1000</f>
        <v>0</v>
      </c>
      <c r="V8" s="683">
        <f>U6+U7</f>
        <v>-95.378797563242671</v>
      </c>
      <c r="W8" s="970" t="str">
        <f>'[10]Bridges complementares'!E8</f>
        <v>Contractors</v>
      </c>
      <c r="X8" s="246">
        <f>'[10]Bridges complementares'!F8</f>
        <v>-2.4892741407326007</v>
      </c>
      <c r="Z8" s="712" t="str">
        <f t="shared" si="9"/>
        <v>Contractors</v>
      </c>
      <c r="AA8" s="246">
        <f t="shared" si="10"/>
        <v>-2.4892741407326007</v>
      </c>
      <c r="AC8" s="1008" t="s">
        <v>14</v>
      </c>
      <c r="AD8" s="992">
        <f>AD5</f>
        <v>-8.7367984235799998</v>
      </c>
      <c r="AG8" s="1008" t="s">
        <v>14</v>
      </c>
      <c r="AH8" s="991"/>
      <c r="AI8" s="991"/>
      <c r="AJ8" s="991"/>
      <c r="AK8" s="991"/>
      <c r="AL8" s="991"/>
      <c r="AM8" s="992">
        <f>SUM(AM5:AM7)</f>
        <v>70.572858606569696</v>
      </c>
      <c r="AR8" s="967" t="s">
        <v>721</v>
      </c>
      <c r="AS8" s="969"/>
      <c r="AT8" s="969"/>
      <c r="AU8" s="997">
        <f>Cálculo!C12-SUM(AU5:AU6)</f>
        <v>0.30957452144377662</v>
      </c>
      <c r="AW8" s="967" t="str">
        <f>[8]FYB26xFYMRF7!$P$24</f>
        <v>Non-controllable</v>
      </c>
      <c r="AX8" s="997">
        <f>[8]FYB26xFYMRF7!$Q$24</f>
        <v>-5.4086264872304994</v>
      </c>
      <c r="BH8" s="211" t="s">
        <v>631</v>
      </c>
      <c r="BM8" s="456">
        <v>3</v>
      </c>
      <c r="BN8" s="835"/>
      <c r="BO8" s="460"/>
      <c r="BQ8" s="582" t="s">
        <v>669</v>
      </c>
      <c r="BR8" s="208">
        <v>3</v>
      </c>
      <c r="BS8" s="208">
        <v>1.88</v>
      </c>
      <c r="BT8" s="780">
        <f>-BS8+BR8</f>
        <v>1.1200000000000001</v>
      </c>
      <c r="BV8" s="1011" t="s">
        <v>14</v>
      </c>
      <c r="BW8" s="1012">
        <f>SUM(BW5:BW7)</f>
        <v>1.2</v>
      </c>
      <c r="BX8" s="1009"/>
      <c r="BY8" s="1009"/>
      <c r="BZ8" s="1009"/>
      <c r="CA8" s="1040" t="str">
        <f>AR10</f>
        <v>Forex from inventories</v>
      </c>
      <c r="CB8" s="1037">
        <f>AU10</f>
        <v>-20.388071534073205</v>
      </c>
      <c r="CC8" s="1036"/>
      <c r="CD8" s="1039" t="str">
        <f>CA8</f>
        <v>Forex from inventories</v>
      </c>
      <c r="CE8" s="1037">
        <f>CB8+CH6</f>
        <v>-28.388071534073205</v>
      </c>
      <c r="CF8" s="1036"/>
      <c r="CJ8" s="415"/>
      <c r="CN8" s="1042" t="s">
        <v>14</v>
      </c>
      <c r="CO8" s="1038">
        <f>SUM(CO5:CO7)</f>
        <v>-79</v>
      </c>
    </row>
    <row r="9" spans="1:94" ht="13.5">
      <c r="A9" s="709"/>
      <c r="B9" s="211" t="s">
        <v>103</v>
      </c>
      <c r="C9" s="1005">
        <f>Cálculo!C28/1000</f>
        <v>1.2203923579624538</v>
      </c>
      <c r="D9" s="1005">
        <f>Cálculo!F28/1000</f>
        <v>1.887810550681587</v>
      </c>
      <c r="E9" s="1006">
        <f t="shared" si="13"/>
        <v>0.66741819271913316</v>
      </c>
      <c r="F9" s="382">
        <f>Cálculo!D94</f>
        <v>388.26831379374886</v>
      </c>
      <c r="G9" s="456">
        <f t="shared" si="0"/>
        <v>0.25913733628232916</v>
      </c>
      <c r="H9" s="791">
        <f>Cálculo!P94/1000</f>
        <v>0.25913733628232916</v>
      </c>
      <c r="I9" s="211" t="s">
        <v>103</v>
      </c>
      <c r="J9" s="1007">
        <f>Cálculo!D28</f>
        <v>882.99233785211345</v>
      </c>
      <c r="K9" s="1007">
        <f>Cálculo!G28</f>
        <v>937.18709384501119</v>
      </c>
      <c r="L9" s="382">
        <f t="shared" si="1"/>
        <v>54.19475599289774</v>
      </c>
      <c r="M9" s="884">
        <f t="shared" si="4"/>
        <v>1.887810550681587</v>
      </c>
      <c r="N9" s="456">
        <f t="shared" si="2"/>
        <v>0.10230943215500651</v>
      </c>
      <c r="O9" s="1010"/>
      <c r="P9" s="712" t="s">
        <v>298</v>
      </c>
      <c r="Q9" s="415">
        <f>Cálculo!D131</f>
        <v>312.92944510136499</v>
      </c>
      <c r="R9" s="415">
        <f>Cálculo!G131</f>
        <v>340.61822721504302</v>
      </c>
      <c r="S9" s="415">
        <f>R9-Q9</f>
        <v>27.68878211367803</v>
      </c>
      <c r="T9" s="996">
        <f>Cálculo!I131</f>
        <v>1.407606697906E-2</v>
      </c>
      <c r="U9" s="246">
        <f>-S9*T9*$U$23/1000</f>
        <v>-2.7166629223997378</v>
      </c>
      <c r="V9" s="683">
        <f>V8-V6</f>
        <v>0</v>
      </c>
      <c r="W9" s="970" t="str">
        <f>'[10]Bridges complementares'!E9</f>
        <v>Others</v>
      </c>
      <c r="X9" s="246">
        <f>'[10]Bridges complementares'!F9</f>
        <v>-1</v>
      </c>
      <c r="Z9" s="712" t="str">
        <f t="shared" si="9"/>
        <v>Others</v>
      </c>
      <c r="AA9" s="246">
        <f t="shared" si="10"/>
        <v>-1</v>
      </c>
      <c r="AN9" s="211"/>
      <c r="AQ9" s="211"/>
      <c r="AR9" s="1043" t="str">
        <f>Cálculo!B168</f>
        <v>Slowmoving</v>
      </c>
      <c r="AS9" s="415">
        <f>Cálculo!E168/1000</f>
        <v>0</v>
      </c>
      <c r="AT9" s="415">
        <f>Cálculo!H168/1000</f>
        <v>-2.6041187101406722</v>
      </c>
      <c r="AU9" s="998">
        <f>Cálculo!H168/1000</f>
        <v>-2.6041187101406722</v>
      </c>
      <c r="AW9" s="1045" t="str">
        <f>[8]FYB26xFYMRF7!$P$25</f>
        <v>Pension Plan (Actuarial calculation)</v>
      </c>
      <c r="AX9" s="246">
        <f>[8]FYB26xFYMRF7!$Q$25</f>
        <v>-5.0981562884054172</v>
      </c>
      <c r="BH9" s="211" t="s">
        <v>53</v>
      </c>
      <c r="BI9" s="382"/>
      <c r="BJ9" s="382"/>
      <c r="BK9" s="382"/>
      <c r="BL9" s="884"/>
      <c r="BM9" s="456">
        <f>U7</f>
        <v>-47.24308758365224</v>
      </c>
      <c r="BN9" s="836"/>
      <c r="BO9" s="460"/>
      <c r="BQ9" s="1008" t="s">
        <v>14</v>
      </c>
      <c r="BR9" s="782">
        <f>BR5+BR8</f>
        <v>28</v>
      </c>
      <c r="BS9" s="782">
        <f>BS5+BS8</f>
        <v>21.58</v>
      </c>
      <c r="BT9" s="781">
        <f>BT8+BT5</f>
        <v>6.4200000000000008</v>
      </c>
      <c r="CA9" s="1042" t="s">
        <v>14</v>
      </c>
      <c r="CB9" s="1038">
        <f>SUM(CB5:CB8)</f>
        <v>50.184787072496491</v>
      </c>
      <c r="CC9" s="1036"/>
      <c r="CD9" s="1042" t="s">
        <v>14</v>
      </c>
      <c r="CE9" s="1038">
        <f>SUM(CE5:CE8)</f>
        <v>21.384787072496479</v>
      </c>
      <c r="CF9" s="1036"/>
      <c r="CJ9" s="415"/>
    </row>
    <row r="10" spans="1:94" ht="13.5">
      <c r="A10" s="709"/>
      <c r="B10" s="211" t="s">
        <v>104</v>
      </c>
      <c r="C10" s="1005">
        <f>Cálculo!C29/1000</f>
        <v>0.49225999999999998</v>
      </c>
      <c r="D10" s="1005">
        <f>Cálculo!F29/1000</f>
        <v>4.8473750000000004</v>
      </c>
      <c r="E10" s="1006">
        <f t="shared" si="13"/>
        <v>4.3551150000000005</v>
      </c>
      <c r="F10" s="382">
        <f>Cálculo!D95</f>
        <v>-171.40909091166469</v>
      </c>
      <c r="G10" s="456">
        <f t="shared" si="0"/>
        <v>-0.74650630296575471</v>
      </c>
      <c r="H10" s="791">
        <f>Cálculo!P95/1000</f>
        <v>-0.7465063029657546</v>
      </c>
      <c r="I10" s="211" t="s">
        <v>104</v>
      </c>
      <c r="J10" s="1007">
        <f>Cálculo!D29</f>
        <v>323.3149331466999</v>
      </c>
      <c r="K10" s="1007">
        <f>Cálculo!G29</f>
        <v>603.52341365485699</v>
      </c>
      <c r="L10" s="382">
        <f t="shared" si="1"/>
        <v>280.20848050815709</v>
      </c>
      <c r="M10" s="884">
        <f t="shared" si="4"/>
        <v>4.8473750000000004</v>
      </c>
      <c r="N10" s="456">
        <f t="shared" si="2"/>
        <v>1.3582755832032281</v>
      </c>
      <c r="O10" s="1010"/>
      <c r="P10" s="712" t="s">
        <v>907</v>
      </c>
      <c r="Q10" s="415">
        <f>Cálculo!D132</f>
        <v>72.724805563142596</v>
      </c>
      <c r="R10" s="415">
        <f>Cálculo!G132</f>
        <v>75.803893593564496</v>
      </c>
      <c r="S10" s="415"/>
      <c r="T10" s="996"/>
      <c r="U10" s="246">
        <f>Cálculo!J137/1000</f>
        <v>6.5643217252063009</v>
      </c>
      <c r="V10" s="683"/>
      <c r="W10" s="970" t="str">
        <f>'[10]Bridges complementares'!E10</f>
        <v>AMV</v>
      </c>
      <c r="X10" s="246">
        <f>'[10]Bridges complementares'!F10</f>
        <v>5.7962787882365996</v>
      </c>
      <c r="Z10" s="712" t="str">
        <f t="shared" ref="Z10" si="15">W10</f>
        <v>AMV</v>
      </c>
      <c r="AA10" s="246">
        <f t="shared" ref="AA10" si="16">X10</f>
        <v>5.7962787882365996</v>
      </c>
      <c r="AR10" s="1043" t="s">
        <v>901</v>
      </c>
      <c r="AS10" s="415"/>
      <c r="AT10" s="415"/>
      <c r="AU10" s="998">
        <f>'[25]Forex MRF 2026'!$EV$30</f>
        <v>-20.388071534073205</v>
      </c>
      <c r="AW10" s="1045" t="str">
        <f>[8]FYB26xFYMRF7!$P$26</f>
        <v>Insurance</v>
      </c>
      <c r="AX10" s="246">
        <f>[8]FYB26xFYMRF7!$Q$26</f>
        <v>0.6895298011749178</v>
      </c>
      <c r="BH10" s="211" t="s">
        <v>671</v>
      </c>
      <c r="BI10" s="382"/>
      <c r="BJ10" s="382"/>
      <c r="BK10" s="382"/>
      <c r="BL10" s="884"/>
      <c r="BM10" s="456">
        <f>U9-BT7</f>
        <v>-2.7166629223997378</v>
      </c>
      <c r="BN10" s="835"/>
      <c r="BO10" s="460"/>
      <c r="BP10" s="382"/>
      <c r="BV10" s="703"/>
      <c r="BW10" s="970"/>
      <c r="BX10" s="382"/>
      <c r="BY10" s="382"/>
      <c r="BZ10" s="456"/>
      <c r="CA10" s="415"/>
      <c r="CE10" s="415"/>
      <c r="CF10" s="415"/>
      <c r="CG10" s="492"/>
      <c r="CL10" s="1013"/>
      <c r="CM10" s="1014"/>
      <c r="CN10" s="1054" t="s">
        <v>961</v>
      </c>
      <c r="CO10" s="1054"/>
      <c r="CP10" s="415"/>
    </row>
    <row r="11" spans="1:94" ht="13.5">
      <c r="A11" s="709"/>
      <c r="B11" s="211" t="s">
        <v>105</v>
      </c>
      <c r="C11" s="1005">
        <f>Cálculo!C33/1000</f>
        <v>49.551853244528026</v>
      </c>
      <c r="D11" s="1005">
        <f>Cálculo!F33/1000</f>
        <v>41.14852363473107</v>
      </c>
      <c r="E11" s="1006">
        <f t="shared" si="13"/>
        <v>-8.4033296097969554</v>
      </c>
      <c r="F11" s="382">
        <f>Cálculo!D99</f>
        <v>445.45555598797739</v>
      </c>
      <c r="G11" s="456">
        <f t="shared" si="0"/>
        <v>-3.7433098634823359</v>
      </c>
      <c r="H11" s="791">
        <f>Cálculo!P99/1000</f>
        <v>-3.7433098634823367</v>
      </c>
      <c r="I11" s="211" t="s">
        <v>105</v>
      </c>
      <c r="J11" s="1007">
        <f>Cálculo!D33</f>
        <v>1018.0180553139453</v>
      </c>
      <c r="K11" s="1007">
        <f>Cálculo!G33</f>
        <v>1058.4157236736737</v>
      </c>
      <c r="L11" s="382">
        <f t="shared" si="1"/>
        <v>40.397668359728414</v>
      </c>
      <c r="M11" s="884">
        <f t="shared" si="4"/>
        <v>41.14852363473107</v>
      </c>
      <c r="N11" s="456">
        <f t="shared" si="2"/>
        <v>1.6623044112883121</v>
      </c>
      <c r="O11" s="1010"/>
      <c r="P11" s="582" t="s">
        <v>678</v>
      </c>
      <c r="Q11" s="717"/>
      <c r="U11" s="997">
        <f>U12+U13+U14</f>
        <v>-54.073370921853154</v>
      </c>
      <c r="V11" s="683"/>
      <c r="W11" s="970">
        <f>'[10]Bridges complementares'!E11</f>
        <v>0</v>
      </c>
      <c r="X11" s="246">
        <f>'[10]Bridges complementares'!F11</f>
        <v>0</v>
      </c>
      <c r="Z11" s="1008" t="s">
        <v>14</v>
      </c>
      <c r="AA11" s="992">
        <f>SUM(AA6:AA10)</f>
        <v>-4.0925449488067995</v>
      </c>
      <c r="AK11" s="216">
        <f>AK5-AL5</f>
        <v>-0.22378556096680935</v>
      </c>
      <c r="AP11" s="181"/>
      <c r="AR11" s="1044" t="s">
        <v>18</v>
      </c>
      <c r="AS11" s="415"/>
      <c r="AT11" s="415"/>
      <c r="AU11" s="998">
        <f>Cálculo!C12-SUM(AU5:AU6)-AU10-AU9</f>
        <v>23.301764765657655</v>
      </c>
      <c r="AW11" s="1045" t="str">
        <f>[8]FYB26xFYMRF7!$P$27</f>
        <v>Others</v>
      </c>
      <c r="AX11" s="246">
        <f>[8]FYB26xFYMRF7!$Q$27</f>
        <v>-1</v>
      </c>
      <c r="BH11" s="375" t="s">
        <v>14</v>
      </c>
      <c r="BI11" s="378"/>
      <c r="BJ11" s="378"/>
      <c r="BK11" s="991"/>
      <c r="BL11" s="991"/>
      <c r="BM11" s="992">
        <f>U6+U7+U9+U10</f>
        <v>-91.531138760436107</v>
      </c>
      <c r="BN11" s="835"/>
      <c r="BO11" s="460"/>
      <c r="BV11" s="540"/>
      <c r="BY11" s="415"/>
      <c r="BZ11" s="415"/>
      <c r="CA11" s="492"/>
      <c r="CF11" s="1013"/>
      <c r="CG11" s="1014"/>
      <c r="CJ11" s="415"/>
      <c r="CN11" s="898"/>
      <c r="CO11" s="898"/>
    </row>
    <row r="12" spans="1:94" ht="13.5">
      <c r="A12" s="709"/>
      <c r="B12" s="211" t="s">
        <v>107</v>
      </c>
      <c r="C12" s="1005">
        <f>Cálculo!C34/1000</f>
        <v>1.0141200000000001</v>
      </c>
      <c r="D12" s="1005">
        <f>Cálculo!F34/1000</f>
        <v>2.5991210000000002</v>
      </c>
      <c r="E12" s="1006">
        <f t="shared" si="13"/>
        <v>1.5850010000000001</v>
      </c>
      <c r="F12" s="382">
        <f>Cálculo!D100</f>
        <v>-268.88972499172542</v>
      </c>
      <c r="G12" s="456">
        <f t="shared" si="0"/>
        <v>-0.42619048300160978</v>
      </c>
      <c r="H12" s="791">
        <f>Cálculo!P100/1000</f>
        <v>-0.42619048300160972</v>
      </c>
      <c r="I12" s="211" t="s">
        <v>107</v>
      </c>
      <c r="J12" s="1007">
        <f>Cálculo!D34</f>
        <v>323.3149331466999</v>
      </c>
      <c r="K12" s="1007">
        <f>Cálculo!G34</f>
        <v>562.09664698283348</v>
      </c>
      <c r="L12" s="382">
        <f t="shared" si="1"/>
        <v>238.78171383613358</v>
      </c>
      <c r="M12" s="884">
        <f t="shared" si="4"/>
        <v>2.5991210000000002</v>
      </c>
      <c r="N12" s="456">
        <f t="shared" si="2"/>
        <v>0.6206225668474854</v>
      </c>
      <c r="O12" s="1010"/>
      <c r="P12" s="712" t="s">
        <v>56</v>
      </c>
      <c r="Q12" s="415">
        <f>Cálculo!D132</f>
        <v>72.724805563142596</v>
      </c>
      <c r="R12" s="415">
        <f>Cálculo!G132</f>
        <v>75.803893593564496</v>
      </c>
      <c r="S12" s="415">
        <f>R12-Q12</f>
        <v>3.0790880304219002</v>
      </c>
      <c r="T12" s="996">
        <f>Cálculo!I132</f>
        <v>0.50546147907213002</v>
      </c>
      <c r="U12" s="246">
        <f>-S12*T12*$U$23/1000</f>
        <v>-10.848276508559929</v>
      </c>
      <c r="V12" s="683"/>
      <c r="W12" s="970">
        <f>'[10]Bridges complementares'!E12</f>
        <v>0</v>
      </c>
      <c r="X12" s="246">
        <f>'[10]Bridges complementares'!F12</f>
        <v>0</v>
      </c>
      <c r="AM12" s="863">
        <f>AM7+'Bridge combinada'!J15</f>
        <v>-95.358055617306064</v>
      </c>
      <c r="AR12" s="1008" t="s">
        <v>14</v>
      </c>
      <c r="AS12" s="1016"/>
      <c r="AT12" s="1016"/>
      <c r="AU12" s="781">
        <f>AU5+AU6+AU8</f>
        <v>-4.4371961993175546</v>
      </c>
      <c r="AW12" s="967" t="str">
        <f>[8]FYB26xFYMRF7!$P$28</f>
        <v>Value Creation</v>
      </c>
      <c r="AX12" s="997">
        <f>[8]FYB26xFYMRF7!$Q$28</f>
        <v>-25.047168272308554</v>
      </c>
      <c r="BN12" s="832"/>
      <c r="BO12" s="460"/>
      <c r="BY12" s="415"/>
      <c r="BZ12" s="415"/>
      <c r="CA12" s="415"/>
      <c r="CF12" s="1013"/>
      <c r="CG12" s="1014"/>
      <c r="CI12" s="1009"/>
      <c r="CJ12" s="208"/>
      <c r="CN12" s="1041" t="s">
        <v>747</v>
      </c>
      <c r="CO12" s="811" t="s">
        <v>90</v>
      </c>
    </row>
    <row r="13" spans="1:94" ht="13.5" customHeight="1" collapsed="1">
      <c r="A13" s="709"/>
      <c r="B13" s="212" t="s">
        <v>290</v>
      </c>
      <c r="C13" s="1005">
        <f>Cálculo!C38/1000</f>
        <v>0</v>
      </c>
      <c r="D13" s="1005">
        <f>Cálculo!F38/1000</f>
        <v>0</v>
      </c>
      <c r="E13" s="1006">
        <f t="shared" si="13"/>
        <v>0</v>
      </c>
      <c r="F13" s="382">
        <f>Cálculo!D104</f>
        <v>-663.85930953456682</v>
      </c>
      <c r="G13" s="229">
        <f t="shared" si="0"/>
        <v>0</v>
      </c>
      <c r="H13" s="791">
        <f>Cálculo!P104/1000</f>
        <v>0</v>
      </c>
      <c r="I13" s="212" t="s">
        <v>290</v>
      </c>
      <c r="J13" s="1015">
        <f>Cálculo!D38</f>
        <v>0</v>
      </c>
      <c r="K13" s="1015">
        <f>Cálculo!G38</f>
        <v>0</v>
      </c>
      <c r="L13" s="382">
        <f t="shared" si="1"/>
        <v>0</v>
      </c>
      <c r="M13" s="884">
        <f t="shared" si="4"/>
        <v>0</v>
      </c>
      <c r="N13" s="456">
        <f>L13*M13/1000</f>
        <v>0</v>
      </c>
      <c r="O13" s="1010"/>
      <c r="P13" s="712" t="s">
        <v>57</v>
      </c>
      <c r="Q13" s="415">
        <f>Cálculo!D133</f>
        <v>121.438930180537</v>
      </c>
      <c r="R13" s="415">
        <f>Cálculo!G133</f>
        <v>128.95792596468499</v>
      </c>
      <c r="S13" s="415">
        <f>R13-Q13</f>
        <v>7.5189957841479895</v>
      </c>
      <c r="T13" s="996">
        <f>Cálculo!I133</f>
        <v>0.78699859872350997</v>
      </c>
      <c r="U13" s="246">
        <f>-S13*T13*$U$23/1000</f>
        <v>-41.246241222815584</v>
      </c>
      <c r="V13" s="683"/>
      <c r="W13" s="970">
        <f>'[10]Bridges complementares'!E13</f>
        <v>0</v>
      </c>
      <c r="X13" s="246">
        <f>'[10]Bridges complementares'!F13</f>
        <v>0</v>
      </c>
      <c r="AM13" s="182"/>
      <c r="AP13" s="181"/>
      <c r="AW13" s="1045" t="str">
        <f>[8]FYB26xFYMRF7!$P$29</f>
        <v>2026 PSP Complement</v>
      </c>
      <c r="AX13" s="246">
        <f>[8]FYB26xFYMRF7!$Q$29</f>
        <v>-14.275972722308556</v>
      </c>
      <c r="BH13" s="1017" t="str">
        <f t="shared" ref="BH13:BM13" si="17">BH4</f>
        <v>Price $/t</v>
      </c>
      <c r="BI13" s="1018" t="str">
        <f t="shared" si="17"/>
        <v>FY26'B</v>
      </c>
      <c r="BJ13" s="1018" t="str">
        <f t="shared" si="17"/>
        <v>FY26'F7</v>
      </c>
      <c r="BK13" s="1019" t="str">
        <f t="shared" si="17"/>
        <v>Var</v>
      </c>
      <c r="BL13" s="1019" t="str">
        <f t="shared" si="17"/>
        <v>kt</v>
      </c>
      <c r="BM13" s="1019" t="str">
        <f t="shared" si="17"/>
        <v>$m</v>
      </c>
      <c r="BO13" s="833">
        <f>BM11-SUM(BM5:BM10)</f>
        <v>0</v>
      </c>
      <c r="CF13" s="1013"/>
      <c r="CG13" s="1014"/>
      <c r="CN13" s="1039" t="s">
        <v>958</v>
      </c>
      <c r="CO13" s="1037">
        <v>9</v>
      </c>
    </row>
    <row r="14" spans="1:94" ht="13.5" customHeight="1">
      <c r="A14" s="709"/>
      <c r="B14" s="375" t="s">
        <v>99</v>
      </c>
      <c r="C14" s="1020">
        <f>SUM(C5:C13)</f>
        <v>3269.9100056024904</v>
      </c>
      <c r="D14" s="1020">
        <f>SUM(D5:D13)</f>
        <v>3086.0096444002261</v>
      </c>
      <c r="E14" s="1021">
        <f>SUM(E5:E13)</f>
        <v>-183.90036120226441</v>
      </c>
      <c r="F14" s="991"/>
      <c r="G14" s="992">
        <f>SUM(G5:G13)</f>
        <v>-16.128528911924114</v>
      </c>
      <c r="H14" s="792">
        <f>SUM(H5:H13)</f>
        <v>4.1252439904765792</v>
      </c>
      <c r="I14" s="375" t="s">
        <v>99</v>
      </c>
      <c r="J14" s="378"/>
      <c r="K14" s="378"/>
      <c r="L14" s="991"/>
      <c r="M14" s="991"/>
      <c r="N14" s="992">
        <f>SUM(N5:N13)</f>
        <v>236.28756713496111</v>
      </c>
      <c r="P14" s="712" t="s">
        <v>58</v>
      </c>
      <c r="Q14" s="415">
        <f>Cálculo!D134</f>
        <v>82.183924470554302</v>
      </c>
      <c r="R14" s="415">
        <f>Cálculo!G134</f>
        <v>83.470247491985404</v>
      </c>
      <c r="S14" s="415">
        <f>R14-Q14</f>
        <v>1.2863230214311017</v>
      </c>
      <c r="T14" s="996">
        <f>Cálculo!I134</f>
        <v>0.2207053984765</v>
      </c>
      <c r="U14" s="246">
        <f>-S14*T14*$U$23/1000</f>
        <v>-1.9788531904776401</v>
      </c>
      <c r="V14" s="683"/>
      <c r="W14" s="970"/>
      <c r="X14" s="246"/>
      <c r="AM14" s="863">
        <f>AL5-AK5</f>
        <v>0.22378556096680935</v>
      </c>
      <c r="AW14" s="1045" t="str">
        <f>[8]FYB26xFYMRF7!$P$30</f>
        <v>2025 PSP Complement</v>
      </c>
      <c r="AX14" s="246">
        <f>[8]FYB26xFYMRF7!$Q$30</f>
        <v>-8.7711955499999981</v>
      </c>
      <c r="BH14" s="473" t="s">
        <v>675</v>
      </c>
      <c r="BI14" s="475">
        <f>'[26]Premissa - Budget 2026'!$U$7</f>
        <v>96.416666666666671</v>
      </c>
      <c r="BJ14" s="475">
        <f>'[27]Premissa - MRF'!$U$7</f>
        <v>102.62246666666665</v>
      </c>
      <c r="BK14" s="475">
        <f t="shared" ref="BK14:BK17" si="18">BJ14-BI14</f>
        <v>6.2057999999999822</v>
      </c>
      <c r="BL14" s="989">
        <f>SUM(Cálculo!I132:I134)*Cálculo!G144-BL16-BM25</f>
        <v>4802.8656913330269</v>
      </c>
      <c r="BM14" s="990">
        <f>-BK14*BL14/1000</f>
        <v>-29.805623907274413</v>
      </c>
      <c r="BO14" s="831"/>
      <c r="BQ14" s="1058" t="s">
        <v>701</v>
      </c>
      <c r="BR14" s="1058"/>
      <c r="BS14" s="1058"/>
      <c r="BT14" s="1058"/>
      <c r="CF14" s="1013"/>
      <c r="CG14" s="1014"/>
      <c r="CN14" s="1039" t="s">
        <v>959</v>
      </c>
      <c r="CO14" s="1037">
        <v>-100</v>
      </c>
    </row>
    <row r="15" spans="1:94" ht="13.5" customHeight="1">
      <c r="P15" s="582" t="s">
        <v>59</v>
      </c>
      <c r="Q15" s="717"/>
      <c r="R15" s="717"/>
      <c r="S15" s="717"/>
      <c r="T15" s="1022"/>
      <c r="U15" s="997">
        <f>Cálculo!$J$135/1000</f>
        <v>-12.014339143844159</v>
      </c>
      <c r="V15" s="788"/>
      <c r="W15" s="970"/>
      <c r="X15" s="246"/>
      <c r="AM15" s="216">
        <f>AM14*AJ5</f>
        <v>550.63799349339138</v>
      </c>
      <c r="AP15" s="181"/>
      <c r="AW15" s="1045" t="str">
        <f>[8]FYB26xFYMRF7!$P$31</f>
        <v>Partner remuneration</v>
      </c>
      <c r="AX15" s="246">
        <f>[8]FYB26xFYMRF7!$Q$31</f>
        <v>-1</v>
      </c>
      <c r="BH15" s="211" t="s">
        <v>676</v>
      </c>
      <c r="BI15" s="382">
        <f>'[26]Premissa - Budget 2026'!$U$6</f>
        <v>109.41666666666667</v>
      </c>
      <c r="BJ15" s="382">
        <f>'[27]Premissa - MRF'!$U$6</f>
        <v>116.544875</v>
      </c>
      <c r="BK15" s="382">
        <f t="shared" si="18"/>
        <v>7.1282083333333333</v>
      </c>
      <c r="BL15" s="884">
        <f>BL16+BM25</f>
        <v>5744.3299291337407</v>
      </c>
      <c r="BM15" s="456">
        <f>-BK15*BL15/1000</f>
        <v>-40.946780470267207</v>
      </c>
      <c r="BO15" s="841"/>
      <c r="BQ15" s="1023"/>
      <c r="BR15" s="1023"/>
      <c r="BS15" s="1023"/>
      <c r="BT15" s="1023"/>
      <c r="BX15" s="1009"/>
      <c r="BY15" s="1009"/>
      <c r="BZ15" s="1009"/>
      <c r="CA15" s="203"/>
      <c r="CF15" s="1013"/>
      <c r="CG15" s="1014"/>
      <c r="CN15" s="1039" t="s">
        <v>960</v>
      </c>
      <c r="CO15" s="1037">
        <v>31</v>
      </c>
    </row>
    <row r="16" spans="1:94" ht="13.5" customHeight="1">
      <c r="B16" s="1024" t="s">
        <v>88</v>
      </c>
      <c r="C16" s="1025" t="str">
        <f>C4</f>
        <v>FY26'B</v>
      </c>
      <c r="D16" s="1025" t="str">
        <f>D4</f>
        <v>FY26'F7</v>
      </c>
      <c r="E16" s="1026" t="s">
        <v>89</v>
      </c>
      <c r="F16" s="1026" t="str">
        <f>F4</f>
        <v>CM FY26'B</v>
      </c>
      <c r="G16" s="1026" t="s">
        <v>90</v>
      </c>
      <c r="I16" s="1024" t="s">
        <v>91</v>
      </c>
      <c r="J16" s="1025" t="str">
        <f>J4</f>
        <v>FY26'B</v>
      </c>
      <c r="K16" s="1025" t="str">
        <f>K4</f>
        <v>FY26'F7</v>
      </c>
      <c r="L16" s="1026" t="s">
        <v>89</v>
      </c>
      <c r="M16" s="1026" t="str">
        <f>M4</f>
        <v>Vol FY26'F7</v>
      </c>
      <c r="N16" s="1026" t="s">
        <v>90</v>
      </c>
      <c r="P16" s="582" t="s">
        <v>17</v>
      </c>
      <c r="Q16" s="717"/>
      <c r="R16" s="717"/>
      <c r="S16" s="717"/>
      <c r="T16" s="1022"/>
      <c r="U16" s="997">
        <f>SUM(U17:U20)</f>
        <v>-19.853097955531823</v>
      </c>
      <c r="V16" s="788"/>
      <c r="W16" s="582" t="str">
        <f>'[10]Bridges complementares'!$E$14</f>
        <v>Market driven</v>
      </c>
      <c r="X16" s="997">
        <f>'[10]Bridges complementares'!$F$14</f>
        <v>-8.7367984235799998</v>
      </c>
      <c r="AM16" s="130">
        <f>AM15/AL5</f>
        <v>101.96999879507247</v>
      </c>
      <c r="AW16" s="1045" t="str">
        <f>[8]FYB26xFYMRF7!$P$32</f>
        <v>HVA Growth</v>
      </c>
      <c r="AX16" s="246">
        <f>[8]FYB26xFYMRF7!$Q$32</f>
        <v>-1</v>
      </c>
      <c r="BH16" s="211" t="s">
        <v>270</v>
      </c>
      <c r="BI16" s="382">
        <f>'[26]Premissa - Budget 2026'!$U$9</f>
        <v>30</v>
      </c>
      <c r="BJ16" s="382">
        <f>'[27]Premissa - MRF'!$U$9+3</f>
        <v>36.5</v>
      </c>
      <c r="BK16" s="382">
        <f t="shared" si="18"/>
        <v>6.5</v>
      </c>
      <c r="BL16" s="884">
        <f>Cálculo!I133*Cálculo!G144</f>
        <v>5485.6050471225763</v>
      </c>
      <c r="BM16" s="456">
        <f>-BK16*BL16/1000</f>
        <v>-35.656432806296749</v>
      </c>
      <c r="BO16" s="831"/>
      <c r="BQ16" s="1024" t="s">
        <v>702</v>
      </c>
      <c r="BR16" s="1025" t="s">
        <v>681</v>
      </c>
      <c r="BS16" s="1025" t="s">
        <v>682</v>
      </c>
      <c r="BT16" s="1027" t="s">
        <v>261</v>
      </c>
      <c r="BX16" s="182"/>
      <c r="BY16" s="182"/>
      <c r="BZ16" s="182"/>
      <c r="CA16" s="717"/>
      <c r="CF16" s="540"/>
      <c r="CG16" s="717"/>
      <c r="CN16" s="1042" t="s">
        <v>14</v>
      </c>
      <c r="CO16" s="1038">
        <f>SUM(CO13:CO15)</f>
        <v>-60</v>
      </c>
    </row>
    <row r="17" spans="1:89" ht="13.5" customHeight="1">
      <c r="A17" s="709"/>
      <c r="B17" s="473" t="s">
        <v>291</v>
      </c>
      <c r="C17" s="1000">
        <f>Cálculo!C20/1000</f>
        <v>31.000000000000004</v>
      </c>
      <c r="D17" s="1000">
        <f>Cálculo!F20/1000</f>
        <v>32.424160000000001</v>
      </c>
      <c r="E17" s="474">
        <f>D17-C17</f>
        <v>1.424159999999997</v>
      </c>
      <c r="F17" s="382">
        <f>Cálculo!D86</f>
        <v>0.72748998948657118</v>
      </c>
      <c r="G17" s="990">
        <f t="shared" ref="G17:G18" si="19">E17*F17/1000</f>
        <v>1.036062143427193E-3</v>
      </c>
      <c r="I17" s="473" t="s">
        <v>291</v>
      </c>
      <c r="J17" s="1028">
        <f>Cálculo!D20*Cálculo!$E$152</f>
        <v>2435.9483106925231</v>
      </c>
      <c r="K17" s="1028">
        <f>Cálculo!G20*Cálculo!$H$152</f>
        <v>2403.9567062045708</v>
      </c>
      <c r="L17" s="1028">
        <f>K17-J17</f>
        <v>-31.991604487952372</v>
      </c>
      <c r="M17" s="884">
        <f t="shared" ref="M17:M18" si="20">D17</f>
        <v>32.424160000000001</v>
      </c>
      <c r="N17" s="456">
        <f t="shared" ref="N17:N35" si="21">L17*M17/1000/$N$40</f>
        <v>-0.19209275973594181</v>
      </c>
      <c r="O17" s="1010"/>
      <c r="P17" s="712" t="s">
        <v>665</v>
      </c>
      <c r="U17" s="246">
        <f>Cálculo!J138/1000</f>
        <v>0.20690204446817884</v>
      </c>
      <c r="V17" s="788"/>
      <c r="W17" s="970" t="str">
        <f>'[10]Bridges complementares'!$E$15</f>
        <v>Alloys</v>
      </c>
      <c r="X17" s="246">
        <f>'[10]Bridges complementares'!$F$15</f>
        <v>-6.5367984235799996</v>
      </c>
      <c r="AW17" s="886" t="str">
        <f>[8]FYB26xFYMRF7!$P$33</f>
        <v>Total</v>
      </c>
      <c r="AX17" s="781">
        <f>AX12+AX8+AX5-1</f>
        <v>-34.354235516283325</v>
      </c>
      <c r="AZ17" s="1029"/>
      <c r="BH17" s="211" t="s">
        <v>955</v>
      </c>
      <c r="BI17" s="382">
        <v>0</v>
      </c>
      <c r="BJ17" s="382">
        <v>-3</v>
      </c>
      <c r="BK17" s="382">
        <f t="shared" si="18"/>
        <v>-3</v>
      </c>
      <c r="BL17" s="884">
        <f>BL16</f>
        <v>5485.6050471225763</v>
      </c>
      <c r="BM17" s="456">
        <f>-BK17*BL17/1000</f>
        <v>16.456815141367731</v>
      </c>
      <c r="BO17" s="832"/>
      <c r="BQ17" s="211" t="s">
        <v>704</v>
      </c>
      <c r="BR17" s="382">
        <v>28</v>
      </c>
      <c r="BS17" s="382">
        <v>11</v>
      </c>
      <c r="BT17" s="456">
        <f t="shared" ref="BT17:BT22" si="22">BS17-BR17</f>
        <v>-17</v>
      </c>
      <c r="CF17" s="1013"/>
      <c r="CG17" s="1014"/>
    </row>
    <row r="18" spans="1:89" ht="12.75">
      <c r="A18" s="709"/>
      <c r="B18" s="211" t="s">
        <v>292</v>
      </c>
      <c r="C18" s="1005">
        <f>Cálculo!C21/1000</f>
        <v>18</v>
      </c>
      <c r="D18" s="1005">
        <f>Cálculo!F21/1000</f>
        <v>16.529159999999997</v>
      </c>
      <c r="E18" s="1006">
        <f t="shared" ref="E18" si="23">D18-C18</f>
        <v>-1.4708400000000026</v>
      </c>
      <c r="F18" s="382">
        <f>Cálculo!D87</f>
        <v>269.02612368960223</v>
      </c>
      <c r="G18" s="456">
        <f t="shared" si="19"/>
        <v>-0.39569438376761523</v>
      </c>
      <c r="I18" s="211" t="s">
        <v>292</v>
      </c>
      <c r="J18" s="1030">
        <f>Cálculo!D21*Cálculo!$E$152</f>
        <v>3701.1609326731477</v>
      </c>
      <c r="K18" s="1030">
        <f>Cálculo!G21*Cálculo!$H$152</f>
        <v>3627.088798018437</v>
      </c>
      <c r="L18" s="1030">
        <f t="shared" ref="L18:L34" si="24">K18-J18</f>
        <v>-74.07213465471068</v>
      </c>
      <c r="M18" s="884">
        <f t="shared" si="20"/>
        <v>16.529159999999997</v>
      </c>
      <c r="N18" s="456">
        <f t="shared" si="21"/>
        <v>-0.22673151208319575</v>
      </c>
      <c r="O18" s="1010"/>
      <c r="P18" s="712" t="s">
        <v>60</v>
      </c>
      <c r="Q18" s="415"/>
      <c r="R18" s="415"/>
      <c r="S18" s="415"/>
      <c r="T18" s="996"/>
      <c r="U18" s="246">
        <f>Cálculo!$J$136/1000</f>
        <v>-11.03</v>
      </c>
      <c r="V18" s="788"/>
      <c r="W18" s="970" t="str">
        <f>'[10]Bridges complementares'!$E$16</f>
        <v>Coated lines</v>
      </c>
      <c r="X18" s="246">
        <f>'[10]Bridges complementares'!$F$16</f>
        <v>-2.2000000000000002</v>
      </c>
      <c r="AM18" s="248">
        <v>-60.009249528160332</v>
      </c>
      <c r="AO18" s="1031">
        <f>AM5-AM18</f>
        <v>164.09217929011845</v>
      </c>
      <c r="AW18" s="999"/>
      <c r="AX18" s="456"/>
      <c r="BH18" s="211" t="s">
        <v>304</v>
      </c>
      <c r="BI18" s="382">
        <f>'[26]Premissa - Budget 2026'!$U$10</f>
        <v>8.2766666666666691</v>
      </c>
      <c r="BJ18" s="382">
        <f>'[27]Premissa - MRF'!$U$10</f>
        <v>6.604166666666667</v>
      </c>
      <c r="BK18" s="382">
        <f>BJ18-BI18</f>
        <v>-1.6725000000000021</v>
      </c>
      <c r="BL18" s="884">
        <f>Cálculo!I134*Cálculo!G144</f>
        <v>1538.3796740853338</v>
      </c>
      <c r="BM18" s="456">
        <f>-BK18*BL18/1000</f>
        <v>2.572940004907724</v>
      </c>
      <c r="BO18" s="831"/>
      <c r="BP18" s="182"/>
      <c r="BQ18" s="211" t="s">
        <v>703</v>
      </c>
      <c r="BR18" s="382">
        <v>4</v>
      </c>
      <c r="BS18" s="382">
        <v>16</v>
      </c>
      <c r="BT18" s="456">
        <f t="shared" si="22"/>
        <v>12</v>
      </c>
      <c r="CF18" s="1013"/>
      <c r="CG18" s="1014"/>
    </row>
    <row r="19" spans="1:89" ht="12.75">
      <c r="A19" s="709"/>
      <c r="B19" s="211" t="s">
        <v>293</v>
      </c>
      <c r="C19" s="1005">
        <f>Cálculo!C23/1000</f>
        <v>85.817959999999999</v>
      </c>
      <c r="D19" s="1005">
        <f>Cálculo!F23/1000</f>
        <v>100.23684017419748</v>
      </c>
      <c r="E19" s="1006">
        <f t="shared" ref="E19:E34" si="25">D19-C19</f>
        <v>14.418880174197483</v>
      </c>
      <c r="F19" s="382">
        <f>Cálculo!D89</f>
        <v>244.22864382719018</v>
      </c>
      <c r="G19" s="456">
        <f t="shared" ref="G19:G34" si="26">E19*F19/1000</f>
        <v>3.521503550451011</v>
      </c>
      <c r="I19" s="211" t="s">
        <v>293</v>
      </c>
      <c r="J19" s="1030">
        <f>Cálculo!D23*Cálculo!$E$152</f>
        <v>3679.7808312548805</v>
      </c>
      <c r="K19" s="1030">
        <f>Cálculo!G23*Cálculo!$H$152</f>
        <v>3757.0515455868849</v>
      </c>
      <c r="L19" s="1030">
        <f t="shared" si="24"/>
        <v>77.270714332004445</v>
      </c>
      <c r="M19" s="884">
        <f t="shared" ref="M19:M34" si="27">D19</f>
        <v>100.23684017419748</v>
      </c>
      <c r="N19" s="456">
        <f t="shared" si="21"/>
        <v>1.4343281930820742</v>
      </c>
      <c r="O19" s="1010"/>
      <c r="P19" s="712" t="s">
        <v>258</v>
      </c>
      <c r="U19" s="246">
        <f>Cálculo!J139/1000</f>
        <v>-7.03</v>
      </c>
      <c r="V19" s="788"/>
      <c r="W19" s="1008" t="str">
        <f>'[10]Bridges complementares'!$E$17</f>
        <v>Total</v>
      </c>
      <c r="X19" s="992">
        <f>X16+X5</f>
        <v>-12.829343372386798</v>
      </c>
      <c r="Z19" s="182">
        <f>U21+X19</f>
        <v>-190.30129015405203</v>
      </c>
      <c r="AM19" s="246">
        <v>-21.124352510993493</v>
      </c>
      <c r="AO19" s="1031">
        <f>AM6-AM19</f>
        <v>60.442336972911122</v>
      </c>
      <c r="AP19" s="182"/>
      <c r="AW19" s="999"/>
      <c r="AX19" s="456"/>
      <c r="BH19" s="211" t="s">
        <v>666</v>
      </c>
      <c r="BI19" s="382">
        <f>'[26]Premissa - Budget 2026'!$U$8</f>
        <v>15.95710317530826</v>
      </c>
      <c r="BJ19" s="382">
        <f>'[27]Premissa - MRF'!$U$8</f>
        <v>19.879362025657894</v>
      </c>
      <c r="BK19" s="382">
        <f>BJ19-BI19</f>
        <v>3.9222588503496336</v>
      </c>
      <c r="BL19" s="884">
        <f>SUM(BL14:BL15)</f>
        <v>10547.195620466768</v>
      </c>
      <c r="BM19" s="456">
        <f>BK19*BL19/1000</f>
        <v>41.368831368744672</v>
      </c>
      <c r="BO19" s="831"/>
      <c r="BQ19" s="211" t="s">
        <v>15</v>
      </c>
      <c r="BR19" s="382">
        <v>2</v>
      </c>
      <c r="BS19" s="382">
        <v>15</v>
      </c>
      <c r="BT19" s="456">
        <f t="shared" si="22"/>
        <v>13</v>
      </c>
      <c r="CF19" s="540"/>
      <c r="CG19" s="717"/>
      <c r="CH19" s="1023"/>
      <c r="CI19" s="1023"/>
      <c r="CJ19" s="1023"/>
      <c r="CK19" s="456"/>
    </row>
    <row r="20" spans="1:89" ht="12.75">
      <c r="A20" s="709"/>
      <c r="B20" s="211" t="s">
        <v>294</v>
      </c>
      <c r="C20" s="1005">
        <f>Cálculo!C24/1000</f>
        <v>1438.6813200000001</v>
      </c>
      <c r="D20" s="1005">
        <f>Cálculo!F24/1000</f>
        <v>1441.7707359999981</v>
      </c>
      <c r="E20" s="1006">
        <f t="shared" si="25"/>
        <v>3.089415999997982</v>
      </c>
      <c r="F20" s="382">
        <f>Cálculo!D90</f>
        <v>221.55976110392072</v>
      </c>
      <c r="G20" s="456">
        <f>E20*F20/1000</f>
        <v>0.68449027091018322</v>
      </c>
      <c r="I20" s="211" t="s">
        <v>294</v>
      </c>
      <c r="J20" s="1030">
        <f>Cálculo!D24*Cálculo!$E$152</f>
        <v>3557.3688645492252</v>
      </c>
      <c r="K20" s="1030">
        <f>Cálculo!G24*Cálculo!$H$152</f>
        <v>3591.500651835599</v>
      </c>
      <c r="L20" s="1030">
        <f t="shared" si="24"/>
        <v>34.131787286373765</v>
      </c>
      <c r="M20" s="884">
        <f t="shared" si="27"/>
        <v>1441.7707359999981</v>
      </c>
      <c r="N20" s="456">
        <f t="shared" si="21"/>
        <v>9.113002236457497</v>
      </c>
      <c r="O20" s="1010"/>
      <c r="P20" s="712" t="s">
        <v>940</v>
      </c>
      <c r="Q20" s="415"/>
      <c r="R20" s="415"/>
      <c r="S20" s="415"/>
      <c r="T20" s="996"/>
      <c r="U20" s="297">
        <f>Cálculo!J140/1000</f>
        <v>-2</v>
      </c>
      <c r="V20" s="788"/>
      <c r="Z20" s="182">
        <f>X18+X8+X9+U10+U17+U18</f>
        <v>-9.9480503710581196</v>
      </c>
      <c r="AG20" s="1009"/>
      <c r="AH20" s="1032"/>
      <c r="AM20" s="246">
        <v>39.810889834672025</v>
      </c>
      <c r="AO20" s="1031">
        <f>AM7-AM20</f>
        <v>-112.63894545197809</v>
      </c>
      <c r="AP20" s="683"/>
      <c r="BH20" s="211" t="s">
        <v>932</v>
      </c>
      <c r="BI20" s="1007"/>
      <c r="BJ20" s="1007"/>
      <c r="BK20" s="382"/>
      <c r="BL20" s="884"/>
      <c r="BM20" s="456">
        <f>([28]FY!$AF$11+[28]FY!$AI$11)/1000</f>
        <v>-5.8272357130032493</v>
      </c>
      <c r="BO20" s="831"/>
      <c r="BQ20" s="211" t="s">
        <v>706</v>
      </c>
      <c r="BR20" s="382">
        <v>3</v>
      </c>
      <c r="BS20" s="382">
        <v>3</v>
      </c>
      <c r="BT20" s="456">
        <f t="shared" si="22"/>
        <v>0</v>
      </c>
      <c r="CF20" s="540"/>
      <c r="CG20" s="717"/>
    </row>
    <row r="21" spans="1:89" ht="10.5" customHeight="1">
      <c r="A21" s="709"/>
      <c r="B21" s="211" t="s">
        <v>531</v>
      </c>
      <c r="C21" s="1005">
        <f>Cálculo!C25/1000</f>
        <v>427.37381000000005</v>
      </c>
      <c r="D21" s="1005">
        <f>Cálculo!F25/1000</f>
        <v>446.35943442400003</v>
      </c>
      <c r="E21" s="1006">
        <f t="shared" si="25"/>
        <v>18.98562442399998</v>
      </c>
      <c r="F21" s="382">
        <f>Cálculo!D91</f>
        <v>238.29190343670007</v>
      </c>
      <c r="G21" s="456">
        <f t="shared" si="26"/>
        <v>4.5241205819292576</v>
      </c>
      <c r="I21" s="211" t="s">
        <v>531</v>
      </c>
      <c r="J21" s="1030">
        <f>Cálculo!D25*Cálculo!$E$152</f>
        <v>4079.7224331462339</v>
      </c>
      <c r="K21" s="1030">
        <f>Cálculo!G25*Cálculo!$H$152</f>
        <v>4140.3061797725841</v>
      </c>
      <c r="L21" s="1030">
        <f>K21-J21</f>
        <v>60.583746626350148</v>
      </c>
      <c r="M21" s="884">
        <f t="shared" si="27"/>
        <v>446.35943442400003</v>
      </c>
      <c r="N21" s="456">
        <f t="shared" si="21"/>
        <v>5.0078012739675133</v>
      </c>
      <c r="O21" s="1010"/>
      <c r="P21" s="1008" t="s">
        <v>14</v>
      </c>
      <c r="Q21" s="1016"/>
      <c r="R21" s="1016"/>
      <c r="S21" s="1016"/>
      <c r="T21" s="1016"/>
      <c r="U21" s="992">
        <f>SUM(U5,U11,U15,U16)</f>
        <v>-177.47194678166522</v>
      </c>
      <c r="V21" s="787"/>
      <c r="Z21" s="182">
        <f>Z19-Z20</f>
        <v>-180.35323978299391</v>
      </c>
      <c r="AM21" s="992">
        <v>-41.322712204481803</v>
      </c>
      <c r="AO21" s="1031">
        <f>AM8-AM21</f>
        <v>111.8955708110515</v>
      </c>
      <c r="AR21" s="888"/>
      <c r="AS21" s="888"/>
      <c r="AT21" s="888"/>
      <c r="AV21" s="838"/>
      <c r="AW21" s="888"/>
      <c r="BH21" s="211" t="s">
        <v>933</v>
      </c>
      <c r="BI21" s="1007"/>
      <c r="BJ21" s="1007"/>
      <c r="BK21" s="382"/>
      <c r="BL21" s="884"/>
      <c r="BM21" s="456">
        <f>-(SUM(BM14:BM20)-BM22)</f>
        <v>-2.2358845400316554</v>
      </c>
      <c r="BO21" s="830"/>
      <c r="BQ21" s="211" t="s">
        <v>74</v>
      </c>
      <c r="BR21" s="382">
        <v>0</v>
      </c>
      <c r="BS21" s="382">
        <v>3</v>
      </c>
      <c r="BT21" s="456">
        <f t="shared" si="22"/>
        <v>3</v>
      </c>
      <c r="CF21" s="1009"/>
      <c r="CG21" s="208"/>
    </row>
    <row r="22" spans="1:89" ht="10.5" customHeight="1">
      <c r="A22" s="709"/>
      <c r="B22" s="211" t="s">
        <v>295</v>
      </c>
      <c r="C22" s="1005">
        <f>Cálculo!C26/1000</f>
        <v>102.99919000000001</v>
      </c>
      <c r="D22" s="1005">
        <f>Cálculo!F26/1000</f>
        <v>90.523857724700008</v>
      </c>
      <c r="E22" s="1006">
        <f t="shared" si="25"/>
        <v>-12.475332275300005</v>
      </c>
      <c r="F22" s="382">
        <f>Cálculo!D92</f>
        <v>341.9938587047485</v>
      </c>
      <c r="G22" s="456">
        <f t="shared" si="26"/>
        <v>-4.2664870234537382</v>
      </c>
      <c r="I22" s="211" t="s">
        <v>295</v>
      </c>
      <c r="J22" s="1030">
        <f>Cálculo!D26*Cálculo!$E$152</f>
        <v>4639.7129915936957</v>
      </c>
      <c r="K22" s="1030">
        <f>Cálculo!G26*Cálculo!$H$152</f>
        <v>4733.5025730571733</v>
      </c>
      <c r="L22" s="1030">
        <f t="shared" si="24"/>
        <v>93.789581463477589</v>
      </c>
      <c r="M22" s="884">
        <f t="shared" si="27"/>
        <v>90.523857724700008</v>
      </c>
      <c r="N22" s="456">
        <f t="shared" si="21"/>
        <v>1.5722582830479639</v>
      </c>
      <c r="O22" s="1010"/>
      <c r="W22" s="540" t="s">
        <v>914</v>
      </c>
      <c r="X22" s="975">
        <f>U21+X19</f>
        <v>-190.30129015405203</v>
      </c>
      <c r="Z22" s="182">
        <f>U21+X19-X18-U18-U17-U10-X8-X9</f>
        <v>-180.35323978299391</v>
      </c>
      <c r="AR22" s="888"/>
      <c r="AS22" s="888"/>
      <c r="AT22" s="888"/>
      <c r="AV22" s="838"/>
      <c r="BH22" s="375" t="s">
        <v>14</v>
      </c>
      <c r="BI22" s="378"/>
      <c r="BJ22" s="378"/>
      <c r="BK22" s="991"/>
      <c r="BL22" s="991"/>
      <c r="BM22" s="992">
        <f>SUM(U12:U14)</f>
        <v>-54.073370921853154</v>
      </c>
      <c r="BO22" s="833">
        <f>BM22-SUM(BM14:BM21)</f>
        <v>0</v>
      </c>
      <c r="BQ22" s="211" t="s">
        <v>705</v>
      </c>
      <c r="BR22" s="382">
        <v>0</v>
      </c>
      <c r="BS22" s="382">
        <v>1</v>
      </c>
      <c r="BT22" s="456">
        <f t="shared" si="22"/>
        <v>1</v>
      </c>
    </row>
    <row r="23" spans="1:89" ht="10.5" customHeight="1" collapsed="1">
      <c r="A23" s="709"/>
      <c r="B23" s="211" t="s">
        <v>296</v>
      </c>
      <c r="C23" s="1005">
        <f>Cálculo!C27/1000</f>
        <v>0</v>
      </c>
      <c r="D23" s="1005">
        <f>Cálculo!F27/1000</f>
        <v>45.424208000000021</v>
      </c>
      <c r="E23" s="1006">
        <f t="shared" si="25"/>
        <v>45.424208000000021</v>
      </c>
      <c r="F23" s="382">
        <f>Cálculo!D93</f>
        <v>269.38858166534862</v>
      </c>
      <c r="G23" s="456">
        <f t="shared" si="26"/>
        <v>12.236762966391789</v>
      </c>
      <c r="I23" s="211" t="s">
        <v>296</v>
      </c>
      <c r="J23" s="1030">
        <f>Cálculo!D27*Cálculo!$E$152</f>
        <v>3905.6444955809361</v>
      </c>
      <c r="K23" s="1030">
        <f>Cálculo!G27*Cálculo!$H$152</f>
        <v>3743.787672547508</v>
      </c>
      <c r="L23" s="1030">
        <f t="shared" si="24"/>
        <v>-161.8568230334281</v>
      </c>
      <c r="M23" s="884">
        <f t="shared" si="27"/>
        <v>45.424208000000021</v>
      </c>
      <c r="N23" s="456">
        <f t="shared" si="21"/>
        <v>-1.3615218510536355</v>
      </c>
      <c r="O23" s="1010"/>
      <c r="P23" s="1008" t="s">
        <v>106</v>
      </c>
      <c r="Q23" s="1016"/>
      <c r="R23" s="1033"/>
      <c r="S23" s="1016"/>
      <c r="T23" s="1016"/>
      <c r="U23" s="1034">
        <f>Cálculo!G144</f>
        <v>6970.2856600000005</v>
      </c>
      <c r="W23" s="130" t="s">
        <v>913</v>
      </c>
      <c r="X23" s="972">
        <f>X17+X12+U17+U18</f>
        <v>-17.35989637911182</v>
      </c>
      <c r="Y23" s="130">
        <v>9</v>
      </c>
      <c r="Z23" s="703"/>
      <c r="AR23" s="888"/>
      <c r="AV23" s="838"/>
      <c r="BQ23" s="1008" t="s">
        <v>14</v>
      </c>
      <c r="BR23" s="782">
        <v>38</v>
      </c>
      <c r="BS23" s="782">
        <v>50</v>
      </c>
      <c r="BT23" s="781">
        <f>SUM(BT17:BT22)</f>
        <v>12</v>
      </c>
    </row>
    <row r="24" spans="1:89" ht="10.5" customHeight="1">
      <c r="A24" s="709"/>
      <c r="B24" s="211" t="s">
        <v>103</v>
      </c>
      <c r="C24" s="1005">
        <f>Cálculo!C30/1000</f>
        <v>90.127470395196156</v>
      </c>
      <c r="D24" s="1005">
        <f>Cálculo!F30/1000</f>
        <v>95.622293215625149</v>
      </c>
      <c r="E24" s="1006">
        <f t="shared" si="25"/>
        <v>5.4948228204289933</v>
      </c>
      <c r="F24" s="382">
        <f>Cálculo!D96</f>
        <v>427.29820281741667</v>
      </c>
      <c r="G24" s="456">
        <f t="shared" si="26"/>
        <v>2.3479279159694375</v>
      </c>
      <c r="I24" s="211" t="s">
        <v>103</v>
      </c>
      <c r="J24" s="1030">
        <f>Cálculo!D30*Cálculo!$E$152</f>
        <v>4978.9200251292195</v>
      </c>
      <c r="K24" s="1030">
        <f>Cálculo!G30*Cálculo!$H$152</f>
        <v>5088.1970023102322</v>
      </c>
      <c r="L24" s="1030">
        <f t="shared" si="24"/>
        <v>109.27697718101263</v>
      </c>
      <c r="M24" s="884">
        <f t="shared" si="27"/>
        <v>95.622293215625149</v>
      </c>
      <c r="N24" s="456">
        <f t="shared" si="21"/>
        <v>1.9350583617999941</v>
      </c>
      <c r="O24" s="1010"/>
      <c r="P24" s="173" t="s">
        <v>30</v>
      </c>
      <c r="Q24" s="173" t="s">
        <v>870</v>
      </c>
      <c r="R24" s="173"/>
      <c r="S24" s="173"/>
      <c r="T24" s="173"/>
      <c r="U24" s="683">
        <f>Cálculo!C9</f>
        <v>-177.47194678166522</v>
      </c>
      <c r="V24" s="775"/>
      <c r="W24" s="540" t="s">
        <v>915</v>
      </c>
      <c r="X24" s="975">
        <f>X22-X23</f>
        <v>-172.9413937749402</v>
      </c>
      <c r="AR24" s="888"/>
      <c r="AS24" s="182"/>
      <c r="AT24" s="182"/>
      <c r="AU24" s="182" t="e">
        <f>#REF!+#REF!+#REF!</f>
        <v>#REF!</v>
      </c>
      <c r="AV24" s="838"/>
      <c r="AW24" s="182" t="e">
        <f>Box!#REF!+Box!AU7+Box!#REF!+Box!#REF!</f>
        <v>#REF!</v>
      </c>
      <c r="BO24" s="784"/>
      <c r="BP24" s="784"/>
    </row>
    <row r="25" spans="1:89" ht="10.5" customHeight="1" collapsed="1">
      <c r="A25" s="709"/>
      <c r="B25" s="211" t="s">
        <v>104</v>
      </c>
      <c r="C25" s="1005">
        <f>Cálculo!C31/1000</f>
        <v>265.32553999999993</v>
      </c>
      <c r="D25" s="1005">
        <f>Cálculo!F31/1000</f>
        <v>286.12231839448168</v>
      </c>
      <c r="E25" s="1006">
        <f t="shared" si="25"/>
        <v>20.796778394481748</v>
      </c>
      <c r="F25" s="382">
        <f>Cálculo!D97</f>
        <v>293.49176401400945</v>
      </c>
      <c r="G25" s="456">
        <f t="shared" si="26"/>
        <v>6.1036831768048874</v>
      </c>
      <c r="I25" s="211" t="s">
        <v>104</v>
      </c>
      <c r="J25" s="1030">
        <f>Cálculo!D31*Cálculo!$E$152</f>
        <v>4256.3652555908202</v>
      </c>
      <c r="K25" s="1030">
        <f>Cálculo!G31*Cálculo!$H$152</f>
        <v>4373.4122789386747</v>
      </c>
      <c r="L25" s="1030">
        <f t="shared" si="24"/>
        <v>117.04702334785452</v>
      </c>
      <c r="M25" s="884">
        <f>D25</f>
        <v>286.12231839448168</v>
      </c>
      <c r="N25" s="456">
        <f t="shared" si="21"/>
        <v>6.2018084595298451</v>
      </c>
      <c r="O25" s="1010"/>
      <c r="S25" s="382"/>
      <c r="U25" s="683">
        <f>U24-U21</f>
        <v>0</v>
      </c>
      <c r="V25" s="775"/>
      <c r="W25" s="130" t="s">
        <v>911</v>
      </c>
      <c r="X25" s="295">
        <v>-10</v>
      </c>
      <c r="AR25" s="838"/>
      <c r="AS25" s="838"/>
      <c r="AT25" s="838"/>
      <c r="AU25" s="838"/>
      <c r="AV25" s="838"/>
      <c r="BK25" s="884"/>
      <c r="BM25" s="885">
        <f>'[27]Iron ore - Calculo 2026'!$J$127+'[27]Iron ore - Calculo 2026'!$K$127</f>
        <v>258.72488201116471</v>
      </c>
      <c r="BO25" s="681"/>
      <c r="BP25" s="681"/>
    </row>
    <row r="26" spans="1:89" ht="10.5" customHeight="1">
      <c r="A26" s="709"/>
      <c r="B26" s="211" t="s">
        <v>532</v>
      </c>
      <c r="C26" s="1005">
        <f>Cálculo!C32/1000</f>
        <v>110.30197000000001</v>
      </c>
      <c r="D26" s="1005">
        <f>Cálculo!F32/1000</f>
        <v>117.39091099999999</v>
      </c>
      <c r="E26" s="1006">
        <f t="shared" si="25"/>
        <v>7.0889409999999771</v>
      </c>
      <c r="F26" s="382">
        <f>Cálculo!D98</f>
        <v>258.77639524131905</v>
      </c>
      <c r="G26" s="456">
        <f t="shared" si="26"/>
        <v>1.8344505980583856</v>
      </c>
      <c r="I26" s="211" t="s">
        <v>532</v>
      </c>
      <c r="J26" s="1030">
        <f>Cálculo!D32*Cálculo!$E$152</f>
        <v>4500.9022642182927</v>
      </c>
      <c r="K26" s="1030">
        <f>Cálculo!G32*Cálculo!$H$152</f>
        <v>4618.122224944027</v>
      </c>
      <c r="L26" s="1030">
        <f>K26-J26</f>
        <v>117.21996072573438</v>
      </c>
      <c r="M26" s="884">
        <f t="shared" si="27"/>
        <v>117.39091099999999</v>
      </c>
      <c r="N26" s="456">
        <f t="shared" si="21"/>
        <v>2.548251477218181</v>
      </c>
      <c r="O26" s="1010"/>
      <c r="W26" s="130" t="s">
        <v>916</v>
      </c>
      <c r="X26" s="972">
        <f>X24+X25</f>
        <v>-182.9413937749402</v>
      </c>
      <c r="AR26" s="838"/>
      <c r="AS26" s="838"/>
      <c r="AT26" s="838"/>
      <c r="AU26" s="838"/>
      <c r="AV26" s="838"/>
      <c r="BN26" s="860"/>
      <c r="BQ26" s="340"/>
      <c r="BR26" s="703"/>
      <c r="BS26" s="703"/>
    </row>
    <row r="27" spans="1:89" ht="10.5" customHeight="1">
      <c r="A27" s="709"/>
      <c r="B27" s="149" t="s">
        <v>105</v>
      </c>
      <c r="C27" s="150">
        <f>Cálculo!C35/1000</f>
        <v>463.69402845894558</v>
      </c>
      <c r="D27" s="150">
        <f>Cálculo!F35/1000</f>
        <v>463.78728951984948</v>
      </c>
      <c r="E27" s="151">
        <f t="shared" si="25"/>
        <v>9.3261060903898851E-2</v>
      </c>
      <c r="F27" s="137">
        <f>Cálculo!D101</f>
        <v>472.53611398332612</v>
      </c>
      <c r="G27" s="152">
        <f t="shared" si="26"/>
        <v>4.4069219305490667E-2</v>
      </c>
      <c r="I27" s="149" t="s">
        <v>105</v>
      </c>
      <c r="J27" s="154">
        <f>Cálculo!D35*Cálculo!$E$152</f>
        <v>5643.5325118701885</v>
      </c>
      <c r="K27" s="154">
        <f>Cálculo!G35*Cálculo!$H$152</f>
        <v>5687.8781955019485</v>
      </c>
      <c r="L27" s="154">
        <f t="shared" si="24"/>
        <v>44.345683631760039</v>
      </c>
      <c r="M27" s="142">
        <f t="shared" si="27"/>
        <v>463.78728951984948</v>
      </c>
      <c r="N27" s="152">
        <f t="shared" si="21"/>
        <v>3.8086971136071743</v>
      </c>
      <c r="O27" s="684"/>
      <c r="W27" s="130" t="s">
        <v>912</v>
      </c>
      <c r="X27" s="295">
        <f>-[29]FY25BxFY25A!$P$45/1000000</f>
        <v>-30.880902982377926</v>
      </c>
      <c r="AO27" s="182" t="e">
        <f>Box!#REF!+Box!AU7+Box!#REF!+Box!#REF!+Box!#REF!+Box!#REF!</f>
        <v>#REF!</v>
      </c>
      <c r="AZ27" s="182"/>
      <c r="BO27" s="681"/>
    </row>
    <row r="28" spans="1:89" ht="10.5" customHeight="1">
      <c r="A28" s="709"/>
      <c r="B28" s="149" t="s">
        <v>107</v>
      </c>
      <c r="C28" s="150">
        <f>Cálculo!C36/1000</f>
        <v>416.58470999999997</v>
      </c>
      <c r="D28" s="150">
        <f>Cálculo!F36/1000</f>
        <v>438.61917</v>
      </c>
      <c r="E28" s="151">
        <f t="shared" si="25"/>
        <v>22.034460000000024</v>
      </c>
      <c r="F28" s="137">
        <f>Cálculo!D102</f>
        <v>256.57829608609347</v>
      </c>
      <c r="G28" s="152">
        <f t="shared" si="26"/>
        <v>5.653564201977189</v>
      </c>
      <c r="I28" s="149" t="s">
        <v>107</v>
      </c>
      <c r="J28" s="154">
        <f>Cálculo!D36*Cálculo!$E$152</f>
        <v>4583.4279528124016</v>
      </c>
      <c r="K28" s="154">
        <f>Cálculo!G36*Cálculo!$H$152</f>
        <v>4723.5640940142666</v>
      </c>
      <c r="L28" s="154">
        <f t="shared" si="24"/>
        <v>140.13614120186503</v>
      </c>
      <c r="M28" s="142">
        <f t="shared" si="27"/>
        <v>438.61917</v>
      </c>
      <c r="N28" s="152">
        <f t="shared" si="21"/>
        <v>11.382666285363859</v>
      </c>
      <c r="O28" s="684"/>
      <c r="U28" s="681"/>
      <c r="V28" s="683"/>
      <c r="W28" s="130" t="s">
        <v>917</v>
      </c>
      <c r="X28" s="295">
        <v>4</v>
      </c>
      <c r="BO28" s="703"/>
      <c r="BP28" s="703"/>
      <c r="BQ28" s="189"/>
      <c r="BR28" s="189"/>
      <c r="BS28" s="189"/>
      <c r="BT28" s="189"/>
    </row>
    <row r="29" spans="1:89" ht="12.75">
      <c r="A29" s="709"/>
      <c r="B29" s="149" t="s">
        <v>533</v>
      </c>
      <c r="C29" s="150">
        <f>Cálculo!C37/1000</f>
        <v>83.539329999999993</v>
      </c>
      <c r="D29" s="150">
        <f>Cálculo!F37/1000</f>
        <v>76.159621079999994</v>
      </c>
      <c r="E29" s="151">
        <f t="shared" si="25"/>
        <v>-7.3797089199999988</v>
      </c>
      <c r="F29" s="137">
        <f>Cálculo!D103</f>
        <v>208.09741659024064</v>
      </c>
      <c r="G29" s="152">
        <f t="shared" si="26"/>
        <v>-1.5356983614399546</v>
      </c>
      <c r="I29" s="149" t="s">
        <v>533</v>
      </c>
      <c r="J29" s="154">
        <f>Cálculo!D37*Cálculo!$E$152</f>
        <v>4753.6312035347964</v>
      </c>
      <c r="K29" s="154">
        <f>Cálculo!G37*Cálculo!$H$152</f>
        <v>4920.7144557634765</v>
      </c>
      <c r="L29" s="154">
        <f>K29-J29</f>
        <v>167.08325222868007</v>
      </c>
      <c r="M29" s="142">
        <f t="shared" si="27"/>
        <v>76.159621079999994</v>
      </c>
      <c r="N29" s="152">
        <f t="shared" si="21"/>
        <v>2.3564809589908036</v>
      </c>
      <c r="O29" s="684"/>
      <c r="R29" s="130" t="s">
        <v>870</v>
      </c>
      <c r="U29" s="682"/>
      <c r="W29" s="130" t="s">
        <v>714</v>
      </c>
      <c r="X29" s="295">
        <f>X26+X27-X28</f>
        <v>-217.82229675731813</v>
      </c>
      <c r="AO29"/>
      <c r="BH29" s="691"/>
      <c r="BI29" s="691"/>
      <c r="BJ29" s="691"/>
      <c r="BK29" s="772"/>
      <c r="BL29" s="691"/>
      <c r="BM29" s="693"/>
      <c r="BQ29" s="189"/>
      <c r="BR29" s="189"/>
      <c r="BS29" s="189"/>
      <c r="BT29" s="189"/>
    </row>
    <row r="30" spans="1:89">
      <c r="A30" s="709"/>
      <c r="B30" s="149" t="s">
        <v>290</v>
      </c>
      <c r="C30" s="150">
        <f>Cálculo!C39/1000</f>
        <v>181.45709000000002</v>
      </c>
      <c r="D30" s="150">
        <f>Cálculo!F39/1000</f>
        <v>136.27178900000007</v>
      </c>
      <c r="E30" s="151">
        <f t="shared" si="25"/>
        <v>-45.185300999999953</v>
      </c>
      <c r="F30" s="137">
        <f>Cálculo!D105</f>
        <v>309.16229939933601</v>
      </c>
      <c r="G30" s="152">
        <f t="shared" si="26"/>
        <v>-13.969591556211101</v>
      </c>
      <c r="I30" s="149" t="s">
        <v>290</v>
      </c>
      <c r="J30" s="154">
        <f>Cálculo!D39*Cálculo!$E$152</f>
        <v>5254.316688243076</v>
      </c>
      <c r="K30" s="154">
        <f>Cálculo!G39*Cálculo!$H$152</f>
        <v>5319.2900894406794</v>
      </c>
      <c r="L30" s="154">
        <f t="shared" si="24"/>
        <v>64.97340119760338</v>
      </c>
      <c r="M30" s="142">
        <f t="shared" si="27"/>
        <v>136.27178900000007</v>
      </c>
      <c r="N30" s="152">
        <f t="shared" si="21"/>
        <v>1.6396373367800294</v>
      </c>
      <c r="O30" s="684"/>
      <c r="X30" s="295"/>
      <c r="BH30" s="211" t="s">
        <v>356</v>
      </c>
      <c r="BM30" s="780">
        <f>BM21-BM27-BM28</f>
        <v>-2.2358845400316554</v>
      </c>
      <c r="BQ30" s="189"/>
      <c r="BR30" s="189"/>
    </row>
    <row r="31" spans="1:89">
      <c r="A31" s="709"/>
      <c r="B31" s="149" t="s">
        <v>534</v>
      </c>
      <c r="C31" s="150">
        <f>Cálculo!C40/1000</f>
        <v>106.33588</v>
      </c>
      <c r="D31" s="150">
        <f>Cálculo!F40/1000</f>
        <v>88.523367000000007</v>
      </c>
      <c r="E31" s="151">
        <f t="shared" si="25"/>
        <v>-17.812512999999996</v>
      </c>
      <c r="F31" s="137">
        <f>Cálculo!D106</f>
        <v>344.25133478081852</v>
      </c>
      <c r="G31" s="152">
        <f t="shared" si="26"/>
        <v>-6.1319813760506801</v>
      </c>
      <c r="I31" s="149" t="s">
        <v>534</v>
      </c>
      <c r="J31" s="154">
        <f>Cálculo!D40*Cálculo!$E$152</f>
        <v>5875.7974793030817</v>
      </c>
      <c r="K31" s="154">
        <f>Cálculo!G40*Cálculo!$H$152</f>
        <v>6130.6218408848845</v>
      </c>
      <c r="L31" s="154">
        <f>K31-J31</f>
        <v>254.8243615818028</v>
      </c>
      <c r="M31" s="142">
        <f t="shared" si="27"/>
        <v>88.523367000000007</v>
      </c>
      <c r="N31" s="152">
        <f t="shared" si="21"/>
        <v>4.1773908297864137</v>
      </c>
      <c r="O31" s="684"/>
      <c r="W31" s="130" t="s">
        <v>952</v>
      </c>
      <c r="X31" s="973">
        <f>-'[30]Máscara (Divulgação)'!$BD$20/1000</f>
        <v>-29.259861699447598</v>
      </c>
      <c r="BQ31" s="189"/>
      <c r="BR31" s="189"/>
    </row>
    <row r="32" spans="1:89" ht="10.5" customHeight="1">
      <c r="A32" s="709"/>
      <c r="B32" s="149" t="s">
        <v>268</v>
      </c>
      <c r="C32" s="150">
        <f>Cálculo!C41/1000</f>
        <v>94.231594684142721</v>
      </c>
      <c r="D32" s="150">
        <f>Cálculo!F41/1000</f>
        <v>99.323020800091982</v>
      </c>
      <c r="E32" s="151">
        <f t="shared" si="25"/>
        <v>5.0914261159492611</v>
      </c>
      <c r="F32" s="137">
        <f>Cálculo!D107</f>
        <v>718.52838199190626</v>
      </c>
      <c r="G32" s="152">
        <f t="shared" si="26"/>
        <v>3.658334169124358</v>
      </c>
      <c r="I32" s="149" t="s">
        <v>268</v>
      </c>
      <c r="J32" s="154">
        <f>Cálculo!D41*Cálculo!$E$152</f>
        <v>6973.4037958816934</v>
      </c>
      <c r="K32" s="154">
        <f>Cálculo!G41*Cálculo!$H$152</f>
        <v>7149.6530679781426</v>
      </c>
      <c r="L32" s="154">
        <f t="shared" si="24"/>
        <v>176.2492720964492</v>
      </c>
      <c r="M32" s="142">
        <f t="shared" si="27"/>
        <v>99.323020800091982</v>
      </c>
      <c r="N32" s="705">
        <f t="shared" si="21"/>
        <v>3.2417796515623509</v>
      </c>
      <c r="O32" s="684"/>
      <c r="T32" s="462"/>
      <c r="BM32" s="173"/>
      <c r="BQ32" s="189"/>
      <c r="BR32" s="189"/>
    </row>
    <row r="33" spans="1:74" ht="10.5" customHeight="1">
      <c r="A33" s="709"/>
      <c r="B33" s="149" t="s">
        <v>297</v>
      </c>
      <c r="C33" s="150">
        <f>Cálculo!C42/1000</f>
        <v>7.7375399999999992</v>
      </c>
      <c r="D33" s="150">
        <f>Cálculo!F42/1000</f>
        <v>7.661225</v>
      </c>
      <c r="E33" s="151">
        <f t="shared" si="25"/>
        <v>-7.6314999999999245E-2</v>
      </c>
      <c r="F33" s="137">
        <f>Cálculo!D108</f>
        <v>275.87626895466155</v>
      </c>
      <c r="G33" s="152">
        <f t="shared" si="26"/>
        <v>-2.1053497465274788E-2</v>
      </c>
      <c r="I33" s="149" t="s">
        <v>297</v>
      </c>
      <c r="J33" s="154">
        <f>Cálculo!D42*Cálculo!$E$152</f>
        <v>4583.0823854805722</v>
      </c>
      <c r="K33" s="154">
        <f>Cálculo!G42*Cálculo!$H$152</f>
        <v>4243.7619390288282</v>
      </c>
      <c r="L33" s="154">
        <f t="shared" si="24"/>
        <v>-339.32044645174392</v>
      </c>
      <c r="M33" s="142">
        <f t="shared" si="27"/>
        <v>7.661225</v>
      </c>
      <c r="N33" s="705">
        <f t="shared" si="21"/>
        <v>-0.48140931247541879</v>
      </c>
      <c r="O33" s="729"/>
      <c r="X33" s="974">
        <f>X29-X31</f>
        <v>-188.56243505787052</v>
      </c>
      <c r="BH33" s="540"/>
      <c r="BI33" s="540"/>
      <c r="BJ33" s="540"/>
      <c r="BK33" s="203"/>
      <c r="BL33" s="540"/>
      <c r="BM33" s="540"/>
      <c r="BQ33" s="189"/>
      <c r="BR33" s="189"/>
    </row>
    <row r="34" spans="1:74" ht="10.5" customHeight="1">
      <c r="A34" s="709"/>
      <c r="B34" s="149" t="s">
        <v>109</v>
      </c>
      <c r="C34" s="150">
        <f>Cálculo!C43/1000</f>
        <v>3.8163261818387646</v>
      </c>
      <c r="D34" s="150">
        <f>Cálculo!F43/1000</f>
        <v>3.6272928948158056</v>
      </c>
      <c r="E34" s="151">
        <f t="shared" si="25"/>
        <v>-0.18903328702295896</v>
      </c>
      <c r="F34" s="137">
        <f>Cálculo!D109</f>
        <v>1208.6233558892334</v>
      </c>
      <c r="G34" s="152">
        <f t="shared" si="26"/>
        <v>-0.22847004573646135</v>
      </c>
      <c r="I34" s="149" t="s">
        <v>109</v>
      </c>
      <c r="J34" s="154">
        <f>Cálculo!D43*Cálculo!$E$152</f>
        <v>10111.406393288522</v>
      </c>
      <c r="K34" s="154">
        <f>Cálculo!G43*Cálculo!$H$152</f>
        <v>10097.650329754119</v>
      </c>
      <c r="L34" s="154">
        <f t="shared" si="24"/>
        <v>-13.756063534403438</v>
      </c>
      <c r="M34" s="142">
        <f t="shared" si="27"/>
        <v>3.6272928948158056</v>
      </c>
      <c r="N34" s="152">
        <f t="shared" si="21"/>
        <v>-9.2402354664771081E-3</v>
      </c>
      <c r="O34" s="684"/>
      <c r="BH34" s="540"/>
      <c r="BI34" s="540"/>
      <c r="BJ34" s="540"/>
      <c r="BK34" s="203"/>
      <c r="BL34" s="540"/>
      <c r="BM34" s="540"/>
      <c r="BQ34" s="189"/>
      <c r="BR34" s="189"/>
    </row>
    <row r="35" spans="1:74" ht="10.5" customHeight="1">
      <c r="A35" s="709"/>
      <c r="B35" s="603" t="str">
        <f>Cálculo!B45</f>
        <v>Industry Imports</v>
      </c>
      <c r="C35" s="150">
        <f>Cálculo!C45/1000</f>
        <v>35.399969999999996</v>
      </c>
      <c r="D35" s="150">
        <f>Cálculo!F45/1000</f>
        <v>17.169268000000006</v>
      </c>
      <c r="E35" s="151">
        <f t="shared" ref="E35" si="28">D35-C35</f>
        <v>-18.23070199999999</v>
      </c>
      <c r="F35" s="137">
        <f>Cálculo!D111</f>
        <v>284.85966315171265</v>
      </c>
      <c r="G35" s="152">
        <f t="shared" ref="G35" si="29">E35*F35/1000</f>
        <v>-5.1931916307392516</v>
      </c>
      <c r="I35" s="149" t="str">
        <f>B35</f>
        <v>Industry Imports</v>
      </c>
      <c r="J35" s="154">
        <f>Cálculo!D45*Cálculo!$E$152</f>
        <v>5123.0824525059097</v>
      </c>
      <c r="K35" s="154">
        <f>Cálculo!G45*Cálculo!$H$152</f>
        <v>5212.3443308437809</v>
      </c>
      <c r="L35" s="154">
        <f t="shared" ref="L35" si="30">K35-J35</f>
        <v>89.261878337871167</v>
      </c>
      <c r="M35" s="142">
        <f t="shared" ref="M35" si="31">D35</f>
        <v>17.169268000000006</v>
      </c>
      <c r="N35" s="152">
        <f t="shared" si="21"/>
        <v>0.28380761321598241</v>
      </c>
      <c r="O35" s="684"/>
      <c r="BH35" s="718"/>
      <c r="BI35" s="718"/>
      <c r="BJ35" s="718"/>
      <c r="BK35" s="716"/>
      <c r="BL35" s="718"/>
      <c r="BM35" s="718"/>
      <c r="BQ35" s="189"/>
      <c r="BR35" s="189"/>
    </row>
    <row r="36" spans="1:74" ht="10.5" customHeight="1">
      <c r="A36" s="709"/>
      <c r="B36" s="603" t="str">
        <f>Cálculo!B46</f>
        <v>Magnelis DM Downstream</v>
      </c>
      <c r="C36" s="150">
        <f>Cálculo!C46/1000</f>
        <v>0</v>
      </c>
      <c r="D36" s="150">
        <f>Cálculo!F46/1000</f>
        <v>7.0028800000000002</v>
      </c>
      <c r="E36" s="151">
        <f t="shared" ref="E36:E37" si="32">D36-C36</f>
        <v>7.0028800000000002</v>
      </c>
      <c r="F36" s="137">
        <f>Cálculo!D112</f>
        <v>343.65894326928276</v>
      </c>
      <c r="G36" s="152">
        <f t="shared" ref="G36:G37" si="33">E36*F36/1000</f>
        <v>2.4066023406415948</v>
      </c>
      <c r="I36" s="149" t="str">
        <f>B36</f>
        <v>Magnelis DM Downstream</v>
      </c>
      <c r="J36" s="154">
        <f>Cálculo!D46*Cálculo!$E$152</f>
        <v>5440.5985651407882</v>
      </c>
      <c r="K36" s="154">
        <f>Cálculo!G46*Cálculo!$H$152</f>
        <v>5215.130527752779</v>
      </c>
      <c r="L36" s="154">
        <f t="shared" ref="L36:L37" si="34">K36-J36</f>
        <v>-225.46803738800918</v>
      </c>
      <c r="M36" s="142">
        <f t="shared" ref="M36:M37" si="35">D36</f>
        <v>7.0028800000000002</v>
      </c>
      <c r="N36" s="705">
        <f t="shared" ref="N36:N37" si="36">L36*M36/1000/$N$40</f>
        <v>-0.29239363141921143</v>
      </c>
      <c r="O36" s="684"/>
      <c r="BH36" s="718"/>
      <c r="BI36" s="718"/>
      <c r="BJ36" s="718"/>
      <c r="BK36" s="716"/>
      <c r="BL36" s="718"/>
      <c r="BM36" s="718"/>
    </row>
    <row r="37" spans="1:74" ht="10.5" customHeight="1">
      <c r="A37" s="709"/>
      <c r="B37" s="603" t="str">
        <f>Cálculo!B47</f>
        <v>HRC Aperam baixo carbono</v>
      </c>
      <c r="C37" s="150">
        <f>Cálculo!C47/1000</f>
        <v>0</v>
      </c>
      <c r="D37" s="150">
        <f>Cálculo!F47/1000</f>
        <v>0</v>
      </c>
      <c r="E37" s="151">
        <f t="shared" si="32"/>
        <v>0</v>
      </c>
      <c r="F37" s="137">
        <f>Cálculo!D113</f>
        <v>30</v>
      </c>
      <c r="G37" s="152">
        <f t="shared" si="33"/>
        <v>0</v>
      </c>
      <c r="I37" s="149" t="str">
        <f>B37</f>
        <v>HRC Aperam baixo carbono</v>
      </c>
      <c r="J37" s="154">
        <f>Cálculo!D47*Cálculo!$E$152</f>
        <v>0</v>
      </c>
      <c r="K37" s="154">
        <f>Cálculo!G47*Cálculo!$H$152</f>
        <v>0</v>
      </c>
      <c r="L37" s="154">
        <f t="shared" si="34"/>
        <v>0</v>
      </c>
      <c r="M37" s="142">
        <f t="shared" si="35"/>
        <v>0</v>
      </c>
      <c r="N37" s="705">
        <f t="shared" si="36"/>
        <v>0</v>
      </c>
      <c r="O37" s="730"/>
      <c r="BH37" s="718"/>
      <c r="BI37" s="718"/>
      <c r="BJ37" s="718"/>
      <c r="BK37" s="716"/>
      <c r="BL37" s="718"/>
      <c r="BM37" s="718"/>
      <c r="BQ37" s="130" t="s">
        <v>791</v>
      </c>
      <c r="BV37" s="294"/>
    </row>
    <row r="38" spans="1:74" ht="10.5" customHeight="1">
      <c r="B38" s="603" t="s">
        <v>680</v>
      </c>
      <c r="C38" s="150"/>
      <c r="D38" s="150"/>
      <c r="E38" s="151"/>
      <c r="F38" s="137"/>
      <c r="G38" s="152">
        <f>Cálculo!I166/1000</f>
        <v>0</v>
      </c>
      <c r="I38" s="170" t="s">
        <v>12</v>
      </c>
      <c r="J38" s="171"/>
      <c r="K38" s="171"/>
      <c r="L38" s="172"/>
      <c r="M38" s="168"/>
      <c r="N38" s="157">
        <f>SUM(N17:N37)</f>
        <v>52.139578772175796</v>
      </c>
      <c r="O38" s="730"/>
      <c r="Q38" s="188"/>
      <c r="BH38" s="158"/>
      <c r="BI38" s="137"/>
      <c r="BJ38" s="137"/>
      <c r="BK38" s="137"/>
      <c r="BL38" s="142"/>
      <c r="BM38" s="137"/>
      <c r="BQ38" s="1058" t="s">
        <v>934</v>
      </c>
      <c r="BR38" s="1058"/>
      <c r="BS38" s="1058"/>
      <c r="BT38" s="1058"/>
      <c r="BV38" s="294"/>
    </row>
    <row r="39" spans="1:74" ht="5.45" customHeight="1" outlineLevel="1">
      <c r="B39" s="170" t="s">
        <v>12</v>
      </c>
      <c r="C39" s="163">
        <f>SUM(C17:C38)</f>
        <v>3962.4237297201234</v>
      </c>
      <c r="D39" s="163">
        <f>SUM(D17:D38)</f>
        <v>4010.5488422277585</v>
      </c>
      <c r="E39" s="164">
        <f>SUM(E17:E38)</f>
        <v>48.125112507636452</v>
      </c>
      <c r="F39" s="156"/>
      <c r="G39" s="713">
        <f>SUM(G17:G38)</f>
        <v>11.274377178842931</v>
      </c>
      <c r="O39" s="730"/>
      <c r="BI39" s="153"/>
      <c r="BJ39" s="153"/>
      <c r="BK39" s="137"/>
      <c r="BL39" s="142"/>
      <c r="BM39" s="137"/>
      <c r="BQ39" s="189"/>
      <c r="BR39" s="189"/>
      <c r="BS39" s="189"/>
      <c r="BT39" s="189"/>
      <c r="BV39" s="294"/>
    </row>
    <row r="40" spans="1:74">
      <c r="I40" s="167" t="s">
        <v>3</v>
      </c>
      <c r="J40" s="168"/>
      <c r="K40" s="168"/>
      <c r="L40" s="168"/>
      <c r="M40" s="168"/>
      <c r="N40" s="169">
        <f>Cálculo!$E$152</f>
        <v>5.4</v>
      </c>
      <c r="O40" s="730"/>
      <c r="Q40" s="188"/>
      <c r="BI40" s="153"/>
      <c r="BJ40" s="153"/>
      <c r="BK40" s="137"/>
      <c r="BL40" s="142"/>
      <c r="BM40" s="137"/>
      <c r="BQ40" s="131" t="s">
        <v>935</v>
      </c>
      <c r="BR40" s="132" t="s">
        <v>936</v>
      </c>
      <c r="BS40" s="132" t="s">
        <v>937</v>
      </c>
      <c r="BT40" s="592" t="s">
        <v>261</v>
      </c>
      <c r="BV40" s="294"/>
    </row>
    <row r="41" spans="1:74">
      <c r="B41" s="170"/>
      <c r="C41" s="175"/>
      <c r="D41" s="175"/>
      <c r="E41" s="175"/>
      <c r="F41" s="172"/>
      <c r="G41" s="176"/>
      <c r="O41" s="730"/>
      <c r="P41" s="681"/>
      <c r="S41" s="682"/>
      <c r="BI41" s="153"/>
      <c r="BJ41" s="153"/>
      <c r="BK41" s="137"/>
      <c r="BL41" s="142"/>
      <c r="BM41" s="137"/>
      <c r="BQ41" s="970" t="s">
        <v>938</v>
      </c>
      <c r="BR41" s="382">
        <v>46.8</v>
      </c>
      <c r="BS41" s="382">
        <f>41-BS52</f>
        <v>38.5</v>
      </c>
      <c r="BT41" s="456">
        <f>BS41-BR41</f>
        <v>-8.2999999999999972</v>
      </c>
      <c r="BV41" s="294"/>
    </row>
    <row r="42" spans="1:74" ht="11.25" customHeight="1">
      <c r="I42" s="170" t="s">
        <v>14</v>
      </c>
      <c r="J42" s="175"/>
      <c r="K42" s="175"/>
      <c r="L42" s="175"/>
      <c r="M42" s="172"/>
      <c r="N42" s="157">
        <f>N14+N38</f>
        <v>288.42714590713689</v>
      </c>
      <c r="O42" s="730"/>
      <c r="Q42" s="188"/>
      <c r="BM42" s="415"/>
      <c r="BQ42" s="970" t="s">
        <v>944</v>
      </c>
      <c r="BR42" s="382">
        <v>14.4</v>
      </c>
      <c r="BS42" s="382">
        <f>46-BS53</f>
        <v>44.9</v>
      </c>
      <c r="BT42" s="456">
        <f>BS42-BR42</f>
        <v>30.5</v>
      </c>
      <c r="BV42" s="294"/>
    </row>
    <row r="43" spans="1:74">
      <c r="B43" s="170" t="s">
        <v>14</v>
      </c>
      <c r="C43" s="163">
        <f>C14+C39</f>
        <v>7232.3337353226143</v>
      </c>
      <c r="D43" s="163">
        <f>D14+D39</f>
        <v>7096.5584866279842</v>
      </c>
      <c r="E43" s="164">
        <f>E14+E39</f>
        <v>-135.77524869462795</v>
      </c>
      <c r="F43" s="156"/>
      <c r="G43" s="157">
        <f>G14+G39+G41</f>
        <v>-4.8541517330811832</v>
      </c>
      <c r="O43" s="731"/>
      <c r="Q43" s="188"/>
      <c r="BM43" s="415"/>
      <c r="BQ43" s="170" t="s">
        <v>14</v>
      </c>
      <c r="BR43" s="782">
        <f>SUM(BR41:BR42)</f>
        <v>61.199999999999996</v>
      </c>
      <c r="BS43" s="782">
        <f>SUM(BS41:BS42)</f>
        <v>83.4</v>
      </c>
      <c r="BT43" s="781">
        <f>BS43-BR43</f>
        <v>22.20000000000001</v>
      </c>
      <c r="BV43" s="294"/>
    </row>
    <row r="44" spans="1:74">
      <c r="B44" s="690"/>
      <c r="C44" s="690"/>
      <c r="D44" s="690"/>
      <c r="E44" s="690"/>
      <c r="F44" s="690"/>
      <c r="G44" s="690"/>
      <c r="I44" s="702" t="s">
        <v>624</v>
      </c>
      <c r="J44" s="142"/>
      <c r="K44" s="142"/>
      <c r="L44" s="903">
        <f>N44/M44*1000*$N$40</f>
        <v>-46.20015696225186</v>
      </c>
      <c r="M44" s="904">
        <f>M17+M18</f>
        <v>48.953319999999998</v>
      </c>
      <c r="N44" s="905">
        <f>N17+N18</f>
        <v>-0.41882427181913756</v>
      </c>
      <c r="O44" s="730"/>
      <c r="Q44" s="188"/>
      <c r="BH44" s="718"/>
      <c r="BI44" s="718"/>
      <c r="BJ44" s="718"/>
      <c r="BK44" s="716"/>
      <c r="BL44" s="716"/>
      <c r="BM44" s="724"/>
      <c r="BV44" s="294"/>
    </row>
    <row r="45" spans="1:74">
      <c r="B45" s="669" t="s">
        <v>624</v>
      </c>
      <c r="C45" s="142">
        <f>C17+C18</f>
        <v>49</v>
      </c>
      <c r="D45" s="142">
        <f>D17+D18</f>
        <v>48.953319999999998</v>
      </c>
      <c r="E45" s="151">
        <f>D45-C45</f>
        <v>-4.6680000000002053E-2</v>
      </c>
      <c r="F45" s="137">
        <f>G45/E45*1000</f>
        <v>8454.5484495323617</v>
      </c>
      <c r="G45" s="152">
        <f>G17+G18</f>
        <v>-0.39465832162418801</v>
      </c>
      <c r="I45" s="669" t="s">
        <v>255</v>
      </c>
      <c r="J45" s="142"/>
      <c r="K45" s="142"/>
      <c r="L45" s="154">
        <f>N45/M45*1000*$N$40</f>
        <v>60.728572737258375</v>
      </c>
      <c r="M45" s="142">
        <f>SUM(M20,M23,M25,M28,M30,M33)</f>
        <v>2355.8694463944794</v>
      </c>
      <c r="N45" s="670">
        <f>SUM(N20,N23,N25,N28,N30,N33)</f>
        <v>26.494183154602176</v>
      </c>
      <c r="Q45" s="188"/>
      <c r="BV45" s="294"/>
    </row>
    <row r="46" spans="1:74">
      <c r="B46" s="669" t="s">
        <v>255</v>
      </c>
      <c r="C46" s="142">
        <f>SUM(C20,C23,C25,C28,C30,C33)+C35</f>
        <v>2345.1861699999999</v>
      </c>
      <c r="D46" s="142">
        <f>SUM(D20,D23,D25,D28,D30,D33,D35)</f>
        <v>2373.0387143944795</v>
      </c>
      <c r="E46" s="151">
        <f>D46-C46</f>
        <v>27.852544394479537</v>
      </c>
      <c r="F46" s="137">
        <f>G46/E46*1000</f>
        <v>470.13506980154506</v>
      </c>
      <c r="G46" s="152">
        <f>SUM(G20,G23,G25,G28,G30,G33)+G37+G36</f>
        <v>13.094457903049269</v>
      </c>
      <c r="I46" s="669" t="s">
        <v>621</v>
      </c>
      <c r="J46" s="142"/>
      <c r="K46" s="142"/>
      <c r="L46" s="154">
        <f>N46/M46*1000*$N$40</f>
        <v>104.45100329196003</v>
      </c>
      <c r="M46" s="142">
        <f>SUM(M21,M26,M29,M31)</f>
        <v>728.43333350399996</v>
      </c>
      <c r="N46" s="670">
        <f>SUM(N21,N26,N29,N31)</f>
        <v>14.089924539962912</v>
      </c>
      <c r="Q46" s="188"/>
      <c r="BV46" s="294"/>
    </row>
    <row r="47" spans="1:74">
      <c r="B47" s="669" t="s">
        <v>621</v>
      </c>
      <c r="C47" s="142">
        <f>SUM(C21,C26,C29,C31)</f>
        <v>727.55098999999996</v>
      </c>
      <c r="D47" s="142">
        <f>SUM(D21,D26,D29,D31)</f>
        <v>728.43333350399996</v>
      </c>
      <c r="E47" s="151">
        <f>D47-C47</f>
        <v>0.88234350400000494</v>
      </c>
      <c r="F47" s="137">
        <f>G47/E47*1000</f>
        <v>-1483.672233736969</v>
      </c>
      <c r="G47" s="152">
        <f>SUM(G21,G26,G29,G31)</f>
        <v>-1.3091085575029915</v>
      </c>
      <c r="I47" s="671" t="s">
        <v>256</v>
      </c>
      <c r="J47" s="207"/>
      <c r="K47" s="207"/>
      <c r="L47" s="667">
        <f>N47/M47*1000*$N$40</f>
        <v>75.848080347997552</v>
      </c>
      <c r="M47" s="207">
        <f>SUM(M19,M22,M24,M27,M32,M34)</f>
        <v>853.12059432927992</v>
      </c>
      <c r="N47" s="672">
        <f>SUM(N19,N22,N24,N27,N32,N34)</f>
        <v>11.982881367633082</v>
      </c>
      <c r="BV47" s="294"/>
    </row>
    <row r="48" spans="1:74">
      <c r="B48" s="671" t="s">
        <v>256</v>
      </c>
      <c r="C48" s="207">
        <f>SUM(C19,C22,C24,C27,C32,C34)</f>
        <v>840.68656972012332</v>
      </c>
      <c r="D48" s="207">
        <f>SUM(D19,D22,D24,D27,D32,D34)</f>
        <v>853.12059432927992</v>
      </c>
      <c r="E48" s="673">
        <f>D48-C48</f>
        <v>12.434024609156609</v>
      </c>
      <c r="F48" s="162">
        <f>G48/E48*1000</f>
        <v>408.30527083896925</v>
      </c>
      <c r="G48" s="160">
        <f>SUM(G19,G22,G24,G27,G32,G34)</f>
        <v>5.0768777856600975</v>
      </c>
      <c r="H48" s="177"/>
      <c r="BQ48" s="130" t="s">
        <v>945</v>
      </c>
      <c r="BV48" s="294"/>
    </row>
    <row r="49" spans="2:74">
      <c r="I49" s="173" t="s">
        <v>30</v>
      </c>
      <c r="J49" s="177"/>
      <c r="K49" s="177"/>
      <c r="L49" s="177"/>
      <c r="M49" s="177"/>
      <c r="N49" s="177">
        <f>Cálculo!C5-N42</f>
        <v>-1.8782022136907131</v>
      </c>
      <c r="BQ49" s="1058" t="s">
        <v>934</v>
      </c>
      <c r="BR49" s="1058"/>
      <c r="BS49" s="1058"/>
      <c r="BT49" s="1058"/>
      <c r="BV49" s="294"/>
    </row>
    <row r="50" spans="2:74" ht="6.75" customHeight="1">
      <c r="B50" s="173" t="s">
        <v>30</v>
      </c>
      <c r="C50" s="173"/>
      <c r="D50" s="173"/>
      <c r="E50" s="173"/>
      <c r="F50" s="177"/>
      <c r="G50" s="177">
        <f>Cálculo!C7+Cálculo!C6</f>
        <v>-6.680380721635153</v>
      </c>
      <c r="BQ50" s="189"/>
      <c r="BR50" s="189"/>
      <c r="BS50" s="189"/>
      <c r="BT50" s="189"/>
      <c r="BV50" s="294"/>
    </row>
    <row r="51" spans="2:74">
      <c r="G51" s="784">
        <f>G50-G43</f>
        <v>-1.8262289885539698</v>
      </c>
      <c r="I51" s="217"/>
      <c r="J51" s="142"/>
      <c r="K51" s="142"/>
      <c r="L51" s="142"/>
      <c r="M51" s="721"/>
      <c r="N51" s="722"/>
      <c r="BQ51" s="131" t="s">
        <v>935</v>
      </c>
      <c r="BR51" s="132" t="s">
        <v>936</v>
      </c>
      <c r="BS51" s="132" t="s">
        <v>937</v>
      </c>
      <c r="BT51" s="592" t="s">
        <v>261</v>
      </c>
      <c r="BV51" s="294"/>
    </row>
    <row r="52" spans="2:74">
      <c r="B52" s="170" t="s">
        <v>411</v>
      </c>
      <c r="C52" s="163"/>
      <c r="D52" s="163"/>
      <c r="E52" s="164">
        <f>SUM(E19:E34)</f>
        <v>59.399614507636457</v>
      </c>
      <c r="F52" s="156"/>
      <c r="G52" s="157">
        <f>SUM(G19:G34)</f>
        <v>14.455624790564773</v>
      </c>
      <c r="I52" s="217"/>
      <c r="J52" s="142"/>
      <c r="K52" s="142"/>
      <c r="L52" s="142"/>
      <c r="M52" s="721"/>
      <c r="N52" s="722"/>
      <c r="BQ52" s="970" t="s">
        <v>938</v>
      </c>
      <c r="BR52" s="382">
        <v>1</v>
      </c>
      <c r="BS52" s="382">
        <v>2.5</v>
      </c>
      <c r="BT52" s="456">
        <f>BS52-BR52</f>
        <v>1.5</v>
      </c>
      <c r="BU52" s="203"/>
      <c r="BV52" s="294"/>
    </row>
    <row r="53" spans="2:74">
      <c r="I53" s="715"/>
      <c r="J53" s="723"/>
      <c r="K53" s="723"/>
      <c r="L53" s="723"/>
      <c r="M53" s="716"/>
      <c r="N53" s="724"/>
      <c r="BQ53" s="970" t="s">
        <v>944</v>
      </c>
      <c r="BR53" s="382">
        <v>0</v>
      </c>
      <c r="BS53" s="382">
        <v>1.1000000000000001</v>
      </c>
      <c r="BT53" s="456">
        <f>BS53-BR53</f>
        <v>1.1000000000000001</v>
      </c>
      <c r="BU53" s="189"/>
      <c r="BV53" s="294"/>
    </row>
    <row r="54" spans="2:74">
      <c r="BQ54" s="170" t="s">
        <v>14</v>
      </c>
      <c r="BR54" s="782">
        <f>SUM(BR52:BR53)</f>
        <v>1</v>
      </c>
      <c r="BS54" s="782">
        <f>SUM(BS52:BS53)</f>
        <v>3.6</v>
      </c>
      <c r="BT54" s="781">
        <f>BS54-BR54</f>
        <v>2.6</v>
      </c>
      <c r="BU54" s="716"/>
      <c r="BV54" s="294"/>
    </row>
    <row r="55" spans="2:74">
      <c r="I55" s="715"/>
      <c r="J55" s="723"/>
      <c r="K55" s="723"/>
      <c r="L55" s="723"/>
      <c r="M55" s="716"/>
      <c r="N55" s="724"/>
      <c r="P55" s="1057"/>
      <c r="Q55" s="1057"/>
      <c r="R55" s="1057"/>
      <c r="S55" s="1057"/>
      <c r="BQ55" s="158"/>
      <c r="BR55" s="158"/>
      <c r="BS55" s="158"/>
      <c r="BT55" s="147"/>
      <c r="BU55" s="147"/>
      <c r="BV55" s="294"/>
    </row>
    <row r="56" spans="2:74">
      <c r="P56" s="1056"/>
      <c r="Q56" s="1056"/>
      <c r="R56" s="1056"/>
      <c r="S56" s="147"/>
      <c r="BV56" s="294"/>
    </row>
    <row r="57" spans="2:74">
      <c r="N57" s="182"/>
      <c r="P57" s="1056"/>
      <c r="Q57" s="1056"/>
      <c r="R57" s="1056"/>
      <c r="S57" s="147"/>
      <c r="BQ57" s="130" t="s">
        <v>695</v>
      </c>
      <c r="BV57" s="294"/>
    </row>
    <row r="58" spans="2:74" collapsed="1">
      <c r="P58" s="1056"/>
      <c r="Q58" s="1056"/>
      <c r="R58" s="1056"/>
      <c r="S58" s="147"/>
      <c r="BQ58" s="1058" t="s">
        <v>934</v>
      </c>
      <c r="BR58" s="1058"/>
      <c r="BS58" s="1058"/>
      <c r="BT58" s="1058"/>
      <c r="BV58" s="294"/>
    </row>
    <row r="59" spans="2:74" ht="6.75" customHeight="1">
      <c r="B59" s="1055"/>
      <c r="C59" s="1055"/>
      <c r="D59" s="1055"/>
      <c r="E59" s="1055"/>
      <c r="F59" s="1055"/>
      <c r="G59" s="1055"/>
      <c r="P59" s="217"/>
      <c r="Q59" s="217"/>
      <c r="R59" s="217"/>
      <c r="S59" s="147"/>
      <c r="BQ59" s="189"/>
      <c r="BR59" s="189"/>
      <c r="BS59" s="189"/>
      <c r="BT59" s="189"/>
      <c r="BV59" s="294"/>
    </row>
    <row r="60" spans="2:74" collapsed="1">
      <c r="P60" s="217"/>
      <c r="Q60" s="217"/>
      <c r="R60" s="217"/>
      <c r="S60" s="147"/>
      <c r="BQ60" s="131" t="s">
        <v>935</v>
      </c>
      <c r="BR60" s="132" t="s">
        <v>936</v>
      </c>
      <c r="BS60" s="132" t="s">
        <v>937</v>
      </c>
      <c r="BT60" s="592" t="s">
        <v>261</v>
      </c>
      <c r="BV60" s="294"/>
    </row>
    <row r="61" spans="2:74">
      <c r="B61" s="718"/>
      <c r="C61" s="725"/>
      <c r="D61" s="725"/>
      <c r="E61" s="716"/>
      <c r="F61" s="716"/>
      <c r="G61" s="716"/>
      <c r="P61" s="217"/>
      <c r="Q61" s="217"/>
      <c r="R61" s="217"/>
      <c r="S61" s="147"/>
      <c r="BQ61" s="970" t="s">
        <v>938</v>
      </c>
      <c r="BR61" s="382">
        <f>BR41+BR52</f>
        <v>47.8</v>
      </c>
      <c r="BS61" s="382">
        <f>BS41+BS52</f>
        <v>41</v>
      </c>
      <c r="BT61" s="456">
        <f>BS61-BR61</f>
        <v>-6.7999999999999972</v>
      </c>
      <c r="BV61" s="294"/>
    </row>
    <row r="62" spans="2:74">
      <c r="B62" s="726"/>
      <c r="C62" s="150"/>
      <c r="D62" s="150"/>
      <c r="E62" s="151"/>
      <c r="F62" s="151"/>
      <c r="G62" s="137"/>
      <c r="BQ62" s="970" t="s">
        <v>944</v>
      </c>
      <c r="BR62" s="382">
        <f>BR42+BR53</f>
        <v>14.4</v>
      </c>
      <c r="BS62" s="382">
        <f>BS42+BS53</f>
        <v>46</v>
      </c>
      <c r="BT62" s="456">
        <f>BS62-BR62</f>
        <v>31.6</v>
      </c>
      <c r="BV62" s="294"/>
    </row>
    <row r="63" spans="2:74">
      <c r="B63" s="715"/>
      <c r="C63" s="727"/>
      <c r="D63" s="727"/>
      <c r="E63" s="728"/>
      <c r="F63" s="716"/>
      <c r="G63" s="724"/>
      <c r="J63" s="178"/>
      <c r="BQ63" s="170" t="s">
        <v>14</v>
      </c>
      <c r="BR63" s="782">
        <f>SUM(BR61:BR62)</f>
        <v>62.199999999999996</v>
      </c>
      <c r="BS63" s="782">
        <f>SUM(BS61:BS62)</f>
        <v>87</v>
      </c>
      <c r="BT63" s="781">
        <f>BS63-BR63</f>
        <v>24.800000000000004</v>
      </c>
      <c r="BV63" s="294"/>
    </row>
    <row r="64" spans="2:74">
      <c r="BV64" s="294"/>
    </row>
    <row r="65" spans="74:74">
      <c r="BV65" s="294"/>
    </row>
    <row r="66" spans="74:74" outlineLevel="1">
      <c r="BV66" s="294"/>
    </row>
    <row r="67" spans="74:74" outlineLevel="1">
      <c r="BV67" s="294"/>
    </row>
    <row r="68" spans="74:74" outlineLevel="1">
      <c r="BV68" s="294"/>
    </row>
    <row r="69" spans="74:74">
      <c r="BV69" s="294"/>
    </row>
    <row r="70" spans="74:74">
      <c r="BV70" s="294"/>
    </row>
    <row r="71" spans="74:74">
      <c r="BV71" s="294"/>
    </row>
    <row r="72" spans="74:74" outlineLevel="1">
      <c r="BV72" s="294"/>
    </row>
    <row r="73" spans="74:74">
      <c r="BV73" s="294"/>
    </row>
    <row r="80" spans="74:74" outlineLevel="1"/>
    <row r="94" outlineLevel="1"/>
    <row r="95" outlineLevel="1"/>
    <row r="121" outlineLevel="1"/>
  </sheetData>
  <sortState xmlns:xlrd2="http://schemas.microsoft.com/office/spreadsheetml/2017/richdata2" ref="AW15:AX19">
    <sortCondition ref="AW15:AW19"/>
  </sortState>
  <mergeCells count="35">
    <mergeCell ref="CG2:CH2"/>
    <mergeCell ref="CK2:CL2"/>
    <mergeCell ref="CA2:CB2"/>
    <mergeCell ref="AL5:AL7"/>
    <mergeCell ref="AK5:AK7"/>
    <mergeCell ref="CI2:CJ2"/>
    <mergeCell ref="BQ2:BT2"/>
    <mergeCell ref="BV2:BW2"/>
    <mergeCell ref="CD2:CE2"/>
    <mergeCell ref="AC2:AD2"/>
    <mergeCell ref="BQ58:BT58"/>
    <mergeCell ref="B2:G2"/>
    <mergeCell ref="I2:N2"/>
    <mergeCell ref="P2:U2"/>
    <mergeCell ref="BH2:BM2"/>
    <mergeCell ref="AO2:AP2"/>
    <mergeCell ref="AG2:AM2"/>
    <mergeCell ref="W2:X2"/>
    <mergeCell ref="AZ2:BC2"/>
    <mergeCell ref="CN2:CO2"/>
    <mergeCell ref="CN10:CO10"/>
    <mergeCell ref="B59:G59"/>
    <mergeCell ref="P58:R58"/>
    <mergeCell ref="P55:S55"/>
    <mergeCell ref="BQ14:BT14"/>
    <mergeCell ref="AW2:AX2"/>
    <mergeCell ref="BQ38:BT38"/>
    <mergeCell ref="BQ49:BT49"/>
    <mergeCell ref="BE2:BF2"/>
    <mergeCell ref="AH5:AH6"/>
    <mergeCell ref="P57:R57"/>
    <mergeCell ref="P56:R56"/>
    <mergeCell ref="AI4:AJ4"/>
    <mergeCell ref="AR2:AU2"/>
    <mergeCell ref="Z2:AA2"/>
  </mergeCells>
  <pageMargins left="0.511811024" right="0.511811024" top="0.78740157499999996" bottom="0.78740157499999996" header="0.31496062000000002" footer="0.31496062000000002"/>
  <pageSetup paperSize="9" orientation="landscape" r:id="rId1"/>
  <customProperties>
    <customPr name="_pios_id" r:id="rId2"/>
  </customProperties>
  <ignoredErrors>
    <ignoredError sqref="AI6" formula="1"/>
  </ignoredError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2129F-43C6-4AB2-B525-1C5B00009971}">
  <sheetPr codeName="Plan5"/>
  <dimension ref="B1:DG121"/>
  <sheetViews>
    <sheetView showGridLines="0" zoomScaleNormal="100" workbookViewId="0">
      <selection activeCell="DF19" sqref="DF19"/>
    </sheetView>
  </sheetViews>
  <sheetFormatPr defaultColWidth="9.42578125" defaultRowHeight="11.25" outlineLevelRow="1" outlineLevelCol="1"/>
  <cols>
    <col min="1" max="1" width="3.42578125" style="130" customWidth="1"/>
    <col min="2" max="2" width="10.5703125" style="130" customWidth="1"/>
    <col min="3" max="3" width="7.42578125" style="130" customWidth="1" outlineLevel="1"/>
    <col min="4" max="4" width="8.5703125" style="130" customWidth="1" outlineLevel="1"/>
    <col min="5" max="5" width="5.42578125" style="130" customWidth="1"/>
    <col min="6" max="6" width="7.42578125" style="130" customWidth="1"/>
    <col min="7" max="7" width="6.5703125" style="130" bestFit="1" customWidth="1"/>
    <col min="8" max="8" width="6.42578125" style="683" customWidth="1"/>
    <col min="9" max="9" width="13.5703125" style="130" bestFit="1" customWidth="1"/>
    <col min="10" max="10" width="7.42578125" style="130" customWidth="1" outlineLevel="1"/>
    <col min="11" max="11" width="7.5703125" style="130" bestFit="1" customWidth="1" outlineLevel="1"/>
    <col min="12" max="12" width="5.5703125" style="130" bestFit="1" customWidth="1"/>
    <col min="13" max="13" width="8.85546875" style="130" bestFit="1" customWidth="1"/>
    <col min="14" max="14" width="7.42578125" style="130" bestFit="1" customWidth="1"/>
    <col min="15" max="15" width="7.5703125" style="683" bestFit="1" customWidth="1"/>
    <col min="16" max="16" width="12.42578125" style="130" hidden="1" customWidth="1"/>
    <col min="17" max="17" width="4.5703125" style="130" hidden="1" customWidth="1" outlineLevel="1"/>
    <col min="18" max="18" width="6.5703125" style="130" hidden="1" customWidth="1" outlineLevel="1"/>
    <col min="19" max="19" width="5" style="130" hidden="1" customWidth="1" collapsed="1"/>
    <col min="20" max="20" width="4.42578125" style="130" hidden="1" customWidth="1"/>
    <col min="21" max="21" width="6.5703125" style="130" hidden="1" customWidth="1"/>
    <col min="22" max="22" width="4" style="130" hidden="1" customWidth="1"/>
    <col min="23" max="23" width="14.42578125" style="130" hidden="1" customWidth="1"/>
    <col min="24" max="24" width="6.42578125" style="130" hidden="1" customWidth="1"/>
    <col min="25" max="25" width="3.42578125" style="130" hidden="1" customWidth="1"/>
    <col min="26" max="26" width="11.42578125" style="130" hidden="1" customWidth="1"/>
    <col min="27" max="27" width="7.42578125" style="130" hidden="1" customWidth="1" outlineLevel="1"/>
    <col min="28" max="28" width="6.5703125" style="130" hidden="1" customWidth="1" outlineLevel="1"/>
    <col min="29" max="29" width="6.42578125" style="130" hidden="1" customWidth="1" outlineLevel="1" collapsed="1"/>
    <col min="30" max="30" width="5.42578125" style="130" hidden="1" customWidth="1" collapsed="1"/>
    <col min="31" max="31" width="3.42578125" style="130" hidden="1" customWidth="1"/>
    <col min="32" max="32" width="8.42578125" style="130" hidden="1" customWidth="1"/>
    <col min="33" max="35" width="6.42578125" style="130" hidden="1" customWidth="1"/>
    <col min="36" max="36" width="5.5703125" style="130" hidden="1" customWidth="1"/>
    <col min="37" max="37" width="6.42578125" style="130" hidden="1" customWidth="1"/>
    <col min="38" max="38" width="5.42578125" style="130" hidden="1" customWidth="1"/>
    <col min="39" max="39" width="3.42578125" style="130" hidden="1" customWidth="1"/>
    <col min="40" max="40" width="10.42578125" style="130" hidden="1" customWidth="1"/>
    <col min="41" max="41" width="6" style="130" hidden="1" customWidth="1"/>
    <col min="42" max="42" width="4.5703125" style="130" hidden="1" customWidth="1"/>
    <col min="43" max="43" width="14.42578125" style="130" hidden="1" customWidth="1"/>
    <col min="44" max="46" width="4.42578125" style="130" hidden="1" customWidth="1"/>
    <col min="47" max="47" width="4.5703125" style="130" hidden="1" customWidth="1"/>
    <col min="48" max="48" width="17" style="130" hidden="1" customWidth="1"/>
    <col min="49" max="49" width="5.42578125" style="130" hidden="1" customWidth="1"/>
    <col min="50" max="50" width="3" style="130" hidden="1" customWidth="1"/>
    <col min="51" max="51" width="13.5703125" style="130" hidden="1" customWidth="1"/>
    <col min="52" max="52" width="5.5703125" style="130" hidden="1" customWidth="1"/>
    <col min="53" max="53" width="6" style="130" hidden="1" customWidth="1"/>
    <col min="54" max="54" width="6.42578125" style="130" hidden="1" customWidth="1"/>
    <col min="55" max="55" width="3" style="130" hidden="1" customWidth="1"/>
    <col min="56" max="56" width="15.5703125" style="130" hidden="1" customWidth="1"/>
    <col min="57" max="57" width="6.42578125" style="130" hidden="1" customWidth="1"/>
    <col min="58" max="58" width="3" style="130" hidden="1" customWidth="1"/>
    <col min="59" max="59" width="17.42578125" style="130" hidden="1" customWidth="1"/>
    <col min="60" max="64" width="6.42578125" style="130" hidden="1" customWidth="1"/>
    <col min="65" max="65" width="0" style="130" hidden="1" customWidth="1"/>
    <col min="66" max="66" width="10.42578125" style="130" hidden="1" customWidth="1"/>
    <col min="67" max="67" width="5.42578125" style="130" hidden="1" customWidth="1"/>
    <col min="68" max="68" width="0" style="130" hidden="1" customWidth="1"/>
    <col min="69" max="69" width="7.5703125" style="130" hidden="1" customWidth="1"/>
    <col min="70" max="70" width="5.42578125" style="130" hidden="1" customWidth="1"/>
    <col min="71" max="71" width="7.42578125" style="130" hidden="1" customWidth="1"/>
    <col min="72" max="72" width="4.5703125" style="130" hidden="1" customWidth="1"/>
    <col min="73" max="73" width="6.5703125" style="130" hidden="1" customWidth="1"/>
    <col min="74" max="74" width="13.5703125" style="130" hidden="1" customWidth="1"/>
    <col min="75" max="77" width="4.42578125" style="130" hidden="1" customWidth="1"/>
    <col min="78" max="78" width="5.5703125" style="130" hidden="1" customWidth="1"/>
    <col min="79" max="79" width="10.42578125" style="130" hidden="1" customWidth="1"/>
    <col min="80" max="80" width="5.42578125" style="130" hidden="1" customWidth="1"/>
    <col min="81" max="81" width="4.5703125" style="130" hidden="1" customWidth="1"/>
    <col min="82" max="82" width="16.5703125" style="130" hidden="1" customWidth="1"/>
    <col min="83" max="83" width="4.5703125" style="130" hidden="1" customWidth="1"/>
    <col min="84" max="84" width="0" style="130" hidden="1" customWidth="1"/>
    <col min="85" max="85" width="12.42578125" style="130" hidden="1" customWidth="1"/>
    <col min="86" max="86" width="7.42578125" style="130" hidden="1" customWidth="1"/>
    <col min="87" max="109" width="0" style="130" hidden="1" customWidth="1"/>
    <col min="110" max="16384" width="9.42578125" style="130"/>
  </cols>
  <sheetData>
    <row r="1" spans="2:111">
      <c r="I1" s="1067"/>
      <c r="J1" s="1067"/>
      <c r="K1" s="1067"/>
      <c r="L1" s="1067"/>
      <c r="M1" s="1067"/>
      <c r="N1" s="1067"/>
    </row>
    <row r="2" spans="2:111">
      <c r="B2" s="1059" t="s">
        <v>412</v>
      </c>
      <c r="C2" s="1059"/>
      <c r="D2" s="1059"/>
      <c r="E2" s="1059"/>
      <c r="F2" s="1059"/>
      <c r="G2" s="1059"/>
      <c r="I2" s="1059" t="s">
        <v>74</v>
      </c>
      <c r="J2" s="1059"/>
      <c r="K2" s="1059"/>
      <c r="L2" s="1059"/>
      <c r="M2" s="1059"/>
      <c r="N2" s="1059"/>
      <c r="P2" s="1059" t="s">
        <v>15</v>
      </c>
      <c r="Q2" s="1059"/>
      <c r="R2" s="1059"/>
      <c r="S2" s="1059"/>
      <c r="T2" s="1059"/>
      <c r="U2" s="1059"/>
      <c r="W2" s="1059" t="s">
        <v>16</v>
      </c>
      <c r="X2" s="1059"/>
      <c r="Z2" s="1059" t="s">
        <v>13</v>
      </c>
      <c r="AA2" s="1059"/>
      <c r="AB2" s="1059"/>
      <c r="AC2" s="1059"/>
      <c r="AD2" s="1059"/>
      <c r="AF2" s="1059" t="s">
        <v>272</v>
      </c>
      <c r="AG2" s="1059"/>
      <c r="AH2" s="1059"/>
      <c r="AI2" s="1059"/>
      <c r="AJ2" s="1059"/>
      <c r="AK2" s="1059"/>
      <c r="AL2" s="1059"/>
      <c r="AN2" s="1064" t="s">
        <v>17</v>
      </c>
      <c r="AO2" s="1059"/>
      <c r="AQ2" s="1059" t="s">
        <v>605</v>
      </c>
      <c r="AR2" s="1059"/>
      <c r="AS2" s="1059"/>
      <c r="AT2" s="1059"/>
      <c r="AV2" s="1059" t="s">
        <v>13</v>
      </c>
      <c r="AW2" s="1059"/>
      <c r="AY2" s="1059" t="s">
        <v>618</v>
      </c>
      <c r="AZ2" s="1059"/>
      <c r="BA2" s="1059"/>
      <c r="BB2" s="1059"/>
      <c r="BD2" s="1059" t="s">
        <v>610</v>
      </c>
      <c r="BE2" s="1059"/>
      <c r="BG2" s="1058" t="s">
        <v>370</v>
      </c>
      <c r="BH2" s="1058"/>
      <c r="BI2" s="1058"/>
      <c r="BJ2" s="1058"/>
      <c r="BK2" s="1058"/>
      <c r="BL2" s="1058"/>
      <c r="BQ2" s="1059" t="s">
        <v>415</v>
      </c>
      <c r="BR2" s="1059"/>
      <c r="BS2" s="1059"/>
      <c r="BT2" s="1059"/>
      <c r="BV2" s="1059" t="s">
        <v>416</v>
      </c>
      <c r="BW2" s="1059"/>
      <c r="BX2" s="1059"/>
      <c r="BY2" s="1059"/>
      <c r="CA2" s="1059" t="s">
        <v>371</v>
      </c>
      <c r="CB2" s="1059"/>
      <c r="CD2" s="1059" t="s">
        <v>374</v>
      </c>
      <c r="CE2" s="1059"/>
      <c r="CG2" s="1059" t="s">
        <v>16</v>
      </c>
      <c r="CH2" s="1059"/>
    </row>
    <row r="3" spans="2:111" ht="4.3499999999999996" customHeight="1">
      <c r="BG3" s="189"/>
      <c r="BH3" s="189"/>
      <c r="BI3" s="189"/>
      <c r="BJ3" s="189"/>
      <c r="BK3" s="189"/>
      <c r="BL3" s="189"/>
    </row>
    <row r="4" spans="2:111">
      <c r="B4" s="131" t="s">
        <v>88</v>
      </c>
      <c r="C4" s="132" t="str">
        <f>J4</f>
        <v>FY26'B</v>
      </c>
      <c r="D4" s="132" t="str">
        <f>K4</f>
        <v>FY26'F7</v>
      </c>
      <c r="E4" s="133" t="s">
        <v>89</v>
      </c>
      <c r="F4" s="133" t="str">
        <f>"CM "&amp;C4</f>
        <v>CM FY26'B</v>
      </c>
      <c r="G4" s="133" t="s">
        <v>90</v>
      </c>
      <c r="I4" s="131" t="s">
        <v>91</v>
      </c>
      <c r="J4" s="132" t="str">
        <f>Cálculo!D15</f>
        <v>FY26'B</v>
      </c>
      <c r="K4" s="132" t="str">
        <f>Cálculo!G15</f>
        <v>FY26'F7</v>
      </c>
      <c r="L4" s="133" t="s">
        <v>89</v>
      </c>
      <c r="M4" s="133" t="str">
        <f>"Vol "&amp;K4</f>
        <v>Vol FY26'F7</v>
      </c>
      <c r="N4" s="133" t="s">
        <v>90</v>
      </c>
      <c r="P4" s="131"/>
      <c r="Q4" s="132"/>
      <c r="R4" s="132"/>
      <c r="S4" s="133"/>
      <c r="T4" s="133"/>
      <c r="U4" s="133"/>
      <c r="W4" s="230"/>
      <c r="X4" s="232"/>
      <c r="Z4" s="131"/>
      <c r="AA4" s="132"/>
      <c r="AB4" s="132"/>
      <c r="AC4" s="132"/>
      <c r="AD4" s="133"/>
      <c r="AF4" s="131"/>
      <c r="AG4" s="132"/>
      <c r="AH4" s="133"/>
      <c r="AI4" s="133"/>
      <c r="AJ4" s="132"/>
      <c r="AK4" s="132"/>
      <c r="AL4" s="132"/>
      <c r="AN4" s="131"/>
      <c r="AO4" s="133"/>
      <c r="AQ4" s="592"/>
      <c r="AR4" s="593"/>
      <c r="AS4" s="593"/>
      <c r="AT4" s="604"/>
      <c r="AV4" s="592"/>
      <c r="AW4" s="604"/>
      <c r="AY4" s="592"/>
      <c r="AZ4" s="593"/>
      <c r="BA4" s="593"/>
      <c r="BB4" s="604"/>
      <c r="BD4" s="592"/>
      <c r="BE4" s="604"/>
      <c r="BG4" s="131"/>
      <c r="BH4" s="132"/>
      <c r="BI4" s="132"/>
      <c r="BJ4" s="133"/>
      <c r="BK4" s="133"/>
      <c r="BL4" s="133"/>
      <c r="BQ4" s="133"/>
      <c r="BR4" s="133"/>
      <c r="BS4" s="133"/>
      <c r="BT4" s="133"/>
      <c r="BV4" s="390"/>
      <c r="BW4" s="391"/>
      <c r="BX4" s="389"/>
      <c r="BY4" s="604"/>
      <c r="CA4" s="133"/>
      <c r="CB4" s="604"/>
      <c r="CD4" s="133"/>
      <c r="CE4" s="604"/>
      <c r="CG4" s="230"/>
      <c r="CH4" s="232"/>
    </row>
    <row r="5" spans="2:111">
      <c r="B5" s="134" t="s">
        <v>110</v>
      </c>
      <c r="C5" s="135">
        <f>Cálculo!C17/1000</f>
        <v>961</v>
      </c>
      <c r="D5" s="135">
        <f>Cálculo!F17/1000</f>
        <v>966.24786999999992</v>
      </c>
      <c r="E5" s="136">
        <f>D5-C5</f>
        <v>5.2478699999999208</v>
      </c>
      <c r="F5" s="141">
        <f>Cálculo!D83</f>
        <v>84.272668458113856</v>
      </c>
      <c r="G5" s="138">
        <f>E5*F5/1000</f>
        <v>0.44225200862127528</v>
      </c>
      <c r="H5" s="683">
        <f>G5-Box!G5</f>
        <v>0</v>
      </c>
      <c r="I5" s="134" t="s">
        <v>110</v>
      </c>
      <c r="J5" s="140">
        <f>Cálculo!D17</f>
        <v>521.6467174857612</v>
      </c>
      <c r="K5" s="140">
        <f>Cálculo!G17</f>
        <v>611.98900059572838</v>
      </c>
      <c r="L5" s="137">
        <f>K5-J5</f>
        <v>90.342283109967184</v>
      </c>
      <c r="M5" s="142">
        <f>Box!M5</f>
        <v>966.24786999999992</v>
      </c>
      <c r="N5" s="152">
        <f>L5*M5/1000</f>
        <v>87.293038625942756</v>
      </c>
      <c r="O5" s="683">
        <f>Cálculo!M17</f>
        <v>87293.038625942747</v>
      </c>
      <c r="P5" s="134"/>
      <c r="Q5" s="143"/>
      <c r="R5" s="143"/>
      <c r="S5" s="143"/>
      <c r="T5" s="421"/>
      <c r="U5" s="145"/>
      <c r="W5" s="134"/>
      <c r="X5" s="145"/>
      <c r="Z5" s="134"/>
      <c r="AA5" s="146"/>
      <c r="AB5" s="146"/>
      <c r="AC5" s="146"/>
      <c r="AD5" s="145"/>
      <c r="AF5" s="473"/>
      <c r="AG5" s="1060"/>
      <c r="AH5" s="647"/>
      <c r="AI5" s="143"/>
      <c r="AJ5" s="1065"/>
      <c r="AK5" s="1065"/>
      <c r="AL5" s="145"/>
      <c r="AN5" s="244"/>
      <c r="AO5" s="145"/>
      <c r="AQ5" s="296"/>
      <c r="AR5" s="415"/>
      <c r="AS5" s="415"/>
      <c r="AT5" s="246"/>
      <c r="AV5" s="244"/>
      <c r="AW5" s="145"/>
      <c r="AY5" s="149"/>
      <c r="AZ5" s="392"/>
      <c r="BA5" s="392"/>
      <c r="BB5" s="248"/>
      <c r="BD5" s="233"/>
      <c r="BE5" s="248"/>
      <c r="BG5" s="134"/>
      <c r="BH5" s="141"/>
      <c r="BI5" s="141"/>
      <c r="BJ5" s="141"/>
      <c r="BK5" s="166"/>
      <c r="BL5" s="138"/>
      <c r="BQ5" s="383"/>
      <c r="BR5" s="384"/>
      <c r="BS5" s="385"/>
      <c r="BT5" s="376"/>
      <c r="BV5" s="211"/>
      <c r="BY5" s="246"/>
      <c r="CA5" s="298"/>
      <c r="CB5" s="248"/>
      <c r="CD5" s="580"/>
      <c r="CE5" s="581"/>
      <c r="CG5" s="247"/>
      <c r="CH5" s="145"/>
      <c r="DF5" s="838">
        <f>O5/1000</f>
        <v>87.293038625942742</v>
      </c>
    </row>
    <row r="6" spans="2:111">
      <c r="B6" s="139" t="s">
        <v>942</v>
      </c>
      <c r="C6" s="150">
        <f>Cálculo!C18/1000</f>
        <v>400</v>
      </c>
      <c r="D6" s="150">
        <f>Cálculo!F18/1000</f>
        <v>997.327082214813</v>
      </c>
      <c r="E6" s="151">
        <f t="shared" ref="E6:E14" si="0">D6-C6</f>
        <v>597.327082214813</v>
      </c>
      <c r="F6" s="137">
        <f>Cálculo!D84</f>
        <v>28.199954689128276</v>
      </c>
      <c r="G6" s="152">
        <f>E6*F6/1000</f>
        <v>16.844596653046928</v>
      </c>
      <c r="I6" s="139" t="s">
        <v>942</v>
      </c>
      <c r="J6" s="153">
        <f>Cálculo!D18</f>
        <v>444.57400371677562</v>
      </c>
      <c r="K6" s="153">
        <f>Cálculo!G18</f>
        <v>516.61738349209077</v>
      </c>
      <c r="L6" s="137">
        <f>K6-J6</f>
        <v>72.043379775315145</v>
      </c>
      <c r="M6" s="142">
        <f>Box!M6</f>
        <v>997.327082214813</v>
      </c>
      <c r="N6" s="152">
        <f>L6*M6/1000</f>
        <v>71.850813744208722</v>
      </c>
      <c r="O6" s="683">
        <f>Cálculo!M18</f>
        <v>71850.813744208717</v>
      </c>
      <c r="P6" s="149"/>
      <c r="Q6" s="147"/>
      <c r="R6" s="147"/>
      <c r="S6" s="147"/>
      <c r="T6" s="144"/>
      <c r="U6" s="148"/>
      <c r="W6" s="170"/>
      <c r="X6" s="210"/>
      <c r="Z6" s="139"/>
      <c r="AA6" s="154"/>
      <c r="AB6" s="154"/>
      <c r="AC6" s="154"/>
      <c r="AD6" s="148"/>
      <c r="AF6" s="668"/>
      <c r="AG6" s="1061"/>
      <c r="AH6" s="221"/>
      <c r="AI6" s="147"/>
      <c r="AJ6" s="1066"/>
      <c r="AK6" s="1066"/>
      <c r="AL6" s="148"/>
      <c r="AN6" s="212"/>
      <c r="AO6" s="222"/>
      <c r="AQ6" s="211"/>
      <c r="AR6" s="415"/>
      <c r="AS6" s="415"/>
      <c r="AT6" s="246"/>
      <c r="AV6" s="676"/>
      <c r="AW6" s="222"/>
      <c r="AY6" s="170"/>
      <c r="AZ6" s="374"/>
      <c r="BA6" s="374"/>
      <c r="BB6" s="210"/>
      <c r="BD6" s="170"/>
      <c r="BE6" s="210"/>
      <c r="BG6" s="211"/>
      <c r="BL6" s="456"/>
      <c r="BV6" s="212"/>
      <c r="BW6" s="228"/>
      <c r="BX6" s="228"/>
      <c r="BY6" s="297"/>
      <c r="CA6" s="296"/>
      <c r="CB6" s="246"/>
      <c r="CD6" s="582"/>
      <c r="CE6" s="583"/>
      <c r="CG6" s="211"/>
      <c r="CH6" s="148"/>
      <c r="DF6" s="838">
        <f t="shared" ref="DF6:DF14" si="1">O6/1000</f>
        <v>71.850813744208722</v>
      </c>
    </row>
    <row r="7" spans="2:111">
      <c r="B7" s="139" t="s">
        <v>943</v>
      </c>
      <c r="C7" s="150">
        <f>Cálculo!C19/1000</f>
        <v>1423.1643800000002</v>
      </c>
      <c r="D7" s="150">
        <f>Cálculo!F19/1000</f>
        <v>874.38504200000057</v>
      </c>
      <c r="E7" s="151">
        <f t="shared" ref="E7" si="2">D7-C7</f>
        <v>-548.7793379999996</v>
      </c>
      <c r="F7" s="137">
        <f>Cálculo!D85</f>
        <v>36.906952394043515</v>
      </c>
      <c r="G7" s="152">
        <f>E7*F7/1000</f>
        <v>-20.253772902400698</v>
      </c>
      <c r="I7" s="139" t="s">
        <v>943</v>
      </c>
      <c r="J7" s="153">
        <f>Cálculo!D19</f>
        <v>453.28100142169086</v>
      </c>
      <c r="K7" s="153">
        <f>Cálculo!G19</f>
        <v>520.32299177246705</v>
      </c>
      <c r="L7" s="137">
        <f>K7-J7</f>
        <v>67.041990350776189</v>
      </c>
      <c r="M7" s="142">
        <f>Box!M7</f>
        <v>874.38504200000057</v>
      </c>
      <c r="N7" s="152">
        <f>L7*M7/1000</f>
        <v>58.620513548627073</v>
      </c>
      <c r="P7" s="149"/>
      <c r="Q7" s="147"/>
      <c r="R7" s="147"/>
      <c r="S7" s="147"/>
      <c r="T7" s="144"/>
      <c r="U7" s="148"/>
      <c r="W7" s="669"/>
      <c r="X7" s="193"/>
      <c r="Z7" s="139"/>
      <c r="AA7" s="154"/>
      <c r="AB7" s="154"/>
      <c r="AC7" s="154"/>
      <c r="AD7" s="148"/>
      <c r="AF7" s="668"/>
      <c r="AG7" s="415"/>
      <c r="AH7" s="221"/>
      <c r="AI7" s="147"/>
      <c r="AJ7" s="1066"/>
      <c r="AK7" s="1066"/>
      <c r="AL7" s="148"/>
      <c r="AN7" s="212"/>
      <c r="AO7" s="222"/>
      <c r="AQ7" s="211"/>
      <c r="AR7" s="415"/>
      <c r="AS7" s="415"/>
      <c r="AT7" s="246"/>
      <c r="AV7" s="676"/>
      <c r="AW7" s="222"/>
      <c r="AY7" s="715"/>
      <c r="BB7" s="720"/>
      <c r="BD7" s="715"/>
      <c r="BE7" s="720"/>
      <c r="BG7" s="211"/>
      <c r="BL7" s="456"/>
      <c r="BV7" s="212"/>
      <c r="BW7" s="228"/>
      <c r="BX7" s="228"/>
      <c r="BY7" s="297"/>
      <c r="CA7" s="296"/>
      <c r="CB7" s="246"/>
      <c r="CD7" s="582"/>
      <c r="CE7" s="583"/>
      <c r="CG7" s="211"/>
      <c r="CH7" s="148"/>
      <c r="DF7" s="838"/>
    </row>
    <row r="8" spans="2:111">
      <c r="B8" s="149" t="s">
        <v>94</v>
      </c>
      <c r="C8" s="150">
        <f>Cálculo!C22/1000</f>
        <v>433.46699999999998</v>
      </c>
      <c r="D8" s="150">
        <f>Cálculo!F22/1000</f>
        <v>197.56682000000006</v>
      </c>
      <c r="E8" s="151">
        <f t="shared" si="0"/>
        <v>-235.90017999999992</v>
      </c>
      <c r="F8" s="137">
        <f>Cálculo!D88</f>
        <v>36.052263114102971</v>
      </c>
      <c r="G8" s="891">
        <f>E8*F8/1000</f>
        <v>-8.5047353580242486</v>
      </c>
      <c r="I8" s="149" t="s">
        <v>94</v>
      </c>
      <c r="J8" s="153">
        <f>Cálculo!D22</f>
        <v>482.26451396374244</v>
      </c>
      <c r="K8" s="153">
        <f>Cálculo!G22</f>
        <v>557.07307353203691</v>
      </c>
      <c r="L8" s="137">
        <f>K8-J8</f>
        <v>74.80855956829447</v>
      </c>
      <c r="M8" s="142">
        <f>Box!M8</f>
        <v>197.56682000000006</v>
      </c>
      <c r="N8" s="891">
        <f>L8*M8/1000</f>
        <v>14.779689222688516</v>
      </c>
      <c r="O8" s="773"/>
      <c r="P8" s="149"/>
      <c r="Q8" s="147"/>
      <c r="R8" s="147"/>
      <c r="S8" s="147"/>
      <c r="T8" s="144"/>
      <c r="U8" s="148"/>
      <c r="W8" s="139"/>
      <c r="X8" s="148"/>
      <c r="Z8" s="139"/>
      <c r="AA8" s="158"/>
      <c r="AB8" s="158"/>
      <c r="AC8" s="158"/>
      <c r="AD8" s="148"/>
      <c r="AF8" s="149"/>
      <c r="AG8" s="147"/>
      <c r="AH8" s="221"/>
      <c r="AI8" s="147"/>
      <c r="AJ8" s="1066"/>
      <c r="AK8" s="1066"/>
      <c r="AL8" s="148"/>
      <c r="AN8" s="170"/>
      <c r="AO8" s="210"/>
      <c r="AQ8" s="603"/>
      <c r="AR8" s="415"/>
      <c r="AS8" s="415"/>
      <c r="AT8" s="246"/>
      <c r="AV8" s="170"/>
      <c r="AW8" s="210"/>
      <c r="BG8" s="155"/>
      <c r="BH8" s="165"/>
      <c r="BI8" s="165"/>
      <c r="BJ8" s="156"/>
      <c r="BK8" s="156"/>
      <c r="BL8" s="157"/>
      <c r="BQ8" s="133"/>
      <c r="BR8" s="133"/>
      <c r="BS8" s="133"/>
      <c r="BT8" s="133"/>
      <c r="BV8" s="170"/>
      <c r="BW8" s="461"/>
      <c r="BX8" s="461"/>
      <c r="BY8" s="210"/>
      <c r="CA8" s="170"/>
      <c r="CB8" s="210"/>
      <c r="CD8" s="585"/>
      <c r="CE8" s="584"/>
      <c r="CG8" s="211"/>
      <c r="CH8" s="148"/>
      <c r="DF8" s="838">
        <f t="shared" si="1"/>
        <v>0</v>
      </c>
    </row>
    <row r="9" spans="2:111">
      <c r="B9" s="149" t="s">
        <v>103</v>
      </c>
      <c r="C9" s="150">
        <f>Cálculo!C28/1000</f>
        <v>1.2203923579624538</v>
      </c>
      <c r="D9" s="150">
        <f>Cálculo!F28/1000</f>
        <v>1.887810550681587</v>
      </c>
      <c r="E9" s="151">
        <f t="shared" si="0"/>
        <v>0.66741819271913316</v>
      </c>
      <c r="F9" s="137">
        <f>Cálculo!D94</f>
        <v>388.26831379374886</v>
      </c>
      <c r="G9" s="152">
        <f t="shared" ref="G9:G11" si="3">E9*F9/1000</f>
        <v>0.25913733628232916</v>
      </c>
      <c r="I9" s="149" t="s">
        <v>103</v>
      </c>
      <c r="J9" s="154">
        <f>Cálculo!D28*Cálculo!$E$152</f>
        <v>4768.1586244014134</v>
      </c>
      <c r="K9" s="154">
        <f>Cálculo!G28*Cálculo!$H$152</f>
        <v>4851.081367236101</v>
      </c>
      <c r="L9" s="154">
        <f t="shared" ref="L9:L14" si="4">K9-J9</f>
        <v>82.922742834687597</v>
      </c>
      <c r="M9" s="142">
        <f t="shared" ref="M9:M14" si="5">D9</f>
        <v>1.887810550681587</v>
      </c>
      <c r="N9" s="152">
        <f>L9*M9/1000/$N$38</f>
        <v>2.898933866940356E-2</v>
      </c>
      <c r="O9" s="773"/>
      <c r="P9" s="149"/>
      <c r="Q9" s="147"/>
      <c r="R9" s="147"/>
      <c r="S9" s="147"/>
      <c r="T9" s="144"/>
      <c r="U9" s="148"/>
      <c r="W9" s="139"/>
      <c r="X9" s="148"/>
      <c r="Z9" s="149"/>
      <c r="AA9" s="154"/>
      <c r="AB9" s="154"/>
      <c r="AC9" s="154"/>
      <c r="AD9" s="148"/>
      <c r="AF9" s="155"/>
      <c r="AG9" s="156"/>
      <c r="AH9" s="156"/>
      <c r="AI9" s="156"/>
      <c r="AJ9" s="156"/>
      <c r="AK9" s="156"/>
      <c r="AL9" s="157"/>
      <c r="AQ9" s="603"/>
      <c r="AR9" s="415"/>
      <c r="AS9" s="415"/>
      <c r="AT9" s="246"/>
      <c r="BQ9" s="383"/>
      <c r="BR9" s="600"/>
      <c r="BS9" s="385"/>
      <c r="BT9" s="376"/>
      <c r="CD9" s="585"/>
      <c r="CE9" s="584"/>
      <c r="CG9" s="211"/>
      <c r="CH9" s="148"/>
      <c r="DF9" s="838">
        <f t="shared" si="1"/>
        <v>0</v>
      </c>
    </row>
    <row r="10" spans="2:111">
      <c r="B10" s="149" t="s">
        <v>104</v>
      </c>
      <c r="C10" s="150">
        <f>Cálculo!C29/1000</f>
        <v>0.49225999999999998</v>
      </c>
      <c r="D10" s="150">
        <f>Cálculo!F29/1000</f>
        <v>4.8473750000000004</v>
      </c>
      <c r="E10" s="151">
        <f t="shared" si="0"/>
        <v>4.3551150000000005</v>
      </c>
      <c r="F10" s="137">
        <f>Cálculo!D95</f>
        <v>-171.40909091166469</v>
      </c>
      <c r="G10" s="891">
        <f t="shared" si="3"/>
        <v>-0.74650630296575471</v>
      </c>
      <c r="I10" s="149" t="s">
        <v>104</v>
      </c>
      <c r="J10" s="153">
        <f>Cálculo!D29</f>
        <v>323.3149331466999</v>
      </c>
      <c r="K10" s="153">
        <f>Cálculo!G29</f>
        <v>603.52341365485699</v>
      </c>
      <c r="L10" s="137">
        <f t="shared" si="4"/>
        <v>280.20848050815709</v>
      </c>
      <c r="M10" s="142">
        <f t="shared" si="5"/>
        <v>4.8473750000000004</v>
      </c>
      <c r="N10" s="891">
        <f t="shared" ref="N10:N12" si="6">L10*M10/1000</f>
        <v>1.3582755832032281</v>
      </c>
      <c r="O10" s="773"/>
      <c r="P10" s="149"/>
      <c r="Q10" s="147"/>
      <c r="R10" s="147"/>
      <c r="S10" s="147"/>
      <c r="T10" s="144"/>
      <c r="U10" s="148"/>
      <c r="W10" s="139"/>
      <c r="X10" s="148"/>
      <c r="Z10" s="149"/>
      <c r="AA10" s="158"/>
      <c r="AB10" s="158"/>
      <c r="AC10" s="158"/>
      <c r="AD10" s="148"/>
      <c r="AQ10" s="170"/>
      <c r="AR10" s="461"/>
      <c r="AS10" s="461"/>
      <c r="AT10" s="210"/>
      <c r="BG10" s="230"/>
      <c r="BH10" s="231"/>
      <c r="BI10" s="231"/>
      <c r="BJ10" s="232"/>
      <c r="BK10" s="232"/>
      <c r="BL10" s="232"/>
      <c r="BV10" s="386"/>
      <c r="BW10" s="604"/>
      <c r="BX10" s="604"/>
      <c r="BY10" s="604"/>
      <c r="CD10" s="585"/>
      <c r="CE10" s="584"/>
      <c r="CG10" s="211"/>
      <c r="CH10" s="148"/>
      <c r="DF10" s="838">
        <f t="shared" si="1"/>
        <v>0</v>
      </c>
    </row>
    <row r="11" spans="2:111">
      <c r="B11" s="149" t="s">
        <v>105</v>
      </c>
      <c r="C11" s="150">
        <f>Cálculo!C33/1000</f>
        <v>49.551853244528026</v>
      </c>
      <c r="D11" s="150">
        <f>Cálculo!F33/1000</f>
        <v>41.14852363473107</v>
      </c>
      <c r="E11" s="151">
        <f t="shared" si="0"/>
        <v>-8.4033296097969554</v>
      </c>
      <c r="F11" s="137">
        <f>Cálculo!D99</f>
        <v>445.45555598797739</v>
      </c>
      <c r="G11" s="152">
        <f t="shared" si="3"/>
        <v>-3.7433098634823359</v>
      </c>
      <c r="I11" s="149" t="s">
        <v>105</v>
      </c>
      <c r="J11" s="154">
        <f>Cálculo!D33*Cálculo!$E$152</f>
        <v>5497.297498695305</v>
      </c>
      <c r="K11" s="154">
        <f>Cálculo!G33*Cálculo!$H$152</f>
        <v>5478.5867513794337</v>
      </c>
      <c r="L11" s="154">
        <f t="shared" ref="L11" si="7">K11-J11</f>
        <v>-18.710747315871231</v>
      </c>
      <c r="M11" s="142">
        <f t="shared" ref="M11" si="8">D11</f>
        <v>41.14852363473107</v>
      </c>
      <c r="N11" s="152">
        <f>L11*M11/1000/$N$38</f>
        <v>-0.14257770891677932</v>
      </c>
      <c r="O11" s="773"/>
      <c r="P11" s="149"/>
      <c r="Q11" s="147"/>
      <c r="R11" s="147"/>
      <c r="S11" s="147"/>
      <c r="T11" s="144"/>
      <c r="U11" s="148"/>
      <c r="W11" s="139"/>
      <c r="X11" s="148"/>
      <c r="Z11" s="149"/>
      <c r="AA11" s="154"/>
      <c r="AB11" s="154"/>
      <c r="AC11" s="154"/>
      <c r="AD11" s="152"/>
      <c r="AV11" s="245"/>
      <c r="BG11" s="134"/>
      <c r="BH11" s="140"/>
      <c r="BI11" s="140"/>
      <c r="BJ11" s="140"/>
      <c r="BK11" s="166"/>
      <c r="BL11" s="138"/>
      <c r="BQ11" s="375"/>
      <c r="BR11" s="378"/>
      <c r="BS11" s="378"/>
      <c r="BT11" s="377"/>
      <c r="BV11" s="247"/>
      <c r="BW11" s="392"/>
      <c r="BX11" s="392"/>
      <c r="BY11" s="248"/>
      <c r="CD11" s="585"/>
      <c r="CE11" s="584"/>
      <c r="CG11" s="211"/>
      <c r="CH11" s="148"/>
      <c r="DF11" s="838">
        <f t="shared" si="1"/>
        <v>0</v>
      </c>
    </row>
    <row r="12" spans="2:111">
      <c r="B12" s="149" t="s">
        <v>107</v>
      </c>
      <c r="C12" s="150">
        <f>Cálculo!C34/1000</f>
        <v>1.0141200000000001</v>
      </c>
      <c r="D12" s="150">
        <f>Cálculo!F34/1000</f>
        <v>2.5991210000000002</v>
      </c>
      <c r="E12" s="151">
        <f t="shared" si="0"/>
        <v>1.5850010000000001</v>
      </c>
      <c r="F12" s="137">
        <f>Cálculo!D100</f>
        <v>-268.88972499172542</v>
      </c>
      <c r="G12" s="891">
        <f>E12*F12/1000</f>
        <v>-0.42619048300160978</v>
      </c>
      <c r="I12" s="149" t="s">
        <v>107</v>
      </c>
      <c r="J12" s="153">
        <f>Cálculo!D34</f>
        <v>323.3149331466999</v>
      </c>
      <c r="K12" s="153">
        <f>Cálculo!G34</f>
        <v>562.09664698283348</v>
      </c>
      <c r="L12" s="137">
        <f t="shared" si="4"/>
        <v>238.78171383613358</v>
      </c>
      <c r="M12" s="142">
        <f t="shared" si="5"/>
        <v>2.5991210000000002</v>
      </c>
      <c r="N12" s="891">
        <f t="shared" si="6"/>
        <v>0.6206225668474854</v>
      </c>
      <c r="O12" s="773"/>
      <c r="P12" s="149"/>
      <c r="Q12" s="147"/>
      <c r="R12" s="147"/>
      <c r="S12" s="147"/>
      <c r="T12" s="144"/>
      <c r="U12" s="148"/>
      <c r="W12" s="139"/>
      <c r="X12" s="148"/>
      <c r="Z12" s="149"/>
      <c r="AA12" s="158"/>
      <c r="AB12" s="158"/>
      <c r="AC12" s="158"/>
      <c r="AD12" s="148"/>
      <c r="BG12" s="211"/>
      <c r="BH12" s="153"/>
      <c r="BI12" s="153"/>
      <c r="BJ12" s="153"/>
      <c r="BK12" s="142"/>
      <c r="BL12" s="152"/>
      <c r="BV12" s="170"/>
      <c r="BW12" s="461"/>
      <c r="BX12" s="461"/>
      <c r="BY12" s="210"/>
      <c r="CD12" s="585"/>
      <c r="CE12" s="584"/>
      <c r="CG12" s="170"/>
      <c r="CH12" s="210"/>
      <c r="DF12" s="838">
        <f t="shared" si="1"/>
        <v>0</v>
      </c>
      <c r="DG12" s="181">
        <f>'Box (resumo sem AMD)'!C14+'Box (resumo sem AMD)'!C12+'Box (resumo sem AMD)'!C10</f>
        <v>1.5063800000000001</v>
      </c>
    </row>
    <row r="13" spans="2:111">
      <c r="B13" s="603" t="str">
        <f>Cálculo!B44</f>
        <v>Magnelis DM Industry</v>
      </c>
      <c r="C13" s="150">
        <f>Cálculo!C44/1000</f>
        <v>0</v>
      </c>
      <c r="D13" s="150">
        <f>Cálculo!F44/1000</f>
        <v>10</v>
      </c>
      <c r="E13" s="151">
        <f>D13-C13</f>
        <v>10</v>
      </c>
      <c r="F13" s="137">
        <f>Cálculo!D110</f>
        <v>-182.6228988553986</v>
      </c>
      <c r="G13" s="891">
        <f>E13*F13/1000</f>
        <v>-1.826228988553986</v>
      </c>
      <c r="I13" s="149" t="s">
        <v>107</v>
      </c>
      <c r="J13" s="153">
        <f>Cálculo!D44</f>
        <v>481.23641067916822</v>
      </c>
      <c r="K13" s="153">
        <f>Cálculo!G44</f>
        <v>481.23641067916822</v>
      </c>
      <c r="L13" s="137">
        <f>K13-J13</f>
        <v>0</v>
      </c>
      <c r="M13" s="142">
        <f>D13</f>
        <v>10</v>
      </c>
      <c r="N13" s="891">
        <f>L13*M13/1000</f>
        <v>0</v>
      </c>
      <c r="O13" s="773"/>
      <c r="P13" s="149"/>
      <c r="Q13" s="147"/>
      <c r="R13" s="147"/>
      <c r="S13" s="147"/>
      <c r="T13" s="144"/>
      <c r="U13" s="148"/>
      <c r="W13" s="139"/>
      <c r="X13" s="148"/>
      <c r="Z13" s="149"/>
      <c r="AA13" s="158"/>
      <c r="AB13" s="158"/>
      <c r="AC13" s="158"/>
      <c r="AD13" s="148"/>
      <c r="BG13" s="211"/>
      <c r="BH13" s="153"/>
      <c r="BI13" s="153"/>
      <c r="BJ13" s="153"/>
      <c r="BK13" s="142"/>
      <c r="BL13" s="152"/>
      <c r="BV13" s="715"/>
      <c r="BW13" s="715"/>
      <c r="BX13" s="715"/>
      <c r="BY13" s="720"/>
      <c r="CD13" s="585"/>
      <c r="CE13" s="584"/>
      <c r="CG13" s="715"/>
      <c r="CH13" s="720"/>
      <c r="DF13" s="838"/>
      <c r="DG13" s="181"/>
    </row>
    <row r="14" spans="2:111" collapsed="1">
      <c r="B14" s="159" t="s">
        <v>290</v>
      </c>
      <c r="C14" s="150">
        <f>Cálculo!C38/1000</f>
        <v>0</v>
      </c>
      <c r="D14" s="150">
        <f>Cálculo!F38/1000</f>
        <v>0</v>
      </c>
      <c r="E14" s="151">
        <f t="shared" si="0"/>
        <v>0</v>
      </c>
      <c r="F14" s="137">
        <f>Cálculo!D104</f>
        <v>-663.85930953456682</v>
      </c>
      <c r="G14" s="912">
        <f>E14*F14/1000</f>
        <v>0</v>
      </c>
      <c r="I14" s="159" t="s">
        <v>290</v>
      </c>
      <c r="J14" s="161">
        <f>Cálculo!D38</f>
        <v>0</v>
      </c>
      <c r="K14" s="161">
        <f>Cálculo!G38</f>
        <v>0</v>
      </c>
      <c r="L14" s="137">
        <f t="shared" si="4"/>
        <v>0</v>
      </c>
      <c r="M14" s="142">
        <f t="shared" si="5"/>
        <v>0</v>
      </c>
      <c r="N14" s="891">
        <f>L14*M14/1000</f>
        <v>0</v>
      </c>
      <c r="O14" s="773"/>
      <c r="P14" s="149"/>
      <c r="Q14" s="147"/>
      <c r="R14" s="147"/>
      <c r="S14" s="147"/>
      <c r="T14" s="144"/>
      <c r="U14" s="148"/>
      <c r="V14" s="181"/>
      <c r="W14" s="206"/>
      <c r="X14" s="222"/>
      <c r="Z14" s="149"/>
      <c r="AA14" s="154"/>
      <c r="AB14" s="154"/>
      <c r="AC14" s="154"/>
      <c r="AD14" s="152"/>
      <c r="AL14" s="182"/>
      <c r="AT14" s="152"/>
      <c r="AW14" s="182"/>
      <c r="BG14" s="211"/>
      <c r="BH14" s="153"/>
      <c r="BI14" s="153"/>
      <c r="BJ14" s="153"/>
      <c r="BK14" s="142"/>
      <c r="BL14" s="152"/>
      <c r="CD14" s="585"/>
      <c r="CE14" s="584"/>
      <c r="DF14" s="838">
        <f t="shared" si="1"/>
        <v>0</v>
      </c>
    </row>
    <row r="15" spans="2:111">
      <c r="B15" s="155" t="s">
        <v>99</v>
      </c>
      <c r="C15" s="163">
        <f>SUM(C5:C14)</f>
        <v>3269.9100056024904</v>
      </c>
      <c r="D15" s="163">
        <f>SUM(D5:D14)</f>
        <v>3096.0096444002261</v>
      </c>
      <c r="E15" s="164">
        <f>SUM(E5:E14)</f>
        <v>-173.90036120226441</v>
      </c>
      <c r="F15" s="156"/>
      <c r="G15" s="157">
        <f>SUM(G5:G14)</f>
        <v>-17.9547579004781</v>
      </c>
      <c r="H15" s="823">
        <f>G15-Box!G14</f>
        <v>-1.8262289885539857</v>
      </c>
      <c r="I15" s="155" t="s">
        <v>99</v>
      </c>
      <c r="J15" s="165"/>
      <c r="K15" s="165"/>
      <c r="L15" s="156"/>
      <c r="M15" s="156"/>
      <c r="N15" s="713">
        <f>SUM(N5:N14)</f>
        <v>234.4093649212704</v>
      </c>
      <c r="O15" s="773"/>
      <c r="P15" s="149"/>
      <c r="Q15" s="147"/>
      <c r="R15" s="147"/>
      <c r="S15" s="147"/>
      <c r="T15" s="144"/>
      <c r="U15" s="148"/>
      <c r="V15" s="181"/>
      <c r="Z15" s="159"/>
      <c r="AA15" s="334"/>
      <c r="AB15" s="334"/>
      <c r="AC15" s="334"/>
      <c r="AD15" s="222"/>
      <c r="BG15" s="211"/>
      <c r="BH15" s="677"/>
      <c r="BI15" s="677"/>
      <c r="BJ15" s="337"/>
      <c r="BK15" s="142"/>
      <c r="BL15" s="152"/>
      <c r="CD15" s="585"/>
      <c r="CE15" s="584"/>
    </row>
    <row r="16" spans="2:111">
      <c r="N16" s="857"/>
      <c r="P16" s="149"/>
      <c r="Q16" s="147"/>
      <c r="R16" s="147"/>
      <c r="S16" s="147"/>
      <c r="T16" s="144"/>
      <c r="U16" s="148"/>
      <c r="V16" s="181"/>
      <c r="Z16" s="155"/>
      <c r="AA16" s="165"/>
      <c r="AB16" s="165"/>
      <c r="AC16" s="156"/>
      <c r="AD16" s="157"/>
      <c r="BG16" s="211"/>
      <c r="BL16" s="246"/>
      <c r="BV16" s="390"/>
      <c r="BW16" s="391"/>
      <c r="BX16" s="389"/>
      <c r="BY16" s="604"/>
      <c r="CD16" s="585"/>
      <c r="CE16" s="584"/>
    </row>
    <row r="17" spans="2:111">
      <c r="B17" s="131" t="s">
        <v>88</v>
      </c>
      <c r="C17" s="132" t="str">
        <f>C4</f>
        <v>FY26'B</v>
      </c>
      <c r="D17" s="132" t="str">
        <f>D4</f>
        <v>FY26'F7</v>
      </c>
      <c r="E17" s="133" t="s">
        <v>89</v>
      </c>
      <c r="F17" s="133" t="str">
        <f>F4</f>
        <v>CM FY26'B</v>
      </c>
      <c r="G17" s="133" t="s">
        <v>90</v>
      </c>
      <c r="I17" s="131" t="s">
        <v>91</v>
      </c>
      <c r="J17" s="132" t="str">
        <f>J4</f>
        <v>FY26'B</v>
      </c>
      <c r="K17" s="132" t="str">
        <f>K4</f>
        <v>FY26'F7</v>
      </c>
      <c r="L17" s="133" t="s">
        <v>89</v>
      </c>
      <c r="M17" s="133" t="str">
        <f>M4</f>
        <v>Vol FY26'F7</v>
      </c>
      <c r="N17" s="858" t="s">
        <v>90</v>
      </c>
      <c r="P17" s="170"/>
      <c r="Q17" s="461"/>
      <c r="R17" s="461"/>
      <c r="S17" s="461"/>
      <c r="T17" s="461"/>
      <c r="U17" s="157"/>
      <c r="V17" s="181"/>
      <c r="BG17" s="212"/>
      <c r="BH17" s="228"/>
      <c r="BI17" s="228"/>
      <c r="BJ17" s="228"/>
      <c r="BK17" s="228"/>
      <c r="BL17" s="229"/>
      <c r="BV17" s="383"/>
      <c r="BW17" s="387"/>
      <c r="BX17" s="387"/>
      <c r="BY17" s="377"/>
      <c r="CD17" s="582"/>
      <c r="CE17" s="583"/>
    </row>
    <row r="18" spans="2:111">
      <c r="B18" s="134" t="s">
        <v>291</v>
      </c>
      <c r="C18" s="135">
        <f>Cálculo!C20/1000</f>
        <v>31.000000000000004</v>
      </c>
      <c r="D18" s="135">
        <f>Cálculo!F20/1000</f>
        <v>32.424160000000001</v>
      </c>
      <c r="E18" s="151">
        <f>D18-C18</f>
        <v>1.424159999999997</v>
      </c>
      <c r="F18" s="137">
        <f>Cálculo!D86</f>
        <v>0.72748998948657118</v>
      </c>
      <c r="G18" s="138">
        <f t="shared" ref="G18:G31" si="9">E18*F18/1000</f>
        <v>1.036062143427193E-3</v>
      </c>
      <c r="I18" s="134" t="s">
        <v>291</v>
      </c>
      <c r="J18" s="146">
        <f>Cálculo!D20*Cálculo!$E$152</f>
        <v>2435.9483106925231</v>
      </c>
      <c r="K18" s="146">
        <f>Cálculo!G20*Cálculo!$H$152</f>
        <v>2403.9567062045708</v>
      </c>
      <c r="L18" s="146">
        <f>K18-J18</f>
        <v>-31.991604487952372</v>
      </c>
      <c r="M18" s="142">
        <f t="shared" ref="M18:M31" si="10">D18</f>
        <v>32.424160000000001</v>
      </c>
      <c r="N18" s="152">
        <f>L18*M18/1000/$N$38</f>
        <v>-0.19209275973594181</v>
      </c>
      <c r="O18" s="684">
        <f>Cálculo!M20</f>
        <v>-192.0927597359418</v>
      </c>
      <c r="Z18" s="167"/>
      <c r="AC18" s="168"/>
      <c r="AD18" s="169"/>
      <c r="BG18" s="155"/>
      <c r="BH18" s="165"/>
      <c r="BI18" s="165"/>
      <c r="BJ18" s="156"/>
      <c r="BK18" s="156"/>
      <c r="BL18" s="157"/>
      <c r="BQ18" s="133"/>
      <c r="BR18" s="133"/>
      <c r="BS18" s="133"/>
      <c r="BT18" s="133"/>
      <c r="CD18" s="585"/>
      <c r="CE18" s="584"/>
      <c r="DF18" s="838">
        <f>O18/1000</f>
        <v>-0.19209275973594181</v>
      </c>
      <c r="DG18" s="838">
        <f>N18-DF18</f>
        <v>0</v>
      </c>
    </row>
    <row r="19" spans="2:111">
      <c r="B19" s="149" t="s">
        <v>292</v>
      </c>
      <c r="C19" s="150">
        <f>Cálculo!C21/1000</f>
        <v>18</v>
      </c>
      <c r="D19" s="150">
        <f>Cálculo!F21/1000</f>
        <v>16.529159999999997</v>
      </c>
      <c r="E19" s="151">
        <f t="shared" ref="E19:E31" si="11">D19-C19</f>
        <v>-1.4708400000000026</v>
      </c>
      <c r="F19" s="137">
        <f>Cálculo!D87</f>
        <v>269.02612368960223</v>
      </c>
      <c r="G19" s="152">
        <f t="shared" si="9"/>
        <v>-0.39569438376761523</v>
      </c>
      <c r="I19" s="149" t="s">
        <v>292</v>
      </c>
      <c r="J19" s="154">
        <f>Cálculo!D21*Cálculo!$E$152</f>
        <v>3701.1609326731477</v>
      </c>
      <c r="K19" s="154">
        <f>Cálculo!G21*Cálculo!$H$152</f>
        <v>3627.088798018437</v>
      </c>
      <c r="L19" s="154">
        <f>K19-J19</f>
        <v>-74.07213465471068</v>
      </c>
      <c r="M19" s="142">
        <f t="shared" ref="M19" si="12">D19</f>
        <v>16.529159999999997</v>
      </c>
      <c r="N19" s="152">
        <f>L19*M19/1000/$N$38</f>
        <v>-0.22673151208319575</v>
      </c>
      <c r="O19" s="684">
        <f>+Cálculo!M21</f>
        <v>-226.73151208319578</v>
      </c>
      <c r="P19" s="170"/>
      <c r="Q19" s="461"/>
      <c r="R19" s="685"/>
      <c r="S19" s="461"/>
      <c r="T19" s="461"/>
      <c r="U19" s="686"/>
      <c r="BQ19" s="383"/>
      <c r="BR19" s="384"/>
      <c r="BS19" s="385"/>
      <c r="BT19" s="376"/>
      <c r="CD19" s="585"/>
      <c r="CE19" s="584"/>
      <c r="DF19" s="838">
        <f t="shared" ref="DF19:DF35" si="13">O19/1000</f>
        <v>-0.22673151208319578</v>
      </c>
      <c r="DG19" s="838">
        <f t="shared" ref="DG19:DG35" si="14">N19-DF19</f>
        <v>0</v>
      </c>
    </row>
    <row r="20" spans="2:111">
      <c r="B20" s="149" t="s">
        <v>293</v>
      </c>
      <c r="C20" s="150">
        <f>Cálculo!C23/1000</f>
        <v>85.817959999999999</v>
      </c>
      <c r="D20" s="150">
        <f>Cálculo!F23/1000</f>
        <v>100.23684017419748</v>
      </c>
      <c r="E20" s="151">
        <f t="shared" si="11"/>
        <v>14.418880174197483</v>
      </c>
      <c r="F20" s="137">
        <f>Cálculo!D89</f>
        <v>244.22864382719018</v>
      </c>
      <c r="G20" s="152">
        <f t="shared" si="9"/>
        <v>3.521503550451011</v>
      </c>
      <c r="I20" s="149" t="s">
        <v>293</v>
      </c>
      <c r="J20" s="154">
        <f>Cálculo!D23*Cálculo!$E$152</f>
        <v>3679.7808312548805</v>
      </c>
      <c r="K20" s="154">
        <f>Cálculo!G23*Cálculo!$H$152</f>
        <v>3757.0515455868849</v>
      </c>
      <c r="L20" s="154">
        <f t="shared" ref="L20:L31" si="15">K20-J20</f>
        <v>77.270714332004445</v>
      </c>
      <c r="M20" s="142">
        <f t="shared" si="10"/>
        <v>100.23684017419748</v>
      </c>
      <c r="N20" s="152">
        <f>L20*M20/1000/$N$38</f>
        <v>1.4343281930820742</v>
      </c>
      <c r="O20" s="684">
        <f>Cálculo!M23</f>
        <v>1434.328193082074</v>
      </c>
      <c r="Z20" s="173"/>
      <c r="AA20" s="173"/>
      <c r="AB20" s="173"/>
      <c r="AC20" s="173"/>
      <c r="AD20" s="174"/>
      <c r="BG20" s="687"/>
      <c r="BH20" s="688"/>
      <c r="BI20" s="688"/>
      <c r="BJ20" s="688"/>
      <c r="BK20" s="688"/>
      <c r="BL20" s="692"/>
      <c r="BT20" s="245"/>
      <c r="CD20" s="582"/>
      <c r="CE20" s="583"/>
      <c r="CF20" s="189"/>
      <c r="CG20" s="189"/>
      <c r="CH20" s="189"/>
      <c r="CI20" s="152"/>
      <c r="DF20" s="838">
        <f t="shared" si="13"/>
        <v>1.4343281930820739</v>
      </c>
      <c r="DG20" s="838">
        <f t="shared" si="14"/>
        <v>0</v>
      </c>
    </row>
    <row r="21" spans="2:111">
      <c r="B21" s="149" t="s">
        <v>300</v>
      </c>
      <c r="C21" s="150">
        <f>Cálculo!C24/1000+Cálculo!C25/1000</f>
        <v>1866.0551300000002</v>
      </c>
      <c r="D21" s="150">
        <f>Cálculo!F24/1000+Cálculo!F25/1000</f>
        <v>1888.1301704239982</v>
      </c>
      <c r="E21" s="151">
        <f t="shared" si="11"/>
        <v>22.075040423997962</v>
      </c>
      <c r="F21" s="137">
        <f>((Cálculo!E24+Cálculo!E25)/(Cálculo!C24+Cálculo!C25))*1000-((Cálculo!E57+Cálculo!E58)/(Cálculo!C57+Cálculo!C58))*1000</f>
        <v>225.39184478851257</v>
      </c>
      <c r="G21" s="152">
        <f>Box!G20+Box!G21</f>
        <v>5.208610852839441</v>
      </c>
      <c r="I21" s="149" t="s">
        <v>300</v>
      </c>
      <c r="J21" s="154">
        <f>Cálculo!S24*Cálculo!$E$152</f>
        <v>3677.0010400350579</v>
      </c>
      <c r="K21" s="154">
        <f>Cálculo!S25*Cálculo!$H$152</f>
        <v>3721.2398662689493</v>
      </c>
      <c r="L21" s="154">
        <f t="shared" si="15"/>
        <v>44.238826233891359</v>
      </c>
      <c r="M21" s="142">
        <f>D21</f>
        <v>1888.1301704239982</v>
      </c>
      <c r="N21" s="152">
        <f>Box!N20+Box!N21</f>
        <v>14.120803510425009</v>
      </c>
      <c r="O21" s="684"/>
      <c r="P21" s="173"/>
      <c r="Q21" s="173"/>
      <c r="R21" s="173"/>
      <c r="S21" s="173"/>
      <c r="T21" s="173"/>
      <c r="U21" s="174"/>
      <c r="BG21" s="687"/>
      <c r="BH21" s="688"/>
      <c r="BI21" s="688"/>
      <c r="BJ21" s="688"/>
      <c r="BK21" s="688"/>
      <c r="BL21" s="692"/>
      <c r="BT21" s="486"/>
      <c r="CD21" s="582"/>
      <c r="CE21" s="583"/>
      <c r="DF21" s="838">
        <f t="shared" si="13"/>
        <v>0</v>
      </c>
      <c r="DG21" s="838">
        <f t="shared" si="14"/>
        <v>14.120803510425009</v>
      </c>
    </row>
    <row r="22" spans="2:111">
      <c r="B22" s="149" t="s">
        <v>295</v>
      </c>
      <c r="C22" s="150">
        <f>Cálculo!C26/1000</f>
        <v>102.99919000000001</v>
      </c>
      <c r="D22" s="150">
        <f>Cálculo!F26/1000</f>
        <v>90.523857724700008</v>
      </c>
      <c r="E22" s="151">
        <f t="shared" si="11"/>
        <v>-12.475332275300005</v>
      </c>
      <c r="F22" s="137">
        <f>Cálculo!D92</f>
        <v>341.9938587047485</v>
      </c>
      <c r="G22" s="152">
        <f t="shared" si="9"/>
        <v>-4.2664870234537382</v>
      </c>
      <c r="I22" s="149" t="s">
        <v>295</v>
      </c>
      <c r="J22" s="154">
        <f>Cálculo!D26*Cálculo!$E$152</f>
        <v>4639.7129915936957</v>
      </c>
      <c r="K22" s="154">
        <f>Cálculo!G26*Cálculo!$H$152</f>
        <v>4733.5025730571733</v>
      </c>
      <c r="L22" s="154">
        <f t="shared" si="15"/>
        <v>93.789581463477589</v>
      </c>
      <c r="M22" s="142">
        <f t="shared" si="10"/>
        <v>90.523857724700008</v>
      </c>
      <c r="N22" s="152">
        <f>L22*M22/1000/$N$38</f>
        <v>1.5722582830479639</v>
      </c>
      <c r="O22" s="684"/>
      <c r="BG22" s="212"/>
      <c r="BH22" s="228"/>
      <c r="BI22" s="228"/>
      <c r="BJ22" s="228"/>
      <c r="BK22" s="228"/>
      <c r="BL22" s="694"/>
      <c r="DF22" s="838">
        <f t="shared" si="13"/>
        <v>0</v>
      </c>
      <c r="DG22" s="838">
        <f t="shared" si="14"/>
        <v>1.5722582830479639</v>
      </c>
    </row>
    <row r="23" spans="2:111" collapsed="1">
      <c r="B23" s="149" t="s">
        <v>296</v>
      </c>
      <c r="C23" s="150">
        <f>Cálculo!C27/1000</f>
        <v>0</v>
      </c>
      <c r="D23" s="150">
        <f>Cálculo!F27/1000</f>
        <v>45.424208000000021</v>
      </c>
      <c r="E23" s="151">
        <f t="shared" si="11"/>
        <v>45.424208000000021</v>
      </c>
      <c r="F23" s="137">
        <f>Cálculo!D93</f>
        <v>269.38858166534862</v>
      </c>
      <c r="G23" s="152">
        <f t="shared" si="9"/>
        <v>12.236762966391789</v>
      </c>
      <c r="I23" s="149" t="s">
        <v>296</v>
      </c>
      <c r="J23" s="154">
        <f>Cálculo!D27*Cálculo!$E$152</f>
        <v>3905.6444955809361</v>
      </c>
      <c r="K23" s="154">
        <f>Cálculo!G27*Cálculo!$H$152</f>
        <v>3743.787672547508</v>
      </c>
      <c r="L23" s="154">
        <f t="shared" si="15"/>
        <v>-161.8568230334281</v>
      </c>
      <c r="M23" s="142">
        <f t="shared" si="10"/>
        <v>45.424208000000021</v>
      </c>
      <c r="N23" s="152">
        <f>L23*M23/1000/$N$38</f>
        <v>-1.3615218510536355</v>
      </c>
      <c r="O23" s="684"/>
      <c r="BT23" s="181"/>
      <c r="DF23" s="838">
        <f t="shared" si="13"/>
        <v>0</v>
      </c>
      <c r="DG23" s="838">
        <f t="shared" si="14"/>
        <v>-1.3615218510536355</v>
      </c>
    </row>
    <row r="24" spans="2:111">
      <c r="B24" s="149" t="s">
        <v>103</v>
      </c>
      <c r="C24" s="150">
        <f>Cálculo!C30/1000</f>
        <v>90.127470395196156</v>
      </c>
      <c r="D24" s="150">
        <f>Cálculo!F30/1000</f>
        <v>95.622293215625149</v>
      </c>
      <c r="E24" s="151">
        <f t="shared" si="11"/>
        <v>5.4948228204289933</v>
      </c>
      <c r="F24" s="137">
        <f>Cálculo!D96</f>
        <v>427.29820281741667</v>
      </c>
      <c r="G24" s="152">
        <f t="shared" si="9"/>
        <v>2.3479279159694375</v>
      </c>
      <c r="I24" s="149" t="s">
        <v>103</v>
      </c>
      <c r="J24" s="154">
        <f>Cálculo!D30*Cálculo!$E$152</f>
        <v>4978.9200251292195</v>
      </c>
      <c r="K24" s="154">
        <f>Cálculo!G30*Cálculo!$H$152</f>
        <v>5088.1970023102322</v>
      </c>
      <c r="L24" s="154">
        <f t="shared" si="15"/>
        <v>109.27697718101263</v>
      </c>
      <c r="M24" s="142">
        <f t="shared" si="10"/>
        <v>95.622293215625149</v>
      </c>
      <c r="N24" s="152">
        <f>L24*M24/1000/$N$38</f>
        <v>1.9350583617999941</v>
      </c>
      <c r="O24" s="684"/>
      <c r="S24" s="382"/>
      <c r="BG24" s="183"/>
      <c r="BH24" s="457"/>
      <c r="BI24" s="457"/>
      <c r="BJ24" s="593"/>
      <c r="BK24" s="593"/>
      <c r="BL24" s="604"/>
      <c r="DF24" s="838">
        <f t="shared" si="13"/>
        <v>0</v>
      </c>
      <c r="DG24" s="838">
        <f t="shared" si="14"/>
        <v>1.9350583617999941</v>
      </c>
    </row>
    <row r="25" spans="2:111" collapsed="1">
      <c r="B25" s="149" t="s">
        <v>627</v>
      </c>
      <c r="C25" s="150">
        <f>Cálculo!C31/1000+Cálculo!C32/1000</f>
        <v>375.62750999999992</v>
      </c>
      <c r="D25" s="150">
        <f>Cálculo!F31/1000+Cálculo!F32/1000</f>
        <v>403.51322939448164</v>
      </c>
      <c r="E25" s="151">
        <f t="shared" si="11"/>
        <v>27.885719394481725</v>
      </c>
      <c r="F25" s="137">
        <f>((Cálculo!E31+Cálculo!E32)/(Cálculo!C31+Cálculo!C32)*1000-((Cálculo!E64+Cálculo!E65)/(Cálculo!C64+Cálculo!C65))*1000)</f>
        <v>283.29769285850682</v>
      </c>
      <c r="G25" s="152">
        <f>Box!G25+Box!G26</f>
        <v>7.9381337748632728</v>
      </c>
      <c r="I25" s="149" t="s">
        <v>627</v>
      </c>
      <c r="J25" s="154">
        <f>Cálculo!S31*Cálculo!$E$152</f>
        <v>4328.1728657137237</v>
      </c>
      <c r="K25" s="154">
        <f>Cálculo!S32*Cálculo!$H$152</f>
        <v>4444.60380724479</v>
      </c>
      <c r="L25" s="154">
        <f t="shared" si="15"/>
        <v>116.43094153106631</v>
      </c>
      <c r="M25" s="142">
        <f>D25</f>
        <v>403.51322939448164</v>
      </c>
      <c r="N25" s="152">
        <f>Box!N25+Box!N26</f>
        <v>8.750059936748027</v>
      </c>
      <c r="O25" s="684"/>
      <c r="BG25" s="247"/>
      <c r="BH25" s="340"/>
      <c r="BI25" s="340"/>
      <c r="BJ25" s="340"/>
      <c r="BK25" s="340"/>
      <c r="BL25" s="463"/>
      <c r="BQ25" s="173"/>
      <c r="BR25" s="173"/>
      <c r="BS25" s="173"/>
      <c r="BT25" s="487"/>
      <c r="DF25" s="838">
        <f t="shared" si="13"/>
        <v>0</v>
      </c>
      <c r="DG25" s="838">
        <f t="shared" si="14"/>
        <v>8.750059936748027</v>
      </c>
    </row>
    <row r="26" spans="2:111">
      <c r="B26" s="149" t="s">
        <v>105</v>
      </c>
      <c r="C26" s="150">
        <f>Cálculo!C35/1000</f>
        <v>463.69402845894558</v>
      </c>
      <c r="D26" s="150">
        <f>Cálculo!F35/1000</f>
        <v>463.78728951984948</v>
      </c>
      <c r="E26" s="151">
        <f t="shared" si="11"/>
        <v>9.3261060903898851E-2</v>
      </c>
      <c r="F26" s="137">
        <f>Cálculo!D101</f>
        <v>472.53611398332612</v>
      </c>
      <c r="G26" s="152">
        <f t="shared" si="9"/>
        <v>4.4069219305490667E-2</v>
      </c>
      <c r="I26" s="149" t="s">
        <v>105</v>
      </c>
      <c r="J26" s="154">
        <f>Cálculo!D35*Cálculo!$E$152</f>
        <v>5643.5325118701885</v>
      </c>
      <c r="K26" s="154">
        <f>Cálculo!G35*Cálculo!$H$152</f>
        <v>5687.8781955019485</v>
      </c>
      <c r="L26" s="154">
        <f t="shared" si="15"/>
        <v>44.345683631760039</v>
      </c>
      <c r="M26" s="142">
        <f t="shared" si="10"/>
        <v>463.78728951984948</v>
      </c>
      <c r="N26" s="152">
        <f>L26*M26/1000/$N$38</f>
        <v>3.8086971136071743</v>
      </c>
      <c r="O26" s="684"/>
      <c r="T26" s="181"/>
      <c r="U26" s="181"/>
      <c r="BG26" s="212"/>
      <c r="BH26" s="228"/>
      <c r="BI26" s="228"/>
      <c r="BJ26" s="228"/>
      <c r="BK26" s="228"/>
      <c r="BL26" s="464"/>
      <c r="BQ26" s="133"/>
      <c r="BR26" s="133"/>
      <c r="BS26" s="133"/>
      <c r="BT26" s="133"/>
      <c r="DF26" s="838">
        <f t="shared" si="13"/>
        <v>0</v>
      </c>
      <c r="DG26" s="838">
        <f t="shared" si="14"/>
        <v>3.8086971136071743</v>
      </c>
    </row>
    <row r="27" spans="2:111">
      <c r="B27" s="149" t="s">
        <v>625</v>
      </c>
      <c r="C27" s="150">
        <f>Cálculo!C36/1000+Cálculo!C37/1000</f>
        <v>500.12403999999998</v>
      </c>
      <c r="D27" s="150">
        <f>Cálculo!F36/1000+Cálculo!F37/1000</f>
        <v>514.77879108000002</v>
      </c>
      <c r="E27" s="151">
        <f t="shared" si="11"/>
        <v>14.65475108000004</v>
      </c>
      <c r="F27" s="137">
        <f>((Cálculo!E36+Cálculo!E37)/(Cálculo!C36+Cálculo!C37))*1000-((Cálculo!E69+Cálculo!E70)/(Cálculo!C69+Cálculo!C70))*1000</f>
        <v>248.48018468378143</v>
      </c>
      <c r="G27" s="152">
        <f>Box!G28+Box!G29</f>
        <v>4.1178658405372346</v>
      </c>
      <c r="I27" s="149" t="s">
        <v>625</v>
      </c>
      <c r="J27" s="154">
        <f>Cálculo!S36*Cálculo!$E$152</f>
        <v>4611.8582308873583</v>
      </c>
      <c r="K27" s="154">
        <f>Cálculo!S37*Cálculo!$H$152</f>
        <v>4752.7317619655896</v>
      </c>
      <c r="L27" s="154">
        <f t="shared" si="15"/>
        <v>140.87353107823128</v>
      </c>
      <c r="M27" s="142">
        <f t="shared" si="10"/>
        <v>514.77879108000002</v>
      </c>
      <c r="N27" s="152">
        <f>Box!N28+Box!N29</f>
        <v>13.739147244354662</v>
      </c>
      <c r="O27" s="684"/>
      <c r="BG27" s="375"/>
      <c r="BH27" s="378"/>
      <c r="BI27" s="378"/>
      <c r="BJ27" s="378"/>
      <c r="BK27" s="378"/>
      <c r="BL27" s="458"/>
      <c r="BQ27" s="473"/>
      <c r="BR27" s="474"/>
      <c r="BS27" s="475"/>
      <c r="BT27" s="248"/>
      <c r="DF27" s="838">
        <f t="shared" si="13"/>
        <v>0</v>
      </c>
      <c r="DG27" s="838">
        <f t="shared" si="14"/>
        <v>13.739147244354662</v>
      </c>
    </row>
    <row r="28" spans="2:111">
      <c r="B28" s="149" t="s">
        <v>626</v>
      </c>
      <c r="C28" s="150">
        <f>Cálculo!C39/1000+Cálculo!C40/1000</f>
        <v>287.79297000000003</v>
      </c>
      <c r="D28" s="150">
        <f>Cálculo!F39/1000+Cálculo!F40/1000</f>
        <v>224.79515600000008</v>
      </c>
      <c r="E28" s="151">
        <f t="shared" si="11"/>
        <v>-62.997813999999948</v>
      </c>
      <c r="F28" s="137">
        <f>((Cálculo!E39+Cálculo!E40)/(Cálculo!C39+Cálculo!C40))*1000-((Cálculo!E72+Cálculo!E73)/(Cálculo!C72+Cálculo!C73))*1000</f>
        <v>322.12725631138653</v>
      </c>
      <c r="G28" s="152">
        <f>Box!G30+Box!G31</f>
        <v>-20.101572932261782</v>
      </c>
      <c r="I28" s="149" t="s">
        <v>626</v>
      </c>
      <c r="J28" s="154">
        <f>Cálculo!S39*Cálculo!$E$152</f>
        <v>5483.946018036856</v>
      </c>
      <c r="K28" s="154">
        <f>Cálculo!S40*Cálculo!$H$152</f>
        <v>5638.7890487147324</v>
      </c>
      <c r="L28" s="154">
        <f t="shared" si="15"/>
        <v>154.84303067787641</v>
      </c>
      <c r="M28" s="142">
        <f t="shared" si="10"/>
        <v>224.79515600000008</v>
      </c>
      <c r="N28" s="152">
        <f>Box!N31+Box!N30</f>
        <v>5.8170281665664429</v>
      </c>
      <c r="O28" s="684"/>
      <c r="BQ28" s="383"/>
      <c r="BR28" s="384"/>
      <c r="BS28" s="385"/>
      <c r="BT28" s="376"/>
      <c r="DF28" s="838">
        <f t="shared" si="13"/>
        <v>0</v>
      </c>
      <c r="DG28" s="838">
        <f t="shared" si="14"/>
        <v>5.8170281665664429</v>
      </c>
    </row>
    <row r="29" spans="2:111">
      <c r="B29" s="149" t="s">
        <v>268</v>
      </c>
      <c r="C29" s="150">
        <f>Cálculo!C41/1000</f>
        <v>94.231594684142721</v>
      </c>
      <c r="D29" s="150">
        <f>Cálculo!F41/1000</f>
        <v>99.323020800091982</v>
      </c>
      <c r="E29" s="151">
        <f t="shared" si="11"/>
        <v>5.0914261159492611</v>
      </c>
      <c r="F29" s="137">
        <f>Cálculo!D107</f>
        <v>718.52838199190626</v>
      </c>
      <c r="G29" s="152">
        <f t="shared" si="9"/>
        <v>3.658334169124358</v>
      </c>
      <c r="I29" s="149" t="s">
        <v>268</v>
      </c>
      <c r="J29" s="154">
        <f>Cálculo!D41*Cálculo!$E$152</f>
        <v>6973.4037958816934</v>
      </c>
      <c r="K29" s="154">
        <f>Cálculo!G41*Cálculo!$H$152</f>
        <v>7149.6530679781426</v>
      </c>
      <c r="L29" s="154">
        <f t="shared" si="15"/>
        <v>176.2492720964492</v>
      </c>
      <c r="M29" s="142">
        <f t="shared" si="10"/>
        <v>99.323020800091982</v>
      </c>
      <c r="N29" s="152">
        <f>L29*M29/1000/$N$38</f>
        <v>3.2417796515623509</v>
      </c>
      <c r="O29" s="684"/>
      <c r="T29" s="462"/>
      <c r="DF29" s="838">
        <f t="shared" si="13"/>
        <v>0</v>
      </c>
      <c r="DG29" s="838">
        <f t="shared" si="14"/>
        <v>3.2417796515623509</v>
      </c>
    </row>
    <row r="30" spans="2:111">
      <c r="B30" s="149" t="s">
        <v>297</v>
      </c>
      <c r="C30" s="150">
        <f>Cálculo!C42/1000</f>
        <v>7.7375399999999992</v>
      </c>
      <c r="D30" s="150">
        <f>Cálculo!F42/1000</f>
        <v>7.661225</v>
      </c>
      <c r="E30" s="151">
        <f t="shared" si="11"/>
        <v>-7.6314999999999245E-2</v>
      </c>
      <c r="F30" s="137">
        <f>Cálculo!D108</f>
        <v>275.87626895466155</v>
      </c>
      <c r="G30" s="152">
        <f t="shared" si="9"/>
        <v>-2.1053497465274788E-2</v>
      </c>
      <c r="I30" s="149" t="s">
        <v>297</v>
      </c>
      <c r="J30" s="154">
        <f>Cálculo!D42*Cálculo!$E$152</f>
        <v>4583.0823854805722</v>
      </c>
      <c r="K30" s="154">
        <f>Cálculo!G42*Cálculo!$H$152</f>
        <v>4243.7619390288282</v>
      </c>
      <c r="L30" s="154">
        <f t="shared" si="15"/>
        <v>-339.32044645174392</v>
      </c>
      <c r="M30" s="142">
        <f t="shared" si="10"/>
        <v>7.661225</v>
      </c>
      <c r="N30" s="152">
        <f>L30*M30/1000/$N$38</f>
        <v>-0.48140931247541879</v>
      </c>
      <c r="O30" s="684"/>
      <c r="DF30" s="838">
        <f t="shared" si="13"/>
        <v>0</v>
      </c>
      <c r="DG30" s="838">
        <f t="shared" si="14"/>
        <v>-0.48140931247541879</v>
      </c>
    </row>
    <row r="31" spans="2:111">
      <c r="B31" s="149" t="s">
        <v>109</v>
      </c>
      <c r="C31" s="150">
        <f>Cálculo!C43/1000</f>
        <v>3.8163261818387646</v>
      </c>
      <c r="D31" s="150">
        <f>Cálculo!F43/1000</f>
        <v>3.6272928948158056</v>
      </c>
      <c r="E31" s="151">
        <f t="shared" si="11"/>
        <v>-0.18903328702295896</v>
      </c>
      <c r="F31" s="137">
        <f>Cálculo!D109</f>
        <v>1208.6233558892334</v>
      </c>
      <c r="G31" s="152">
        <f t="shared" si="9"/>
        <v>-0.22847004573646135</v>
      </c>
      <c r="I31" s="149" t="s">
        <v>109</v>
      </c>
      <c r="J31" s="154">
        <f>Cálculo!D43*Cálculo!$E$152</f>
        <v>10111.406393288522</v>
      </c>
      <c r="K31" s="154">
        <f>Cálculo!G43*Cálculo!$H$152</f>
        <v>10097.650329754119</v>
      </c>
      <c r="L31" s="154">
        <f t="shared" si="15"/>
        <v>-13.756063534403438</v>
      </c>
      <c r="M31" s="142">
        <f t="shared" si="10"/>
        <v>3.6272928948158056</v>
      </c>
      <c r="N31" s="152">
        <f>L31*M31/1000/$N$38</f>
        <v>-9.2402354664771081E-3</v>
      </c>
      <c r="O31" s="684"/>
      <c r="BL31" s="294"/>
      <c r="DF31" s="838">
        <f t="shared" si="13"/>
        <v>0</v>
      </c>
      <c r="DG31" s="838">
        <f t="shared" si="14"/>
        <v>-9.2402354664771081E-3</v>
      </c>
    </row>
    <row r="32" spans="2:111">
      <c r="B32" s="149" t="str">
        <f>Box!B35</f>
        <v>Industry Imports</v>
      </c>
      <c r="C32" s="150">
        <f>Cálculo!C45/1000</f>
        <v>35.399969999999996</v>
      </c>
      <c r="D32" s="150">
        <f>Cálculo!F45/1000</f>
        <v>17.169268000000006</v>
      </c>
      <c r="E32" s="151">
        <f t="shared" ref="E32:E34" si="16">D32-C32</f>
        <v>-18.23070199999999</v>
      </c>
      <c r="F32" s="137">
        <f>Cálculo!D111</f>
        <v>284.85966315171265</v>
      </c>
      <c r="G32" s="152">
        <f t="shared" ref="G32:G34" si="17">E32*F32/1000</f>
        <v>-5.1931916307392516</v>
      </c>
      <c r="I32" s="149" t="str">
        <f>B32</f>
        <v>Industry Imports</v>
      </c>
      <c r="J32" s="154">
        <f>Cálculo!D45*Cálculo!$E$152</f>
        <v>5123.0824525059097</v>
      </c>
      <c r="K32" s="154">
        <f>Cálculo!G45*Cálculo!$H$152</f>
        <v>5212.3443308437809</v>
      </c>
      <c r="L32" s="154">
        <f t="shared" ref="L32" si="18">K32-J32</f>
        <v>89.261878337871167</v>
      </c>
      <c r="M32" s="142">
        <f t="shared" ref="M32" si="19">D32</f>
        <v>17.169268000000006</v>
      </c>
      <c r="N32" s="152">
        <f>L32*M32/1000/$N$38</f>
        <v>0.28380761321598241</v>
      </c>
      <c r="O32" s="684"/>
      <c r="BL32" s="294"/>
      <c r="DF32" s="838">
        <f t="shared" si="13"/>
        <v>0</v>
      </c>
      <c r="DG32" s="838">
        <f t="shared" si="14"/>
        <v>0.28380761321598241</v>
      </c>
    </row>
    <row r="33" spans="2:111">
      <c r="B33" s="603"/>
      <c r="C33" s="150"/>
      <c r="D33" s="150"/>
      <c r="E33" s="151"/>
      <c r="F33" s="137"/>
      <c r="G33" s="152">
        <f t="shared" si="17"/>
        <v>0</v>
      </c>
      <c r="I33" s="149">
        <f t="shared" ref="I33:I35" si="20">B33</f>
        <v>0</v>
      </c>
      <c r="J33" s="154">
        <f>Cálculo!D46*Cálculo!$E$152</f>
        <v>5440.5985651407882</v>
      </c>
      <c r="K33" s="154">
        <f>Cálculo!G46*Cálculo!$H$152</f>
        <v>5215.130527752779</v>
      </c>
      <c r="L33" s="154">
        <f t="shared" ref="L33:L35" si="21">K33-J33</f>
        <v>-225.46803738800918</v>
      </c>
      <c r="M33" s="142">
        <f t="shared" ref="M33:M35" si="22">D33</f>
        <v>0</v>
      </c>
      <c r="N33" s="152">
        <f t="shared" ref="N33:N35" si="23">L33*M33/1000/$N$38</f>
        <v>0</v>
      </c>
      <c r="O33" s="684"/>
      <c r="BL33" s="294"/>
      <c r="DF33" s="838">
        <f t="shared" si="13"/>
        <v>0</v>
      </c>
      <c r="DG33" s="838">
        <f t="shared" si="14"/>
        <v>0</v>
      </c>
    </row>
    <row r="34" spans="2:111">
      <c r="B34" s="149" t="s">
        <v>757</v>
      </c>
      <c r="C34" s="150">
        <f>Cálculo!C47/1000</f>
        <v>0</v>
      </c>
      <c r="D34" s="150">
        <f>Cálculo!F47/1000</f>
        <v>0</v>
      </c>
      <c r="E34" s="151">
        <f t="shared" si="16"/>
        <v>0</v>
      </c>
      <c r="F34" s="137">
        <f>Cálculo!D113</f>
        <v>30</v>
      </c>
      <c r="G34" s="152">
        <f t="shared" si="17"/>
        <v>0</v>
      </c>
      <c r="I34" s="149" t="str">
        <f t="shared" si="20"/>
        <v>HRC Aperam BC</v>
      </c>
      <c r="J34" s="154">
        <f>Cálculo!D47*Cálculo!$E$152</f>
        <v>0</v>
      </c>
      <c r="K34" s="154">
        <f>Cálculo!G47*Cálculo!$H$152</f>
        <v>0</v>
      </c>
      <c r="L34" s="154">
        <f t="shared" si="21"/>
        <v>0</v>
      </c>
      <c r="M34" s="142">
        <f t="shared" si="22"/>
        <v>0</v>
      </c>
      <c r="N34" s="152">
        <f t="shared" si="23"/>
        <v>0</v>
      </c>
      <c r="O34" s="684"/>
      <c r="BL34" s="294"/>
      <c r="DF34" s="838">
        <f t="shared" si="13"/>
        <v>0</v>
      </c>
      <c r="DG34" s="838">
        <f t="shared" si="14"/>
        <v>0</v>
      </c>
    </row>
    <row r="35" spans="2:111">
      <c r="B35" s="149" t="s">
        <v>726</v>
      </c>
      <c r="C35" s="150">
        <f>Cálculo!C46/1000</f>
        <v>0</v>
      </c>
      <c r="D35" s="150">
        <f>Cálculo!F46/1000</f>
        <v>7.0028800000000002</v>
      </c>
      <c r="E35" s="151">
        <f>D35-C35</f>
        <v>7.0028800000000002</v>
      </c>
      <c r="F35" s="137">
        <f>Cálculo!D112</f>
        <v>343.65894326928276</v>
      </c>
      <c r="G35" s="705">
        <f>E35*F35/1000</f>
        <v>2.4066023406415948</v>
      </c>
      <c r="I35" s="149" t="str">
        <f t="shared" si="20"/>
        <v>HRC Aperam</v>
      </c>
      <c r="J35" s="154">
        <f>Cálculo!D46*Cálculo!$E$152</f>
        <v>5440.5985651407882</v>
      </c>
      <c r="K35" s="154">
        <f>Cálculo!G46*Cálculo!$H$152</f>
        <v>5215.130527752779</v>
      </c>
      <c r="L35" s="154">
        <f t="shared" si="21"/>
        <v>-225.46803738800918</v>
      </c>
      <c r="M35" s="142">
        <f t="shared" si="22"/>
        <v>7.0028800000000002</v>
      </c>
      <c r="N35" s="152">
        <f t="shared" si="23"/>
        <v>-0.29239363141921143</v>
      </c>
      <c r="O35" s="684"/>
      <c r="BL35" s="294"/>
      <c r="DF35" s="838">
        <f t="shared" si="13"/>
        <v>0</v>
      </c>
      <c r="DG35" s="838">
        <f t="shared" si="14"/>
        <v>-0.29239363141921143</v>
      </c>
    </row>
    <row r="36" spans="2:111">
      <c r="B36" s="149" t="s">
        <v>680</v>
      </c>
      <c r="C36" s="150"/>
      <c r="D36" s="150"/>
      <c r="E36" s="151"/>
      <c r="F36" s="137"/>
      <c r="G36" s="705">
        <f>Cálculo!I166/1000</f>
        <v>0</v>
      </c>
      <c r="I36" s="170" t="s">
        <v>12</v>
      </c>
      <c r="J36" s="171"/>
      <c r="K36" s="171"/>
      <c r="L36" s="172"/>
      <c r="M36" s="168"/>
      <c r="N36" s="713">
        <f>SUM(N18:N35)</f>
        <v>52.139578772175803</v>
      </c>
      <c r="BH36" s="294"/>
      <c r="BI36" s="294"/>
      <c r="BJ36" s="294"/>
      <c r="BK36" s="294"/>
      <c r="BS36" s="294"/>
    </row>
    <row r="37" spans="2:111">
      <c r="B37" s="170" t="s">
        <v>12</v>
      </c>
      <c r="C37" s="171">
        <f>SUM(C18:C36)</f>
        <v>3962.4237297201234</v>
      </c>
      <c r="D37" s="171">
        <f>SUM(D18:D36)</f>
        <v>4010.5488422277595</v>
      </c>
      <c r="E37" s="774">
        <f>SUM(E18:E36)</f>
        <v>48.125112507636466</v>
      </c>
      <c r="F37" s="168"/>
      <c r="G37" s="157">
        <f>SUM(G18:G36)</f>
        <v>11.274377178842938</v>
      </c>
      <c r="P37" s="704"/>
      <c r="Q37" s="188"/>
      <c r="BR37" s="598"/>
      <c r="BS37" s="598"/>
      <c r="BT37" s="598"/>
    </row>
    <row r="38" spans="2:111" outlineLevel="1">
      <c r="I38" s="167" t="s">
        <v>3</v>
      </c>
      <c r="J38" s="168"/>
      <c r="K38" s="168"/>
      <c r="L38" s="168"/>
      <c r="M38" s="168"/>
      <c r="N38" s="169">
        <f>Cálculo!$E$152</f>
        <v>5.4</v>
      </c>
      <c r="BH38" s="295"/>
      <c r="BI38" s="295"/>
      <c r="BJ38" s="295"/>
      <c r="BK38" s="295"/>
      <c r="BL38" s="294"/>
    </row>
    <row r="39" spans="2:111">
      <c r="B39" s="170"/>
      <c r="C39" s="163"/>
      <c r="D39" s="163"/>
      <c r="E39" s="164"/>
      <c r="F39" s="774"/>
      <c r="G39" s="157"/>
      <c r="Q39" s="188"/>
      <c r="BR39" s="598"/>
      <c r="BS39" s="598"/>
      <c r="BT39" s="598"/>
    </row>
    <row r="40" spans="2:111">
      <c r="I40" s="170" t="s">
        <v>14</v>
      </c>
      <c r="J40" s="175"/>
      <c r="K40" s="175"/>
      <c r="L40" s="175"/>
      <c r="M40" s="172"/>
      <c r="N40" s="865">
        <f>N15+N36</f>
        <v>286.54894369344618</v>
      </c>
      <c r="P40" s="681"/>
      <c r="S40" s="682"/>
    </row>
    <row r="41" spans="2:111">
      <c r="B41" s="170" t="s">
        <v>14</v>
      </c>
      <c r="C41" s="163">
        <f>C15+C37</f>
        <v>7232.3337353226143</v>
      </c>
      <c r="D41" s="163">
        <f>D15+D37</f>
        <v>7106.558486627986</v>
      </c>
      <c r="E41" s="164">
        <f>E15+E37+E39</f>
        <v>-125.77524869462795</v>
      </c>
      <c r="F41" s="156"/>
      <c r="G41" s="157">
        <f>G15+G37+G39</f>
        <v>-6.6803807216351618</v>
      </c>
      <c r="I41" s="690"/>
      <c r="J41" s="690"/>
      <c r="K41" s="690"/>
      <c r="L41" s="690"/>
      <c r="M41" s="690"/>
      <c r="N41" s="690"/>
    </row>
    <row r="42" spans="2:111">
      <c r="B42" s="690"/>
      <c r="C42" s="690"/>
      <c r="D42" s="690"/>
      <c r="E42" s="690"/>
      <c r="F42" s="690"/>
      <c r="G42" s="690"/>
    </row>
    <row r="43" spans="2:111">
      <c r="B43" s="170" t="s">
        <v>679</v>
      </c>
      <c r="C43" s="163">
        <f>SUM(C24:C42)</f>
        <v>13053.30891476286</v>
      </c>
      <c r="D43" s="163">
        <f>SUM(D24:D42)</f>
        <v>12954.387774760609</v>
      </c>
      <c r="E43" s="164">
        <f>E44+E45+E46</f>
        <v>48.12511250763604</v>
      </c>
      <c r="F43" s="156"/>
      <c r="G43" s="157">
        <f>G44+G45+G46+G47</f>
        <v>11.274377178842933</v>
      </c>
      <c r="I43" s="669" t="s">
        <v>931</v>
      </c>
      <c r="J43" s="142"/>
      <c r="K43" s="142"/>
      <c r="L43" s="855">
        <f>N43/M43*1000*$N$38</f>
        <v>-46.20015696225186</v>
      </c>
      <c r="M43" s="142">
        <f>M18+M19</f>
        <v>48.953319999999998</v>
      </c>
      <c r="N43" s="670">
        <f>N18+N19</f>
        <v>-0.41882427181913756</v>
      </c>
      <c r="O43" s="689"/>
      <c r="Q43" s="188"/>
      <c r="BR43" s="598"/>
      <c r="BS43" s="598"/>
      <c r="BT43" s="598"/>
    </row>
    <row r="44" spans="2:111">
      <c r="B44" s="669" t="s">
        <v>931</v>
      </c>
      <c r="C44" s="142">
        <f>C18+C19</f>
        <v>49</v>
      </c>
      <c r="D44" s="142">
        <f>D18+D19</f>
        <v>48.953319999999998</v>
      </c>
      <c r="E44" s="151">
        <f>D44-C44</f>
        <v>-4.6680000000002053E-2</v>
      </c>
      <c r="F44" s="137">
        <f>G44/E44*1000</f>
        <v>8454.5484495323617</v>
      </c>
      <c r="G44" s="152">
        <f>G18+G19</f>
        <v>-0.39465832162418801</v>
      </c>
      <c r="I44" s="669" t="s">
        <v>255</v>
      </c>
      <c r="J44" s="142"/>
      <c r="K44" s="142"/>
      <c r="L44" s="855">
        <f>N44/M44*1000*$N$38</f>
        <v>70.487239606106272</v>
      </c>
      <c r="M44" s="142">
        <f>SUM(M21,M23,M25,M27,M28,M30)+M32+M34+M35</f>
        <v>3108.4749278984796</v>
      </c>
      <c r="N44" s="670">
        <f>SUM(N21,N23,N25,N27,N28,N30)+N32+N33+N34+N35</f>
        <v>40.575521676361859</v>
      </c>
      <c r="O44" s="683">
        <f>N36+N15</f>
        <v>286.54894369344618</v>
      </c>
      <c r="Q44" s="188"/>
      <c r="BR44" s="598"/>
      <c r="BS44" s="598"/>
      <c r="BT44" s="598"/>
    </row>
    <row r="45" spans="2:111">
      <c r="B45" s="669" t="s">
        <v>255</v>
      </c>
      <c r="C45" s="142">
        <f>SUM(C21,C23,C25,C27,C28,C30,C35)+C32+C34</f>
        <v>3072.7371600000001</v>
      </c>
      <c r="D45" s="142">
        <f>SUM(D21,D23,D25,D27,D28,D30,D32,D35)+D34</f>
        <v>3108.4749278984796</v>
      </c>
      <c r="E45" s="151">
        <f>D45-C45</f>
        <v>35.737767898479433</v>
      </c>
      <c r="F45" s="137">
        <f>G45/E45*1000</f>
        <v>184.45913392054646</v>
      </c>
      <c r="G45" s="152">
        <f>SUM(G21,G23,G25,G27,G28,G30,G32,G35)+G34+G33</f>
        <v>6.5921577148070245</v>
      </c>
      <c r="I45" s="671" t="s">
        <v>256</v>
      </c>
      <c r="J45" s="207"/>
      <c r="K45" s="207"/>
      <c r="L45" s="667">
        <f t="shared" ref="L45" si="24">N45/M45*1000*$N$38</f>
        <v>75.848080347997552</v>
      </c>
      <c r="M45" s="207">
        <f>SUM(M20,M22,M24,M26,M29,M31)</f>
        <v>853.12059432927992</v>
      </c>
      <c r="N45" s="672">
        <f>SUM(N20,N22,N24,N26,N29,N31)</f>
        <v>11.982881367633082</v>
      </c>
      <c r="Q45" s="188"/>
      <c r="BR45" s="598"/>
      <c r="BS45" s="598"/>
      <c r="BT45" s="598"/>
    </row>
    <row r="46" spans="2:111">
      <c r="B46" s="671" t="s">
        <v>256</v>
      </c>
      <c r="C46" s="795">
        <f>SUM(C20,C22,C24,C26,C29,C31)</f>
        <v>840.68656972012332</v>
      </c>
      <c r="D46" s="795">
        <f>SUM(D20,D22,D24,D26,D29,D31)</f>
        <v>853.12059432927992</v>
      </c>
      <c r="E46" s="673">
        <f>D46-C46</f>
        <v>12.434024609156609</v>
      </c>
      <c r="F46" s="162">
        <f>G46/E46*1000</f>
        <v>408.30527083896925</v>
      </c>
      <c r="G46" s="160">
        <f>SUM(G20,G22,G24,G26,G29,G31)</f>
        <v>5.0768777856600975</v>
      </c>
      <c r="I46" s="715"/>
      <c r="J46" s="142"/>
      <c r="K46" s="142"/>
      <c r="L46" s="154"/>
      <c r="M46" s="142"/>
      <c r="N46" s="722"/>
      <c r="Q46" s="188"/>
      <c r="BR46" s="598"/>
      <c r="BS46" s="598"/>
      <c r="BT46" s="598"/>
    </row>
    <row r="47" spans="2:111">
      <c r="B47" s="796" t="str">
        <f>B36</f>
        <v>Revenue recognition</v>
      </c>
      <c r="C47" s="142"/>
      <c r="D47" s="142"/>
      <c r="E47" s="151"/>
      <c r="F47" s="137"/>
      <c r="G47" s="306">
        <f>G36</f>
        <v>0</v>
      </c>
    </row>
    <row r="48" spans="2:111">
      <c r="B48" s="340"/>
      <c r="C48" s="340"/>
      <c r="D48" s="340"/>
      <c r="E48" s="340"/>
      <c r="F48" s="340"/>
      <c r="G48" s="340"/>
      <c r="H48" s="773"/>
      <c r="I48" s="173" t="s">
        <v>30</v>
      </c>
      <c r="J48" s="177"/>
      <c r="K48" s="177"/>
      <c r="L48" s="177"/>
      <c r="M48" s="177"/>
      <c r="N48" s="856">
        <f>Cálculo!C5-N40</f>
        <v>0</v>
      </c>
    </row>
    <row r="49" spans="2:72">
      <c r="B49" s="173" t="s">
        <v>30</v>
      </c>
      <c r="C49" s="173"/>
      <c r="D49" s="173"/>
      <c r="E49" s="173"/>
      <c r="F49" s="177"/>
      <c r="G49" s="988">
        <f>Cálculo!C6+Cálculo!C7-G41</f>
        <v>8.8817841970012523E-15</v>
      </c>
      <c r="BR49" s="599"/>
      <c r="BS49" s="599"/>
      <c r="BT49" s="216"/>
    </row>
    <row r="51" spans="2:72">
      <c r="B51" s="170" t="s">
        <v>411</v>
      </c>
      <c r="C51" s="163"/>
      <c r="D51" s="163"/>
      <c r="E51" s="164">
        <f>SUM(E20:E31)</f>
        <v>59.399614507636471</v>
      </c>
      <c r="F51" s="156"/>
      <c r="G51" s="157">
        <f>SUM(G20:G31)</f>
        <v>14.45562479056478</v>
      </c>
    </row>
    <row r="54" spans="2:72">
      <c r="G54" s="681">
        <f>Cálculo!C7+Cálculo!C6</f>
        <v>-6.680380721635153</v>
      </c>
    </row>
    <row r="55" spans="2:72">
      <c r="P55" s="1057"/>
      <c r="Q55" s="1057"/>
      <c r="R55" s="1057"/>
      <c r="S55" s="1057"/>
    </row>
    <row r="56" spans="2:72">
      <c r="P56" s="1056"/>
      <c r="Q56" s="1056"/>
      <c r="R56" s="1056"/>
      <c r="S56" s="147"/>
    </row>
    <row r="57" spans="2:72">
      <c r="P57" s="1056"/>
      <c r="Q57" s="1056"/>
      <c r="R57" s="1056"/>
      <c r="S57" s="147"/>
    </row>
    <row r="58" spans="2:72" collapsed="1">
      <c r="P58" s="1056"/>
      <c r="Q58" s="1056"/>
      <c r="R58" s="1056"/>
      <c r="S58" s="147"/>
    </row>
    <row r="59" spans="2:72">
      <c r="P59" s="217"/>
      <c r="Q59" s="217"/>
      <c r="R59" s="217"/>
      <c r="S59" s="147"/>
    </row>
    <row r="60" spans="2:72" collapsed="1">
      <c r="B60" s="1059" t="s">
        <v>604</v>
      </c>
      <c r="C60" s="1059"/>
      <c r="D60" s="1059"/>
      <c r="E60" s="1059"/>
      <c r="F60" s="1059"/>
      <c r="G60" s="1059"/>
      <c r="P60" s="217"/>
      <c r="Q60" s="217"/>
      <c r="R60" s="217"/>
      <c r="S60" s="147"/>
    </row>
    <row r="61" spans="2:72">
      <c r="P61" s="217"/>
      <c r="Q61" s="217"/>
      <c r="R61" s="217"/>
      <c r="S61" s="147"/>
    </row>
    <row r="62" spans="2:72">
      <c r="B62" s="131" t="str">
        <f t="shared" ref="B62:G62" si="25">B17</f>
        <v>Vol (kt)</v>
      </c>
      <c r="C62" s="132" t="str">
        <f t="shared" si="25"/>
        <v>FY26'B</v>
      </c>
      <c r="D62" s="132" t="str">
        <f t="shared" si="25"/>
        <v>FY26'F7</v>
      </c>
      <c r="E62" s="133" t="str">
        <f t="shared" si="25"/>
        <v>Var</v>
      </c>
      <c r="F62" s="133" t="str">
        <f t="shared" si="25"/>
        <v>CM FY26'B</v>
      </c>
      <c r="G62" s="133" t="str">
        <f t="shared" si="25"/>
        <v>MUSD</v>
      </c>
    </row>
    <row r="63" spans="2:72">
      <c r="B63" s="149" t="s">
        <v>256</v>
      </c>
      <c r="C63" s="150"/>
      <c r="D63" s="150"/>
      <c r="E63" s="151">
        <f>SUM(E20,E22,E24,E26,E29,E31,E9,E11)</f>
        <v>4.6981131920788499</v>
      </c>
      <c r="F63" s="151">
        <f>G63/E63*1000</f>
        <v>339.00955412173471</v>
      </c>
      <c r="G63" s="152">
        <f>SUM(G20,G22,G24,G26,G29,G31,G9,G11)</f>
        <v>1.5927052584600907</v>
      </c>
      <c r="J63" s="178"/>
    </row>
    <row r="64" spans="2:72">
      <c r="B64" s="170" t="s">
        <v>14</v>
      </c>
      <c r="C64" s="163">
        <f>C37</f>
        <v>3962.4237297201234</v>
      </c>
      <c r="D64" s="163">
        <f>D37</f>
        <v>4010.5488422277595</v>
      </c>
      <c r="E64" s="164"/>
      <c r="F64" s="156"/>
      <c r="G64" s="157">
        <f>SUM(G63:G63)</f>
        <v>1.5927052584600907</v>
      </c>
    </row>
    <row r="66" outlineLevel="1"/>
    <row r="67" outlineLevel="1"/>
    <row r="68" outlineLevel="1"/>
    <row r="72" outlineLevel="1"/>
    <row r="80" outlineLevel="1"/>
    <row r="94" outlineLevel="1"/>
    <row r="95" outlineLevel="1"/>
    <row r="121" outlineLevel="1"/>
  </sheetData>
  <mergeCells count="26">
    <mergeCell ref="P57:R57"/>
    <mergeCell ref="P58:R58"/>
    <mergeCell ref="B60:G60"/>
    <mergeCell ref="BQ2:BT2"/>
    <mergeCell ref="BV2:BY2"/>
    <mergeCell ref="AG5:AG6"/>
    <mergeCell ref="AJ5:AJ8"/>
    <mergeCell ref="AK5:AK8"/>
    <mergeCell ref="AN2:AO2"/>
    <mergeCell ref="AQ2:AT2"/>
    <mergeCell ref="AV2:AW2"/>
    <mergeCell ref="AY2:BB2"/>
    <mergeCell ref="BD2:BE2"/>
    <mergeCell ref="BG2:BL2"/>
    <mergeCell ref="B2:G2"/>
    <mergeCell ref="I2:N2"/>
    <mergeCell ref="CG2:CH2"/>
    <mergeCell ref="P2:U2"/>
    <mergeCell ref="W2:X2"/>
    <mergeCell ref="Z2:AD2"/>
    <mergeCell ref="AF2:AL2"/>
    <mergeCell ref="I1:N1"/>
    <mergeCell ref="P55:S55"/>
    <mergeCell ref="P56:R56"/>
    <mergeCell ref="CA2:CB2"/>
    <mergeCell ref="CD2:CE2"/>
  </mergeCells>
  <pageMargins left="0.511811024" right="0.511811024" top="0.78740157499999996" bottom="0.78740157499999996" header="0.31496062000000002" footer="0.31496062000000002"/>
  <pageSetup paperSize="9" orientation="landscape" r:id="rId1"/>
  <customProperties>
    <customPr name="_pios_id" r:id="rId2"/>
  </customProperties>
  <ignoredErrors>
    <ignoredError sqref="G9:G11 G22:G25 N20:N25 N14:N17 G14:G20 N9:N12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37311-45D5-4C52-BCB2-75306C457E2E}">
  <sheetPr codeName="Plan7"/>
  <dimension ref="B1:Z82"/>
  <sheetViews>
    <sheetView showGridLines="0" tabSelected="1" zoomScaleNormal="100" workbookViewId="0">
      <selection activeCell="O36" sqref="O36"/>
    </sheetView>
  </sheetViews>
  <sheetFormatPr defaultColWidth="9.42578125" defaultRowHeight="11.25" outlineLevelCol="1"/>
  <cols>
    <col min="1" max="1" width="3.42578125" style="130" customWidth="1"/>
    <col min="2" max="2" width="16.5703125" style="130" bestFit="1" customWidth="1"/>
    <col min="3" max="4" width="9.5703125" style="130" hidden="1" customWidth="1" outlineLevel="1"/>
    <col min="5" max="5" width="6.42578125" style="130" bestFit="1" customWidth="1" collapsed="1"/>
    <col min="6" max="6" width="10.140625" style="130" bestFit="1" customWidth="1"/>
    <col min="7" max="7" width="6.5703125" style="130" bestFit="1" customWidth="1"/>
    <col min="8" max="8" width="6.42578125" style="683" customWidth="1"/>
    <col min="9" max="9" width="16.85546875" style="130" customWidth="1"/>
    <col min="10" max="10" width="7.42578125" style="130" hidden="1" customWidth="1" outlineLevel="1"/>
    <col min="11" max="11" width="8.5703125" style="130" hidden="1" customWidth="1" outlineLevel="1"/>
    <col min="12" max="12" width="7.5703125" style="130" bestFit="1" customWidth="1" collapsed="1"/>
    <col min="13" max="13" width="8.5703125" style="130" customWidth="1"/>
    <col min="14" max="14" width="7.42578125" style="130" bestFit="1" customWidth="1"/>
    <col min="15" max="15" width="9.42578125" style="130"/>
    <col min="16" max="16" width="7.5703125" style="130" customWidth="1"/>
    <col min="17" max="17" width="6.5703125" style="130" bestFit="1" customWidth="1"/>
    <col min="18" max="18" width="8.5703125" style="130" customWidth="1"/>
    <col min="19" max="19" width="4.42578125" style="130" bestFit="1" customWidth="1"/>
    <col min="20" max="20" width="7.5703125" style="130" customWidth="1"/>
    <col min="21" max="21" width="3.5703125" style="130" customWidth="1"/>
    <col min="22" max="22" width="8.5703125" style="130" bestFit="1" customWidth="1"/>
    <col min="23" max="23" width="5.42578125" style="130" bestFit="1" customWidth="1"/>
    <col min="24" max="16384" width="9.42578125" style="130"/>
  </cols>
  <sheetData>
    <row r="1" spans="2:23">
      <c r="I1" s="1067"/>
      <c r="J1" s="1067"/>
      <c r="K1" s="1067"/>
      <c r="L1" s="1067"/>
      <c r="M1" s="1067"/>
      <c r="N1" s="1067"/>
    </row>
    <row r="2" spans="2:23">
      <c r="B2" s="1059" t="s">
        <v>412</v>
      </c>
      <c r="C2" s="1059"/>
      <c r="D2" s="1059"/>
      <c r="E2" s="1059"/>
      <c r="F2" s="1059"/>
      <c r="G2" s="1059"/>
      <c r="I2" s="1059" t="s">
        <v>74</v>
      </c>
      <c r="J2" s="1059"/>
      <c r="K2" s="1059"/>
      <c r="L2" s="1059"/>
      <c r="M2" s="1059"/>
      <c r="N2" s="1059"/>
      <c r="P2" s="1055"/>
      <c r="Q2" s="1055"/>
    </row>
    <row r="3" spans="2:23" ht="5.25" customHeight="1"/>
    <row r="4" spans="2:23">
      <c r="B4" s="131" t="s">
        <v>88</v>
      </c>
      <c r="C4" s="132" t="str">
        <f>J4</f>
        <v>FY26'B</v>
      </c>
      <c r="D4" s="132" t="str">
        <f>K4</f>
        <v>FY26'F7</v>
      </c>
      <c r="E4" s="133" t="s">
        <v>89</v>
      </c>
      <c r="F4" s="133" t="str">
        <f>"CM "&amp;C4</f>
        <v>CM FY26'B</v>
      </c>
      <c r="G4" s="133" t="s">
        <v>90</v>
      </c>
      <c r="I4" s="131" t="s">
        <v>91</v>
      </c>
      <c r="J4" s="132" t="str">
        <f>Cálculo!D15</f>
        <v>FY26'B</v>
      </c>
      <c r="K4" s="132" t="str">
        <f>Cálculo!G15</f>
        <v>FY26'F7</v>
      </c>
      <c r="L4" s="133" t="s">
        <v>89</v>
      </c>
      <c r="M4" s="133" t="str">
        <f>"Vol "&amp;K4</f>
        <v>Vol FY26'F7</v>
      </c>
      <c r="N4" s="133" t="s">
        <v>90</v>
      </c>
      <c r="P4" s="718"/>
      <c r="Q4" s="716"/>
      <c r="W4" s="703">
        <f>G5+G6+N5+N6</f>
        <v>176.43070103181969</v>
      </c>
    </row>
    <row r="5" spans="2:23" ht="10.5" customHeight="1">
      <c r="B5" s="134" t="s">
        <v>110</v>
      </c>
      <c r="C5" s="135">
        <f>Cálculo!C17/1000</f>
        <v>961</v>
      </c>
      <c r="D5" s="135">
        <f>Cálculo!F17/1000</f>
        <v>966.24786999999992</v>
      </c>
      <c r="E5" s="136">
        <f>D5-C5</f>
        <v>5.2478699999999208</v>
      </c>
      <c r="F5" s="137">
        <f>G5*1000/E5</f>
        <v>84.272668458113188</v>
      </c>
      <c r="G5" s="138">
        <f>Cálculo!K83/1000</f>
        <v>0.44225200862127179</v>
      </c>
      <c r="H5" s="683">
        <f>G5-Box!G5</f>
        <v>-3.4972025275692431E-15</v>
      </c>
      <c r="I5" s="134" t="s">
        <v>110</v>
      </c>
      <c r="J5" s="140">
        <f>Cálculo!D17</f>
        <v>521.6467174857612</v>
      </c>
      <c r="K5" s="140">
        <f>Cálculo!G17</f>
        <v>611.98900059572838</v>
      </c>
      <c r="L5" s="137">
        <f>K5-J5</f>
        <v>90.342283109967184</v>
      </c>
      <c r="M5" s="142">
        <f>Box!M5</f>
        <v>966.24786999999992</v>
      </c>
      <c r="N5" s="152">
        <f>L5*M5/1000</f>
        <v>87.293038625942756</v>
      </c>
      <c r="O5" s="130">
        <v>-47.380537518211078</v>
      </c>
      <c r="P5" s="837">
        <f>N5-O5</f>
        <v>134.67357614415383</v>
      </c>
      <c r="Q5" s="719"/>
      <c r="W5" s="130">
        <f>'[31]Resumo- Analise movimentação'!$C$5+'[31]Resumo- Analise movimentação'!$C$4</f>
        <v>-78.963690525060457</v>
      </c>
    </row>
    <row r="6" spans="2:23">
      <c r="B6" s="139" t="str">
        <f>Box!B6</f>
        <v>Slabs Others Intragroup</v>
      </c>
      <c r="C6" s="150">
        <f>Cálculo!C18/1000</f>
        <v>400</v>
      </c>
      <c r="D6" s="150">
        <f>Cálculo!F18/1000</f>
        <v>997.327082214813</v>
      </c>
      <c r="E6" s="151">
        <f t="shared" ref="E6" si="0">D6-C6</f>
        <v>597.327082214813</v>
      </c>
      <c r="F6" s="137">
        <f>G6*1000/E6</f>
        <v>28.199954689128276</v>
      </c>
      <c r="G6" s="152">
        <f>Cálculo!K84/1000</f>
        <v>16.844596653046928</v>
      </c>
      <c r="I6" s="139" t="str">
        <f>Box!B6</f>
        <v>Slabs Others Intragroup</v>
      </c>
      <c r="J6" s="153">
        <f>Cálculo!D18</f>
        <v>444.57400371677562</v>
      </c>
      <c r="K6" s="153">
        <f>Cálculo!G18</f>
        <v>516.61738349209077</v>
      </c>
      <c r="L6" s="137">
        <f>K6-J6</f>
        <v>72.043379775315145</v>
      </c>
      <c r="M6" s="142">
        <f>Box!M6</f>
        <v>997.327082214813</v>
      </c>
      <c r="N6" s="152">
        <f>L6*M6/1000</f>
        <v>71.850813744208722</v>
      </c>
      <c r="O6" s="130">
        <v>-71.046171651550011</v>
      </c>
      <c r="P6" s="837">
        <f t="shared" ref="P6:P17" si="1">N6-O6</f>
        <v>142.89698539575875</v>
      </c>
      <c r="Q6" s="147"/>
      <c r="W6" s="703">
        <f>W4-W5</f>
        <v>255.39439155688015</v>
      </c>
    </row>
    <row r="7" spans="2:23">
      <c r="B7" s="139" t="str">
        <f>Box!B7</f>
        <v>Slabs 3rd Party</v>
      </c>
      <c r="C7" s="150">
        <f>Cálculo!C19/1000</f>
        <v>1423.1643800000002</v>
      </c>
      <c r="D7" s="150">
        <f>Cálculo!F19/1000</f>
        <v>874.38504200000057</v>
      </c>
      <c r="E7" s="151">
        <f t="shared" ref="E7" si="2">D7-C7</f>
        <v>-548.7793379999996</v>
      </c>
      <c r="F7" s="137">
        <f>Cálculo!D85</f>
        <v>36.906952394043515</v>
      </c>
      <c r="G7" s="152">
        <f>E7*F7/1000</f>
        <v>-20.253772902400698</v>
      </c>
      <c r="I7" s="139" t="str">
        <f>Box!B7</f>
        <v>Slabs 3rd Party</v>
      </c>
      <c r="J7" s="153">
        <f>Cálculo!D19</f>
        <v>453.28100142169086</v>
      </c>
      <c r="K7" s="153">
        <f>Cálculo!G19</f>
        <v>520.32299177246705</v>
      </c>
      <c r="L7" s="137">
        <f>K7-J7</f>
        <v>67.041990350776189</v>
      </c>
      <c r="M7" s="142">
        <f>Box!M7</f>
        <v>874.38504200000057</v>
      </c>
      <c r="N7" s="152">
        <f>L7*M7/1000</f>
        <v>58.620513548627073</v>
      </c>
      <c r="P7" s="837"/>
      <c r="Q7" s="147"/>
      <c r="W7" s="703"/>
    </row>
    <row r="8" spans="2:23">
      <c r="B8" s="139" t="s">
        <v>930</v>
      </c>
      <c r="C8" s="150">
        <f>'Box (resumo sem AMD)'!C8+'Box (resumo sem AMD)'!C14+'Box (resumo sem AMD)'!C12+'Box (resumo sem AMD)'!C10+'Box (resumo sem AMD)'!C13</f>
        <v>434.97337999999996</v>
      </c>
      <c r="D8" s="150">
        <f>'Box (resumo sem AMD)'!D8+'Box (resumo sem AMD)'!D14+'Box (resumo sem AMD)'!D12+'Box (resumo sem AMD)'!D10+'Box (resumo sem AMD)'!D13</f>
        <v>215.01331600000006</v>
      </c>
      <c r="E8" s="151">
        <f t="shared" ref="E8" si="3">D8-C8</f>
        <v>-219.9600639999999</v>
      </c>
      <c r="F8" s="137">
        <f>G8*1000/E8</f>
        <v>52.29886245416624</v>
      </c>
      <c r="G8" s="152">
        <f>'Box (resumo sem AMD)'!G8+'Box (resumo sem AMD)'!G14+'Box (resumo sem AMD)'!G12+'Box (resumo sem AMD)'!G10+'Box (resumo sem AMD)'!G13</f>
        <v>-11.503661132545599</v>
      </c>
      <c r="I8" s="139" t="s">
        <v>930</v>
      </c>
      <c r="J8" s="153"/>
      <c r="K8" s="153"/>
      <c r="L8" s="137">
        <f>N8/M8*1000</f>
        <v>77.942090678417443</v>
      </c>
      <c r="M8" s="142">
        <f>'Box (resumo sem AMD)'!M8+'Box (resumo sem AMD)'!D14+'Box (resumo sem AMD)'!D12+'Box (resumo sem AMD)'!D10+'Box (resumo sem AMD)'!D13</f>
        <v>215.01331600000006</v>
      </c>
      <c r="N8" s="152">
        <f>'Box (resumo sem AMD)'!N8+'Box (resumo sem AMD)'!N14+'Box (resumo sem AMD)'!N12+'Box (resumo sem AMD)'!N10+'Box (resumo sem AMD)'!N13</f>
        <v>16.758587372739228</v>
      </c>
      <c r="O8" s="130">
        <v>-10.12503565181451</v>
      </c>
      <c r="P8" s="837">
        <f t="shared" si="1"/>
        <v>26.883623024553739</v>
      </c>
      <c r="Q8" s="147"/>
    </row>
    <row r="9" spans="2:23">
      <c r="B9" s="155" t="s">
        <v>99</v>
      </c>
      <c r="C9" s="163">
        <f>SUM(C5:C8)</f>
        <v>3219.1377600000001</v>
      </c>
      <c r="D9" s="163">
        <f>SUM(D5:D8)</f>
        <v>3052.9733102148134</v>
      </c>
      <c r="E9" s="164">
        <f>SUM(E5:E8)</f>
        <v>-166.16444978518658</v>
      </c>
      <c r="F9" s="156"/>
      <c r="G9" s="157">
        <f>SUM(G5:G8)</f>
        <v>-14.470585373278098</v>
      </c>
      <c r="I9" s="155" t="s">
        <v>99</v>
      </c>
      <c r="J9" s="165"/>
      <c r="K9" s="165"/>
      <c r="L9" s="156"/>
      <c r="M9" s="156"/>
      <c r="N9" s="157">
        <f>SUM(N5:N8)</f>
        <v>234.52295329151775</v>
      </c>
      <c r="O9" s="130">
        <v>-130.62831125566819</v>
      </c>
      <c r="P9" s="837">
        <f t="shared" si="1"/>
        <v>365.15126454718597</v>
      </c>
      <c r="T9" s="785"/>
      <c r="U9" s="147"/>
    </row>
    <row r="10" spans="2:23">
      <c r="P10" s="837">
        <f t="shared" si="1"/>
        <v>0</v>
      </c>
      <c r="T10" s="785"/>
      <c r="U10" s="147"/>
    </row>
    <row r="11" spans="2:23">
      <c r="B11" s="131" t="s">
        <v>88</v>
      </c>
      <c r="C11" s="132" t="str">
        <f>C4</f>
        <v>FY26'B</v>
      </c>
      <c r="D11" s="132" t="str">
        <f>D4</f>
        <v>FY26'F7</v>
      </c>
      <c r="E11" s="133" t="s">
        <v>89</v>
      </c>
      <c r="F11" s="133" t="str">
        <f>F4</f>
        <v>CM FY26'B</v>
      </c>
      <c r="G11" s="133" t="s">
        <v>90</v>
      </c>
      <c r="I11" s="131" t="s">
        <v>786</v>
      </c>
      <c r="J11" s="132" t="str">
        <f>J4</f>
        <v>FY26'B</v>
      </c>
      <c r="K11" s="132" t="str">
        <f>K4</f>
        <v>FY26'F7</v>
      </c>
      <c r="L11" s="133" t="s">
        <v>89</v>
      </c>
      <c r="M11" s="133" t="str">
        <f>M4</f>
        <v>Vol FY26'F7</v>
      </c>
      <c r="N11" s="133" t="s">
        <v>90</v>
      </c>
      <c r="O11" s="130" t="s">
        <v>90</v>
      </c>
      <c r="P11" s="837" t="e">
        <f t="shared" si="1"/>
        <v>#VALUE!</v>
      </c>
      <c r="T11" s="862" t="e">
        <f>#REF!*#REF!</f>
        <v>#REF!</v>
      </c>
      <c r="U11" s="719" t="e">
        <f>T11/'Box (resumo sem AMD)'!$N$38</f>
        <v>#REF!</v>
      </c>
    </row>
    <row r="12" spans="2:23">
      <c r="B12" s="139" t="str">
        <f>'Box (resumo sem AMD)'!B44</f>
        <v>Slabs &amp; Plates</v>
      </c>
      <c r="C12" s="150">
        <f>'Box (resumo sem AMD)'!C44</f>
        <v>49</v>
      </c>
      <c r="D12" s="150">
        <f>'Box (resumo sem AMD)'!D44</f>
        <v>48.953319999999998</v>
      </c>
      <c r="E12" s="151">
        <f>'Box (resumo sem AMD)'!E44</f>
        <v>-4.6680000000002053E-2</v>
      </c>
      <c r="F12" s="137">
        <f>'Box (resumo sem AMD)'!F44</f>
        <v>8454.5484495323617</v>
      </c>
      <c r="G12" s="152">
        <f>'Box (resumo sem AMD)'!G44</f>
        <v>-0.39465832162418801</v>
      </c>
      <c r="I12" s="139" t="str">
        <f>'Box (resumo sem AMD)'!I43</f>
        <v>Slabs &amp; Plates</v>
      </c>
      <c r="J12" s="150">
        <f>'Box (resumo sem AMD)'!J43</f>
        <v>0</v>
      </c>
      <c r="K12" s="150">
        <f>'Box (resumo sem AMD)'!K43</f>
        <v>0</v>
      </c>
      <c r="L12" s="906">
        <f>'Box (resumo sem AMD)'!L43</f>
        <v>-46.20015696225186</v>
      </c>
      <c r="M12" s="142">
        <f>'Box (resumo sem AMD)'!M43</f>
        <v>48.953319999999998</v>
      </c>
      <c r="N12" s="152">
        <f>'Box (resumo sem AMD)'!N43</f>
        <v>-0.41882427181913756</v>
      </c>
      <c r="P12" s="837"/>
      <c r="T12" s="862"/>
      <c r="U12" s="719"/>
    </row>
    <row r="13" spans="2:23">
      <c r="B13" s="139" t="str">
        <f>'Box (resumo sem AMD)'!B45</f>
        <v>Industry</v>
      </c>
      <c r="C13" s="150">
        <f>'Box (resumo sem AMD)'!C45</f>
        <v>3072.7371600000001</v>
      </c>
      <c r="D13" s="150">
        <f>'Box (resumo sem AMD)'!D45</f>
        <v>3108.4749278984796</v>
      </c>
      <c r="E13" s="151">
        <f>'Box (resumo sem AMD)'!E45</f>
        <v>35.737767898479433</v>
      </c>
      <c r="F13" s="137">
        <f>'Box (resumo sem AMD)'!F45</f>
        <v>184.45913392054646</v>
      </c>
      <c r="G13" s="152">
        <f>'Box (resumo sem AMD)'!G45</f>
        <v>6.5921577148070245</v>
      </c>
      <c r="I13" s="139" t="str">
        <f>'Box (resumo sem AMD)'!I44</f>
        <v>Industry</v>
      </c>
      <c r="J13" s="150">
        <f>'Box (resumo sem AMD)'!J44</f>
        <v>0</v>
      </c>
      <c r="K13" s="150">
        <f>'Box (resumo sem AMD)'!K44</f>
        <v>0</v>
      </c>
      <c r="L13" s="906">
        <f>'Box (resumo sem AMD)'!L44</f>
        <v>70.487239606106272</v>
      </c>
      <c r="M13" s="142">
        <f>'Box (resumo sem AMD)'!M44</f>
        <v>3108.4749278984796</v>
      </c>
      <c r="N13" s="152">
        <f>'Box (resumo sem AMD)'!N44</f>
        <v>40.575521676361859</v>
      </c>
      <c r="O13" s="130">
        <v>61.548128739782619</v>
      </c>
      <c r="P13" s="837">
        <f t="shared" si="1"/>
        <v>-20.97260706342076</v>
      </c>
      <c r="T13" s="862">
        <f>L14*M14</f>
        <v>64094.182185882819</v>
      </c>
      <c r="U13" s="719">
        <f>T13/'Box (resumo sem AMD)'!$N$38</f>
        <v>11869.292997385706</v>
      </c>
    </row>
    <row r="14" spans="2:23">
      <c r="B14" s="139" t="str">
        <f>'Box (resumo sem AMD)'!B46</f>
        <v>Auto</v>
      </c>
      <c r="C14" s="150">
        <f>'Box (resumo sem AMD)'!C46+C21</f>
        <v>891.45881532261376</v>
      </c>
      <c r="D14" s="150">
        <f>'Box (resumo sem AMD)'!D46+D21</f>
        <v>896.15692851469259</v>
      </c>
      <c r="E14" s="151">
        <f>'Box (resumo sem AMD)'!E46+'Box (resumo sem AMD)'!E11+'Box (resumo sem AMD)'!E9</f>
        <v>4.698113192078786</v>
      </c>
      <c r="F14" s="137">
        <f>G14/E14*1000</f>
        <v>339.00955412173931</v>
      </c>
      <c r="G14" s="152">
        <f>'Box (resumo sem AMD)'!G46+G21</f>
        <v>1.5927052584600907</v>
      </c>
      <c r="I14" s="139" t="str">
        <f>'Box (resumo sem AMD)'!I45</f>
        <v>Auto</v>
      </c>
      <c r="J14" s="150">
        <f>'Box (resumo sem AMD)'!J45</f>
        <v>0</v>
      </c>
      <c r="K14" s="150">
        <f>'Box (resumo sem AMD)'!K45</f>
        <v>0</v>
      </c>
      <c r="L14" s="906">
        <f>N14/M14*1000*'Box (resumo sem AMD)'!N38</f>
        <v>71.521159014095588</v>
      </c>
      <c r="M14" s="142">
        <f>'Box (resumo sem AMD)'!M45+M23</f>
        <v>896.15692851469259</v>
      </c>
      <c r="N14" s="152">
        <f>'Box (resumo sem AMD)'!N45+N23</f>
        <v>11.869292997385706</v>
      </c>
      <c r="O14" s="130">
        <v>-10.773846112389348</v>
      </c>
      <c r="P14" s="837">
        <f t="shared" si="1"/>
        <v>22.643139109775056</v>
      </c>
    </row>
    <row r="15" spans="2:23">
      <c r="B15" s="139" t="str">
        <f>'Box (resumo sem AMD)'!B47</f>
        <v>Revenue recognition</v>
      </c>
      <c r="C15" s="150">
        <f>'Box (resumo sem AMD)'!C47</f>
        <v>0</v>
      </c>
      <c r="D15" s="150">
        <f>'Box (resumo sem AMD)'!D47</f>
        <v>0</v>
      </c>
      <c r="E15" s="151"/>
      <c r="F15" s="137"/>
      <c r="G15" s="152">
        <f>'Box (resumo sem AMD)'!G47</f>
        <v>0</v>
      </c>
      <c r="I15" s="170" t="s">
        <v>12</v>
      </c>
      <c r="J15" s="171"/>
      <c r="K15" s="171"/>
      <c r="L15" s="172"/>
      <c r="M15" s="168"/>
      <c r="N15" s="157">
        <f>SUM(N12:N14)</f>
        <v>52.025990401928425</v>
      </c>
      <c r="O15" s="130">
        <v>51.26978807146002</v>
      </c>
      <c r="P15" s="837">
        <f t="shared" si="1"/>
        <v>0.75620233046840468</v>
      </c>
    </row>
    <row r="16" spans="2:23">
      <c r="B16" s="139"/>
      <c r="C16" s="150"/>
      <c r="D16" s="150"/>
      <c r="E16" s="151"/>
      <c r="F16" s="137"/>
      <c r="G16" s="152"/>
      <c r="N16" s="340"/>
      <c r="P16" s="837">
        <f t="shared" si="1"/>
        <v>0</v>
      </c>
    </row>
    <row r="17" spans="2:26">
      <c r="B17" s="170" t="s">
        <v>12</v>
      </c>
      <c r="C17" s="797">
        <f>SUM(C13:C16)</f>
        <v>3964.1959753226138</v>
      </c>
      <c r="D17" s="797">
        <f>SUM(D13:D16)</f>
        <v>4004.631856413172</v>
      </c>
      <c r="E17" s="164">
        <f>SUM(E13:E15)</f>
        <v>40.435881090558219</v>
      </c>
      <c r="F17" s="168"/>
      <c r="G17" s="157">
        <f>SUM(G12:G16)</f>
        <v>7.7902046516429273</v>
      </c>
      <c r="I17" s="170" t="s">
        <v>14</v>
      </c>
      <c r="J17" s="797"/>
      <c r="K17" s="797"/>
      <c r="L17" s="164"/>
      <c r="M17" s="168"/>
      <c r="N17" s="157">
        <f>N9+N15</f>
        <v>286.54894369344618</v>
      </c>
      <c r="O17" s="130">
        <v>-79.358523184208167</v>
      </c>
      <c r="P17" s="837">
        <f t="shared" si="1"/>
        <v>365.90746687765431</v>
      </c>
      <c r="Z17" s="130">
        <f>('Box (resumo SAIDA)'!F13-'Box (resumo SAIDA)'!F8)*'Box (resumo SAIDA)'!E17/1000</f>
        <v>5.344017021910445</v>
      </c>
    </row>
    <row r="18" spans="2:26">
      <c r="P18" s="837"/>
    </row>
    <row r="19" spans="2:26">
      <c r="B19" s="170" t="s">
        <v>14</v>
      </c>
      <c r="C19" s="163"/>
      <c r="D19" s="163"/>
      <c r="E19" s="164">
        <f>E17+E9</f>
        <v>-125.72856869462836</v>
      </c>
      <c r="F19" s="156"/>
      <c r="G19" s="157">
        <f>G17+G9</f>
        <v>-6.6803807216351707</v>
      </c>
    </row>
    <row r="20" spans="2:26">
      <c r="B20" s="889"/>
      <c r="C20" s="889"/>
      <c r="D20" s="889"/>
      <c r="E20" s="889"/>
      <c r="F20" s="889"/>
      <c r="G20" s="889"/>
      <c r="M20" s="181" t="e">
        <f>M5+M6+#REF!+#REF!+M13+M14+M8</f>
        <v>#REF!</v>
      </c>
      <c r="N20" s="681">
        <f>Cálculo!C5</f>
        <v>286.54894369344618</v>
      </c>
    </row>
    <row r="21" spans="2:26">
      <c r="B21" s="892" t="s">
        <v>769</v>
      </c>
      <c r="C21" s="893">
        <f>'Box (resumo sem AMD)'!C9+'Box (resumo sem AMD)'!C11</f>
        <v>50.772245602490479</v>
      </c>
      <c r="D21" s="893">
        <f>'Box (resumo sem AMD)'!D9+'Box (resumo sem AMD)'!D11</f>
        <v>43.036334185412656</v>
      </c>
      <c r="E21" s="894">
        <f t="shared" ref="E21" si="4">D21-C21</f>
        <v>-7.7359114170778227</v>
      </c>
      <c r="F21" s="895">
        <f>G21*1000/E21</f>
        <v>450.38940331042784</v>
      </c>
      <c r="G21" s="896">
        <f>'Box (resumo sem AMD)'!G11+'Box (resumo sem AMD)'!G9</f>
        <v>-3.4841725272000068</v>
      </c>
      <c r="L21" s="683" t="e">
        <f>#REF!*#REF!</f>
        <v>#REF!</v>
      </c>
      <c r="M21" s="294" t="e">
        <f>M20-Cálculo!F48/1000</f>
        <v>#REF!</v>
      </c>
      <c r="N21" s="971">
        <f>N17-Cálculo!C5</f>
        <v>0</v>
      </c>
    </row>
    <row r="22" spans="2:26">
      <c r="I22" s="130" t="s">
        <v>771</v>
      </c>
    </row>
    <row r="23" spans="2:26">
      <c r="G23" s="681">
        <f>Cálculo!C6+Cálculo!C7</f>
        <v>-6.680380721635153</v>
      </c>
      <c r="I23" s="892" t="s">
        <v>769</v>
      </c>
      <c r="J23" s="893"/>
      <c r="K23" s="893"/>
      <c r="L23" s="894">
        <f>N23/M23*1000</f>
        <v>-2.6393597967244387</v>
      </c>
      <c r="M23" s="895">
        <f>'Box (resumo sem AMD)'!M11+'Box (resumo sem AMD)'!M9</f>
        <v>43.036334185412656</v>
      </c>
      <c r="N23" s="896">
        <f>'Box (resumo sem AMD)'!N11+'Box (resumo sem AMD)'!N9</f>
        <v>-0.11358837024737575</v>
      </c>
      <c r="P23" s="1058" t="s">
        <v>729</v>
      </c>
      <c r="Q23" s="1058"/>
      <c r="R23" s="1058"/>
      <c r="S23" s="1058"/>
      <c r="T23" s="1058"/>
      <c r="U23" s="1058"/>
      <c r="V23" s="1058"/>
      <c r="W23" s="1058"/>
    </row>
    <row r="24" spans="2:26">
      <c r="F24" s="130">
        <f>('Box (resumo SAIDA)'!F13-'Box (resumo SAIDA)'!F8)*E17/1000</f>
        <v>5.344017021910445</v>
      </c>
      <c r="G24" s="786">
        <f>G19-G23</f>
        <v>-1.7763568394002505E-14</v>
      </c>
      <c r="M24" s="181"/>
      <c r="P24" s="785"/>
    </row>
    <row r="25" spans="2:26">
      <c r="E25" s="911">
        <f>Cálculo!F48-Cálculo!C48</f>
        <v>-125775.24869462941</v>
      </c>
      <c r="M25" s="181"/>
      <c r="P25" s="131" t="s">
        <v>257</v>
      </c>
      <c r="Q25" s="132" t="s">
        <v>89</v>
      </c>
      <c r="R25" s="880" t="str">
        <f>M4</f>
        <v>Vol FY26'F7</v>
      </c>
      <c r="S25" s="133" t="s">
        <v>90</v>
      </c>
      <c r="T25" s="131" t="s">
        <v>257</v>
      </c>
      <c r="U25" s="132" t="s">
        <v>89</v>
      </c>
      <c r="V25" s="880" t="str">
        <f>R25</f>
        <v>Vol FY26'F7</v>
      </c>
      <c r="W25" s="133" t="s">
        <v>90</v>
      </c>
    </row>
    <row r="26" spans="2:26">
      <c r="B26" s="295">
        <f>('Box (resumo SAIDA)'!F13-'Box (resumo SAIDA)'!F8)*'Box (resumo SAIDA)'!E17/1000</f>
        <v>5.344017021910445</v>
      </c>
      <c r="C26" s="295">
        <f>C9+C17</f>
        <v>7183.3337353226143</v>
      </c>
      <c r="D26" s="295">
        <f>D9+D17</f>
        <v>7057.6051666279855</v>
      </c>
      <c r="E26" s="295"/>
      <c r="F26" s="295">
        <f>Cálculo!C6+Cálculo!C7</f>
        <v>-6.680380721635153</v>
      </c>
      <c r="P26" s="834" t="s">
        <v>728</v>
      </c>
      <c r="Q26" s="140"/>
      <c r="R26" s="142"/>
      <c r="S26" s="138"/>
      <c r="T26" s="834" t="s">
        <v>730</v>
      </c>
      <c r="U26" s="140"/>
      <c r="V26" s="142"/>
      <c r="W26" s="138"/>
    </row>
    <row r="27" spans="2:26">
      <c r="B27" s="295"/>
      <c r="C27" s="295"/>
      <c r="D27" s="295">
        <f>Cálculo!F114-Cálculo!C114</f>
        <v>-125775.24869462941</v>
      </c>
      <c r="E27" s="295"/>
      <c r="F27" s="295">
        <f>F26-G19</f>
        <v>1.7763568394002505E-14</v>
      </c>
      <c r="P27" s="712" t="s">
        <v>380</v>
      </c>
      <c r="Q27" s="137">
        <f>'[32]Analise Calvert -  Base'!$G$19-'[32]Analise Calvert -  Base'!$D$19+0.6</f>
        <v>3.5542493355098714</v>
      </c>
      <c r="R27" s="142">
        <f>'[32]Analise Calvert -  Base'!$F$19/1000</f>
        <v>1091.6570400000001</v>
      </c>
      <c r="S27" s="152">
        <f>Q27*R27/1000</f>
        <v>3.8800213090246736</v>
      </c>
      <c r="T27" s="712" t="s">
        <v>380</v>
      </c>
      <c r="U27" s="137">
        <f>'[32]Analise Calvert -  Extra'!$G$19-'[32]Analise Calvert -  Extra'!$D$19</f>
        <v>-1.2385920384355487</v>
      </c>
      <c r="V27" s="142">
        <f>'[32]Analise Calvert -  Base'!$F$19/1000</f>
        <v>1091.6570400000001</v>
      </c>
      <c r="W27" s="152">
        <f>U27*V27/1000</f>
        <v>-1.3521177184461173</v>
      </c>
      <c r="X27" s="683">
        <f>S27+W27</f>
        <v>2.5279035905785561</v>
      </c>
      <c r="Y27" s="683">
        <f>N5</f>
        <v>87.293038625942756</v>
      </c>
    </row>
    <row r="28" spans="2:26">
      <c r="B28" s="295">
        <f>G13+G8</f>
        <v>-4.9115034177385741</v>
      </c>
      <c r="C28" s="295">
        <f>Cálculo!C48</f>
        <v>7232333.7353226142</v>
      </c>
      <c r="D28" s="295">
        <f>Cálculo!F48</f>
        <v>7106558.4866279848</v>
      </c>
      <c r="E28" s="295"/>
      <c r="F28" s="295">
        <f>G16/45</f>
        <v>0</v>
      </c>
      <c r="P28" s="712" t="s">
        <v>17</v>
      </c>
      <c r="Q28" s="162">
        <f>'[32]Analise SLAB Others Base'!$G$45-'[32]Analise SLAB Others Base'!$D$45+0.4</f>
        <v>16.516413619756825</v>
      </c>
      <c r="R28" s="142">
        <f>'[32]Analise SLAB Others Base'!$F$45/1000</f>
        <v>1655.1977879999999</v>
      </c>
      <c r="S28" s="152">
        <f>Q28*R28/1000-0.3</f>
        <v>27.037931289114571</v>
      </c>
      <c r="T28" s="712" t="s">
        <v>17</v>
      </c>
      <c r="U28" s="162">
        <f>'[32]Analise SLAB Others Extra'!$G$45-'[32]Analise SLAB Others Extra'!$D$45+0.4</f>
        <v>4.7758741576833721</v>
      </c>
      <c r="V28" s="142">
        <f>'[32]Analise SLAB Others Base'!$F$45/1000</f>
        <v>1655.1977879999999</v>
      </c>
      <c r="W28" s="152">
        <f>U28*V28/1000</f>
        <v>7.905016341563881</v>
      </c>
      <c r="X28" s="683">
        <f>S28+W28</f>
        <v>34.942947630678454</v>
      </c>
      <c r="Y28" s="683">
        <f>N6</f>
        <v>71.850813744208722</v>
      </c>
    </row>
    <row r="29" spans="2:26">
      <c r="B29" s="295">
        <f>B28-B26</f>
        <v>-10.255520439649018</v>
      </c>
      <c r="C29" s="295"/>
      <c r="D29" s="295"/>
      <c r="E29" s="295"/>
      <c r="F29" s="295"/>
      <c r="P29" s="170" t="s">
        <v>732</v>
      </c>
      <c r="Q29" s="164"/>
      <c r="R29" s="881"/>
      <c r="S29" s="157">
        <f>S28+S27</f>
        <v>30.917952598139244</v>
      </c>
      <c r="T29" s="170" t="s">
        <v>731</v>
      </c>
      <c r="U29" s="164"/>
      <c r="V29" s="881"/>
      <c r="W29" s="157">
        <f>W27+W28-0.1</f>
        <v>6.4528986231177639</v>
      </c>
    </row>
    <row r="30" spans="2:26">
      <c r="B30" s="295"/>
      <c r="C30" s="295"/>
      <c r="D30" s="295"/>
      <c r="E30" s="295"/>
      <c r="F30" s="295">
        <f>('Box (resumo SAIDA)'!F13-'Box (resumo SAIDA)'!F8)*'Box (resumo SAIDA)'!E17/1000</f>
        <v>5.344017021910445</v>
      </c>
    </row>
    <row r="31" spans="2:26">
      <c r="B31" s="295"/>
      <c r="C31" s="295">
        <f>SUMPRODUCT(F13:F13,D13:D13)/SUM(D13:D13)</f>
        <v>184.45913392054649</v>
      </c>
      <c r="D31" s="295"/>
      <c r="E31" s="295"/>
      <c r="F31" s="295"/>
      <c r="L31" s="913"/>
      <c r="P31" s="170" t="s">
        <v>14</v>
      </c>
      <c r="Q31" s="797"/>
      <c r="R31" s="882"/>
      <c r="S31" s="164"/>
      <c r="T31" s="168"/>
      <c r="U31" s="168"/>
      <c r="V31" s="881"/>
      <c r="W31" s="157">
        <f>W29+S29</f>
        <v>37.370851221257006</v>
      </c>
    </row>
    <row r="32" spans="2:26">
      <c r="B32" s="295"/>
      <c r="C32" s="295">
        <f>C31-F8</f>
        <v>132.16027146638027</v>
      </c>
      <c r="D32" s="295"/>
      <c r="E32" s="295"/>
      <c r="F32" s="295"/>
    </row>
    <row r="33" spans="2:23">
      <c r="B33" s="295"/>
      <c r="C33" s="295">
        <f>C32*E17</f>
        <v>5344.0170219104466</v>
      </c>
      <c r="D33" s="295"/>
      <c r="E33" s="295"/>
      <c r="F33" s="295">
        <f>225*63</f>
        <v>14175</v>
      </c>
      <c r="W33" s="703">
        <f>N5+N6</f>
        <v>159.14385237015148</v>
      </c>
    </row>
    <row r="34" spans="2:23">
      <c r="W34" s="703">
        <f>W33-W31</f>
        <v>121.77300114889448</v>
      </c>
    </row>
    <row r="37" spans="2:23">
      <c r="L37" s="130">
        <f>('Box (resumo SAIDA)'!F13-'Box (resumo SAIDA)'!F8)*'Box (resumo SAIDA)'!E17/1000</f>
        <v>5.344017021910445</v>
      </c>
    </row>
    <row r="53" spans="2:6">
      <c r="B53" s="1058" t="s">
        <v>718</v>
      </c>
      <c r="C53" s="1058"/>
      <c r="D53" s="1058"/>
      <c r="E53" s="1058"/>
      <c r="F53" s="130" t="s">
        <v>779</v>
      </c>
    </row>
    <row r="54" spans="2:6" ht="5.0999999999999996" customHeight="1">
      <c r="B54" s="898"/>
      <c r="C54" s="898"/>
      <c r="D54" s="898"/>
      <c r="E54" s="898"/>
    </row>
    <row r="55" spans="2:6" ht="13.5">
      <c r="B55" s="811" t="s">
        <v>775</v>
      </c>
      <c r="C55" s="811" t="s">
        <v>88</v>
      </c>
      <c r="D55" s="811" t="s">
        <v>776</v>
      </c>
      <c r="E55" s="811" t="s">
        <v>90</v>
      </c>
    </row>
    <row r="56" spans="2:6" ht="13.5">
      <c r="B56" s="899" t="s">
        <v>604</v>
      </c>
      <c r="C56" s="900"/>
      <c r="D56" s="900"/>
      <c r="E56" s="901">
        <f>'[33]Saida box receita FY'!$N$29</f>
        <v>-6.2499620951028891</v>
      </c>
    </row>
    <row r="57" spans="2:6" ht="13.5">
      <c r="B57" s="899" t="s">
        <v>777</v>
      </c>
      <c r="C57" s="900"/>
      <c r="D57" s="900"/>
      <c r="E57" s="901">
        <f>'[33]Saida box receita FY'!$N$30+[34]MRF02!$AN$37-10.9-0.6</f>
        <v>-61.006643391048286</v>
      </c>
    </row>
    <row r="58" spans="2:6" ht="13.5">
      <c r="B58" s="899" t="s">
        <v>778</v>
      </c>
      <c r="C58" s="900"/>
      <c r="D58" s="900"/>
      <c r="E58" s="901">
        <v>-3</v>
      </c>
    </row>
    <row r="59" spans="2:6" ht="13.5">
      <c r="B59" s="814" t="s">
        <v>14</v>
      </c>
      <c r="C59" s="902"/>
      <c r="D59" s="902"/>
      <c r="E59" s="815">
        <f>SUM(E56:E58)</f>
        <v>-70.256605486151173</v>
      </c>
    </row>
    <row r="60" spans="2:6" ht="12.75">
      <c r="B60" s="897"/>
      <c r="C60" s="897"/>
      <c r="D60" s="897"/>
      <c r="E60" s="897"/>
    </row>
    <row r="61" spans="2:6" ht="12.75">
      <c r="B61" s="897"/>
      <c r="C61" s="897"/>
      <c r="D61" s="897"/>
      <c r="E61" s="897"/>
    </row>
    <row r="62" spans="2:6" ht="12.75">
      <c r="B62" s="897"/>
      <c r="C62" s="897"/>
      <c r="D62" s="897"/>
      <c r="E62" s="897"/>
    </row>
    <row r="63" spans="2:6">
      <c r="B63" s="1058" t="s">
        <v>718</v>
      </c>
      <c r="C63" s="1058"/>
      <c r="D63" s="1058"/>
      <c r="E63" s="1058"/>
      <c r="F63" s="130" t="s">
        <v>780</v>
      </c>
    </row>
    <row r="64" spans="2:6" ht="5.0999999999999996" customHeight="1">
      <c r="B64" s="898"/>
      <c r="C64" s="898"/>
      <c r="D64" s="898"/>
      <c r="E64" s="898"/>
    </row>
    <row r="65" spans="2:6" ht="13.5">
      <c r="B65" s="811" t="s">
        <v>775</v>
      </c>
      <c r="C65" s="811" t="s">
        <v>88</v>
      </c>
      <c r="D65" s="811" t="s">
        <v>776</v>
      </c>
      <c r="E65" s="811" t="s">
        <v>90</v>
      </c>
    </row>
    <row r="66" spans="2:6" ht="13.5">
      <c r="B66" s="899" t="s">
        <v>604</v>
      </c>
      <c r="C66" s="900"/>
      <c r="D66" s="900"/>
      <c r="E66" s="901">
        <v>-22</v>
      </c>
    </row>
    <row r="67" spans="2:6" ht="13.5">
      <c r="B67" s="899" t="s">
        <v>777</v>
      </c>
      <c r="C67" s="900"/>
      <c r="D67" s="900"/>
      <c r="E67" s="901">
        <v>-46</v>
      </c>
    </row>
    <row r="68" spans="2:6" ht="13.5">
      <c r="B68" s="899" t="s">
        <v>778</v>
      </c>
      <c r="C68" s="900"/>
      <c r="D68" s="900"/>
      <c r="E68" s="901">
        <v>10</v>
      </c>
    </row>
    <row r="69" spans="2:6" ht="13.5">
      <c r="B69" s="814" t="s">
        <v>14</v>
      </c>
      <c r="C69" s="902"/>
      <c r="D69" s="902"/>
      <c r="E69" s="815">
        <f>SUM(E66:E68)</f>
        <v>-58</v>
      </c>
    </row>
    <row r="70" spans="2:6" ht="12.75">
      <c r="B70" s="897"/>
      <c r="C70" s="897"/>
      <c r="D70" s="897"/>
      <c r="E70" s="897"/>
    </row>
    <row r="71" spans="2:6">
      <c r="B71" s="1058" t="s">
        <v>718</v>
      </c>
      <c r="C71" s="1058"/>
      <c r="D71" s="1058"/>
      <c r="E71" s="1058"/>
      <c r="F71" s="130" t="s">
        <v>781</v>
      </c>
    </row>
    <row r="72" spans="2:6" ht="5.0999999999999996" customHeight="1">
      <c r="B72" s="898"/>
      <c r="C72" s="898"/>
      <c r="D72" s="898"/>
      <c r="E72" s="898"/>
    </row>
    <row r="73" spans="2:6" ht="13.5">
      <c r="B73" s="811" t="s">
        <v>775</v>
      </c>
      <c r="C73" s="811" t="s">
        <v>88</v>
      </c>
      <c r="D73" s="811" t="s">
        <v>776</v>
      </c>
      <c r="E73" s="811" t="s">
        <v>90</v>
      </c>
    </row>
    <row r="74" spans="2:6" ht="13.5">
      <c r="B74" s="899" t="s">
        <v>604</v>
      </c>
      <c r="C74" s="900"/>
      <c r="D74" s="900"/>
      <c r="E74" s="901">
        <f>E56+E66</f>
        <v>-28.249962095102887</v>
      </c>
    </row>
    <row r="75" spans="2:6" ht="13.5">
      <c r="B75" s="899" t="s">
        <v>777</v>
      </c>
      <c r="C75" s="900"/>
      <c r="D75" s="900"/>
      <c r="E75" s="901">
        <f>E57+E67</f>
        <v>-107.00664339104829</v>
      </c>
    </row>
    <row r="76" spans="2:6" ht="13.5">
      <c r="B76" s="899" t="s">
        <v>778</v>
      </c>
      <c r="C76" s="900"/>
      <c r="D76" s="900"/>
      <c r="E76" s="901">
        <f>E58+E68</f>
        <v>7</v>
      </c>
    </row>
    <row r="77" spans="2:6" ht="13.5">
      <c r="B77" s="814" t="s">
        <v>14</v>
      </c>
      <c r="C77" s="902"/>
      <c r="D77" s="902"/>
      <c r="E77" s="815">
        <f>SUM(E74:E76)</f>
        <v>-128.25660548615116</v>
      </c>
    </row>
    <row r="82" spans="12:12" ht="12.75">
      <c r="L82"/>
    </row>
  </sheetData>
  <mergeCells count="8">
    <mergeCell ref="B53:E53"/>
    <mergeCell ref="B63:E63"/>
    <mergeCell ref="B71:E71"/>
    <mergeCell ref="I1:N1"/>
    <mergeCell ref="B2:G2"/>
    <mergeCell ref="I2:N2"/>
    <mergeCell ref="P2:Q2"/>
    <mergeCell ref="P23:W23"/>
  </mergeCells>
  <pageMargins left="0.511811024" right="0.511811024" top="0.78740157499999996" bottom="0.78740157499999996" header="0.31496062000000002" footer="0.31496062000000002"/>
  <pageSetup paperSize="9" orientation="landscape" r:id="rId1"/>
  <customProperties>
    <customPr name="_pios_id" r:id="rId2"/>
  </customProperties>
  <ignoredErrors>
    <ignoredError sqref="F7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8FA30-8E8A-4E35-8536-DFF1D2F8E1B9}">
  <sheetPr codeName="Planilha2"/>
  <dimension ref="A4:Y17"/>
  <sheetViews>
    <sheetView zoomScale="70" zoomScaleNormal="70" workbookViewId="0">
      <selection activeCell="P18" sqref="P18"/>
    </sheetView>
  </sheetViews>
  <sheetFormatPr defaultRowHeight="12.75"/>
  <cols>
    <col min="1" max="1" width="21.42578125" customWidth="1"/>
  </cols>
  <sheetData>
    <row r="4" spans="1:25" ht="78.75">
      <c r="A4" s="741"/>
      <c r="B4" s="741"/>
      <c r="C4" s="742" t="s">
        <v>634</v>
      </c>
      <c r="D4" s="743" t="s">
        <v>635</v>
      </c>
      <c r="E4" s="743" t="s">
        <v>636</v>
      </c>
      <c r="F4" s="743" t="s">
        <v>637</v>
      </c>
      <c r="G4" s="743" t="s">
        <v>638</v>
      </c>
      <c r="H4" s="744" t="s">
        <v>639</v>
      </c>
      <c r="I4" s="744" t="s">
        <v>640</v>
      </c>
      <c r="J4" s="744" t="s">
        <v>641</v>
      </c>
      <c r="K4" s="744" t="s">
        <v>642</v>
      </c>
      <c r="L4" s="744" t="s">
        <v>643</v>
      </c>
      <c r="M4" s="744" t="s">
        <v>644</v>
      </c>
      <c r="N4" s="744" t="s">
        <v>645</v>
      </c>
      <c r="O4" s="744" t="s">
        <v>646</v>
      </c>
      <c r="P4" s="744" t="s">
        <v>647</v>
      </c>
      <c r="Q4" s="744" t="s">
        <v>648</v>
      </c>
      <c r="R4" s="744" t="s">
        <v>649</v>
      </c>
      <c r="S4" s="744" t="s">
        <v>650</v>
      </c>
      <c r="T4" s="744" t="s">
        <v>651</v>
      </c>
      <c r="U4" s="743" t="s">
        <v>652</v>
      </c>
      <c r="V4" s="743" t="s">
        <v>653</v>
      </c>
      <c r="W4" s="743" t="s">
        <v>654</v>
      </c>
      <c r="X4" s="743" t="s">
        <v>655</v>
      </c>
      <c r="Y4" s="743" t="s">
        <v>635</v>
      </c>
    </row>
    <row r="5" spans="1:25" ht="31.5">
      <c r="A5" s="741"/>
      <c r="B5" s="741"/>
      <c r="C5" s="745" t="s">
        <v>656</v>
      </c>
      <c r="D5" s="746" t="s">
        <v>656</v>
      </c>
      <c r="E5" s="746" t="s">
        <v>656</v>
      </c>
      <c r="F5" s="746" t="s">
        <v>656</v>
      </c>
      <c r="G5" s="746" t="s">
        <v>656</v>
      </c>
      <c r="H5" s="747"/>
      <c r="I5" s="747"/>
      <c r="J5" s="747"/>
      <c r="K5" s="747"/>
      <c r="L5" s="747"/>
      <c r="M5" s="747"/>
      <c r="N5" s="747"/>
      <c r="O5" s="747"/>
      <c r="P5" s="747"/>
      <c r="Q5" s="747"/>
      <c r="R5" s="747"/>
      <c r="S5" s="747"/>
      <c r="T5" s="747"/>
      <c r="U5" s="748" t="s">
        <v>657</v>
      </c>
      <c r="V5" s="748" t="s">
        <v>657</v>
      </c>
      <c r="W5" s="748" t="s">
        <v>657</v>
      </c>
      <c r="X5" s="748" t="s">
        <v>657</v>
      </c>
      <c r="Y5" s="748" t="s">
        <v>657</v>
      </c>
    </row>
    <row r="6" spans="1:25">
      <c r="A6" s="741"/>
      <c r="B6" s="741"/>
      <c r="C6" s="749"/>
      <c r="D6" s="749"/>
      <c r="E6" s="749"/>
      <c r="F6" s="749"/>
      <c r="G6" s="749"/>
      <c r="H6" s="749"/>
      <c r="I6" s="749"/>
      <c r="J6" s="749"/>
      <c r="K6" s="749"/>
      <c r="L6" s="749"/>
      <c r="M6" s="749"/>
      <c r="N6" s="749"/>
      <c r="O6" s="749"/>
      <c r="P6" s="749"/>
      <c r="Q6" s="749"/>
      <c r="R6" s="749"/>
      <c r="S6" s="749"/>
      <c r="T6" s="749"/>
      <c r="U6" s="749"/>
      <c r="V6" s="749"/>
      <c r="W6" s="749"/>
      <c r="X6" s="749"/>
      <c r="Y6" s="749"/>
    </row>
    <row r="7" spans="1:25">
      <c r="A7" s="750" t="s">
        <v>658</v>
      </c>
      <c r="B7" s="749"/>
      <c r="C7" s="751"/>
      <c r="D7" s="751"/>
      <c r="E7" s="751"/>
      <c r="F7" s="751"/>
      <c r="G7" s="751"/>
      <c r="H7" s="751"/>
      <c r="I7" s="751"/>
      <c r="J7" s="751"/>
      <c r="K7" s="751"/>
      <c r="L7" s="751"/>
      <c r="M7" s="751"/>
      <c r="N7" s="751"/>
      <c r="O7" s="751"/>
      <c r="P7" s="751"/>
      <c r="Q7" s="751"/>
      <c r="R7" s="751"/>
      <c r="S7" s="751"/>
      <c r="T7" s="751"/>
      <c r="U7" s="751"/>
      <c r="V7" s="751"/>
      <c r="W7" s="751"/>
      <c r="X7" s="751"/>
      <c r="Y7" s="751"/>
    </row>
    <row r="8" spans="1:25">
      <c r="A8" s="752"/>
      <c r="B8" s="749"/>
      <c r="C8" s="753"/>
      <c r="D8" s="751"/>
      <c r="E8" s="751"/>
      <c r="F8" s="751"/>
      <c r="G8" s="751"/>
      <c r="H8" s="751"/>
      <c r="I8" s="751"/>
      <c r="J8" s="751"/>
      <c r="K8" s="751"/>
      <c r="L8" s="751"/>
      <c r="M8" s="751"/>
      <c r="N8" s="751"/>
      <c r="O8" s="751"/>
      <c r="P8" s="751"/>
      <c r="Q8" s="751"/>
      <c r="R8" s="751"/>
      <c r="S8" s="751"/>
      <c r="T8" s="751"/>
      <c r="U8" s="751"/>
      <c r="V8" s="751"/>
      <c r="W8" s="751"/>
      <c r="X8" s="751"/>
      <c r="Y8" s="751"/>
    </row>
    <row r="9" spans="1:25">
      <c r="A9" s="754"/>
      <c r="B9" s="749"/>
      <c r="C9" s="751"/>
      <c r="D9" s="751"/>
      <c r="E9" s="751"/>
      <c r="F9" s="751"/>
      <c r="G9" s="751"/>
      <c r="H9" s="751"/>
      <c r="I9" s="751"/>
      <c r="J9" s="751"/>
      <c r="K9" s="751"/>
      <c r="L9" s="751"/>
      <c r="M9" s="751"/>
      <c r="N9" s="751"/>
      <c r="O9" s="751"/>
      <c r="P9" s="751"/>
      <c r="Q9" s="751"/>
      <c r="R9" s="751"/>
      <c r="S9" s="751"/>
      <c r="T9" s="751"/>
      <c r="U9" s="751"/>
      <c r="V9" s="751"/>
      <c r="W9" s="751"/>
      <c r="X9" s="751"/>
      <c r="Y9" s="751"/>
    </row>
    <row r="10" spans="1:25" ht="22.5">
      <c r="A10" s="755" t="s">
        <v>659</v>
      </c>
      <c r="B10" s="749"/>
      <c r="C10" s="756"/>
      <c r="D10" s="757"/>
      <c r="E10" s="758"/>
      <c r="F10" s="757"/>
      <c r="G10" s="758"/>
      <c r="H10" s="759"/>
      <c r="I10" s="759"/>
      <c r="J10" s="759"/>
      <c r="K10" s="759"/>
      <c r="L10" s="759"/>
      <c r="M10" s="759"/>
      <c r="N10" s="759"/>
      <c r="O10" s="759"/>
      <c r="P10" s="759"/>
      <c r="Q10" s="759"/>
      <c r="R10" s="759"/>
      <c r="S10" s="759"/>
      <c r="T10" s="759"/>
      <c r="U10" s="760"/>
      <c r="V10" s="757"/>
      <c r="W10" s="760"/>
      <c r="X10" s="760"/>
      <c r="Y10" s="757"/>
    </row>
    <row r="11" spans="1:25" ht="22.5">
      <c r="A11" s="755" t="s">
        <v>660</v>
      </c>
      <c r="B11" s="749"/>
      <c r="C11" s="756"/>
      <c r="D11" s="757"/>
      <c r="E11" s="758"/>
      <c r="F11" s="757"/>
      <c r="G11" s="758"/>
      <c r="H11" s="759"/>
      <c r="I11" s="759"/>
      <c r="J11" s="759"/>
      <c r="K11" s="759"/>
      <c r="L11" s="759"/>
      <c r="M11" s="759"/>
      <c r="N11" s="759"/>
      <c r="O11" s="759"/>
      <c r="P11" s="759"/>
      <c r="Q11" s="759"/>
      <c r="R11" s="759"/>
      <c r="S11" s="759"/>
      <c r="T11" s="759"/>
      <c r="U11" s="760"/>
      <c r="V11" s="757"/>
      <c r="W11" s="760"/>
      <c r="X11" s="760"/>
      <c r="Y11" s="757"/>
    </row>
    <row r="12" spans="1:25" ht="22.5">
      <c r="A12" s="755" t="s">
        <v>661</v>
      </c>
      <c r="B12" s="749"/>
      <c r="C12" s="761"/>
      <c r="D12" s="762"/>
      <c r="E12" s="763"/>
      <c r="F12" s="762"/>
      <c r="G12" s="763"/>
      <c r="H12" s="764"/>
      <c r="I12" s="764"/>
      <c r="J12" s="764"/>
      <c r="K12" s="764"/>
      <c r="L12" s="764"/>
      <c r="M12" s="764"/>
      <c r="N12" s="764"/>
      <c r="O12" s="764"/>
      <c r="P12" s="764"/>
      <c r="Q12" s="764"/>
      <c r="R12" s="764"/>
      <c r="S12" s="764"/>
      <c r="T12" s="764"/>
      <c r="U12" s="765"/>
      <c r="V12" s="762"/>
      <c r="W12" s="765"/>
      <c r="X12" s="765"/>
      <c r="Y12" s="762"/>
    </row>
    <row r="13" spans="1:25" ht="22.5">
      <c r="A13" s="755" t="s">
        <v>662</v>
      </c>
      <c r="B13" s="749"/>
      <c r="C13" s="766"/>
      <c r="D13" s="767"/>
      <c r="E13" s="768"/>
      <c r="F13" s="767"/>
      <c r="G13" s="768"/>
      <c r="H13" s="769">
        <v>-23</v>
      </c>
      <c r="I13" s="769">
        <v>16</v>
      </c>
      <c r="J13" s="769">
        <v>287</v>
      </c>
      <c r="K13" s="769">
        <v>-177</v>
      </c>
      <c r="L13" s="769">
        <v>0</v>
      </c>
      <c r="M13" s="769">
        <v>-12</v>
      </c>
      <c r="N13" s="769">
        <v>-34</v>
      </c>
      <c r="O13" s="769"/>
      <c r="P13" s="769">
        <v>-10</v>
      </c>
      <c r="Q13" s="769">
        <v>70</v>
      </c>
      <c r="R13" s="789">
        <v>-9.0315600000000007</v>
      </c>
      <c r="S13" s="769"/>
      <c r="T13" s="769"/>
      <c r="U13" s="770">
        <v>1151.344918</v>
      </c>
      <c r="V13" s="767">
        <v>-4.9822280000000703</v>
      </c>
      <c r="W13" s="770">
        <v>1285.775036</v>
      </c>
      <c r="X13" s="770">
        <v>6436.0817699999998</v>
      </c>
      <c r="Y13" s="767">
        <v>996.87797844743602</v>
      </c>
    </row>
    <row r="14" spans="1:25" ht="22.5">
      <c r="A14" s="755" t="s">
        <v>663</v>
      </c>
      <c r="B14" s="749"/>
      <c r="C14" s="766"/>
      <c r="D14" s="767"/>
      <c r="E14" s="768"/>
      <c r="F14" s="767"/>
      <c r="G14" s="768"/>
      <c r="H14" s="769"/>
      <c r="I14" s="769"/>
      <c r="J14" s="769"/>
      <c r="K14" s="769"/>
      <c r="L14" s="769"/>
      <c r="M14" s="769"/>
      <c r="N14" s="769"/>
      <c r="O14" s="769"/>
      <c r="P14" s="769"/>
      <c r="Q14" s="769"/>
      <c r="R14" s="769"/>
      <c r="S14" s="769"/>
      <c r="T14" s="769"/>
      <c r="U14" s="770"/>
      <c r="V14" s="767"/>
      <c r="W14" s="770"/>
      <c r="X14" s="770"/>
      <c r="Y14" s="767"/>
    </row>
    <row r="17" spans="7:21">
      <c r="G17" s="771"/>
      <c r="H17" s="771">
        <f>H13-Cálculo!C6</f>
        <v>0.12622110043513501</v>
      </c>
      <c r="I17" s="771">
        <f>I13-Cálculo!C7</f>
        <v>-0.44584037879998206</v>
      </c>
      <c r="J17" s="771">
        <f>J13-Cálculo!C5</f>
        <v>0.45105630655382356</v>
      </c>
      <c r="K17" s="771">
        <f>K13-Cálculo!C9</f>
        <v>0.47194678166522408</v>
      </c>
      <c r="L17" s="771">
        <f>L13-Cálculo!C12</f>
        <v>4.4371961993175546</v>
      </c>
      <c r="M17" s="771">
        <f>M13-Cálculo!C10</f>
        <v>0.82934337238679845</v>
      </c>
      <c r="N17" s="771">
        <f>N13-Cálculo!C8</f>
        <v>0.29055851516901754</v>
      </c>
      <c r="P17" s="771">
        <f>P13-Cálculo!C11</f>
        <v>-4.2359796370613765</v>
      </c>
      <c r="Q17" s="771">
        <f>Q13-Cálculo!C4</f>
        <v>-0.57285860656899956</v>
      </c>
      <c r="U17" s="771"/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customProperties>
    <customPr name="_pios_id" r:id="rId2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4"/>
  <dimension ref="A1:K96"/>
  <sheetViews>
    <sheetView showGridLines="0" topLeftCell="A38" zoomScale="70" zoomScaleNormal="70" workbookViewId="0">
      <selection activeCell="G61" sqref="G61"/>
    </sheetView>
  </sheetViews>
  <sheetFormatPr defaultColWidth="9.42578125" defaultRowHeight="15"/>
  <cols>
    <col min="1" max="1" width="51.42578125" style="114" bestFit="1" customWidth="1"/>
    <col min="2" max="2" width="13.42578125" style="114" bestFit="1" customWidth="1"/>
    <col min="3" max="3" width="4" style="114" customWidth="1"/>
    <col min="4" max="4" width="14.42578125" style="114" bestFit="1" customWidth="1"/>
    <col min="5" max="5" width="33.42578125" style="114" customWidth="1"/>
    <col min="6" max="16384" width="9.42578125" style="114"/>
  </cols>
  <sheetData>
    <row r="1" spans="1:8" ht="15.75" thickBot="1"/>
    <row r="2" spans="1:8" ht="15.75" thickBot="1">
      <c r="D2" s="115"/>
      <c r="E2" s="116" t="s">
        <v>112</v>
      </c>
    </row>
    <row r="3" spans="1:8" ht="15.75" thickBot="1">
      <c r="D3" s="1068"/>
      <c r="E3" s="1069"/>
    </row>
    <row r="4" spans="1:8">
      <c r="D4" s="117"/>
      <c r="E4" s="118"/>
    </row>
    <row r="5" spans="1:8">
      <c r="A5" s="114" t="s">
        <v>113</v>
      </c>
      <c r="B5" s="114" t="s">
        <v>114</v>
      </c>
      <c r="D5" s="117"/>
      <c r="E5" s="118"/>
    </row>
    <row r="6" spans="1:8">
      <c r="D6" s="117"/>
      <c r="E6" s="118"/>
    </row>
    <row r="7" spans="1:8">
      <c r="A7" s="114" t="s">
        <v>115</v>
      </c>
      <c r="B7" s="114" t="s">
        <v>116</v>
      </c>
      <c r="D7" s="119">
        <f>Cálculo!C6</f>
        <v>-23.126221100435135</v>
      </c>
      <c r="E7" s="120"/>
      <c r="G7" s="127"/>
      <c r="H7" s="127"/>
    </row>
    <row r="8" spans="1:8">
      <c r="A8" s="114" t="s">
        <v>117</v>
      </c>
      <c r="B8" s="114" t="s">
        <v>118</v>
      </c>
      <c r="D8" s="119">
        <f>Cálculo!C7</f>
        <v>16.445840378799982</v>
      </c>
      <c r="E8" s="120"/>
      <c r="G8" s="127"/>
      <c r="H8" s="127"/>
    </row>
    <row r="9" spans="1:8">
      <c r="A9" s="114" t="s">
        <v>119</v>
      </c>
      <c r="B9" s="114" t="s">
        <v>120</v>
      </c>
      <c r="D9" s="119">
        <f>Cálculo!C5</f>
        <v>286.54894369344618</v>
      </c>
      <c r="E9" s="120"/>
      <c r="G9" s="127"/>
      <c r="H9" s="127"/>
    </row>
    <row r="10" spans="1:8">
      <c r="A10" s="114" t="s">
        <v>121</v>
      </c>
      <c r="B10" s="114" t="s">
        <v>122</v>
      </c>
      <c r="D10" s="119">
        <f>Cálculo!C12</f>
        <v>-4.4371961993175546</v>
      </c>
      <c r="E10" s="120"/>
      <c r="G10" s="127"/>
      <c r="H10" s="127"/>
    </row>
    <row r="11" spans="1:8">
      <c r="A11" s="114" t="s">
        <v>123</v>
      </c>
      <c r="B11" s="114" t="s">
        <v>124</v>
      </c>
      <c r="D11" s="119"/>
      <c r="E11" s="120"/>
      <c r="G11" s="127"/>
      <c r="H11" s="127"/>
    </row>
    <row r="12" spans="1:8">
      <c r="A12" s="114" t="s">
        <v>125</v>
      </c>
      <c r="B12" s="114" t="s">
        <v>126</v>
      </c>
      <c r="D12" s="119"/>
      <c r="E12" s="120"/>
      <c r="G12" s="127"/>
      <c r="H12" s="127"/>
    </row>
    <row r="13" spans="1:8">
      <c r="A13" s="114" t="s">
        <v>127</v>
      </c>
      <c r="B13" s="114" t="s">
        <v>128</v>
      </c>
      <c r="D13" s="119"/>
      <c r="E13" s="120"/>
      <c r="G13" s="127"/>
      <c r="H13" s="127"/>
    </row>
    <row r="14" spans="1:8">
      <c r="A14" s="114" t="s">
        <v>129</v>
      </c>
      <c r="B14" s="114" t="s">
        <v>130</v>
      </c>
      <c r="D14" s="119"/>
      <c r="E14" s="120"/>
      <c r="G14" s="127"/>
      <c r="H14" s="127"/>
    </row>
    <row r="15" spans="1:8">
      <c r="A15" s="114" t="s">
        <v>131</v>
      </c>
      <c r="B15" s="114" t="s">
        <v>132</v>
      </c>
      <c r="D15" s="119">
        <f>Box!U6</f>
        <v>-48.13570997959043</v>
      </c>
      <c r="E15" s="120"/>
      <c r="G15" s="127"/>
      <c r="H15" s="127"/>
    </row>
    <row r="16" spans="1:8">
      <c r="A16" s="114" t="s">
        <v>133</v>
      </c>
      <c r="B16" s="114" t="s">
        <v>134</v>
      </c>
      <c r="D16" s="119">
        <f>Box!U7</f>
        <v>-47.24308758365224</v>
      </c>
      <c r="E16" s="120"/>
      <c r="G16" s="127"/>
      <c r="H16" s="127"/>
    </row>
    <row r="17" spans="1:8">
      <c r="A17" s="114" t="s">
        <v>135</v>
      </c>
      <c r="B17" s="114" t="s">
        <v>136</v>
      </c>
      <c r="D17" s="119">
        <f>Box!U9</f>
        <v>-2.7166629223997378</v>
      </c>
      <c r="E17" s="120"/>
      <c r="G17" s="127"/>
      <c r="H17" s="127"/>
    </row>
    <row r="18" spans="1:8">
      <c r="A18" s="114" t="s">
        <v>137</v>
      </c>
      <c r="B18" s="114" t="s">
        <v>138</v>
      </c>
      <c r="D18" s="119">
        <f>SUM(Box!U12:U14)</f>
        <v>-54.073370921853154</v>
      </c>
      <c r="E18" s="120"/>
      <c r="G18" s="127"/>
      <c r="H18" s="127"/>
    </row>
    <row r="19" spans="1:8">
      <c r="A19" s="114" t="s">
        <v>139</v>
      </c>
      <c r="B19" s="114" t="s">
        <v>140</v>
      </c>
      <c r="D19" s="119"/>
      <c r="E19" s="120"/>
      <c r="G19" s="127"/>
      <c r="H19" s="127"/>
    </row>
    <row r="20" spans="1:8">
      <c r="A20" s="114" t="s">
        <v>141</v>
      </c>
      <c r="B20" s="114" t="s">
        <v>142</v>
      </c>
      <c r="D20" s="119">
        <f>Box!U15</f>
        <v>-12.014339143844159</v>
      </c>
      <c r="E20" s="120"/>
      <c r="G20" s="127"/>
      <c r="H20" s="127"/>
    </row>
    <row r="21" spans="1:8">
      <c r="A21" s="114" t="s">
        <v>143</v>
      </c>
      <c r="B21" s="114" t="s">
        <v>144</v>
      </c>
      <c r="D21" s="119"/>
      <c r="E21" s="120"/>
      <c r="G21" s="127"/>
      <c r="H21" s="127"/>
    </row>
    <row r="22" spans="1:8">
      <c r="A22" s="114" t="s">
        <v>145</v>
      </c>
      <c r="B22" s="114" t="s">
        <v>146</v>
      </c>
      <c r="D22" s="119">
        <f>Box!U19</f>
        <v>-7.03</v>
      </c>
      <c r="E22" s="120"/>
      <c r="G22" s="127"/>
      <c r="H22" s="127"/>
    </row>
    <row r="23" spans="1:8">
      <c r="A23" s="114" t="s">
        <v>147</v>
      </c>
      <c r="B23" s="114" t="s">
        <v>148</v>
      </c>
      <c r="D23" s="119"/>
      <c r="E23" s="120"/>
      <c r="G23" s="127"/>
      <c r="H23" s="127"/>
    </row>
    <row r="24" spans="1:8">
      <c r="A24" s="114" t="s">
        <v>149</v>
      </c>
      <c r="B24" s="114" t="s">
        <v>150</v>
      </c>
      <c r="D24" s="119">
        <f>Box!U17</f>
        <v>0.20690204446817884</v>
      </c>
      <c r="E24" s="120"/>
      <c r="G24" s="127"/>
      <c r="H24" s="127"/>
    </row>
    <row r="25" spans="1:8">
      <c r="A25" s="114" t="s">
        <v>151</v>
      </c>
      <c r="B25" s="114" t="s">
        <v>152</v>
      </c>
      <c r="D25" s="119">
        <f>Box!U18+Box!U20+Box!U10</f>
        <v>-6.4656782747936985</v>
      </c>
      <c r="E25" s="120"/>
      <c r="G25" s="127"/>
      <c r="H25" s="127"/>
    </row>
    <row r="26" spans="1:8">
      <c r="A26" s="114" t="s">
        <v>153</v>
      </c>
      <c r="B26" s="114" t="s">
        <v>154</v>
      </c>
      <c r="D26" s="119">
        <f>'[10]Bridges complementares'!C5</f>
        <v>0</v>
      </c>
      <c r="E26" s="120"/>
      <c r="G26" s="127"/>
      <c r="H26" s="127"/>
    </row>
    <row r="27" spans="1:8">
      <c r="A27" s="114" t="s">
        <v>155</v>
      </c>
      <c r="B27" s="114" t="s">
        <v>156</v>
      </c>
      <c r="D27" s="119">
        <f>'[10]Bridges complementares'!C6</f>
        <v>-3.3995495963107976</v>
      </c>
      <c r="E27" s="120"/>
      <c r="G27" s="127"/>
      <c r="H27" s="127"/>
    </row>
    <row r="28" spans="1:8">
      <c r="A28" s="114" t="s">
        <v>157</v>
      </c>
      <c r="B28" s="114" t="s">
        <v>158</v>
      </c>
      <c r="D28" s="119">
        <f>'[10]Bridges complementares'!C7</f>
        <v>-3</v>
      </c>
      <c r="E28" s="120"/>
      <c r="G28" s="127"/>
      <c r="H28" s="127"/>
    </row>
    <row r="29" spans="1:8">
      <c r="A29" s="114" t="s">
        <v>159</v>
      </c>
      <c r="B29" s="114" t="s">
        <v>160</v>
      </c>
      <c r="D29" s="119">
        <f>'[10]Bridges complementares'!C8</f>
        <v>-6.4297937760759991</v>
      </c>
      <c r="E29" s="120"/>
      <c r="G29" s="127"/>
      <c r="H29" s="127"/>
    </row>
    <row r="30" spans="1:8">
      <c r="A30" s="114" t="s">
        <v>161</v>
      </c>
      <c r="B30" s="114" t="s">
        <v>162</v>
      </c>
      <c r="D30" s="119">
        <f>'[10]Bridges complementares'!C9</f>
        <v>0</v>
      </c>
      <c r="E30" s="120"/>
      <c r="G30" s="127"/>
      <c r="H30" s="127"/>
    </row>
    <row r="31" spans="1:8">
      <c r="A31" s="114" t="s">
        <v>163</v>
      </c>
      <c r="B31" s="114" t="s">
        <v>164</v>
      </c>
      <c r="D31" s="119">
        <f>'[10]Bridges complementares'!C10</f>
        <v>0</v>
      </c>
      <c r="E31" s="120"/>
      <c r="G31" s="127"/>
      <c r="H31" s="127"/>
    </row>
    <row r="32" spans="1:8">
      <c r="A32" s="114" t="s">
        <v>165</v>
      </c>
      <c r="B32" s="114" t="s">
        <v>166</v>
      </c>
      <c r="D32" s="119">
        <f>'[10]Bridges complementares'!C11</f>
        <v>0</v>
      </c>
      <c r="E32" s="120"/>
      <c r="G32" s="127"/>
      <c r="H32" s="127"/>
    </row>
    <row r="33" spans="1:11">
      <c r="A33" s="114" t="s">
        <v>167</v>
      </c>
      <c r="B33" s="114" t="s">
        <v>168</v>
      </c>
      <c r="D33" s="119">
        <f>'[10]Bridges complementares'!C12</f>
        <v>0</v>
      </c>
      <c r="E33" s="120"/>
      <c r="G33" s="127"/>
      <c r="H33" s="127"/>
    </row>
    <row r="34" spans="1:11">
      <c r="A34" s="114" t="s">
        <v>169</v>
      </c>
      <c r="B34" s="114" t="s">
        <v>170</v>
      </c>
      <c r="D34" s="119">
        <f>'[10]Bridges complementares'!C13</f>
        <v>0</v>
      </c>
      <c r="E34" s="120"/>
      <c r="G34" s="127"/>
      <c r="H34" s="127"/>
    </row>
    <row r="35" spans="1:11">
      <c r="A35" s="114" t="s">
        <v>169</v>
      </c>
      <c r="D35" s="119"/>
      <c r="E35" s="120"/>
      <c r="G35" s="127"/>
      <c r="H35" s="127"/>
    </row>
    <row r="36" spans="1:11">
      <c r="A36" s="114" t="s">
        <v>171</v>
      </c>
      <c r="B36" s="114" t="s">
        <v>172</v>
      </c>
      <c r="D36" s="119">
        <f>Cálculo!J189</f>
        <v>-27.684098358775991</v>
      </c>
      <c r="E36" s="120"/>
      <c r="G36" s="127"/>
      <c r="H36" s="127"/>
    </row>
    <row r="37" spans="1:11">
      <c r="A37" s="114" t="s">
        <v>173</v>
      </c>
      <c r="B37" s="114" t="s">
        <v>174</v>
      </c>
      <c r="D37" s="119">
        <f>Cálculo!J190</f>
        <v>-3.6834086569169626</v>
      </c>
      <c r="E37" s="120"/>
      <c r="G37" s="127"/>
      <c r="H37" s="127"/>
    </row>
    <row r="38" spans="1:11">
      <c r="A38" s="114" t="s">
        <v>175</v>
      </c>
      <c r="B38" s="114" t="s">
        <v>176</v>
      </c>
      <c r="D38" s="119">
        <f>Cálculo!J191+Cálculo!J192</f>
        <v>-2.2638715172895725</v>
      </c>
      <c r="E38" s="120"/>
      <c r="G38" s="127"/>
      <c r="H38" s="127"/>
    </row>
    <row r="39" spans="1:11">
      <c r="A39" s="114" t="s">
        <v>177</v>
      </c>
      <c r="B39" s="114" t="s">
        <v>178</v>
      </c>
      <c r="D39" s="119">
        <f>Cálculo!J193</f>
        <v>-1.8627139432708804</v>
      </c>
      <c r="E39" s="120"/>
      <c r="G39" s="127"/>
      <c r="H39" s="127"/>
    </row>
    <row r="40" spans="1:11">
      <c r="A40" s="114" t="s">
        <v>179</v>
      </c>
      <c r="B40" s="114" t="s">
        <v>180</v>
      </c>
      <c r="D40" s="119">
        <f>Cálculo!J194</f>
        <v>3.5177748174077657</v>
      </c>
      <c r="E40" s="120"/>
      <c r="G40" s="127"/>
      <c r="H40" s="127"/>
    </row>
    <row r="41" spans="1:11">
      <c r="A41" s="114" t="s">
        <v>181</v>
      </c>
      <c r="B41" s="114" t="s">
        <v>182</v>
      </c>
      <c r="D41" s="119">
        <f>Cálculo!J195+Cálculo!J196</f>
        <v>-2.2942718722058273</v>
      </c>
      <c r="E41" s="120"/>
      <c r="G41" s="127"/>
      <c r="H41" s="127"/>
    </row>
    <row r="42" spans="1:11">
      <c r="A42" s="114" t="s">
        <v>183</v>
      </c>
      <c r="B42" s="114" t="s">
        <v>184</v>
      </c>
      <c r="D42" s="119"/>
      <c r="G42" s="249" t="s">
        <v>319</v>
      </c>
      <c r="H42" s="249" t="s">
        <v>320</v>
      </c>
      <c r="I42" s="250" t="s">
        <v>89</v>
      </c>
      <c r="J42" s="250" t="s">
        <v>30</v>
      </c>
    </row>
    <row r="43" spans="1:11">
      <c r="A43" s="114" t="s">
        <v>185</v>
      </c>
      <c r="B43" s="114" t="s">
        <v>186</v>
      </c>
      <c r="D43" s="119"/>
      <c r="E43" s="732"/>
      <c r="G43" s="379"/>
      <c r="H43" s="379"/>
      <c r="I43" s="380">
        <f t="shared" ref="I43:I47" si="0">H43-G43</f>
        <v>0</v>
      </c>
      <c r="J43" s="380">
        <f>I43-D43</f>
        <v>0</v>
      </c>
      <c r="K43" s="124"/>
    </row>
    <row r="44" spans="1:11">
      <c r="A44" s="114" t="s">
        <v>187</v>
      </c>
      <c r="B44" s="114" t="s">
        <v>188</v>
      </c>
      <c r="D44" s="119">
        <f>Cálculo!I155/1000+Cálculo!I164/1000</f>
        <v>-5.7640203629386235</v>
      </c>
      <c r="E44" s="732" t="s">
        <v>313</v>
      </c>
      <c r="G44" s="379">
        <f>-Cálculo!L159-3</f>
        <v>-117.03547964074076</v>
      </c>
      <c r="H44" s="379">
        <f>-Cálculo!M159</f>
        <v>-122.49330036916467</v>
      </c>
      <c r="I44" s="380">
        <f t="shared" si="0"/>
        <v>-5.4578207284239113</v>
      </c>
      <c r="J44" s="380">
        <f t="shared" ref="J44:J47" si="1">I44-D44</f>
        <v>0.30619963451471222</v>
      </c>
      <c r="K44" s="124"/>
    </row>
    <row r="45" spans="1:11">
      <c r="A45" s="114" t="s">
        <v>189</v>
      </c>
      <c r="B45" s="114" t="s">
        <v>190</v>
      </c>
      <c r="D45" s="119"/>
      <c r="E45" s="714"/>
      <c r="G45" s="379"/>
      <c r="H45" s="379"/>
      <c r="I45" s="380"/>
      <c r="J45" s="380"/>
      <c r="K45" s="124"/>
    </row>
    <row r="46" spans="1:11">
      <c r="A46" s="114" t="s">
        <v>191</v>
      </c>
      <c r="B46" s="114" t="s">
        <v>192</v>
      </c>
      <c r="D46" s="119"/>
      <c r="E46" s="645"/>
      <c r="G46" s="379"/>
      <c r="H46" s="379"/>
      <c r="I46" s="380"/>
      <c r="J46" s="380"/>
      <c r="K46" s="124"/>
    </row>
    <row r="47" spans="1:11">
      <c r="A47" s="114" t="s">
        <v>193</v>
      </c>
      <c r="B47" s="114" t="s">
        <v>194</v>
      </c>
      <c r="D47" s="119">
        <f>Cálculo!I175/1000</f>
        <v>-4.8965639554309162</v>
      </c>
      <c r="E47" s="645" t="str">
        <f>Cálculo!B175</f>
        <v>Invest-ES</v>
      </c>
      <c r="G47" s="379">
        <f>Cálculo!E175/1000</f>
        <v>134.78470851851699</v>
      </c>
      <c r="H47" s="379">
        <f>Cálculo!H175/1000</f>
        <v>129.88814456308609</v>
      </c>
      <c r="I47" s="380">
        <f t="shared" si="0"/>
        <v>-4.8965639554309064</v>
      </c>
      <c r="J47" s="380">
        <f t="shared" si="1"/>
        <v>9.7699626167013776E-15</v>
      </c>
      <c r="K47" s="124"/>
    </row>
    <row r="48" spans="1:11">
      <c r="A48" s="114" t="s">
        <v>195</v>
      </c>
      <c r="B48" s="114" t="s">
        <v>196</v>
      </c>
      <c r="D48" s="119"/>
      <c r="E48" s="645"/>
      <c r="G48" s="379"/>
      <c r="H48" s="379"/>
      <c r="I48" s="380"/>
      <c r="J48" s="380"/>
      <c r="K48" s="124"/>
    </row>
    <row r="49" spans="1:11">
      <c r="A49" s="114" t="s">
        <v>197</v>
      </c>
      <c r="B49" s="114" t="s">
        <v>198</v>
      </c>
      <c r="D49" s="119"/>
      <c r="E49" s="645"/>
      <c r="G49" s="379"/>
      <c r="H49" s="379"/>
      <c r="I49" s="380"/>
      <c r="J49" s="380"/>
      <c r="K49" s="124"/>
    </row>
    <row r="50" spans="1:11">
      <c r="A50" s="114" t="s">
        <v>199</v>
      </c>
      <c r="B50" s="114" t="s">
        <v>200</v>
      </c>
      <c r="D50" s="119"/>
      <c r="E50" s="120"/>
      <c r="G50" s="379"/>
      <c r="H50" s="379"/>
      <c r="I50" s="380"/>
      <c r="J50" s="380"/>
      <c r="K50" s="124"/>
    </row>
    <row r="51" spans="1:11">
      <c r="A51" s="114" t="s">
        <v>201</v>
      </c>
      <c r="B51" s="114" t="s">
        <v>202</v>
      </c>
      <c r="D51" s="119"/>
      <c r="E51" s="120"/>
      <c r="G51" s="379"/>
      <c r="H51" s="379"/>
      <c r="I51" s="380"/>
      <c r="J51" s="380"/>
      <c r="K51" s="124"/>
    </row>
    <row r="52" spans="1:11">
      <c r="A52" s="114" t="s">
        <v>203</v>
      </c>
      <c r="B52" s="114" t="s">
        <v>204</v>
      </c>
      <c r="D52" s="119"/>
      <c r="E52" s="120"/>
      <c r="G52" s="127"/>
      <c r="H52" s="646"/>
      <c r="I52" s="225"/>
      <c r="J52" s="225"/>
    </row>
    <row r="53" spans="1:11">
      <c r="A53" s="114" t="s">
        <v>205</v>
      </c>
      <c r="B53" s="114" t="s">
        <v>206</v>
      </c>
      <c r="D53" s="119"/>
      <c r="E53" s="120"/>
      <c r="G53" s="127"/>
      <c r="H53" s="127"/>
      <c r="I53" s="225"/>
      <c r="J53" s="225"/>
    </row>
    <row r="54" spans="1:11">
      <c r="A54" s="114" t="s">
        <v>207</v>
      </c>
      <c r="B54" s="114" t="s">
        <v>208</v>
      </c>
      <c r="D54" s="119"/>
      <c r="E54" s="120"/>
      <c r="G54" s="127"/>
      <c r="H54" s="127"/>
      <c r="I54" s="225"/>
      <c r="J54" s="225"/>
    </row>
    <row r="55" spans="1:11">
      <c r="A55" s="114" t="s">
        <v>209</v>
      </c>
      <c r="B55" s="114" t="s">
        <v>210</v>
      </c>
      <c r="D55" s="119"/>
      <c r="E55" s="120"/>
      <c r="G55" s="127"/>
      <c r="H55" s="127"/>
    </row>
    <row r="56" spans="1:11">
      <c r="A56" s="114" t="s">
        <v>211</v>
      </c>
      <c r="B56" s="114" t="s">
        <v>212</v>
      </c>
      <c r="D56" s="119"/>
      <c r="E56" s="120"/>
      <c r="G56" s="127"/>
      <c r="H56" s="127"/>
    </row>
    <row r="57" spans="1:11">
      <c r="A57" s="114" t="s">
        <v>213</v>
      </c>
      <c r="B57" s="114" t="s">
        <v>214</v>
      </c>
      <c r="D57" s="119"/>
      <c r="E57" s="120"/>
      <c r="G57" s="127"/>
      <c r="H57" s="127"/>
    </row>
    <row r="58" spans="1:11">
      <c r="A58" s="114" t="s">
        <v>215</v>
      </c>
      <c r="B58" s="114" t="s">
        <v>216</v>
      </c>
      <c r="D58" s="119"/>
      <c r="E58" s="120"/>
      <c r="G58" s="127"/>
      <c r="H58" s="127"/>
    </row>
    <row r="59" spans="1:11">
      <c r="A59" s="114" t="s">
        <v>217</v>
      </c>
      <c r="B59" s="114" t="s">
        <v>218</v>
      </c>
      <c r="D59" s="119"/>
      <c r="E59" s="120"/>
      <c r="G59" s="127"/>
      <c r="H59" s="127"/>
    </row>
    <row r="60" spans="1:11">
      <c r="A60" s="114" t="s">
        <v>219</v>
      </c>
      <c r="B60" s="114" t="s">
        <v>220</v>
      </c>
      <c r="D60" s="119"/>
      <c r="E60" s="120"/>
      <c r="G60" s="127"/>
      <c r="H60" s="127"/>
    </row>
    <row r="61" spans="1:11">
      <c r="A61" s="114" t="s">
        <v>221</v>
      </c>
      <c r="B61" s="114" t="s">
        <v>222</v>
      </c>
      <c r="D61" s="119"/>
      <c r="E61" s="120"/>
      <c r="G61" s="127"/>
      <c r="H61" s="127"/>
    </row>
    <row r="62" spans="1:11">
      <c r="A62" s="114" t="s">
        <v>223</v>
      </c>
      <c r="B62" s="114" t="s">
        <v>224</v>
      </c>
      <c r="D62" s="119"/>
      <c r="E62" s="120"/>
      <c r="G62" s="127"/>
      <c r="H62" s="127"/>
    </row>
    <row r="63" spans="1:11">
      <c r="A63" s="114" t="s">
        <v>225</v>
      </c>
      <c r="B63" s="114" t="s">
        <v>226</v>
      </c>
      <c r="D63" s="119"/>
      <c r="E63" s="120"/>
      <c r="G63" s="127"/>
      <c r="H63" s="127"/>
    </row>
    <row r="64" spans="1:11">
      <c r="A64" s="114" t="s">
        <v>227</v>
      </c>
      <c r="B64" s="114" t="s">
        <v>228</v>
      </c>
      <c r="D64" s="119"/>
      <c r="E64" s="120"/>
      <c r="G64" s="127"/>
      <c r="H64" s="127"/>
    </row>
    <row r="65" spans="1:8">
      <c r="A65" s="114" t="s">
        <v>229</v>
      </c>
      <c r="B65" s="114" t="s">
        <v>230</v>
      </c>
      <c r="D65" s="119">
        <f>Box!AM5+Box!AM6</f>
        <v>143.40091422387576</v>
      </c>
      <c r="E65" s="120"/>
      <c r="G65" s="127"/>
      <c r="H65" s="127"/>
    </row>
    <row r="66" spans="1:8">
      <c r="A66" s="114" t="s">
        <v>231</v>
      </c>
      <c r="B66" s="114" t="s">
        <v>232</v>
      </c>
      <c r="D66" s="119">
        <f>Box!AM7</f>
        <v>-72.828055617306063</v>
      </c>
      <c r="E66" s="120"/>
      <c r="G66" s="127"/>
      <c r="H66" s="127"/>
    </row>
    <row r="67" spans="1:8">
      <c r="A67" s="114" t="s">
        <v>233</v>
      </c>
      <c r="B67" s="114" t="s">
        <v>234</v>
      </c>
      <c r="D67" s="119"/>
      <c r="E67" s="120"/>
      <c r="G67" s="127"/>
      <c r="H67" s="127"/>
    </row>
    <row r="68" spans="1:8">
      <c r="A68" s="114" t="s">
        <v>235</v>
      </c>
      <c r="B68" s="114" t="s">
        <v>236</v>
      </c>
      <c r="D68" s="121"/>
      <c r="E68" s="120"/>
      <c r="G68" s="127"/>
      <c r="H68" s="127"/>
    </row>
    <row r="69" spans="1:8">
      <c r="A69" s="114" t="s">
        <v>237</v>
      </c>
      <c r="B69" s="114" t="s">
        <v>238</v>
      </c>
      <c r="D69" s="121"/>
      <c r="E69" s="120"/>
      <c r="G69" s="127"/>
      <c r="H69" s="127"/>
    </row>
    <row r="70" spans="1:8">
      <c r="A70" s="114" t="s">
        <v>239</v>
      </c>
      <c r="B70" s="114" t="s">
        <v>240</v>
      </c>
      <c r="D70" s="121"/>
      <c r="E70" s="120"/>
      <c r="G70" s="127"/>
      <c r="H70" s="127"/>
    </row>
    <row r="71" spans="1:8">
      <c r="A71" s="114" t="s">
        <v>241</v>
      </c>
      <c r="B71" s="114" t="s">
        <v>242</v>
      </c>
      <c r="D71" s="121"/>
      <c r="E71" s="120"/>
      <c r="G71" s="127"/>
      <c r="H71" s="127"/>
    </row>
    <row r="72" spans="1:8">
      <c r="A72" s="114" t="s">
        <v>243</v>
      </c>
      <c r="B72" s="114" t="s">
        <v>244</v>
      </c>
      <c r="D72" s="121"/>
      <c r="E72" s="120"/>
      <c r="G72" s="127"/>
      <c r="H72" s="127"/>
    </row>
    <row r="73" spans="1:8" ht="15.75" thickBot="1">
      <c r="A73" s="114" t="s">
        <v>245</v>
      </c>
      <c r="B73" s="114" t="s">
        <v>246</v>
      </c>
      <c r="D73" s="122"/>
      <c r="E73" s="123"/>
      <c r="G73" s="127"/>
      <c r="H73" s="127"/>
    </row>
    <row r="76" spans="1:8">
      <c r="A76" s="124" t="s">
        <v>247</v>
      </c>
    </row>
    <row r="78" spans="1:8">
      <c r="A78" s="125" t="s">
        <v>248</v>
      </c>
    </row>
    <row r="80" spans="1:8">
      <c r="A80" s="126" t="s">
        <v>112</v>
      </c>
    </row>
    <row r="83" spans="1:5">
      <c r="A83" s="113" t="s">
        <v>249</v>
      </c>
    </row>
    <row r="84" spans="1:5">
      <c r="A84" s="114" t="s">
        <v>18</v>
      </c>
      <c r="D84" s="112">
        <f>Cálculo!C12-SUM(D10:D14)</f>
        <v>0</v>
      </c>
    </row>
    <row r="85" spans="1:5">
      <c r="A85" s="114" t="s">
        <v>15</v>
      </c>
      <c r="D85" s="112">
        <f>Cálculo!C9-SUM(D15:D25)</f>
        <v>0</v>
      </c>
    </row>
    <row r="86" spans="1:5">
      <c r="A86" s="114" t="s">
        <v>16</v>
      </c>
      <c r="D86" s="226">
        <f>Cálculo!C10-SUM(D26:D34)</f>
        <v>0</v>
      </c>
    </row>
    <row r="87" spans="1:5">
      <c r="A87" s="114" t="s">
        <v>13</v>
      </c>
      <c r="D87" s="112">
        <f>Cálculo!C8-SUM(D36:D42)</f>
        <v>-1.9968984117546995E-2</v>
      </c>
    </row>
    <row r="88" spans="1:5">
      <c r="A88" s="114" t="s">
        <v>250</v>
      </c>
      <c r="D88" s="112">
        <f>Cálculo!C11-SUM(D43:D53)</f>
        <v>4.896563955430917</v>
      </c>
    </row>
    <row r="89" spans="1:5">
      <c r="A89" s="114" t="s">
        <v>87</v>
      </c>
      <c r="D89" s="112"/>
    </row>
    <row r="90" spans="1:5">
      <c r="A90" s="114" t="s">
        <v>3</v>
      </c>
      <c r="D90" s="112">
        <f>Cálculo!C4-SUM(D65:D67)</f>
        <v>-6.9633188104489818E-13</v>
      </c>
    </row>
    <row r="92" spans="1:5">
      <c r="D92" s="127">
        <f>Cálculo!C13-Cálculo!C3</f>
        <v>115.6483563469028</v>
      </c>
    </row>
    <row r="93" spans="1:5">
      <c r="D93" s="127">
        <f>SUM(D7:D67)</f>
        <v>110.77176137559007</v>
      </c>
    </row>
    <row r="94" spans="1:5">
      <c r="D94" s="112">
        <f>D92-D93</f>
        <v>4.876594971312727</v>
      </c>
    </row>
    <row r="95" spans="1:5">
      <c r="D95" s="127"/>
    </row>
    <row r="96" spans="1:5">
      <c r="D96" s="112"/>
      <c r="E96" s="113"/>
    </row>
  </sheetData>
  <mergeCells count="1">
    <mergeCell ref="D3:E3"/>
  </mergeCells>
  <pageMargins left="0.511811024" right="0.511811024" top="0.78740157499999996" bottom="0.78740157499999996" header="0.31496062000000002" footer="0.31496062000000002"/>
  <customProperties>
    <customPr name="_pios_id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D1D39-598C-4B41-A6EB-F8F6E483E732}">
  <dimension ref="B1:U29"/>
  <sheetViews>
    <sheetView zoomScale="80" zoomScaleNormal="80" workbookViewId="0">
      <selection activeCell="D8" sqref="D8"/>
    </sheetView>
  </sheetViews>
  <sheetFormatPr defaultColWidth="8.5703125" defaultRowHeight="15"/>
  <cols>
    <col min="1" max="1" width="8.5703125" style="843"/>
    <col min="2" max="2" width="14.42578125" style="843" bestFit="1" customWidth="1"/>
    <col min="3" max="4" width="10.42578125" style="843" customWidth="1"/>
    <col min="5" max="5" width="14.42578125" style="843" bestFit="1" customWidth="1"/>
    <col min="6" max="7" width="8.5703125" style="843"/>
    <col min="8" max="8" width="19" style="843" bestFit="1" customWidth="1"/>
    <col min="9" max="16384" width="8.5703125" style="843"/>
  </cols>
  <sheetData>
    <row r="1" spans="2:21">
      <c r="C1" s="843" t="s">
        <v>70</v>
      </c>
      <c r="D1" s="843" t="s">
        <v>736</v>
      </c>
      <c r="E1" s="843" t="s">
        <v>727</v>
      </c>
      <c r="G1" s="843" t="s">
        <v>737</v>
      </c>
    </row>
    <row r="2" spans="2:21">
      <c r="B2" s="843" t="s">
        <v>738</v>
      </c>
      <c r="C2" s="829">
        <f>[18]Box!$U$11</f>
        <v>-32.207643363434144</v>
      </c>
      <c r="D2" s="829">
        <f>C2</f>
        <v>-32.207643363434144</v>
      </c>
      <c r="E2" s="829">
        <f>F19</f>
        <v>-32.404121435456275</v>
      </c>
      <c r="F2" s="849">
        <f>C2-E2</f>
        <v>0.1964780720221313</v>
      </c>
    </row>
    <row r="3" spans="2:21">
      <c r="B3" s="843" t="s">
        <v>739</v>
      </c>
      <c r="C3" s="849">
        <f>[19]Box!$U$11</f>
        <v>-24.749472050142433</v>
      </c>
      <c r="D3" s="849">
        <f>C3-C2</f>
        <v>7.4581713132917109</v>
      </c>
      <c r="E3" s="829">
        <f>I18</f>
        <v>6.3784712367104568</v>
      </c>
      <c r="F3" s="849">
        <f>D3-E3</f>
        <v>1.0797000765812541</v>
      </c>
    </row>
    <row r="4" spans="2:21">
      <c r="B4" s="843" t="s">
        <v>740</v>
      </c>
      <c r="C4" s="849">
        <f>[21]Box!$U$11</f>
        <v>-20.353894215986514</v>
      </c>
      <c r="D4" s="849">
        <f t="shared" ref="D4:D7" si="0">C4-C3</f>
        <v>4.3955778341559189</v>
      </c>
      <c r="E4" s="829">
        <f>L19</f>
        <v>3.6635359398285066</v>
      </c>
      <c r="F4" s="849">
        <f t="shared" ref="F4:F8" si="1">D4-E4</f>
        <v>0.73204189432741229</v>
      </c>
    </row>
    <row r="5" spans="2:21">
      <c r="B5" s="843" t="s">
        <v>741</v>
      </c>
      <c r="C5" s="849">
        <f>[22]Box!$U$11</f>
        <v>36.732446052564484</v>
      </c>
      <c r="D5" s="849">
        <f t="shared" si="0"/>
        <v>57.086340268550998</v>
      </c>
      <c r="E5" s="829">
        <f>O20</f>
        <v>59.494899465961012</v>
      </c>
      <c r="F5" s="849">
        <f t="shared" si="1"/>
        <v>-2.408559197410014</v>
      </c>
    </row>
    <row r="6" spans="2:21">
      <c r="B6" s="843" t="s">
        <v>742</v>
      </c>
      <c r="C6" s="850">
        <f>[23]Box!$U$11</f>
        <v>33.876310542306719</v>
      </c>
      <c r="D6" s="850">
        <f t="shared" si="0"/>
        <v>-2.856135510257765</v>
      </c>
      <c r="E6" s="851">
        <f>R18</f>
        <v>-11.161321589301297</v>
      </c>
      <c r="F6" s="850">
        <f t="shared" si="1"/>
        <v>8.3051860790435317</v>
      </c>
    </row>
    <row r="7" spans="2:21">
      <c r="B7" s="843" t="s">
        <v>743</v>
      </c>
      <c r="C7" s="849">
        <f>Box!$U$11</f>
        <v>-54.073370921853154</v>
      </c>
      <c r="D7" s="849">
        <f t="shared" si="0"/>
        <v>-87.94968146415988</v>
      </c>
      <c r="E7" s="829">
        <f>U21</f>
        <v>2.2260463431669697</v>
      </c>
      <c r="F7" s="849">
        <f t="shared" si="1"/>
        <v>-90.175727807326851</v>
      </c>
    </row>
    <row r="8" spans="2:21">
      <c r="C8" s="849"/>
      <c r="D8" s="849">
        <f>SUM(D2:D7)</f>
        <v>-54.073370921853162</v>
      </c>
      <c r="E8" s="849">
        <f>SUM(E2:E7)</f>
        <v>28.197509960909372</v>
      </c>
      <c r="F8" s="849">
        <f t="shared" si="1"/>
        <v>-82.270880882762526</v>
      </c>
    </row>
    <row r="10" spans="2:21">
      <c r="E10" s="843" t="s">
        <v>672</v>
      </c>
      <c r="H10" s="843" t="s">
        <v>724</v>
      </c>
      <c r="K10" s="843" t="s">
        <v>744</v>
      </c>
      <c r="N10" s="843" t="s">
        <v>745</v>
      </c>
      <c r="Q10" s="843" t="s">
        <v>746</v>
      </c>
    </row>
    <row r="11" spans="2:21">
      <c r="E11" s="1052" t="s">
        <v>710</v>
      </c>
      <c r="F11" s="1053"/>
      <c r="H11" s="1052" t="s">
        <v>710</v>
      </c>
      <c r="I11" s="1053"/>
      <c r="K11" s="1052" t="s">
        <v>710</v>
      </c>
      <c r="L11" s="1053"/>
      <c r="N11" s="1052" t="s">
        <v>710</v>
      </c>
      <c r="O11" s="1053"/>
      <c r="Q11" s="1052" t="s">
        <v>710</v>
      </c>
      <c r="R11" s="1053"/>
      <c r="T11" s="1052" t="s">
        <v>710</v>
      </c>
      <c r="U11" s="1053"/>
    </row>
    <row r="12" spans="2:21" ht="15.75">
      <c r="E12" s="848"/>
      <c r="F12" s="848"/>
      <c r="H12" s="848"/>
      <c r="I12" s="848"/>
      <c r="K12" s="848"/>
      <c r="L12" s="848"/>
      <c r="N12" s="848"/>
      <c r="O12" s="848"/>
      <c r="Q12" s="848"/>
      <c r="R12" s="848"/>
      <c r="T12" s="848"/>
      <c r="U12" s="848"/>
    </row>
    <row r="13" spans="2:21" ht="15.75">
      <c r="E13" s="811">
        <f>A13</f>
        <v>0</v>
      </c>
      <c r="F13" s="812">
        <f>F15+F16+F17</f>
        <v>-23.830202438472565</v>
      </c>
      <c r="H13" s="811" t="s">
        <v>747</v>
      </c>
      <c r="I13" s="825" t="s">
        <v>90</v>
      </c>
      <c r="K13" s="811" t="s">
        <v>747</v>
      </c>
      <c r="L13" s="825" t="s">
        <v>90</v>
      </c>
      <c r="N13" s="811" t="str">
        <f>K13</f>
        <v>Impact</v>
      </c>
      <c r="O13" s="825" t="s">
        <v>90</v>
      </c>
      <c r="Q13" s="811" t="s">
        <v>747</v>
      </c>
      <c r="R13" s="825" t="s">
        <v>90</v>
      </c>
      <c r="T13" s="811" t="s">
        <v>747</v>
      </c>
      <c r="U13" s="825" t="s">
        <v>90</v>
      </c>
    </row>
    <row r="14" spans="2:21" ht="15.75">
      <c r="E14" s="798" t="s">
        <v>52</v>
      </c>
      <c r="F14" s="794">
        <v>-23.830202438472565</v>
      </c>
      <c r="H14" s="798" t="s">
        <v>52</v>
      </c>
      <c r="I14" s="794">
        <v>-12.315596393023613</v>
      </c>
      <c r="K14" s="798" t="s">
        <v>52</v>
      </c>
      <c r="L14" s="794">
        <v>-3</v>
      </c>
      <c r="N14" s="798" t="s">
        <v>52</v>
      </c>
      <c r="O14" s="794">
        <v>7.2991733966854202</v>
      </c>
      <c r="Q14" s="798" t="s">
        <v>52</v>
      </c>
      <c r="R14" s="794">
        <v>0</v>
      </c>
      <c r="T14" s="798" t="s">
        <v>52</v>
      </c>
      <c r="U14" s="794">
        <v>1.6357735159872409</v>
      </c>
    </row>
    <row r="15" spans="2:21" ht="15.75">
      <c r="E15" s="799" t="s">
        <v>684</v>
      </c>
      <c r="F15" s="800">
        <v>-12.762719125771032</v>
      </c>
      <c r="H15" s="799" t="s">
        <v>722</v>
      </c>
      <c r="I15" s="800">
        <v>-14.315596393023613</v>
      </c>
      <c r="K15" s="799" t="s">
        <v>11</v>
      </c>
      <c r="L15" s="800">
        <v>-5</v>
      </c>
      <c r="N15" s="799" t="s">
        <v>684</v>
      </c>
      <c r="O15" s="800">
        <v>12</v>
      </c>
      <c r="Q15" s="799" t="s">
        <v>684</v>
      </c>
      <c r="R15" s="800">
        <v>0</v>
      </c>
      <c r="T15" s="799" t="s">
        <v>748</v>
      </c>
      <c r="U15" s="800">
        <v>3</v>
      </c>
    </row>
    <row r="16" spans="2:21" ht="15.75">
      <c r="E16" s="799" t="s">
        <v>711</v>
      </c>
      <c r="F16" s="800">
        <v>-13.216352296574721</v>
      </c>
      <c r="H16" s="799" t="s">
        <v>749</v>
      </c>
      <c r="I16" s="800">
        <v>2</v>
      </c>
      <c r="K16" s="799" t="s">
        <v>750</v>
      </c>
      <c r="L16" s="800">
        <v>4</v>
      </c>
      <c r="N16" s="799" t="s">
        <v>751</v>
      </c>
      <c r="O16" s="800">
        <v>5.3</v>
      </c>
      <c r="Q16" s="799" t="s">
        <v>11</v>
      </c>
      <c r="R16" s="800">
        <v>0</v>
      </c>
      <c r="T16" s="799" t="s">
        <v>752</v>
      </c>
      <c r="U16" s="800">
        <v>6</v>
      </c>
    </row>
    <row r="17" spans="5:21" ht="15.75">
      <c r="E17" s="799" t="s">
        <v>712</v>
      </c>
      <c r="F17" s="800">
        <v>2.1488689838731894</v>
      </c>
      <c r="H17" s="826" t="s">
        <v>686</v>
      </c>
      <c r="I17" s="827">
        <v>-0.49931137927745828</v>
      </c>
      <c r="K17" s="799" t="s">
        <v>631</v>
      </c>
      <c r="L17" s="800">
        <v>-2</v>
      </c>
      <c r="N17" s="799" t="s">
        <v>405</v>
      </c>
      <c r="O17" s="800">
        <v>-2</v>
      </c>
      <c r="Q17" s="813" t="s">
        <v>686</v>
      </c>
      <c r="R17" s="794">
        <v>0</v>
      </c>
      <c r="T17" s="799" t="s">
        <v>735</v>
      </c>
      <c r="U17" s="800">
        <v>-1.2956606341074541</v>
      </c>
    </row>
    <row r="18" spans="5:21" ht="15.75">
      <c r="E18" s="813" t="s">
        <v>686</v>
      </c>
      <c r="F18" s="794">
        <v>-5.9951705782416065</v>
      </c>
      <c r="H18" s="798" t="s">
        <v>685</v>
      </c>
      <c r="I18" s="794">
        <v>6.3784712367104568</v>
      </c>
      <c r="K18" s="813" t="s">
        <v>686</v>
      </c>
      <c r="L18" s="794">
        <v>0</v>
      </c>
      <c r="N18" s="813" t="s">
        <v>686</v>
      </c>
      <c r="O18" s="794">
        <v>2.5347094194639546</v>
      </c>
      <c r="Q18" s="798" t="s">
        <v>685</v>
      </c>
      <c r="R18" s="794">
        <v>-11.161321589301297</v>
      </c>
      <c r="T18" s="799" t="s">
        <v>631</v>
      </c>
      <c r="U18" s="800">
        <v>-3.0685658499053048</v>
      </c>
    </row>
    <row r="19" spans="5:21" ht="15.75">
      <c r="E19" s="798" t="s">
        <v>685</v>
      </c>
      <c r="F19" s="794">
        <v>-32.404121435456275</v>
      </c>
      <c r="H19" s="799" t="s">
        <v>722</v>
      </c>
      <c r="I19" s="800">
        <v>5.8423734725615466</v>
      </c>
      <c r="K19" s="798" t="s">
        <v>685</v>
      </c>
      <c r="L19" s="794">
        <v>3.6635359398285066</v>
      </c>
      <c r="N19" s="799" t="s">
        <v>11</v>
      </c>
      <c r="O19" s="800">
        <v>-8</v>
      </c>
      <c r="Q19" s="799" t="s">
        <v>684</v>
      </c>
      <c r="R19" s="800">
        <v>-11.161321589301297</v>
      </c>
      <c r="T19" s="799" t="s">
        <v>11</v>
      </c>
      <c r="U19" s="800">
        <v>-3</v>
      </c>
    </row>
    <row r="20" spans="5:21" ht="15.75">
      <c r="E20" s="799" t="s">
        <v>684</v>
      </c>
      <c r="F20" s="800">
        <v>-17.602786633972997</v>
      </c>
      <c r="H20" s="799" t="s">
        <v>723</v>
      </c>
      <c r="I20" s="800">
        <v>2</v>
      </c>
      <c r="K20" s="799" t="s">
        <v>684</v>
      </c>
      <c r="L20" s="800">
        <v>11.963352300386898</v>
      </c>
      <c r="N20" s="798" t="s">
        <v>685</v>
      </c>
      <c r="O20" s="794">
        <v>59.494899465961012</v>
      </c>
      <c r="Q20" s="798" t="s">
        <v>725</v>
      </c>
      <c r="R20" s="794">
        <v>0</v>
      </c>
      <c r="T20" s="813" t="s">
        <v>686</v>
      </c>
      <c r="U20" s="794">
        <v>0.38990434321766865</v>
      </c>
    </row>
    <row r="21" spans="5:21" ht="15.75">
      <c r="E21" s="799" t="s">
        <v>683</v>
      </c>
      <c r="F21" s="800">
        <v>-5.5778136479882772</v>
      </c>
      <c r="H21" s="799" t="s">
        <v>753</v>
      </c>
      <c r="I21" s="800">
        <v>-1.4639022358510898</v>
      </c>
      <c r="K21" s="799" t="s">
        <v>754</v>
      </c>
      <c r="L21" s="800">
        <v>-12.30114419381739</v>
      </c>
      <c r="N21" s="799" t="s">
        <v>684</v>
      </c>
      <c r="O21" s="800">
        <v>49.727698369274954</v>
      </c>
      <c r="Q21" s="798" t="s">
        <v>59</v>
      </c>
      <c r="R21" s="794">
        <v>0.13000000000000003</v>
      </c>
      <c r="T21" s="798" t="s">
        <v>685</v>
      </c>
      <c r="U21" s="794">
        <v>2.2260463431669697</v>
      </c>
    </row>
    <row r="22" spans="5:21" ht="15.75">
      <c r="E22" s="799" t="s">
        <v>270</v>
      </c>
      <c r="F22" s="800">
        <v>-9.2235211534949961</v>
      </c>
      <c r="H22" s="826" t="s">
        <v>59</v>
      </c>
      <c r="I22" s="827">
        <v>-6.0000000000000005E-2</v>
      </c>
      <c r="K22" s="799" t="s">
        <v>755</v>
      </c>
      <c r="L22" s="800">
        <v>4.4431403886766843</v>
      </c>
      <c r="N22" s="799" t="s">
        <v>666</v>
      </c>
      <c r="O22" s="800">
        <v>17.634237801548021</v>
      </c>
      <c r="Q22" s="798" t="s">
        <v>713</v>
      </c>
      <c r="R22" s="794">
        <v>-1.47</v>
      </c>
      <c r="T22" s="799" t="s">
        <v>684</v>
      </c>
      <c r="U22" s="800">
        <v>-6.2737641443733319</v>
      </c>
    </row>
    <row r="23" spans="5:21" ht="15.75">
      <c r="E23" s="798" t="s">
        <v>59</v>
      </c>
      <c r="F23" s="794">
        <v>-0.29000000000000004</v>
      </c>
      <c r="H23" s="826" t="s">
        <v>713</v>
      </c>
      <c r="I23" s="827">
        <v>0.63000000000000012</v>
      </c>
      <c r="K23" s="798" t="s">
        <v>59</v>
      </c>
      <c r="L23" s="794">
        <v>-0.27</v>
      </c>
      <c r="N23" s="799" t="s">
        <v>270</v>
      </c>
      <c r="O23" s="800">
        <v>-6.2029298864837861</v>
      </c>
      <c r="Q23" s="798" t="s">
        <v>258</v>
      </c>
      <c r="R23" s="794">
        <v>0</v>
      </c>
      <c r="T23" s="799" t="s">
        <v>270</v>
      </c>
      <c r="U23" s="800">
        <v>3.1816104741183091</v>
      </c>
    </row>
    <row r="24" spans="5:21" ht="15.75">
      <c r="E24" s="798" t="s">
        <v>713</v>
      </c>
      <c r="F24" s="794">
        <v>0.8600000000000001</v>
      </c>
      <c r="H24" s="826" t="s">
        <v>258</v>
      </c>
      <c r="I24" s="827">
        <v>0</v>
      </c>
      <c r="K24" s="798" t="s">
        <v>713</v>
      </c>
      <c r="L24" s="794">
        <v>0.79</v>
      </c>
      <c r="N24" s="799" t="s">
        <v>755</v>
      </c>
      <c r="O24" s="800">
        <v>-1.464106818378172</v>
      </c>
      <c r="Q24" s="814" t="s">
        <v>14</v>
      </c>
      <c r="R24" s="815">
        <v>-12.401321589301297</v>
      </c>
      <c r="T24" s="799" t="s">
        <v>756</v>
      </c>
      <c r="U24" s="800">
        <v>5.3182000134219924</v>
      </c>
    </row>
    <row r="25" spans="5:21" ht="15.75">
      <c r="E25" s="798" t="s">
        <v>258</v>
      </c>
      <c r="F25" s="794">
        <v>2</v>
      </c>
      <c r="H25" s="814" t="s">
        <v>14</v>
      </c>
      <c r="I25" s="815">
        <v>-5.8664365355906138</v>
      </c>
      <c r="K25" s="798" t="s">
        <v>258</v>
      </c>
      <c r="L25" s="794">
        <v>3</v>
      </c>
      <c r="N25" s="798" t="s">
        <v>725</v>
      </c>
      <c r="O25" s="794">
        <v>1.0073148814943673</v>
      </c>
      <c r="T25" s="798" t="s">
        <v>725</v>
      </c>
      <c r="U25" s="794">
        <v>0</v>
      </c>
    </row>
    <row r="26" spans="5:21" ht="15.75">
      <c r="E26" s="814" t="s">
        <v>14</v>
      </c>
      <c r="F26" s="815">
        <v>-59.659494452170442</v>
      </c>
      <c r="H26" s="814"/>
      <c r="I26" s="815"/>
      <c r="K26" s="814" t="s">
        <v>14</v>
      </c>
      <c r="L26" s="815">
        <v>4.1835359398285066</v>
      </c>
      <c r="N26" s="798" t="s">
        <v>59</v>
      </c>
      <c r="O26" s="794">
        <v>0.62</v>
      </c>
      <c r="T26" s="798" t="s">
        <v>59</v>
      </c>
      <c r="U26" s="794">
        <v>-2.3499999999999996</v>
      </c>
    </row>
    <row r="27" spans="5:21" ht="15.75">
      <c r="N27" s="798" t="s">
        <v>713</v>
      </c>
      <c r="O27" s="794">
        <v>2.95</v>
      </c>
      <c r="T27" s="798" t="s">
        <v>713</v>
      </c>
      <c r="U27" s="794">
        <v>1.05</v>
      </c>
    </row>
    <row r="28" spans="5:21" ht="15.75">
      <c r="N28" s="798" t="s">
        <v>258</v>
      </c>
      <c r="O28" s="794">
        <v>0</v>
      </c>
      <c r="T28" s="798" t="s">
        <v>258</v>
      </c>
      <c r="U28" s="794">
        <v>1.32</v>
      </c>
    </row>
    <row r="29" spans="5:21" ht="15.75">
      <c r="N29" s="814" t="s">
        <v>14</v>
      </c>
      <c r="O29" s="815">
        <v>73.906097163604755</v>
      </c>
      <c r="T29" s="814" t="s">
        <v>14</v>
      </c>
      <c r="U29" s="815">
        <v>4.27172420237188</v>
      </c>
    </row>
  </sheetData>
  <mergeCells count="6">
    <mergeCell ref="T11:U11"/>
    <mergeCell ref="E11:F11"/>
    <mergeCell ref="H11:I11"/>
    <mergeCell ref="K11:L11"/>
    <mergeCell ref="N11:O11"/>
    <mergeCell ref="Q11:R11"/>
  </mergeCells>
  <pageMargins left="0.511811024" right="0.511811024" top="0.78740157499999996" bottom="0.78740157499999996" header="0.31496062000000002" footer="0.31496062000000002"/>
  <customProperties>
    <customPr name="_pios_id" r:id="rId1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111A0-A059-4E9B-B478-992B5EA03103}">
  <dimension ref="B1:W50"/>
  <sheetViews>
    <sheetView showGridLines="0" topLeftCell="A31" zoomScale="80" zoomScaleNormal="80" workbookViewId="0">
      <selection activeCell="I13" sqref="I13"/>
    </sheetView>
  </sheetViews>
  <sheetFormatPr defaultRowHeight="12.75"/>
  <cols>
    <col min="2" max="2" width="5.5703125" style="251" customWidth="1"/>
    <col min="3" max="3" width="6.5703125" style="251" customWidth="1"/>
    <col min="4" max="4" width="18.42578125" customWidth="1"/>
  </cols>
  <sheetData>
    <row r="1" spans="2:11">
      <c r="K1" s="878" t="e">
        <f>M17+M19</f>
        <v>#VALUE!</v>
      </c>
    </row>
    <row r="2" spans="2:11" ht="16.5" customHeight="1" thickBot="1"/>
    <row r="3" spans="2:11" ht="15" customHeight="1">
      <c r="B3" s="1070" t="s">
        <v>759</v>
      </c>
      <c r="C3" s="1071"/>
      <c r="D3" s="866" t="s">
        <v>261</v>
      </c>
      <c r="E3" s="867" t="s">
        <v>260</v>
      </c>
      <c r="F3" s="868" t="s">
        <v>903</v>
      </c>
    </row>
    <row r="4" spans="2:11" ht="15" customHeight="1">
      <c r="B4" s="1072"/>
      <c r="C4" s="1073"/>
      <c r="D4" s="869" t="s">
        <v>760</v>
      </c>
      <c r="E4" s="890">
        <f>'Bridge combinada'!B6+'Bridge combinada'!B7</f>
        <v>732.30404452987511</v>
      </c>
      <c r="F4" s="966">
        <f>SUM('Bridge combinada'!B21:K21)</f>
        <v>1003.0401833556838</v>
      </c>
    </row>
    <row r="5" spans="2:11" ht="15" customHeight="1">
      <c r="B5" s="1072"/>
      <c r="C5" s="1073"/>
      <c r="D5" s="869" t="s">
        <v>823</v>
      </c>
      <c r="E5" s="963">
        <f>SUM(G31:N31)</f>
        <v>24.714285714285715</v>
      </c>
      <c r="F5" s="879">
        <f>SUM(G32:N32)</f>
        <v>20.09088836836942</v>
      </c>
      <c r="H5" s="941">
        <f>SUM(F4:F5)/SUM(E4:E5)</f>
        <v>1.3515274741023289</v>
      </c>
    </row>
    <row r="6" spans="2:11" ht="15" customHeight="1">
      <c r="B6" s="1072"/>
      <c r="C6" s="1073"/>
      <c r="D6" s="869" t="s">
        <v>824</v>
      </c>
      <c r="E6" s="964">
        <f>'[35]MPR - Key figures mensal USD'!Z35</f>
        <v>16.145083234941957</v>
      </c>
      <c r="F6" s="871">
        <f>'[35]MPR - Key figures mensal USD'!AA35</f>
        <v>18.269014061244782</v>
      </c>
      <c r="H6" s="962" t="s">
        <v>898</v>
      </c>
    </row>
    <row r="7" spans="2:11" ht="15" customHeight="1" thickBot="1">
      <c r="B7" s="1074"/>
      <c r="C7" s="1075"/>
      <c r="D7" s="872" t="s">
        <v>14</v>
      </c>
      <c r="E7" s="965">
        <f>SUM(E4:E6)</f>
        <v>773.1634134791027</v>
      </c>
      <c r="F7" s="874">
        <f>SUM(F4:F6)</f>
        <v>1041.400085785298</v>
      </c>
      <c r="H7" s="941">
        <f>F7/E7</f>
        <v>1.346933995620895</v>
      </c>
    </row>
    <row r="8" spans="2:11" ht="13.5" thickBot="1"/>
    <row r="9" spans="2:11" ht="15">
      <c r="B9" s="1070" t="s">
        <v>759</v>
      </c>
      <c r="C9" s="1071"/>
      <c r="D9" s="866" t="s">
        <v>261</v>
      </c>
      <c r="E9" s="867" t="s">
        <v>260</v>
      </c>
      <c r="F9" s="868" t="str">
        <f>F3</f>
        <v>MRF9</v>
      </c>
    </row>
    <row r="10" spans="2:11">
      <c r="B10" s="1072"/>
      <c r="C10" s="1073"/>
      <c r="D10" s="869" t="s">
        <v>760</v>
      </c>
      <c r="E10" s="890">
        <f>E4</f>
        <v>732.30404452987511</v>
      </c>
      <c r="F10" s="879">
        <f>F4</f>
        <v>1003.0401833556838</v>
      </c>
    </row>
    <row r="11" spans="2:11">
      <c r="B11" s="1072"/>
      <c r="C11" s="1073"/>
      <c r="D11" s="869" t="s">
        <v>899</v>
      </c>
      <c r="E11" s="870">
        <f>SUM(E5:E6)</f>
        <v>40.859368949227672</v>
      </c>
      <c r="F11" s="870">
        <f>SUM(F5:F6)</f>
        <v>38.359902429614202</v>
      </c>
    </row>
    <row r="12" spans="2:11" ht="15.75" thickBot="1">
      <c r="B12" s="1074"/>
      <c r="C12" s="1075"/>
      <c r="D12" s="872" t="s">
        <v>14</v>
      </c>
      <c r="E12" s="873">
        <f>SUM(E10:E11)</f>
        <v>773.16341347910281</v>
      </c>
      <c r="F12" s="874">
        <f>SUM(F10:F11)</f>
        <v>1041.400085785298</v>
      </c>
    </row>
    <row r="14" spans="2:11">
      <c r="B14" s="940" t="s">
        <v>821</v>
      </c>
      <c r="C14"/>
    </row>
    <row r="15" spans="2:11">
      <c r="B15" t="s">
        <v>810</v>
      </c>
      <c r="C15"/>
    </row>
    <row r="16" spans="2:11">
      <c r="B16" t="s">
        <v>822</v>
      </c>
      <c r="C16"/>
    </row>
    <row r="17" spans="2:23">
      <c r="B17"/>
      <c r="C17"/>
    </row>
    <row r="18" spans="2:23" ht="38.25">
      <c r="B18"/>
      <c r="C18"/>
      <c r="F18" s="961" t="s">
        <v>875</v>
      </c>
      <c r="G18" s="961" t="s">
        <v>484</v>
      </c>
      <c r="H18" s="961" t="s">
        <v>876</v>
      </c>
      <c r="I18" s="961" t="s">
        <v>482</v>
      </c>
      <c r="J18" s="961" t="s">
        <v>877</v>
      </c>
      <c r="K18" s="961" t="s">
        <v>878</v>
      </c>
      <c r="L18" s="961" t="s">
        <v>479</v>
      </c>
      <c r="M18" s="961" t="s">
        <v>478</v>
      </c>
      <c r="N18" s="961" t="s">
        <v>879</v>
      </c>
      <c r="O18" s="961" t="s">
        <v>880</v>
      </c>
      <c r="P18" s="961" t="s">
        <v>881</v>
      </c>
      <c r="Q18" s="961" t="s">
        <v>486</v>
      </c>
      <c r="R18" s="1076" t="s">
        <v>882</v>
      </c>
      <c r="S18" s="1076"/>
    </row>
    <row r="19" spans="2:23" ht="25.5">
      <c r="B19"/>
      <c r="C19"/>
      <c r="F19" s="961" t="s">
        <v>883</v>
      </c>
      <c r="G19" s="961" t="s">
        <v>886</v>
      </c>
      <c r="H19" s="961" t="s">
        <v>887</v>
      </c>
      <c r="I19" s="961" t="s">
        <v>888</v>
      </c>
      <c r="J19" s="961" t="s">
        <v>889</v>
      </c>
      <c r="K19" s="961" t="s">
        <v>890</v>
      </c>
      <c r="L19" s="961" t="s">
        <v>891</v>
      </c>
      <c r="M19" s="961" t="s">
        <v>892</v>
      </c>
      <c r="N19" s="961" t="s">
        <v>893</v>
      </c>
      <c r="O19" s="961" t="s">
        <v>894</v>
      </c>
      <c r="P19" s="961" t="s">
        <v>895</v>
      </c>
      <c r="Q19" s="961" t="s">
        <v>896</v>
      </c>
      <c r="R19" s="961" t="s">
        <v>897</v>
      </c>
      <c r="S19" s="961" t="s">
        <v>884</v>
      </c>
    </row>
    <row r="20" spans="2:23">
      <c r="B20"/>
      <c r="C20"/>
      <c r="F20" s="954" t="s">
        <v>903</v>
      </c>
      <c r="G20" s="954">
        <v>18.899999999999999</v>
      </c>
      <c r="H20" s="954">
        <v>18.8</v>
      </c>
      <c r="I20" s="954">
        <v>18.8</v>
      </c>
      <c r="J20" s="954">
        <v>16.5</v>
      </c>
      <c r="K20" s="954">
        <v>13.5</v>
      </c>
      <c r="L20" s="954">
        <v>15.5</v>
      </c>
      <c r="M20" s="954">
        <v>19.100000000000001</v>
      </c>
      <c r="N20" s="954">
        <v>16</v>
      </c>
      <c r="O20" s="954">
        <v>15</v>
      </c>
      <c r="P20" s="954">
        <v>15.6</v>
      </c>
      <c r="Q20" s="954">
        <v>13</v>
      </c>
      <c r="R20" s="954">
        <v>14.5</v>
      </c>
      <c r="S20" s="954">
        <f>SUM(G20:R20)</f>
        <v>195.2</v>
      </c>
      <c r="T20">
        <f>S20/5.66</f>
        <v>34.487632508833919</v>
      </c>
      <c r="U20">
        <f>SUM(G20:J20)</f>
        <v>73</v>
      </c>
      <c r="V20">
        <f>S20-U20</f>
        <v>122.19999999999999</v>
      </c>
      <c r="W20">
        <f>V20/5.66</f>
        <v>21.590106007067135</v>
      </c>
    </row>
    <row r="21" spans="2:23">
      <c r="B21"/>
      <c r="C21"/>
      <c r="F21" s="954" t="s">
        <v>260</v>
      </c>
      <c r="G21" s="954">
        <v>13.3</v>
      </c>
      <c r="H21" s="954">
        <v>12</v>
      </c>
      <c r="I21" s="954">
        <v>17.5</v>
      </c>
      <c r="J21" s="954">
        <v>15.8</v>
      </c>
      <c r="K21" s="954">
        <v>16.8</v>
      </c>
      <c r="L21" s="954">
        <v>21.4</v>
      </c>
      <c r="M21" s="954">
        <v>15</v>
      </c>
      <c r="N21" s="954">
        <v>16.100000000000001</v>
      </c>
      <c r="O21" s="954">
        <v>20.7</v>
      </c>
      <c r="P21" s="954">
        <v>16.399999999999999</v>
      </c>
      <c r="Q21" s="954">
        <v>17.8</v>
      </c>
      <c r="R21" s="954">
        <v>14.2</v>
      </c>
      <c r="S21" s="954">
        <v>197</v>
      </c>
      <c r="T21">
        <f>S21/5.66</f>
        <v>34.805653710247348</v>
      </c>
      <c r="U21">
        <f>SUM(G21:J21)</f>
        <v>58.599999999999994</v>
      </c>
      <c r="V21">
        <f>S21-U21</f>
        <v>138.4</v>
      </c>
      <c r="W21">
        <f>V21/5.6</f>
        <v>24.714285714285715</v>
      </c>
    </row>
    <row r="22" spans="2:23">
      <c r="B22"/>
      <c r="C22"/>
      <c r="F22" s="954" t="s">
        <v>885</v>
      </c>
      <c r="G22" s="954">
        <v>5.6</v>
      </c>
      <c r="H22" s="954">
        <v>6.8</v>
      </c>
      <c r="I22" s="954">
        <v>1.3</v>
      </c>
      <c r="J22" s="954">
        <v>0.7</v>
      </c>
      <c r="K22" s="954">
        <v>-3.3</v>
      </c>
      <c r="L22" s="954">
        <v>-5.9</v>
      </c>
      <c r="M22" s="954">
        <v>4</v>
      </c>
      <c r="N22" s="954">
        <v>3.1</v>
      </c>
      <c r="O22" s="954">
        <v>-4.2</v>
      </c>
      <c r="P22" s="954">
        <v>-0.8</v>
      </c>
      <c r="Q22" s="954">
        <v>-1.9</v>
      </c>
      <c r="R22" s="954">
        <v>-2.7</v>
      </c>
      <c r="S22" s="954">
        <v>2.5</v>
      </c>
    </row>
    <row r="23" spans="2:23">
      <c r="B23"/>
      <c r="C23"/>
    </row>
    <row r="24" spans="2:23">
      <c r="B24"/>
      <c r="C24"/>
    </row>
    <row r="25" spans="2:23">
      <c r="B25"/>
      <c r="C25"/>
    </row>
    <row r="26" spans="2:23">
      <c r="B26"/>
      <c r="C26"/>
      <c r="F26" s="942" t="s">
        <v>819</v>
      </c>
      <c r="G26" s="942" t="s">
        <v>811</v>
      </c>
      <c r="H26" s="942" t="s">
        <v>812</v>
      </c>
      <c r="I26" s="942" t="s">
        <v>813</v>
      </c>
      <c r="J26" s="942" t="s">
        <v>814</v>
      </c>
      <c r="K26" s="942" t="s">
        <v>815</v>
      </c>
      <c r="L26" s="942" t="s">
        <v>816</v>
      </c>
      <c r="M26" s="942" t="s">
        <v>817</v>
      </c>
      <c r="N26" s="942" t="s">
        <v>818</v>
      </c>
    </row>
    <row r="27" spans="2:23">
      <c r="B27"/>
      <c r="C27"/>
      <c r="F27" s="942" t="s">
        <v>260</v>
      </c>
      <c r="G27" s="942">
        <f>K21</f>
        <v>16.8</v>
      </c>
      <c r="H27" s="942">
        <f t="shared" ref="H27:N27" si="0">L21</f>
        <v>21.4</v>
      </c>
      <c r="I27" s="942">
        <f t="shared" si="0"/>
        <v>15</v>
      </c>
      <c r="J27" s="942">
        <f t="shared" si="0"/>
        <v>16.100000000000001</v>
      </c>
      <c r="K27" s="942">
        <f t="shared" si="0"/>
        <v>20.7</v>
      </c>
      <c r="L27" s="942">
        <f t="shared" si="0"/>
        <v>16.399999999999999</v>
      </c>
      <c r="M27" s="942">
        <f t="shared" si="0"/>
        <v>17.8</v>
      </c>
      <c r="N27" s="942">
        <f t="shared" si="0"/>
        <v>14.2</v>
      </c>
    </row>
    <row r="28" spans="2:23">
      <c r="F28" s="942" t="str">
        <f>F20</f>
        <v>MRF9</v>
      </c>
      <c r="G28" s="942">
        <f>K20</f>
        <v>13.5</v>
      </c>
      <c r="H28" s="942">
        <f t="shared" ref="H28:N28" si="1">L20</f>
        <v>15.5</v>
      </c>
      <c r="I28" s="942">
        <f t="shared" si="1"/>
        <v>19.100000000000001</v>
      </c>
      <c r="J28" s="942">
        <f t="shared" si="1"/>
        <v>16</v>
      </c>
      <c r="K28" s="942">
        <f t="shared" si="1"/>
        <v>15</v>
      </c>
      <c r="L28" s="942">
        <f t="shared" si="1"/>
        <v>15.6</v>
      </c>
      <c r="M28" s="942">
        <f t="shared" si="1"/>
        <v>13</v>
      </c>
      <c r="N28" s="942">
        <f t="shared" si="1"/>
        <v>14.5</v>
      </c>
    </row>
    <row r="30" spans="2:23">
      <c r="F30" s="942" t="s">
        <v>820</v>
      </c>
      <c r="G30" s="942" t="s">
        <v>811</v>
      </c>
      <c r="H30" s="942" t="s">
        <v>812</v>
      </c>
      <c r="I30" s="942" t="s">
        <v>813</v>
      </c>
      <c r="J30" s="942" t="s">
        <v>814</v>
      </c>
      <c r="K30" s="942" t="s">
        <v>815</v>
      </c>
      <c r="L30" s="942" t="s">
        <v>816</v>
      </c>
      <c r="M30" s="942" t="s">
        <v>817</v>
      </c>
      <c r="N30" s="942" t="s">
        <v>818</v>
      </c>
    </row>
    <row r="31" spans="2:23">
      <c r="F31" s="942" t="s">
        <v>260</v>
      </c>
      <c r="G31" s="943">
        <f>G27/5.6</f>
        <v>3.0000000000000004</v>
      </c>
      <c r="H31" s="943">
        <f t="shared" ref="H31:N31" si="2">H27/5.6</f>
        <v>3.8214285714285716</v>
      </c>
      <c r="I31" s="943">
        <f t="shared" si="2"/>
        <v>2.6785714285714288</v>
      </c>
      <c r="J31" s="943">
        <f t="shared" si="2"/>
        <v>2.8750000000000004</v>
      </c>
      <c r="K31" s="943">
        <f t="shared" si="2"/>
        <v>3.6964285714285716</v>
      </c>
      <c r="L31" s="943">
        <f t="shared" si="2"/>
        <v>2.9285714285714284</v>
      </c>
      <c r="M31" s="943">
        <f t="shared" si="2"/>
        <v>3.1785714285714288</v>
      </c>
      <c r="N31" s="943">
        <f t="shared" si="2"/>
        <v>2.5357142857142856</v>
      </c>
    </row>
    <row r="32" spans="2:23">
      <c r="F32" s="942" t="str">
        <f>F28</f>
        <v>MRF9</v>
      </c>
      <c r="G32" s="943">
        <f>G31/'[36]2025 - US$ EUA  '!$F$57</f>
        <v>0.52934459576978043</v>
      </c>
      <c r="H32" s="943">
        <f>H28/'[36]2025 - US$ EUA  '!$G$57</f>
        <v>2.7942755209746442</v>
      </c>
      <c r="I32" s="943">
        <f>I28/'[36]2025 - US$ EUA  '!$H$57</f>
        <v>3.4548304317633645</v>
      </c>
      <c r="J32" s="943">
        <f>J28/'[36]2025 - US$ EUA  '!$I$57</f>
        <v>2.9374378198616258</v>
      </c>
      <c r="K32" s="943">
        <f>K28/'[36]2025 - US$ EUA  '!$J$57</f>
        <v>2.6785714285714288</v>
      </c>
      <c r="L32" s="943">
        <f>L28/'[36]2025 - US$ EUA  '!$K$57</f>
        <v>2.785714285714286</v>
      </c>
      <c r="M32" s="943">
        <f>M28/'[36]2025 - US$ EUA  '!$L$57</f>
        <v>2.3214285714285716</v>
      </c>
      <c r="N32" s="943">
        <f>N28/'[36]2025 - US$ EUA  '!$M$57</f>
        <v>2.5892857142857144</v>
      </c>
    </row>
    <row r="36" spans="6:19">
      <c r="F36" s="944" t="s">
        <v>825</v>
      </c>
      <c r="G36" s="944" t="s">
        <v>826</v>
      </c>
      <c r="H36" s="944" t="s">
        <v>827</v>
      </c>
      <c r="I36" s="944" t="s">
        <v>828</v>
      </c>
      <c r="J36" s="944" t="s">
        <v>829</v>
      </c>
      <c r="K36" s="944" t="s">
        <v>14</v>
      </c>
    </row>
    <row r="37" spans="6:19" ht="25.5">
      <c r="F37" s="945" t="s">
        <v>830</v>
      </c>
      <c r="G37" s="945" t="s">
        <v>831</v>
      </c>
      <c r="H37" s="945" t="s">
        <v>832</v>
      </c>
      <c r="I37" s="945" t="s">
        <v>833</v>
      </c>
      <c r="J37" s="945" t="s">
        <v>834</v>
      </c>
      <c r="K37" s="945">
        <v>72.94</v>
      </c>
    </row>
    <row r="38" spans="6:19">
      <c r="F38" s="945" t="s">
        <v>3</v>
      </c>
      <c r="G38" s="945" t="s">
        <v>835</v>
      </c>
      <c r="H38" s="945" t="s">
        <v>836</v>
      </c>
      <c r="I38" s="945" t="s">
        <v>837</v>
      </c>
      <c r="J38" s="945" t="s">
        <v>838</v>
      </c>
      <c r="K38" s="945">
        <v>5.83</v>
      </c>
    </row>
    <row r="39" spans="6:19" ht="25.5">
      <c r="F39" s="945" t="s">
        <v>839</v>
      </c>
      <c r="G39" s="945" t="s">
        <v>840</v>
      </c>
      <c r="H39" s="945" t="s">
        <v>841</v>
      </c>
      <c r="I39" s="945" t="s">
        <v>841</v>
      </c>
      <c r="J39" s="945" t="s">
        <v>842</v>
      </c>
      <c r="K39" s="945">
        <v>12.51</v>
      </c>
    </row>
    <row r="40" spans="6:19">
      <c r="F40" s="945" t="s">
        <v>843</v>
      </c>
      <c r="G40" s="946">
        <v>0.4</v>
      </c>
      <c r="H40" s="946">
        <v>0.4</v>
      </c>
      <c r="I40" s="946">
        <v>0.4</v>
      </c>
      <c r="J40" s="946">
        <v>0.4</v>
      </c>
      <c r="K40" s="946">
        <v>0.4</v>
      </c>
    </row>
    <row r="41" spans="6:19" ht="38.25">
      <c r="F41" s="944" t="s">
        <v>844</v>
      </c>
      <c r="G41" s="944">
        <v>1.25</v>
      </c>
      <c r="H41" s="944">
        <v>1.31</v>
      </c>
      <c r="I41" s="944">
        <v>1.31</v>
      </c>
      <c r="J41" s="944">
        <v>1.1399999999999999</v>
      </c>
      <c r="K41" s="944">
        <f>SUM(G41:J41)</f>
        <v>5.01</v>
      </c>
    </row>
    <row r="42" spans="6:19">
      <c r="J42">
        <f>SUM(G41:J41)</f>
        <v>5.01</v>
      </c>
    </row>
    <row r="44" spans="6:19">
      <c r="F44" s="945" t="s">
        <v>260</v>
      </c>
      <c r="G44" s="944" t="s">
        <v>826</v>
      </c>
      <c r="H44" s="944" t="s">
        <v>827</v>
      </c>
      <c r="I44" s="944" t="s">
        <v>828</v>
      </c>
      <c r="J44" s="944" t="s">
        <v>829</v>
      </c>
      <c r="K44" s="944" t="s">
        <v>811</v>
      </c>
      <c r="L44" s="944" t="s">
        <v>812</v>
      </c>
      <c r="M44" s="944" t="s">
        <v>813</v>
      </c>
      <c r="N44" s="944" t="s">
        <v>814</v>
      </c>
      <c r="O44" s="944" t="s">
        <v>815</v>
      </c>
      <c r="P44" s="944" t="s">
        <v>816</v>
      </c>
      <c r="Q44" s="944" t="s">
        <v>817</v>
      </c>
      <c r="R44" s="944" t="s">
        <v>818</v>
      </c>
      <c r="S44" s="944" t="s">
        <v>845</v>
      </c>
    </row>
    <row r="45" spans="6:19" ht="25.5">
      <c r="F45" s="945" t="s">
        <v>830</v>
      </c>
      <c r="G45" s="947" t="s">
        <v>846</v>
      </c>
      <c r="H45" s="947" t="s">
        <v>847</v>
      </c>
      <c r="I45" s="947" t="s">
        <v>848</v>
      </c>
      <c r="J45" s="947" t="s">
        <v>849</v>
      </c>
      <c r="K45" s="947" t="s">
        <v>850</v>
      </c>
      <c r="L45" s="947" t="s">
        <v>851</v>
      </c>
      <c r="M45" s="947" t="s">
        <v>852</v>
      </c>
      <c r="N45" s="947" t="s">
        <v>853</v>
      </c>
      <c r="O45" s="947" t="s">
        <v>854</v>
      </c>
      <c r="P45" s="947" t="s">
        <v>855</v>
      </c>
      <c r="Q45" s="947" t="s">
        <v>856</v>
      </c>
      <c r="R45" s="947" t="s">
        <v>857</v>
      </c>
      <c r="S45" s="947">
        <v>215.17</v>
      </c>
    </row>
    <row r="46" spans="6:19">
      <c r="F46" s="945" t="s">
        <v>3</v>
      </c>
      <c r="G46" s="947" t="s">
        <v>858</v>
      </c>
      <c r="H46" s="947" t="s">
        <v>858</v>
      </c>
      <c r="I46" s="947" t="s">
        <v>858</v>
      </c>
      <c r="J46" s="947" t="s">
        <v>858</v>
      </c>
      <c r="K46" s="947" t="s">
        <v>858</v>
      </c>
      <c r="L46" s="947" t="s">
        <v>858</v>
      </c>
      <c r="M46" s="947" t="s">
        <v>858</v>
      </c>
      <c r="N46" s="947" t="s">
        <v>858</v>
      </c>
      <c r="O46" s="947" t="s">
        <v>858</v>
      </c>
      <c r="P46" s="947" t="s">
        <v>858</v>
      </c>
      <c r="Q46" s="947" t="s">
        <v>858</v>
      </c>
      <c r="R46" s="947" t="s">
        <v>858</v>
      </c>
      <c r="S46" s="947">
        <v>5.6</v>
      </c>
    </row>
    <row r="47" spans="6:19" ht="25.5">
      <c r="F47" s="945" t="s">
        <v>839</v>
      </c>
      <c r="G47" s="947" t="s">
        <v>859</v>
      </c>
      <c r="H47" s="947" t="s">
        <v>860</v>
      </c>
      <c r="I47" s="947" t="s">
        <v>840</v>
      </c>
      <c r="J47" s="947" t="s">
        <v>861</v>
      </c>
      <c r="K47" s="947" t="s">
        <v>862</v>
      </c>
      <c r="L47" s="947" t="s">
        <v>863</v>
      </c>
      <c r="M47" s="947" t="s">
        <v>864</v>
      </c>
      <c r="N47" s="947" t="s">
        <v>865</v>
      </c>
      <c r="O47" s="947" t="s">
        <v>866</v>
      </c>
      <c r="P47" s="947" t="s">
        <v>867</v>
      </c>
      <c r="Q47" s="947" t="s">
        <v>868</v>
      </c>
      <c r="R47" s="947" t="s">
        <v>869</v>
      </c>
      <c r="S47" s="947">
        <v>38.42</v>
      </c>
    </row>
    <row r="48" spans="6:19">
      <c r="F48" s="945" t="s">
        <v>843</v>
      </c>
      <c r="G48" s="946">
        <v>0.4</v>
      </c>
      <c r="H48" s="946">
        <v>0.4</v>
      </c>
      <c r="I48" s="946">
        <v>0.4</v>
      </c>
      <c r="J48" s="946">
        <v>0.4</v>
      </c>
      <c r="K48" s="946">
        <v>0.4</v>
      </c>
      <c r="L48" s="946">
        <v>0.4</v>
      </c>
      <c r="M48" s="946">
        <v>0.4</v>
      </c>
      <c r="N48" s="946">
        <v>0.4</v>
      </c>
      <c r="O48" s="946">
        <v>0.4</v>
      </c>
      <c r="P48" s="946">
        <v>0.4</v>
      </c>
      <c r="Q48" s="946">
        <v>0.4</v>
      </c>
      <c r="R48" s="946">
        <v>0.4</v>
      </c>
      <c r="S48" s="946">
        <v>0.4</v>
      </c>
    </row>
    <row r="49" spans="6:19" ht="38.25">
      <c r="F49" s="944" t="s">
        <v>844</v>
      </c>
      <c r="G49" s="948">
        <v>0.95</v>
      </c>
      <c r="H49" s="948">
        <v>0.86</v>
      </c>
      <c r="I49" s="948">
        <v>1.25</v>
      </c>
      <c r="J49" s="948">
        <v>1.1299999999999999</v>
      </c>
      <c r="K49" s="948">
        <v>1.2</v>
      </c>
      <c r="L49" s="948">
        <v>1.74</v>
      </c>
      <c r="M49" s="948">
        <v>1.25</v>
      </c>
      <c r="N49" s="948">
        <v>1.32</v>
      </c>
      <c r="O49" s="948">
        <v>1.68</v>
      </c>
      <c r="P49" s="948">
        <v>1.35</v>
      </c>
      <c r="Q49" s="948">
        <v>1.47</v>
      </c>
      <c r="R49" s="948">
        <v>1.17</v>
      </c>
      <c r="S49" s="948">
        <v>15.37</v>
      </c>
    </row>
    <row r="50" spans="6:19">
      <c r="J50">
        <f>SUM(G49:J49)</f>
        <v>4.1899999999999995</v>
      </c>
    </row>
  </sheetData>
  <mergeCells count="3">
    <mergeCell ref="B3:C7"/>
    <mergeCell ref="B9:C12"/>
    <mergeCell ref="R18:S18"/>
  </mergeCells>
  <phoneticPr fontId="210" type="noConversion"/>
  <pageMargins left="0.511811024" right="0.511811024" top="0.78740157499999996" bottom="0.78740157499999996" header="0.31496062000000002" footer="0.31496062000000002"/>
  <customProperties>
    <customPr name="_pios_id" r:id="rId1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>
    <pageSetUpPr fitToPage="1"/>
  </sheetPr>
  <dimension ref="A1:AO41"/>
  <sheetViews>
    <sheetView showGridLines="0" zoomScale="60" zoomScaleNormal="60" workbookViewId="0">
      <selection activeCell="R29" sqref="R29"/>
    </sheetView>
  </sheetViews>
  <sheetFormatPr defaultColWidth="9.42578125" defaultRowHeight="15"/>
  <cols>
    <col min="1" max="1" width="22.5703125" style="97" customWidth="1"/>
    <col min="2" max="13" width="10.5703125" style="97" customWidth="1"/>
    <col min="14" max="14" width="13.42578125" style="97" bestFit="1" customWidth="1"/>
    <col min="15" max="15" width="5" style="97" customWidth="1"/>
    <col min="16" max="19" width="9.42578125" style="97"/>
    <col min="20" max="20" width="20.5703125" style="97" customWidth="1"/>
    <col min="21" max="21" width="14.5703125" style="97" bestFit="1" customWidth="1"/>
    <col min="22" max="22" width="10.5703125" style="97" bestFit="1" customWidth="1"/>
    <col min="23" max="23" width="16" style="97" bestFit="1" customWidth="1"/>
    <col min="24" max="24" width="12.5703125" style="97" bestFit="1" customWidth="1"/>
    <col min="25" max="25" width="7.5703125" style="97" bestFit="1" customWidth="1"/>
    <col min="26" max="26" width="7.42578125" style="97" customWidth="1"/>
    <col min="27" max="27" width="11.5703125" style="97" bestFit="1" customWidth="1"/>
    <col min="28" max="28" width="7.5703125" style="97" bestFit="1" customWidth="1"/>
    <col min="29" max="29" width="17" style="97" bestFit="1" customWidth="1"/>
    <col min="30" max="30" width="13.42578125" style="97" bestFit="1" customWidth="1"/>
    <col min="31" max="31" width="15.5703125" style="97" customWidth="1"/>
    <col min="32" max="16384" width="9.42578125" style="97"/>
  </cols>
  <sheetData>
    <row r="1" spans="11:26" ht="18" customHeight="1">
      <c r="K1" s="96"/>
      <c r="L1" s="96"/>
      <c r="M1" s="96"/>
      <c r="N1" s="96"/>
      <c r="S1" s="234"/>
      <c r="T1" s="96"/>
      <c r="U1" s="96"/>
      <c r="V1" s="96"/>
      <c r="W1" s="96"/>
      <c r="X1" s="96"/>
      <c r="Y1" s="234"/>
      <c r="Z1" s="234"/>
    </row>
    <row r="3" spans="11:26">
      <c r="S3" s="235"/>
      <c r="T3" s="235"/>
      <c r="U3" s="235"/>
      <c r="V3" s="235"/>
      <c r="W3" s="235"/>
      <c r="X3" s="235"/>
      <c r="Y3" s="235"/>
      <c r="Z3" s="235"/>
    </row>
    <row r="5" spans="11:26">
      <c r="Y5" s="235"/>
      <c r="Z5" s="235"/>
    </row>
    <row r="11" spans="11:26">
      <c r="W11" s="97">
        <v>1111.04</v>
      </c>
    </row>
    <row r="17" spans="1:41" ht="45">
      <c r="U17" s="237" t="str">
        <f>A29</f>
        <v>FY26
Budget</v>
      </c>
      <c r="V17" s="238" t="str">
        <f>A30</f>
        <v>Vol &amp; Mix</v>
      </c>
      <c r="W17" s="239" t="str">
        <f>A32</f>
        <v>Selling 
price</v>
      </c>
      <c r="X17" s="238" t="str">
        <f>A33</f>
        <v>Input 
price</v>
      </c>
      <c r="Y17" s="333" t="s">
        <v>699</v>
      </c>
      <c r="Z17" s="333" t="s">
        <v>767</v>
      </c>
      <c r="AA17" s="238" t="str">
        <f>A35</f>
        <v>Fixed 
costs</v>
      </c>
      <c r="AB17" s="238" t="s">
        <v>560</v>
      </c>
      <c r="AC17" s="238" t="str">
        <f>A36</f>
        <v>Exchange 
rate</v>
      </c>
      <c r="AD17" s="238" t="s">
        <v>721</v>
      </c>
      <c r="AE17" s="237" t="str">
        <f>A40</f>
        <v>FY26
MRF7</v>
      </c>
    </row>
    <row r="18" spans="1:41">
      <c r="U18" s="235"/>
    </row>
    <row r="19" spans="1:41">
      <c r="U19" s="240">
        <f>B29</f>
        <v>632.04404452987512</v>
      </c>
      <c r="V19" s="236">
        <f>B30</f>
        <v>-6.680380721635153</v>
      </c>
      <c r="W19" s="236">
        <f>B32</f>
        <v>286.54894369344618</v>
      </c>
      <c r="X19" s="236">
        <f>B33</f>
        <v>-177.47194678166522</v>
      </c>
      <c r="Y19" s="236">
        <f>Box!AD8</f>
        <v>-8.7367984235799998</v>
      </c>
      <c r="Z19" s="236">
        <f>Box!AA11</f>
        <v>-4.0925449488067995</v>
      </c>
      <c r="AA19" s="236">
        <f>B35</f>
        <v>-34.290558515169018</v>
      </c>
      <c r="AB19" s="236">
        <f>Cálculo!I155/1000</f>
        <v>-5.7640203629386235</v>
      </c>
      <c r="AC19" s="236">
        <f>B36</f>
        <v>70.572858606569</v>
      </c>
      <c r="AD19" s="236">
        <f>Cálculo!C12</f>
        <v>-4.4371961993175546</v>
      </c>
      <c r="AE19" s="240" t="s">
        <v>312</v>
      </c>
      <c r="AH19" s="235">
        <f>V32</f>
        <v>0</v>
      </c>
      <c r="AI19" s="235">
        <f>W32</f>
        <v>0</v>
      </c>
      <c r="AJ19" s="235">
        <f>X32</f>
        <v>0</v>
      </c>
      <c r="AK19" s="235">
        <f>Y32</f>
        <v>0</v>
      </c>
      <c r="AL19" s="235">
        <f>AA32</f>
        <v>0</v>
      </c>
      <c r="AM19" s="235">
        <f t="shared" ref="AM19" si="0">AC32</f>
        <v>0</v>
      </c>
      <c r="AN19" s="235" t="e">
        <f>#REF!</f>
        <v>#REF!</v>
      </c>
      <c r="AO19" s="235" t="e">
        <f>#REF!</f>
        <v>#REF!</v>
      </c>
    </row>
    <row r="21" spans="1:41">
      <c r="V21" s="235"/>
      <c r="W21" s="235"/>
      <c r="AD21" s="235"/>
      <c r="AE21" s="776"/>
    </row>
    <row r="22" spans="1:41">
      <c r="V22" s="235">
        <f>Cálculo!C6+Cálculo!C7</f>
        <v>-6.680380721635153</v>
      </c>
      <c r="W22" s="777">
        <f>Cálculo!C5</f>
        <v>286.54894369344618</v>
      </c>
      <c r="X22" s="777">
        <f>Cálculo!C9</f>
        <v>-177.47194678166522</v>
      </c>
      <c r="Y22" s="777">
        <f>Cálculo!C10</f>
        <v>-12.829343372386798</v>
      </c>
      <c r="Z22" s="777"/>
      <c r="AE22" s="235"/>
    </row>
    <row r="23" spans="1:41">
      <c r="AE23" s="711"/>
    </row>
    <row r="24" spans="1:41">
      <c r="V24" s="259"/>
      <c r="W24" s="259"/>
      <c r="X24" s="259"/>
      <c r="Y24" s="259"/>
      <c r="Z24" s="259"/>
      <c r="AA24" s="259"/>
      <c r="AB24" s="259"/>
      <c r="AC24" s="259"/>
      <c r="AD24" s="259"/>
      <c r="AE24" s="876">
        <f>SUM(U19:AD19)</f>
        <v>747.69240087677792</v>
      </c>
    </row>
    <row r="25" spans="1:41">
      <c r="W25" s="235"/>
      <c r="AA25" s="235"/>
      <c r="AB25" s="235"/>
      <c r="AC25" s="235"/>
      <c r="AD25" s="235"/>
      <c r="AE25" s="876">
        <f>Cálculo!C13</f>
        <v>747.69240087677792</v>
      </c>
    </row>
    <row r="26" spans="1:41">
      <c r="AE26" s="876">
        <f>AE25-AE24</f>
        <v>0</v>
      </c>
    </row>
    <row r="27" spans="1:41" ht="15.75" thickBot="1">
      <c r="U27" s="777"/>
      <c r="AE27" s="808"/>
    </row>
    <row r="28" spans="1:41" ht="15.75" thickBot="1">
      <c r="B28" s="98" t="s">
        <v>75</v>
      </c>
      <c r="C28" s="98" t="s">
        <v>76</v>
      </c>
      <c r="D28" s="99" t="s">
        <v>77</v>
      </c>
      <c r="E28" s="100" t="s">
        <v>78</v>
      </c>
      <c r="F28" s="101" t="s">
        <v>79</v>
      </c>
      <c r="G28" s="102" t="s">
        <v>80</v>
      </c>
      <c r="H28" s="100" t="s">
        <v>81</v>
      </c>
      <c r="I28" s="101" t="s">
        <v>82</v>
      </c>
      <c r="J28" s="102" t="s">
        <v>83</v>
      </c>
      <c r="U28" s="235"/>
      <c r="AE28" s="777"/>
    </row>
    <row r="29" spans="1:41" ht="30">
      <c r="A29" s="103" t="s">
        <v>919</v>
      </c>
      <c r="B29" s="104">
        <f>Cálculo!C3</f>
        <v>632.04404452987512</v>
      </c>
      <c r="C29" s="104">
        <f>+SUM(B29)</f>
        <v>632.04404452987512</v>
      </c>
      <c r="D29" s="104">
        <f>+B29</f>
        <v>632.04404452987512</v>
      </c>
      <c r="E29" s="105"/>
      <c r="F29" s="105"/>
      <c r="G29" s="105"/>
      <c r="H29" s="105"/>
      <c r="I29" s="105"/>
      <c r="J29" s="105"/>
      <c r="V29" s="235"/>
      <c r="W29" s="235"/>
      <c r="X29" s="235"/>
      <c r="Y29" s="235"/>
      <c r="Z29" s="235"/>
      <c r="AA29" s="235"/>
      <c r="AB29" s="235"/>
      <c r="AC29" s="235"/>
      <c r="AD29" s="235"/>
      <c r="AE29" s="235"/>
    </row>
    <row r="30" spans="1:41">
      <c r="A30" s="106" t="s">
        <v>41</v>
      </c>
      <c r="B30" s="227">
        <f>Cálculo!C6+Cálculo!C7</f>
        <v>-6.680380721635153</v>
      </c>
      <c r="C30" s="104">
        <f>+SUM(B29:B30)</f>
        <v>625.36366380823995</v>
      </c>
      <c r="D30" s="104"/>
      <c r="E30" s="104">
        <f t="shared" ref="E30:E37" si="1">IF(AND(C30&lt;0,C29&lt;0),MAX(C29:C30),0)</f>
        <v>0</v>
      </c>
      <c r="F30" s="104">
        <f t="shared" ref="F30:F39" si="2">IF(AND(C30&lt;0,B30&lt;0),MAX(B30,C30),0)</f>
        <v>0</v>
      </c>
      <c r="G30" s="104">
        <f t="shared" ref="G30:G37" si="3">IF(AND(C29&lt;0,B30&gt;0),MAX(-B30,C29),0)</f>
        <v>0</v>
      </c>
      <c r="H30" s="104">
        <f t="shared" ref="H30:H37" si="4">IF(AND(C30&gt;0,C29&gt;0),MIN(C29:C30),0)</f>
        <v>625.36366380823995</v>
      </c>
      <c r="I30" s="104"/>
      <c r="J30" s="104">
        <f t="shared" ref="J30:J39" si="5">IF(AND(C30&gt;0,B30&gt;0),MIN(B30,C30),0)</f>
        <v>0</v>
      </c>
    </row>
    <row r="31" spans="1:41" hidden="1">
      <c r="A31" s="106" t="s">
        <v>11</v>
      </c>
      <c r="B31" s="104"/>
      <c r="C31" s="104">
        <f>+SUM(B29:B31)</f>
        <v>625.36366380823995</v>
      </c>
      <c r="D31" s="104"/>
      <c r="E31" s="104">
        <f t="shared" si="1"/>
        <v>0</v>
      </c>
      <c r="F31" s="104">
        <f t="shared" si="2"/>
        <v>0</v>
      </c>
      <c r="G31" s="104">
        <f t="shared" si="3"/>
        <v>0</v>
      </c>
      <c r="H31" s="104">
        <f t="shared" si="4"/>
        <v>625.36366380823995</v>
      </c>
      <c r="I31" s="104">
        <f t="shared" ref="I31:I39" si="6">IF(AND(C30&gt;0,B31&lt;0),MIN(-B31,C30),0)</f>
        <v>0</v>
      </c>
      <c r="J31" s="104">
        <f t="shared" si="5"/>
        <v>0</v>
      </c>
    </row>
    <row r="32" spans="1:41" ht="30">
      <c r="A32" s="106" t="s">
        <v>84</v>
      </c>
      <c r="B32" s="104">
        <f>Cálculo!C5</f>
        <v>286.54894369344618</v>
      </c>
      <c r="C32" s="104">
        <f>+SUM(B29:B32)</f>
        <v>911.91260750168613</v>
      </c>
      <c r="D32" s="104"/>
      <c r="E32" s="104">
        <f t="shared" si="1"/>
        <v>0</v>
      </c>
      <c r="F32" s="104">
        <f t="shared" si="2"/>
        <v>0</v>
      </c>
      <c r="G32" s="104">
        <f t="shared" si="3"/>
        <v>0</v>
      </c>
      <c r="H32" s="104">
        <f t="shared" si="4"/>
        <v>625.36366380823995</v>
      </c>
      <c r="I32" s="104"/>
      <c r="J32" s="104">
        <f t="shared" si="5"/>
        <v>286.54894369344618</v>
      </c>
      <c r="V32" s="710"/>
      <c r="W32" s="710"/>
      <c r="X32" s="710"/>
      <c r="Y32" s="710"/>
      <c r="Z32" s="710"/>
      <c r="AA32" s="710"/>
      <c r="AB32" s="710"/>
      <c r="AC32" s="710"/>
      <c r="AD32" s="710"/>
      <c r="AE32" s="711"/>
    </row>
    <row r="33" spans="1:27" ht="30">
      <c r="A33" s="106" t="s">
        <v>85</v>
      </c>
      <c r="B33" s="104">
        <f>Cálculo!C9</f>
        <v>-177.47194678166522</v>
      </c>
      <c r="C33" s="104">
        <f>+SUM(B29:B33)</f>
        <v>734.4406607200209</v>
      </c>
      <c r="D33" s="104"/>
      <c r="E33" s="104">
        <f t="shared" si="1"/>
        <v>0</v>
      </c>
      <c r="F33" s="104">
        <f t="shared" si="2"/>
        <v>0</v>
      </c>
      <c r="G33" s="104">
        <f t="shared" si="3"/>
        <v>0</v>
      </c>
      <c r="H33" s="104">
        <f t="shared" si="4"/>
        <v>734.4406607200209</v>
      </c>
      <c r="I33" s="104">
        <f t="shared" si="6"/>
        <v>177.47194678166522</v>
      </c>
      <c r="J33" s="104"/>
    </row>
    <row r="34" spans="1:27">
      <c r="A34" s="106" t="s">
        <v>16</v>
      </c>
      <c r="B34" s="104">
        <f>Cálculo!C10</f>
        <v>-12.829343372386798</v>
      </c>
      <c r="C34" s="104">
        <f>+SUM(B29:B34)</f>
        <v>721.6113173476341</v>
      </c>
      <c r="D34" s="104"/>
      <c r="E34" s="104">
        <f t="shared" si="1"/>
        <v>0</v>
      </c>
      <c r="F34" s="104">
        <f t="shared" si="2"/>
        <v>0</v>
      </c>
      <c r="G34" s="104">
        <f t="shared" si="3"/>
        <v>0</v>
      </c>
      <c r="H34" s="104">
        <f t="shared" si="4"/>
        <v>721.6113173476341</v>
      </c>
      <c r="I34" s="104"/>
      <c r="J34" s="104">
        <f t="shared" si="5"/>
        <v>0</v>
      </c>
    </row>
    <row r="35" spans="1:27" ht="30">
      <c r="A35" s="106" t="s">
        <v>86</v>
      </c>
      <c r="B35" s="104">
        <f>Cálculo!C8</f>
        <v>-34.290558515169018</v>
      </c>
      <c r="C35" s="104">
        <f>+SUM(B29:B35)</f>
        <v>687.32075883246512</v>
      </c>
      <c r="D35" s="104"/>
      <c r="E35" s="104">
        <f t="shared" si="1"/>
        <v>0</v>
      </c>
      <c r="F35" s="104">
        <f t="shared" si="2"/>
        <v>0</v>
      </c>
      <c r="G35" s="104">
        <f t="shared" si="3"/>
        <v>0</v>
      </c>
      <c r="H35" s="104">
        <f t="shared" si="4"/>
        <v>687.32075883246512</v>
      </c>
      <c r="I35" s="104">
        <f t="shared" si="6"/>
        <v>34.290558515169018</v>
      </c>
      <c r="J35" s="104"/>
      <c r="AA35" s="97" t="s">
        <v>772</v>
      </c>
    </row>
    <row r="36" spans="1:27" ht="30">
      <c r="A36" s="106" t="s">
        <v>622</v>
      </c>
      <c r="B36" s="104">
        <f>Cálculo!$C$4</f>
        <v>70.572858606569</v>
      </c>
      <c r="C36" s="104">
        <f>+SUM(B29:B36)</f>
        <v>757.89361743903407</v>
      </c>
      <c r="D36" s="104"/>
      <c r="E36" s="104">
        <f t="shared" si="1"/>
        <v>0</v>
      </c>
      <c r="F36" s="104">
        <f t="shared" si="2"/>
        <v>0</v>
      </c>
      <c r="G36" s="104">
        <f t="shared" si="3"/>
        <v>0</v>
      </c>
      <c r="H36" s="104">
        <f t="shared" si="4"/>
        <v>687.32075883246512</v>
      </c>
      <c r="I36" s="104">
        <f t="shared" si="6"/>
        <v>0</v>
      </c>
      <c r="J36" s="104"/>
    </row>
    <row r="37" spans="1:27" ht="30">
      <c r="A37" s="106" t="s">
        <v>540</v>
      </c>
      <c r="B37" s="107"/>
      <c r="C37" s="104">
        <f>+SUM(B29:B37)</f>
        <v>757.89361743903407</v>
      </c>
      <c r="D37" s="104"/>
      <c r="E37" s="104">
        <f t="shared" si="1"/>
        <v>0</v>
      </c>
      <c r="F37" s="104">
        <f t="shared" si="2"/>
        <v>0</v>
      </c>
      <c r="G37" s="104">
        <f t="shared" si="3"/>
        <v>0</v>
      </c>
      <c r="H37" s="104">
        <f t="shared" si="4"/>
        <v>757.89361743903407</v>
      </c>
      <c r="I37" s="104">
        <f t="shared" si="6"/>
        <v>0</v>
      </c>
      <c r="J37" s="104"/>
    </row>
    <row r="38" spans="1:27" ht="30">
      <c r="A38" s="106" t="s">
        <v>537</v>
      </c>
      <c r="B38" s="104"/>
      <c r="C38" s="104">
        <f>+SUM(B29:B38)</f>
        <v>757.89361743903407</v>
      </c>
      <c r="D38" s="104"/>
      <c r="E38" s="104">
        <f>IF(AND(C38&lt;0,C36&lt;0),MAX(C36:C38),0)</f>
        <v>0</v>
      </c>
      <c r="F38" s="104">
        <f t="shared" si="2"/>
        <v>0</v>
      </c>
      <c r="G38" s="104">
        <f>IF(AND(C36&lt;0,B38&gt;0),MAX(-B38,C36),0)</f>
        <v>0</v>
      </c>
      <c r="H38" s="104">
        <f>IF(AND(C38&gt;0,C36&gt;0),MIN(C36:C38),0)</f>
        <v>757.89361743903407</v>
      </c>
      <c r="I38" s="104"/>
      <c r="J38" s="104">
        <f t="shared" si="5"/>
        <v>0</v>
      </c>
    </row>
    <row r="39" spans="1:27" ht="30">
      <c r="A39" s="106" t="s">
        <v>538</v>
      </c>
      <c r="B39" s="104">
        <f>Cálculo!C11+Cálculo!C12-Bridge!B37-Bridge!B38</f>
        <v>-10.201216562256178</v>
      </c>
      <c r="C39" s="104">
        <f>+SUM(B29:B39)</f>
        <v>747.69240087677792</v>
      </c>
      <c r="D39" s="104"/>
      <c r="E39" s="104">
        <f>IF(AND(C39&lt;0,C38&lt;0),MAX(C38:C39),0)</f>
        <v>0</v>
      </c>
      <c r="F39" s="104">
        <f t="shared" si="2"/>
        <v>0</v>
      </c>
      <c r="G39" s="104">
        <f>IF(AND(C38&lt;0,B39&gt;0),MAX(-B39,C38),0)</f>
        <v>0</v>
      </c>
      <c r="H39" s="104">
        <f>IF(AND(C39&gt;0,C38&gt;0),MIN(C38:C39),0)</f>
        <v>747.69240087677792</v>
      </c>
      <c r="I39" s="104">
        <f t="shared" si="6"/>
        <v>10.201216562256178</v>
      </c>
      <c r="J39" s="104">
        <f t="shared" si="5"/>
        <v>0</v>
      </c>
    </row>
    <row r="40" spans="1:27" ht="30">
      <c r="A40" s="103" t="s">
        <v>963</v>
      </c>
      <c r="B40" s="108">
        <f>SUM(B29:B39)</f>
        <v>747.69240087677792</v>
      </c>
      <c r="C40" s="108">
        <f>+SUM(B29:B40)</f>
        <v>1495.3848017535558</v>
      </c>
      <c r="D40" s="108">
        <f>+B40</f>
        <v>747.69240087677792</v>
      </c>
      <c r="E40" s="109"/>
      <c r="F40" s="109"/>
      <c r="G40" s="109"/>
      <c r="H40" s="109"/>
      <c r="I40" s="109"/>
      <c r="J40" s="109"/>
    </row>
    <row r="41" spans="1:27">
      <c r="A41" s="110" t="s">
        <v>30</v>
      </c>
      <c r="B41" s="111">
        <f>Cálculo!C13-B40</f>
        <v>0</v>
      </c>
    </row>
  </sheetData>
  <conditionalFormatting sqref="V19:AD19">
    <cfRule type="cellIs" dxfId="18" priority="3" operator="greaterThanOrEqual">
      <formula>0</formula>
    </cfRule>
    <cfRule type="cellIs" dxfId="17" priority="4" operator="lessThan">
      <formula>0</formula>
    </cfRule>
  </conditionalFormatting>
  <printOptions horizontalCentered="1"/>
  <pageMargins left="0.17" right="0.2" top="0.66" bottom="0.59" header="0.51181102362204722" footer="0.51181102362204722"/>
  <pageSetup paperSize="8" scale="32" orientation="portrait" verticalDpi="598" r:id="rId1"/>
  <headerFooter alignWithMargins="0">
    <oddHeader>&amp;LArcelorMittal
Management Reporting&amp;C&amp;F
&amp;A&amp;RBudget 2010</oddHeader>
    <oddFooter>&amp;CPage &amp;P/&amp;N&amp;RPrinted: &amp;D, &amp;T</oddFooter>
  </headerFooter>
  <customProperties>
    <customPr name="_pios_id" r:id="rId2"/>
  </customProperties>
  <ignoredErrors>
    <ignoredError sqref="AH19" unlocked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0BC72-BB03-47FB-96B9-19D81918FD73}">
  <sheetPr>
    <tabColor rgb="FF0070C0"/>
  </sheetPr>
  <dimension ref="B3:AA10"/>
  <sheetViews>
    <sheetView showGridLines="0" zoomScale="90" zoomScaleNormal="90" workbookViewId="0">
      <selection activeCell="Z3" sqref="B3:AA10"/>
    </sheetView>
  </sheetViews>
  <sheetFormatPr defaultRowHeight="12.75"/>
  <cols>
    <col min="2" max="2" width="12.42578125" customWidth="1"/>
    <col min="3" max="3" width="9.5703125" customWidth="1"/>
    <col min="4" max="4" width="1.42578125" customWidth="1"/>
    <col min="5" max="5" width="12.42578125" customWidth="1"/>
    <col min="6" max="6" width="9.5703125" customWidth="1"/>
    <col min="7" max="7" width="1.42578125" customWidth="1"/>
    <col min="8" max="8" width="12.42578125" customWidth="1"/>
    <col min="9" max="9" width="9.5703125" customWidth="1"/>
    <col min="10" max="10" width="1.42578125" customWidth="1"/>
    <col min="11" max="11" width="12.42578125" customWidth="1"/>
    <col min="12" max="12" width="9.5703125" customWidth="1"/>
    <col min="13" max="13" width="1.42578125" customWidth="1"/>
    <col min="14" max="14" width="12.42578125" customWidth="1"/>
    <col min="15" max="15" width="9.5703125" customWidth="1"/>
    <col min="16" max="16" width="1.42578125" customWidth="1"/>
    <col min="17" max="17" width="12.42578125" customWidth="1"/>
    <col min="18" max="18" width="9.5703125" customWidth="1"/>
    <col min="19" max="19" width="1.42578125" customWidth="1"/>
    <col min="20" max="20" width="12.42578125" customWidth="1"/>
    <col min="21" max="21" width="9.5703125" customWidth="1"/>
    <col min="22" max="22" width="1.42578125" customWidth="1"/>
    <col min="23" max="23" width="12.42578125" customWidth="1"/>
    <col min="24" max="24" width="9.5703125" customWidth="1"/>
    <col min="25" max="25" width="1.42578125" customWidth="1"/>
    <col min="26" max="26" width="12.42578125" customWidth="1"/>
    <col min="27" max="27" width="9.5703125" customWidth="1"/>
  </cols>
  <sheetData>
    <row r="3" spans="2:27">
      <c r="B3" s="1059" t="s">
        <v>412</v>
      </c>
      <c r="C3" s="1059"/>
      <c r="E3" s="1059" t="s">
        <v>74</v>
      </c>
      <c r="F3" s="1059"/>
      <c r="H3" s="1059" t="s">
        <v>15</v>
      </c>
      <c r="I3" s="1059"/>
      <c r="K3" s="1059" t="s">
        <v>698</v>
      </c>
      <c r="L3" s="1059"/>
      <c r="N3" s="1059" t="s">
        <v>697</v>
      </c>
      <c r="O3" s="1059"/>
      <c r="Q3" s="1059" t="s">
        <v>690</v>
      </c>
      <c r="R3" s="1059"/>
      <c r="T3" s="1059" t="s">
        <v>560</v>
      </c>
      <c r="U3" s="1059"/>
      <c r="W3" s="1059" t="s">
        <v>629</v>
      </c>
      <c r="X3" s="1059"/>
      <c r="Z3" s="1059" t="s">
        <v>17</v>
      </c>
      <c r="AA3" s="1059"/>
    </row>
    <row r="4" spans="2:27" ht="4.5" customHeight="1">
      <c r="B4" s="130"/>
      <c r="C4" s="130"/>
      <c r="E4" s="130"/>
      <c r="F4" s="130"/>
      <c r="H4" s="130"/>
      <c r="I4" s="130"/>
      <c r="K4" s="130"/>
      <c r="L4" s="130"/>
      <c r="N4" s="130"/>
      <c r="O4" s="130"/>
      <c r="Q4" s="130"/>
      <c r="R4" s="130"/>
      <c r="T4" s="130"/>
      <c r="U4" s="130"/>
      <c r="W4" s="130"/>
      <c r="X4" s="130"/>
      <c r="Z4" s="130"/>
      <c r="AA4" s="130"/>
    </row>
    <row r="5" spans="2:27">
      <c r="B5" s="232" t="s">
        <v>941</v>
      </c>
      <c r="C5" s="232" t="s">
        <v>90</v>
      </c>
      <c r="D5" s="251"/>
      <c r="E5" s="232" t="s">
        <v>941</v>
      </c>
      <c r="F5" s="232" t="s">
        <v>90</v>
      </c>
      <c r="G5" s="251"/>
      <c r="H5" s="232" t="s">
        <v>941</v>
      </c>
      <c r="I5" s="232" t="s">
        <v>90</v>
      </c>
      <c r="J5" s="251"/>
      <c r="K5" s="232" t="s">
        <v>941</v>
      </c>
      <c r="L5" s="232" t="s">
        <v>90</v>
      </c>
      <c r="M5" s="251"/>
      <c r="N5" s="232" t="s">
        <v>941</v>
      </c>
      <c r="O5" s="232" t="s">
        <v>90</v>
      </c>
      <c r="P5" s="251"/>
      <c r="Q5" s="232" t="s">
        <v>941</v>
      </c>
      <c r="R5" s="232" t="s">
        <v>90</v>
      </c>
      <c r="S5" s="251"/>
      <c r="T5" s="232" t="s">
        <v>941</v>
      </c>
      <c r="U5" s="232" t="s">
        <v>90</v>
      </c>
      <c r="V5" s="251"/>
      <c r="W5" s="232" t="s">
        <v>941</v>
      </c>
      <c r="X5" s="232" t="s">
        <v>90</v>
      </c>
      <c r="Y5" s="251"/>
      <c r="Z5" s="232" t="s">
        <v>941</v>
      </c>
      <c r="AA5" s="232" t="s">
        <v>90</v>
      </c>
    </row>
    <row r="6" spans="2:27">
      <c r="B6" s="809" t="s">
        <v>791</v>
      </c>
      <c r="C6" s="148">
        <f>Bridge!V19</f>
        <v>-6.680380721635153</v>
      </c>
      <c r="D6" s="251"/>
      <c r="E6" s="809" t="s">
        <v>791</v>
      </c>
      <c r="F6" s="148">
        <f>Bridge!W19</f>
        <v>286.54894369344618</v>
      </c>
      <c r="G6" s="251"/>
      <c r="H6" s="809" t="s">
        <v>791</v>
      </c>
      <c r="I6" s="148">
        <f>Bridge!X19</f>
        <v>-177.47194678166522</v>
      </c>
      <c r="J6" s="251"/>
      <c r="K6" s="809" t="s">
        <v>791</v>
      </c>
      <c r="L6" s="148">
        <f>Bridge!Y19</f>
        <v>-8.7367984235799998</v>
      </c>
      <c r="M6" s="251"/>
      <c r="N6" s="809" t="s">
        <v>791</v>
      </c>
      <c r="O6" s="148">
        <f>Bridge!Z19</f>
        <v>-4.0925449488067995</v>
      </c>
      <c r="P6" s="251"/>
      <c r="Q6" s="809" t="s">
        <v>791</v>
      </c>
      <c r="R6" s="148">
        <f>Bridge!AA19</f>
        <v>-34.290558515169018</v>
      </c>
      <c r="S6" s="251"/>
      <c r="T6" s="809" t="s">
        <v>791</v>
      </c>
      <c r="U6" s="148">
        <f>Bridge!AB19</f>
        <v>-5.7640203629386235</v>
      </c>
      <c r="V6" s="251"/>
      <c r="W6" s="809" t="s">
        <v>791</v>
      </c>
      <c r="X6" s="148">
        <f>Bridge!AC19</f>
        <v>70.572858606569</v>
      </c>
      <c r="Y6" s="251"/>
      <c r="Z6" s="809" t="s">
        <v>791</v>
      </c>
      <c r="AA6" s="148">
        <f>Bridge!AD19+'Bridge combinada'!K23</f>
        <v>-4.2108091949075179</v>
      </c>
    </row>
    <row r="7" spans="2:27">
      <c r="B7" s="809" t="s">
        <v>709</v>
      </c>
      <c r="C7" s="148">
        <f>'Bridge combinada'!C15</f>
        <v>23.3</v>
      </c>
      <c r="D7" s="251"/>
      <c r="E7" s="809" t="s">
        <v>709</v>
      </c>
      <c r="F7" s="148">
        <f>'Bridge combinada'!D15</f>
        <v>209.35</v>
      </c>
      <c r="G7" s="251"/>
      <c r="H7" s="809" t="s">
        <v>709</v>
      </c>
      <c r="I7" s="148">
        <f>'Bridge combinada'!E15</f>
        <v>-57.55</v>
      </c>
      <c r="J7" s="251"/>
      <c r="K7" s="809" t="s">
        <v>709</v>
      </c>
      <c r="L7" s="148">
        <f>'Bridge combinada'!F15</f>
        <v>-56.15</v>
      </c>
      <c r="M7" s="251"/>
      <c r="N7" s="809" t="s">
        <v>709</v>
      </c>
      <c r="O7" s="148">
        <f>'Bridge combinada'!G15</f>
        <v>9.92</v>
      </c>
      <c r="P7" s="251"/>
      <c r="Q7" s="809" t="s">
        <v>709</v>
      </c>
      <c r="R7" s="148">
        <f>'Bridge combinada'!H15</f>
        <v>-7.6</v>
      </c>
      <c r="S7" s="251"/>
      <c r="T7" s="809" t="s">
        <v>709</v>
      </c>
      <c r="U7" s="148">
        <f>'Bridge combinada'!I15</f>
        <v>-0.6</v>
      </c>
      <c r="V7" s="251"/>
      <c r="W7" s="809" t="s">
        <v>709</v>
      </c>
      <c r="X7" s="148">
        <f>'Bridge combinada'!J15</f>
        <v>-22.53</v>
      </c>
      <c r="Y7" s="251"/>
      <c r="Z7" s="809" t="s">
        <v>709</v>
      </c>
      <c r="AA7" s="148">
        <f>'Bridge combinada'!K15</f>
        <v>-9.5</v>
      </c>
    </row>
    <row r="8" spans="2:27">
      <c r="B8" s="809" t="s">
        <v>927</v>
      </c>
      <c r="C8" s="148">
        <f>'Bridge combinada'!C16</f>
        <v>0.7</v>
      </c>
      <c r="D8" s="251"/>
      <c r="E8" s="809" t="s">
        <v>927</v>
      </c>
      <c r="F8" s="148">
        <f>'Bridge combinada'!D16</f>
        <v>11.2</v>
      </c>
      <c r="G8" s="251"/>
      <c r="H8" s="809" t="s">
        <v>927</v>
      </c>
      <c r="I8" s="148">
        <f>'Bridge combinada'!E16</f>
        <v>-10.9</v>
      </c>
      <c r="J8" s="251"/>
      <c r="K8" s="809" t="s">
        <v>927</v>
      </c>
      <c r="L8" s="148">
        <f>'Bridge combinada'!F16</f>
        <v>0</v>
      </c>
      <c r="M8" s="251"/>
      <c r="N8" s="809" t="s">
        <v>927</v>
      </c>
      <c r="O8" s="148">
        <f>'Bridge combinada'!G16</f>
        <v>0</v>
      </c>
      <c r="P8" s="251"/>
      <c r="Q8" s="809" t="s">
        <v>927</v>
      </c>
      <c r="R8" s="148">
        <f>'Bridge combinada'!H16</f>
        <v>-0.5</v>
      </c>
      <c r="S8" s="251"/>
      <c r="T8" s="809" t="s">
        <v>927</v>
      </c>
      <c r="U8" s="148">
        <f>'Bridge combinada'!I16</f>
        <v>0</v>
      </c>
      <c r="V8" s="251"/>
      <c r="W8" s="809" t="s">
        <v>927</v>
      </c>
      <c r="X8" s="148">
        <f>'Bridge combinada'!J16</f>
        <v>2.2000000000000002</v>
      </c>
      <c r="Y8" s="251"/>
      <c r="Z8" s="809" t="s">
        <v>927</v>
      </c>
      <c r="AA8" s="148">
        <f>'Bridge combinada'!K16</f>
        <v>10.1</v>
      </c>
    </row>
    <row r="9" spans="2:27">
      <c r="B9" s="809" t="s">
        <v>928</v>
      </c>
      <c r="C9" s="148">
        <f>'Bridge combinada'!C17</f>
        <v>0.71980764167324018</v>
      </c>
      <c r="D9" s="251"/>
      <c r="E9" s="809" t="s">
        <v>928</v>
      </c>
      <c r="F9" s="148">
        <f>'Bridge combinada'!D17</f>
        <v>0.72162239298023012</v>
      </c>
      <c r="G9" s="251"/>
      <c r="H9" s="809" t="s">
        <v>928</v>
      </c>
      <c r="I9" s="148">
        <f>'Bridge combinada'!E17</f>
        <v>1.6585849849960144E-2</v>
      </c>
      <c r="J9" s="251"/>
      <c r="K9" s="809" t="s">
        <v>928</v>
      </c>
      <c r="L9" s="148">
        <f>'Bridge combinada'!F17</f>
        <v>0</v>
      </c>
      <c r="M9" s="251"/>
      <c r="N9" s="809" t="s">
        <v>928</v>
      </c>
      <c r="O9" s="148">
        <f>'Bridge combinada'!G17</f>
        <v>0.2465187781592198</v>
      </c>
      <c r="P9" s="251"/>
      <c r="Q9" s="809" t="s">
        <v>928</v>
      </c>
      <c r="R9" s="148">
        <f>'Bridge combinada'!H17</f>
        <v>0.50828804339921496</v>
      </c>
      <c r="S9" s="251"/>
      <c r="T9" s="809" t="s">
        <v>928</v>
      </c>
      <c r="U9" s="148">
        <f>'Bridge combinada'!I17</f>
        <v>0</v>
      </c>
      <c r="V9" s="251"/>
      <c r="W9" s="809" t="s">
        <v>928</v>
      </c>
      <c r="X9" s="148">
        <f>'Bridge combinada'!J17</f>
        <v>0.28102599666898342</v>
      </c>
      <c r="Y9" s="251"/>
      <c r="Z9" s="809" t="s">
        <v>928</v>
      </c>
      <c r="AA9" s="148">
        <f>'Bridge combinada'!K17</f>
        <v>-6.9616126658636937E-2</v>
      </c>
    </row>
    <row r="10" spans="2:27">
      <c r="B10" s="810" t="s">
        <v>14</v>
      </c>
      <c r="C10" s="241">
        <f>SUM(C6:C9)</f>
        <v>18.039426920038089</v>
      </c>
      <c r="D10" s="251"/>
      <c r="E10" s="810" t="s">
        <v>14</v>
      </c>
      <c r="F10" s="241">
        <f>SUM(F6:F9)</f>
        <v>507.82056608642642</v>
      </c>
      <c r="G10" s="251"/>
      <c r="H10" s="810" t="s">
        <v>14</v>
      </c>
      <c r="I10" s="241">
        <f>SUM(I6:I9)</f>
        <v>-245.9053609318153</v>
      </c>
      <c r="J10" s="251"/>
      <c r="K10" s="810" t="s">
        <v>14</v>
      </c>
      <c r="L10" s="241">
        <f>SUM(L6:L9)</f>
        <v>-64.886798423580004</v>
      </c>
      <c r="M10" s="251"/>
      <c r="N10" s="810" t="s">
        <v>14</v>
      </c>
      <c r="O10" s="241">
        <f>SUM(O6:O9)</f>
        <v>6.0739738293524201</v>
      </c>
      <c r="P10" s="251"/>
      <c r="Q10" s="810" t="s">
        <v>14</v>
      </c>
      <c r="R10" s="241">
        <f>SUM(R6:R9)</f>
        <v>-41.882270471769807</v>
      </c>
      <c r="S10" s="251"/>
      <c r="T10" s="810" t="s">
        <v>14</v>
      </c>
      <c r="U10" s="241">
        <f>SUM(U6:U9)</f>
        <v>-6.3640203629386232</v>
      </c>
      <c r="V10" s="251"/>
      <c r="W10" s="810" t="s">
        <v>14</v>
      </c>
      <c r="X10" s="241">
        <f>SUM(X6:X9)</f>
        <v>50.523884603237988</v>
      </c>
      <c r="Y10" s="251"/>
      <c r="Z10" s="810" t="s">
        <v>14</v>
      </c>
      <c r="AA10" s="241">
        <f>SUM(AA6:AA9)</f>
        <v>-3.680425321566156</v>
      </c>
    </row>
  </sheetData>
  <mergeCells count="9">
    <mergeCell ref="W3:X3"/>
    <mergeCell ref="Z3:AA3"/>
    <mergeCell ref="B3:C3"/>
    <mergeCell ref="E3:F3"/>
    <mergeCell ref="H3:I3"/>
    <mergeCell ref="K3:L3"/>
    <mergeCell ref="Q3:R3"/>
    <mergeCell ref="T3:U3"/>
    <mergeCell ref="N3:O3"/>
  </mergeCells>
  <pageMargins left="0.511811024" right="0.511811024" top="0.78740157499999996" bottom="0.78740157499999996" header="0.31496062000000002" footer="0.31496062000000002"/>
  <customProperties>
    <customPr name="_pios_id" r:id="rId1"/>
  </customProperti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1AB49-2B3F-49FD-BE2E-EDE352D7CBAB}">
  <sheetPr codeName="Plan8">
    <tabColor rgb="FF0070C0"/>
    <pageSetUpPr fitToPage="1"/>
  </sheetPr>
  <dimension ref="A2:AA68"/>
  <sheetViews>
    <sheetView showGridLines="0" topLeftCell="A22" zoomScale="90" zoomScaleNormal="90" workbookViewId="0">
      <selection activeCell="H8" sqref="H8"/>
    </sheetView>
  </sheetViews>
  <sheetFormatPr defaultColWidth="9.42578125" defaultRowHeight="15"/>
  <cols>
    <col min="1" max="1" width="18.42578125" style="97" customWidth="1"/>
    <col min="2" max="2" width="12.42578125" style="97" bestFit="1" customWidth="1"/>
    <col min="3" max="3" width="9.42578125" style="97" bestFit="1" customWidth="1"/>
    <col min="4" max="4" width="12.5703125" style="97" bestFit="1" customWidth="1"/>
    <col min="5" max="5" width="11.42578125" style="97" bestFit="1" customWidth="1"/>
    <col min="6" max="6" width="11" style="97" customWidth="1"/>
    <col min="7" max="7" width="19.42578125" style="97" customWidth="1"/>
    <col min="8" max="8" width="11.5703125" style="97" bestFit="1" customWidth="1"/>
    <col min="9" max="9" width="7.5703125" style="97" bestFit="1" customWidth="1"/>
    <col min="10" max="10" width="14.42578125" style="97" bestFit="1" customWidth="1"/>
    <col min="11" max="11" width="12" style="97" bestFit="1" customWidth="1"/>
    <col min="12" max="12" width="10.5703125" style="97" bestFit="1" customWidth="1"/>
    <col min="13" max="13" width="12" style="97" customWidth="1"/>
    <col min="14" max="16384" width="9.42578125" style="97"/>
  </cols>
  <sheetData>
    <row r="2" spans="1:27">
      <c r="B2" s="235">
        <f>B6-Bridge!U19</f>
        <v>0</v>
      </c>
      <c r="C2" s="235">
        <f>C6-Bridge!V19</f>
        <v>0</v>
      </c>
      <c r="D2" s="235">
        <f>D6-Bridge!W19</f>
        <v>0</v>
      </c>
      <c r="E2" s="235">
        <f>E6-Bridge!X19</f>
        <v>0</v>
      </c>
      <c r="F2" s="235">
        <f>F6-Bridge!Y19</f>
        <v>0</v>
      </c>
      <c r="G2" s="235">
        <f>G6-Bridge!Z19</f>
        <v>0</v>
      </c>
      <c r="H2" s="235">
        <f>H6-Bridge!AA19</f>
        <v>0</v>
      </c>
      <c r="I2" s="235">
        <f>I6-Bridge!AB19</f>
        <v>0</v>
      </c>
      <c r="J2" s="235">
        <f>J6-Bridge!AC19</f>
        <v>0</v>
      </c>
      <c r="K2" s="235">
        <f>K6-Bridge!AD19</f>
        <v>0.22638700441003667</v>
      </c>
      <c r="L2" s="235" t="e">
        <f>L6-Bridge!#REF!</f>
        <v>#REF!</v>
      </c>
    </row>
    <row r="4" spans="1:27" ht="45">
      <c r="B4" s="237" t="str">
        <f>Bridge!U17</f>
        <v>FY26
Budget</v>
      </c>
      <c r="C4" s="237" t="str">
        <f>Bridge!V17</f>
        <v>Vol &amp; Mix</v>
      </c>
      <c r="D4" s="237" t="str">
        <f>Bridge!W17</f>
        <v>Selling 
price</v>
      </c>
      <c r="E4" s="237" t="str">
        <f>Bridge!X17</f>
        <v>Input 
price</v>
      </c>
      <c r="F4" s="806" t="s">
        <v>696</v>
      </c>
      <c r="G4" s="806" t="s">
        <v>768</v>
      </c>
      <c r="H4" s="237" t="str">
        <f>Bridge!AA17</f>
        <v>Fixed 
costs</v>
      </c>
      <c r="I4" s="237" t="str">
        <f>Bridge!AB17</f>
        <v>Logistic</v>
      </c>
      <c r="J4" s="237" t="str">
        <f>Bridge!AC17</f>
        <v>Exchange 
rate</v>
      </c>
      <c r="K4" s="237" t="s">
        <v>721</v>
      </c>
      <c r="L4" s="237" t="str">
        <f>Bridge!AE17</f>
        <v>FY26
MRF7</v>
      </c>
      <c r="M4" s="235">
        <f>L6+L7</f>
        <v>936.81878788118797</v>
      </c>
      <c r="O4" s="711"/>
      <c r="U4" s="97">
        <v>669.3</v>
      </c>
    </row>
    <row r="5" spans="1:27">
      <c r="B5" s="235"/>
      <c r="U5" s="97">
        <v>292.10000000000002</v>
      </c>
    </row>
    <row r="6" spans="1:27">
      <c r="A6" s="97" t="s">
        <v>791</v>
      </c>
      <c r="B6" s="985">
        <f>B13</f>
        <v>632.04404452987512</v>
      </c>
      <c r="C6" s="875">
        <f>C13</f>
        <v>-6.680380721635153</v>
      </c>
      <c r="D6" s="875">
        <f t="shared" ref="D6:J6" si="0">D13</f>
        <v>286.54894369344618</v>
      </c>
      <c r="E6" s="875">
        <f t="shared" si="0"/>
        <v>-177.47194678166522</v>
      </c>
      <c r="F6" s="875">
        <f>F13</f>
        <v>-8.7367984235799998</v>
      </c>
      <c r="G6" s="875">
        <f t="shared" si="0"/>
        <v>-4.0925449488067995</v>
      </c>
      <c r="H6" s="875">
        <f t="shared" si="0"/>
        <v>-34.290558515169018</v>
      </c>
      <c r="I6" s="875">
        <f>I13</f>
        <v>-5.7640203629386235</v>
      </c>
      <c r="J6" s="875">
        <f t="shared" si="0"/>
        <v>70.572858606569</v>
      </c>
      <c r="K6" s="875">
        <f>K13+K23</f>
        <v>-4.2108091949075179</v>
      </c>
      <c r="L6" s="986">
        <f>SUM(B6:K6)</f>
        <v>747.918787881188</v>
      </c>
      <c r="M6" s="235">
        <f>L6-Cálculo!C13</f>
        <v>0.22638700441007131</v>
      </c>
      <c r="O6" s="97">
        <v>582</v>
      </c>
    </row>
    <row r="7" spans="1:27">
      <c r="A7" s="97" t="s">
        <v>780</v>
      </c>
      <c r="B7" s="1047">
        <v>100.26</v>
      </c>
      <c r="C7" s="1048">
        <v>23.3</v>
      </c>
      <c r="D7" s="1048">
        <v>209.35</v>
      </c>
      <c r="E7" s="1048">
        <v>-57.55</v>
      </c>
      <c r="F7" s="1048">
        <v>-56.15</v>
      </c>
      <c r="G7" s="1048">
        <v>9.92</v>
      </c>
      <c r="H7" s="1048">
        <v>-7.6</v>
      </c>
      <c r="I7" s="1048">
        <v>-0.6</v>
      </c>
      <c r="J7" s="1048">
        <v>-22.53</v>
      </c>
      <c r="K7" s="1048">
        <v>-9.5</v>
      </c>
      <c r="L7" s="986">
        <f>SUM(B7:K7)</f>
        <v>188.89999999999995</v>
      </c>
      <c r="O7" s="97">
        <v>366</v>
      </c>
      <c r="P7" s="776">
        <f>L6+L7</f>
        <v>936.81878788118797</v>
      </c>
      <c r="S7" s="883">
        <f>L6+L7</f>
        <v>936.81878788118797</v>
      </c>
    </row>
    <row r="8" spans="1:27">
      <c r="A8" s="97" t="s">
        <v>925</v>
      </c>
      <c r="B8" s="993">
        <v>38.4</v>
      </c>
      <c r="C8" s="994">
        <v>0.7</v>
      </c>
      <c r="D8" s="994">
        <v>11.2</v>
      </c>
      <c r="E8" s="994">
        <v>-10.9</v>
      </c>
      <c r="F8" s="994"/>
      <c r="G8" s="994"/>
      <c r="H8" s="994">
        <v>-0.5</v>
      </c>
      <c r="I8" s="994"/>
      <c r="J8" s="994">
        <v>2.2000000000000002</v>
      </c>
      <c r="K8" s="995">
        <v>10.1</v>
      </c>
      <c r="L8" s="986">
        <f>SUM(B8:K8)</f>
        <v>51.2</v>
      </c>
      <c r="O8" s="97">
        <f>O6+O7</f>
        <v>948</v>
      </c>
      <c r="P8" s="776"/>
      <c r="S8" s="883"/>
    </row>
    <row r="9" spans="1:27">
      <c r="A9" s="97" t="s">
        <v>926</v>
      </c>
      <c r="B9" s="993">
        <v>12.597162898423687</v>
      </c>
      <c r="C9" s="994">
        <v>0.71980764167324018</v>
      </c>
      <c r="D9" s="994">
        <v>0.72162239298023012</v>
      </c>
      <c r="E9" s="994">
        <v>1.6585849849960144E-2</v>
      </c>
      <c r="F9" s="994"/>
      <c r="G9" s="994">
        <v>0.2465187781592198</v>
      </c>
      <c r="H9" s="994">
        <v>0.50828804339921496</v>
      </c>
      <c r="I9" s="994"/>
      <c r="J9" s="994">
        <v>0.28102599666898342</v>
      </c>
      <c r="K9" s="994">
        <v>-6.9616126658636937E-2</v>
      </c>
      <c r="L9" s="986">
        <f>SUM(B9:K9)</f>
        <v>15.021395474495899</v>
      </c>
      <c r="P9" s="776"/>
      <c r="S9" s="883"/>
    </row>
    <row r="10" spans="1:27">
      <c r="C10" s="876"/>
      <c r="D10" s="876"/>
      <c r="E10" s="876"/>
      <c r="F10" s="876"/>
      <c r="G10" s="876"/>
      <c r="H10" s="876"/>
      <c r="I10" s="876"/>
      <c r="J10" s="876"/>
      <c r="K10" s="876"/>
      <c r="L10" s="776">
        <f>SUM(L6:L9)</f>
        <v>1003.0401833556839</v>
      </c>
    </row>
    <row r="11" spans="1:27">
      <c r="C11" s="876">
        <f>B7+C7+D7+E7+F7+G7+H7+I7+J7+K7</f>
        <v>188.89999999999995</v>
      </c>
      <c r="D11" s="876"/>
      <c r="E11" s="876"/>
      <c r="F11" s="876"/>
      <c r="G11" s="876"/>
      <c r="H11" s="876"/>
      <c r="I11" s="876"/>
      <c r="J11" s="876"/>
      <c r="K11" s="876"/>
      <c r="L11" s="235"/>
    </row>
    <row r="12" spans="1:27">
      <c r="C12" s="876"/>
      <c r="D12" s="876"/>
      <c r="E12" s="876"/>
      <c r="F12" s="876"/>
      <c r="G12" s="876"/>
      <c r="H12" s="876"/>
      <c r="I12" s="876"/>
      <c r="J12" s="876"/>
      <c r="K12" s="876"/>
      <c r="L12" s="711"/>
    </row>
    <row r="13" spans="1:27">
      <c r="A13" s="97" t="s">
        <v>687</v>
      </c>
      <c r="B13" s="801">
        <f>Bridge!U19</f>
        <v>632.04404452987512</v>
      </c>
      <c r="C13" s="877">
        <f>Bridge!V19</f>
        <v>-6.680380721635153</v>
      </c>
      <c r="D13" s="877">
        <f>Bridge!W19</f>
        <v>286.54894369344618</v>
      </c>
      <c r="E13" s="877">
        <f>Bridge!X19</f>
        <v>-177.47194678166522</v>
      </c>
      <c r="F13" s="877">
        <f>Bridge!Y19</f>
        <v>-8.7367984235799998</v>
      </c>
      <c r="G13" s="877">
        <f>Bridge!Z19</f>
        <v>-4.0925449488067995</v>
      </c>
      <c r="H13" s="877">
        <f>Bridge!AA19</f>
        <v>-34.290558515169018</v>
      </c>
      <c r="I13" s="877">
        <f>Bridge!AB19</f>
        <v>-5.7640203629386235</v>
      </c>
      <c r="J13" s="877">
        <f>Bridge!AC19</f>
        <v>70.572858606569</v>
      </c>
      <c r="K13" s="877">
        <f>Bridge!AD19</f>
        <v>-4.4371961993175546</v>
      </c>
      <c r="L13" s="801">
        <f>SUM(B13:K13)</f>
        <v>747.69240087677792</v>
      </c>
      <c r="M13" s="776">
        <f>L6+L7</f>
        <v>936.81878788118797</v>
      </c>
      <c r="N13" s="803">
        <f>L13-Bridge!AE24</f>
        <v>0</v>
      </c>
    </row>
    <row r="14" spans="1:27">
      <c r="C14" s="876"/>
      <c r="D14" s="876"/>
      <c r="E14" s="876"/>
      <c r="F14" s="876"/>
      <c r="G14" s="876"/>
      <c r="H14" s="876"/>
      <c r="I14" s="876"/>
      <c r="J14" s="876"/>
      <c r="K14" s="876"/>
      <c r="L14" s="777"/>
      <c r="S14" s="97">
        <f>292+669</f>
        <v>961</v>
      </c>
    </row>
    <row r="15" spans="1:27">
      <c r="A15" s="97" t="s">
        <v>688</v>
      </c>
      <c r="B15" s="801">
        <f>B7</f>
        <v>100.26</v>
      </c>
      <c r="C15" s="877">
        <f>C7</f>
        <v>23.3</v>
      </c>
      <c r="D15" s="877">
        <f t="shared" ref="D15:K15" si="1">D7</f>
        <v>209.35</v>
      </c>
      <c r="E15" s="877">
        <f t="shared" si="1"/>
        <v>-57.55</v>
      </c>
      <c r="F15" s="877">
        <f t="shared" si="1"/>
        <v>-56.15</v>
      </c>
      <c r="G15" s="877">
        <f t="shared" si="1"/>
        <v>9.92</v>
      </c>
      <c r="H15" s="877">
        <f t="shared" si="1"/>
        <v>-7.6</v>
      </c>
      <c r="I15" s="877">
        <f t="shared" si="1"/>
        <v>-0.6</v>
      </c>
      <c r="J15" s="877">
        <f t="shared" si="1"/>
        <v>-22.53</v>
      </c>
      <c r="K15" s="877">
        <f t="shared" si="1"/>
        <v>-9.5</v>
      </c>
      <c r="L15" s="801">
        <f t="shared" ref="L15:L17" si="2">L7</f>
        <v>188.89999999999995</v>
      </c>
      <c r="M15" s="776">
        <f>L10+L11</f>
        <v>1003.0401833556839</v>
      </c>
      <c r="N15" s="808"/>
    </row>
    <row r="16" spans="1:27" ht="53.25" customHeight="1">
      <c r="A16" s="97" t="s">
        <v>925</v>
      </c>
      <c r="B16" s="801">
        <f t="shared" ref="B16:K16" si="3">B8</f>
        <v>38.4</v>
      </c>
      <c r="C16" s="877">
        <f t="shared" si="3"/>
        <v>0.7</v>
      </c>
      <c r="D16" s="877">
        <f t="shared" si="3"/>
        <v>11.2</v>
      </c>
      <c r="E16" s="877">
        <f t="shared" si="3"/>
        <v>-10.9</v>
      </c>
      <c r="F16" s="877">
        <f t="shared" si="3"/>
        <v>0</v>
      </c>
      <c r="G16" s="877">
        <f t="shared" si="3"/>
        <v>0</v>
      </c>
      <c r="H16" s="877">
        <f t="shared" si="3"/>
        <v>-0.5</v>
      </c>
      <c r="I16" s="877">
        <f t="shared" si="3"/>
        <v>0</v>
      </c>
      <c r="J16" s="877">
        <f t="shared" si="3"/>
        <v>2.2000000000000002</v>
      </c>
      <c r="K16" s="877">
        <f t="shared" si="3"/>
        <v>10.1</v>
      </c>
      <c r="L16" s="801">
        <f t="shared" si="2"/>
        <v>51.2</v>
      </c>
      <c r="Q16" s="1078"/>
      <c r="R16" s="1078"/>
      <c r="S16" s="1049"/>
      <c r="T16" s="1049"/>
      <c r="U16" s="1078"/>
      <c r="V16" s="1078"/>
      <c r="W16" s="1078"/>
      <c r="X16" s="1078"/>
      <c r="Y16" s="1049"/>
      <c r="Z16" s="1078"/>
      <c r="AA16" s="1078"/>
    </row>
    <row r="17" spans="1:27">
      <c r="A17" s="97" t="s">
        <v>926</v>
      </c>
      <c r="B17" s="801">
        <f t="shared" ref="B17:K17" si="4">B9</f>
        <v>12.597162898423687</v>
      </c>
      <c r="C17" s="877">
        <f t="shared" si="4"/>
        <v>0.71980764167324018</v>
      </c>
      <c r="D17" s="877">
        <f t="shared" si="4"/>
        <v>0.72162239298023012</v>
      </c>
      <c r="E17" s="877">
        <f t="shared" si="4"/>
        <v>1.6585849849960144E-2</v>
      </c>
      <c r="F17" s="877">
        <f t="shared" si="4"/>
        <v>0</v>
      </c>
      <c r="G17" s="877">
        <f t="shared" si="4"/>
        <v>0.2465187781592198</v>
      </c>
      <c r="H17" s="877">
        <f t="shared" si="4"/>
        <v>0.50828804339921496</v>
      </c>
      <c r="I17" s="877">
        <f t="shared" si="4"/>
        <v>0</v>
      </c>
      <c r="J17" s="877">
        <f t="shared" si="4"/>
        <v>0.28102599666898342</v>
      </c>
      <c r="K17" s="877">
        <f t="shared" si="4"/>
        <v>-6.9616126658636937E-2</v>
      </c>
      <c r="L17" s="801">
        <f t="shared" si="2"/>
        <v>15.021395474495899</v>
      </c>
      <c r="Q17" s="1078"/>
      <c r="R17" s="1078"/>
      <c r="S17" s="1049"/>
      <c r="T17" s="1049"/>
      <c r="U17" s="1078"/>
      <c r="V17" s="1078"/>
      <c r="W17" s="1078"/>
      <c r="X17" s="1078"/>
      <c r="Y17" s="1049"/>
      <c r="Z17" s="1078"/>
      <c r="AA17" s="1078"/>
    </row>
    <row r="18" spans="1:27">
      <c r="A18" s="97" t="s">
        <v>695</v>
      </c>
      <c r="C18" s="235"/>
      <c r="D18" s="235"/>
      <c r="E18" s="235"/>
      <c r="F18" s="235"/>
      <c r="G18" s="235"/>
      <c r="H18" s="235"/>
      <c r="I18" s="235"/>
      <c r="J18" s="235"/>
      <c r="K18" s="235"/>
      <c r="L18" s="235"/>
      <c r="M18" s="97">
        <f>179-160</f>
        <v>19</v>
      </c>
      <c r="Q18" s="954"/>
      <c r="R18" s="954"/>
      <c r="S18" s="954"/>
      <c r="T18" s="954"/>
      <c r="U18" s="954"/>
      <c r="V18" s="954"/>
      <c r="W18" s="954"/>
      <c r="X18" s="954"/>
      <c r="Y18" s="954"/>
      <c r="Z18" s="954"/>
      <c r="AA18" s="954"/>
    </row>
    <row r="19" spans="1:27">
      <c r="B19" s="804" t="str">
        <f>B4</f>
        <v>FY26
Budget</v>
      </c>
      <c r="C19" s="804" t="str">
        <f t="shared" ref="C19:L19" si="5">C4</f>
        <v>Vol &amp; Mix</v>
      </c>
      <c r="D19" s="804" t="str">
        <f t="shared" si="5"/>
        <v>Selling 
price</v>
      </c>
      <c r="E19" s="804" t="str">
        <f t="shared" si="5"/>
        <v>Input 
price</v>
      </c>
      <c r="F19" s="804" t="str">
        <f t="shared" si="5"/>
        <v>Usage
Market driven</v>
      </c>
      <c r="G19" s="804" t="str">
        <f t="shared" si="5"/>
        <v>Usage
Operational Performance</v>
      </c>
      <c r="H19" s="804" t="str">
        <f t="shared" si="5"/>
        <v>Fixed 
costs</v>
      </c>
      <c r="I19" s="804" t="str">
        <f t="shared" si="5"/>
        <v>Logistic</v>
      </c>
      <c r="J19" s="804" t="str">
        <f t="shared" si="5"/>
        <v>Exchange 
rate</v>
      </c>
      <c r="K19" s="804" t="str">
        <f t="shared" si="5"/>
        <v>SV/Others</v>
      </c>
      <c r="L19" s="804" t="str">
        <f t="shared" si="5"/>
        <v>FY26
MRF7</v>
      </c>
      <c r="Q19" s="1049"/>
      <c r="R19" s="954"/>
      <c r="S19" s="954"/>
      <c r="T19" s="954"/>
      <c r="U19" s="954"/>
      <c r="V19" s="954"/>
      <c r="W19" s="954"/>
      <c r="X19" s="954"/>
      <c r="Y19" s="954"/>
      <c r="Z19" s="954"/>
      <c r="AA19" s="1049"/>
    </row>
    <row r="20" spans="1:27">
      <c r="O20" s="97" t="s">
        <v>870</v>
      </c>
    </row>
    <row r="21" spans="1:27">
      <c r="B21" s="240">
        <f>B6+B7+B8+B9</f>
        <v>783.30120742829877</v>
      </c>
      <c r="C21" s="236">
        <f>C6+C7+C8+C9</f>
        <v>18.039426920038089</v>
      </c>
      <c r="D21" s="236">
        <f t="shared" ref="D21:K21" si="6">D6+D7+D8+D9</f>
        <v>507.82056608642642</v>
      </c>
      <c r="E21" s="236">
        <f t="shared" si="6"/>
        <v>-245.9053609318153</v>
      </c>
      <c r="F21" s="236">
        <f t="shared" si="6"/>
        <v>-64.886798423580004</v>
      </c>
      <c r="G21" s="236">
        <f t="shared" si="6"/>
        <v>6.0739738293524201</v>
      </c>
      <c r="H21" s="236">
        <f t="shared" si="6"/>
        <v>-41.882270471769807</v>
      </c>
      <c r="I21" s="236">
        <f t="shared" si="6"/>
        <v>-6.3640203629386232</v>
      </c>
      <c r="J21" s="236">
        <f t="shared" si="6"/>
        <v>50.523884603237988</v>
      </c>
      <c r="K21" s="236">
        <f t="shared" si="6"/>
        <v>-3.680425321566156</v>
      </c>
      <c r="L21" s="240" t="s">
        <v>312</v>
      </c>
    </row>
    <row r="22" spans="1:27">
      <c r="L22" s="776">
        <f>SUM(B21:K21)</f>
        <v>1003.0401833556838</v>
      </c>
      <c r="S22" s="1035"/>
    </row>
    <row r="23" spans="1:27">
      <c r="B23" s="1077" t="s">
        <v>687</v>
      </c>
      <c r="C23" s="1077"/>
      <c r="F23" s="1077" t="s">
        <v>707</v>
      </c>
      <c r="G23" s="1077"/>
      <c r="H23" s="1077"/>
      <c r="J23" s="253" t="s">
        <v>773</v>
      </c>
      <c r="K23" s="987">
        <f>'[37]EBITDA (consolidada) NEW'!$O$18</f>
        <v>0.22638700441003703</v>
      </c>
      <c r="L23" s="983">
        <f>K23+L6</f>
        <v>748.14517488559807</v>
      </c>
      <c r="O23" s="97">
        <v>292.19537442491105</v>
      </c>
      <c r="S23" s="1035"/>
    </row>
    <row r="24" spans="1:27" ht="17.850000000000001" customHeight="1">
      <c r="A24" s="97" t="s">
        <v>687</v>
      </c>
      <c r="B24" s="253" t="s">
        <v>260</v>
      </c>
      <c r="C24" s="97" t="s">
        <v>719</v>
      </c>
      <c r="E24" s="97" t="s">
        <v>688</v>
      </c>
      <c r="F24" s="253" t="s">
        <v>260</v>
      </c>
      <c r="G24" s="253"/>
      <c r="H24" s="97" t="s">
        <v>717</v>
      </c>
      <c r="J24" s="253"/>
      <c r="N24" s="235"/>
      <c r="S24" s="1035"/>
    </row>
    <row r="25" spans="1:27">
      <c r="A25" s="97" t="s">
        <v>691</v>
      </c>
      <c r="B25" s="802">
        <f>'[38]Template - LEAN vs MRF anterior'!$AS$50+'[38]Template - LEAN vs MRF anterior'!$AS$51</f>
        <v>73.236045070000003</v>
      </c>
      <c r="C25" s="807">
        <f>'[38]Template - LEAN vs MRF anterior'!$AU$50+'[38]Template - LEAN vs MRF anterior'!$AU$51</f>
        <v>82.716084116842552</v>
      </c>
      <c r="E25" s="97" t="str">
        <f>A25</f>
        <v>SLAB export</v>
      </c>
      <c r="F25" s="802">
        <f>[39]MPR!$T$54+[39]MPR!$T$55</f>
        <v>201.0059327763301</v>
      </c>
      <c r="G25" s="802"/>
      <c r="H25" s="802">
        <f>[39]MPR!$U$54+[39]MPR!$U$55</f>
        <v>221.25158636007706</v>
      </c>
      <c r="J25" s="802">
        <f>[40]MPR!$U$56</f>
        <v>176.55392724554193</v>
      </c>
      <c r="L25" s="802"/>
      <c r="S25" s="1035"/>
    </row>
    <row r="26" spans="1:27">
      <c r="A26" s="97" t="s">
        <v>274</v>
      </c>
      <c r="B26" s="802">
        <f>'[38]Template - LEAN vs MRF anterior'!$AS$66</f>
        <v>-1.6936683299999982</v>
      </c>
      <c r="C26" s="802">
        <f>'[38]Template - LEAN vs MRF anterior'!$AU$66</f>
        <v>-0.10691912226758131</v>
      </c>
      <c r="E26" s="97" t="s">
        <v>274</v>
      </c>
      <c r="F26" s="802">
        <f>[39]MPR!$T$57</f>
        <v>170.07478869795261</v>
      </c>
      <c r="G26" s="802"/>
      <c r="H26" s="802">
        <f>[39]MPR!$U$57</f>
        <v>125.64035406453868</v>
      </c>
      <c r="J26" s="802"/>
      <c r="L26" s="802"/>
      <c r="S26" s="1035"/>
    </row>
    <row r="27" spans="1:27">
      <c r="A27" s="97" t="s">
        <v>692</v>
      </c>
      <c r="B27" s="802">
        <f>'[38]Template - LEAN vs MRF anterior'!$AS$52</f>
        <v>-2.1378559399999939</v>
      </c>
      <c r="C27" s="802">
        <f>'[38]Template - LEAN vs MRF anterior'!$AU$52</f>
        <v>-19.002081600387534</v>
      </c>
      <c r="D27" s="803">
        <f>SUM(C25:C30)</f>
        <v>523.72739236673306</v>
      </c>
      <c r="J27" s="802"/>
      <c r="L27" s="802"/>
      <c r="M27" s="97">
        <v>707</v>
      </c>
    </row>
    <row r="28" spans="1:27">
      <c r="A28" s="97" t="s">
        <v>693</v>
      </c>
      <c r="B28" s="802">
        <f>'[38]Template - LEAN vs MRF anterior'!$AS$83-B26</f>
        <v>249.87943952999998</v>
      </c>
      <c r="C28" s="802">
        <f>'[38]Template - LEAN vs MRF anterior'!$AU$83-C26</f>
        <v>201.59010340054317</v>
      </c>
      <c r="J28" s="802"/>
      <c r="L28" s="802"/>
      <c r="M28" s="97">
        <v>238</v>
      </c>
    </row>
    <row r="29" spans="1:27">
      <c r="A29" s="97" t="s">
        <v>256</v>
      </c>
      <c r="B29" s="802">
        <f>'[38]Template - LEAN vs MRF anterior'!$AS$65+'[38]Template - LEAN vs MRF anterior'!$AS$56+'[38]Template - LEAN vs MRF anterior'!$AS$54</f>
        <v>273.19746994000002</v>
      </c>
      <c r="C29" s="802">
        <f>'[38]Template - LEAN vs MRF anterior'!$AU$65+'[38]Template - LEAN vs MRF anterior'!$AU$56+'[38]Template - LEAN vs MRF anterior'!$AU$54</f>
        <v>270.86481995086547</v>
      </c>
      <c r="J29" s="802"/>
      <c r="L29" s="802"/>
    </row>
    <row r="30" spans="1:27">
      <c r="A30" s="97" t="s">
        <v>720</v>
      </c>
      <c r="B30" s="802">
        <f>'[38]Template - LEAN vs MRF anterior'!$AS$92</f>
        <v>-14.585889117058823</v>
      </c>
      <c r="C30" s="807">
        <f>'[38]Template - LEAN vs MRF anterior'!$AU$92+'[38]Template - LEAN vs MRF anterior'!$AU$55</f>
        <v>-12.33461437886313</v>
      </c>
      <c r="F30" s="802">
        <f>[39]MPR!$T$60</f>
        <v>0.78270063474372398</v>
      </c>
      <c r="H30" s="97">
        <f>[39]MPR!$U$60</f>
        <v>12.952659149408142</v>
      </c>
      <c r="J30" s="802"/>
      <c r="L30" s="802"/>
    </row>
    <row r="31" spans="1:27">
      <c r="B31" s="802">
        <f>SUM(B25:B30)</f>
        <v>577.89554115294118</v>
      </c>
      <c r="C31" s="802">
        <f>SUM(C25:C30)</f>
        <v>523.72739236673306</v>
      </c>
      <c r="F31" s="802">
        <f>SUM(F25:F30)</f>
        <v>371.86342210902643</v>
      </c>
      <c r="G31" s="802"/>
      <c r="H31" s="802">
        <f>SUM(H25:H30)</f>
        <v>359.8445995740239</v>
      </c>
      <c r="J31" s="802"/>
      <c r="L31" s="802"/>
    </row>
    <row r="32" spans="1:27">
      <c r="C32" s="803">
        <f>'[38]Template - LEAN vs MRF anterior'!$AU$96</f>
        <v>523.6487582928437</v>
      </c>
    </row>
    <row r="34" spans="1:12">
      <c r="A34" s="97" t="s">
        <v>687</v>
      </c>
    </row>
    <row r="35" spans="1:12">
      <c r="B35" s="237" t="str">
        <f>B4</f>
        <v>FY26
Budget</v>
      </c>
      <c r="C35" s="237" t="str">
        <f t="shared" ref="C35:L35" si="7">C4</f>
        <v>Vol &amp; Mix</v>
      </c>
      <c r="D35" s="237" t="str">
        <f t="shared" si="7"/>
        <v>Selling 
price</v>
      </c>
      <c r="E35" s="237" t="str">
        <f t="shared" si="7"/>
        <v>Input 
price</v>
      </c>
      <c r="F35" s="237" t="str">
        <f t="shared" si="7"/>
        <v>Usage
Market driven</v>
      </c>
      <c r="G35" s="237" t="str">
        <f t="shared" si="7"/>
        <v>Usage
Operational Performance</v>
      </c>
      <c r="H35" s="237" t="str">
        <f t="shared" si="7"/>
        <v>Fixed 
costs</v>
      </c>
      <c r="I35" s="237" t="str">
        <f t="shared" si="7"/>
        <v>Logistic</v>
      </c>
      <c r="J35" s="237" t="str">
        <f t="shared" si="7"/>
        <v>Exchange 
rate</v>
      </c>
      <c r="K35" s="237" t="str">
        <f t="shared" si="7"/>
        <v>SV/Others</v>
      </c>
      <c r="L35" s="237" t="str">
        <f t="shared" si="7"/>
        <v>FY26
MRF7</v>
      </c>
    </row>
    <row r="36" spans="1:12">
      <c r="B36" s="237"/>
      <c r="C36" s="237"/>
      <c r="D36" s="237"/>
      <c r="E36" s="237"/>
      <c r="F36" s="237"/>
      <c r="G36" s="237"/>
      <c r="H36" s="237"/>
      <c r="I36" s="237"/>
      <c r="J36" s="237"/>
      <c r="K36" s="237"/>
      <c r="L36" s="237"/>
    </row>
    <row r="37" spans="1:12">
      <c r="A37" s="97" t="s">
        <v>691</v>
      </c>
      <c r="B37" s="807">
        <f>B25</f>
        <v>73.236045070000003</v>
      </c>
      <c r="C37" s="236">
        <f t="shared" ref="C37:K37" si="8">C6+C7</f>
        <v>16.619619278364848</v>
      </c>
      <c r="D37" s="236">
        <f t="shared" si="8"/>
        <v>495.8989436934462</v>
      </c>
      <c r="E37" s="236">
        <f t="shared" si="8"/>
        <v>-235.02194678166524</v>
      </c>
      <c r="F37" s="236">
        <f t="shared" si="8"/>
        <v>-64.886798423580004</v>
      </c>
      <c r="G37" s="236">
        <f t="shared" si="8"/>
        <v>5.8274550511932004</v>
      </c>
      <c r="H37" s="236">
        <f t="shared" si="8"/>
        <v>-41.890558515169019</v>
      </c>
      <c r="I37" s="236">
        <f t="shared" si="8"/>
        <v>-6.3640203629386232</v>
      </c>
      <c r="J37" s="236">
        <f t="shared" si="8"/>
        <v>48.042858606568998</v>
      </c>
      <c r="K37" s="236">
        <f t="shared" si="8"/>
        <v>-13.710809194907519</v>
      </c>
      <c r="L37" s="235">
        <f t="shared" ref="L37:L42" si="9">C25</f>
        <v>82.716084116842552</v>
      </c>
    </row>
    <row r="38" spans="1:12">
      <c r="A38" s="97" t="s">
        <v>274</v>
      </c>
      <c r="B38" s="807">
        <f t="shared" ref="B38:B42" si="10">B26</f>
        <v>-1.6936683299999982</v>
      </c>
      <c r="L38" s="235">
        <f t="shared" si="9"/>
        <v>-0.10691912226758131</v>
      </c>
    </row>
    <row r="39" spans="1:12">
      <c r="A39" s="97" t="s">
        <v>692</v>
      </c>
      <c r="B39" s="807">
        <f t="shared" si="10"/>
        <v>-2.1378559399999939</v>
      </c>
      <c r="L39" s="235">
        <f t="shared" si="9"/>
        <v>-19.002081600387534</v>
      </c>
    </row>
    <row r="40" spans="1:12">
      <c r="A40" s="97" t="s">
        <v>693</v>
      </c>
      <c r="B40" s="807">
        <f t="shared" si="10"/>
        <v>249.87943952999998</v>
      </c>
      <c r="L40" s="235">
        <f t="shared" si="9"/>
        <v>201.59010340054317</v>
      </c>
    </row>
    <row r="41" spans="1:12">
      <c r="A41" s="97" t="s">
        <v>256</v>
      </c>
      <c r="B41" s="807">
        <f t="shared" si="10"/>
        <v>273.19746994000002</v>
      </c>
      <c r="L41" s="235">
        <f t="shared" si="9"/>
        <v>270.86481995086547</v>
      </c>
    </row>
    <row r="42" spans="1:12">
      <c r="A42" s="97" t="s">
        <v>694</v>
      </c>
      <c r="B42" s="807">
        <f t="shared" si="10"/>
        <v>-14.585889117058823</v>
      </c>
      <c r="L42" s="235">
        <f t="shared" si="9"/>
        <v>-12.33461437886313</v>
      </c>
    </row>
    <row r="45" spans="1:12">
      <c r="B45" s="804" t="str">
        <f t="shared" ref="B45:L45" si="11">B35</f>
        <v>FY26
Budget</v>
      </c>
      <c r="C45" s="804" t="str">
        <f t="shared" si="11"/>
        <v>Vol &amp; Mix</v>
      </c>
      <c r="D45" s="804" t="str">
        <f t="shared" si="11"/>
        <v>Selling 
price</v>
      </c>
      <c r="E45" s="804" t="str">
        <f t="shared" si="11"/>
        <v>Input 
price</v>
      </c>
      <c r="F45" s="804" t="str">
        <f t="shared" si="11"/>
        <v>Usage
Market driven</v>
      </c>
      <c r="G45" s="804" t="str">
        <f t="shared" si="11"/>
        <v>Usage
Operational Performance</v>
      </c>
      <c r="H45" s="804" t="str">
        <f t="shared" si="11"/>
        <v>Fixed 
costs</v>
      </c>
      <c r="I45" s="804" t="str">
        <f t="shared" si="11"/>
        <v>Logistic</v>
      </c>
      <c r="J45" s="804" t="str">
        <f t="shared" si="11"/>
        <v>Exchange 
rate</v>
      </c>
      <c r="K45" s="804" t="str">
        <f t="shared" si="11"/>
        <v>SV/Others</v>
      </c>
      <c r="L45" s="804" t="str">
        <f t="shared" si="11"/>
        <v>FY26
MRF7</v>
      </c>
    </row>
    <row r="47" spans="1:12">
      <c r="A47" s="97" t="s">
        <v>691</v>
      </c>
      <c r="B47" s="805">
        <f t="shared" ref="B47:B52" si="12">B25+F25</f>
        <v>274.24197784633009</v>
      </c>
      <c r="C47" s="235">
        <f t="shared" ref="C47:K47" si="13">C6+C7</f>
        <v>16.619619278364848</v>
      </c>
      <c r="D47" s="235">
        <f t="shared" si="13"/>
        <v>495.8989436934462</v>
      </c>
      <c r="E47" s="235">
        <f t="shared" si="13"/>
        <v>-235.02194678166524</v>
      </c>
      <c r="F47" s="235">
        <f t="shared" si="13"/>
        <v>-64.886798423580004</v>
      </c>
      <c r="G47" s="235">
        <f t="shared" si="13"/>
        <v>5.8274550511932004</v>
      </c>
      <c r="H47" s="235">
        <f t="shared" si="13"/>
        <v>-41.890558515169019</v>
      </c>
      <c r="I47" s="235">
        <f t="shared" si="13"/>
        <v>-6.3640203629386232</v>
      </c>
      <c r="J47" s="235">
        <f t="shared" si="13"/>
        <v>48.042858606568998</v>
      </c>
      <c r="K47" s="235">
        <f t="shared" si="13"/>
        <v>-13.710809194907519</v>
      </c>
      <c r="L47" s="805">
        <f t="shared" ref="L47:L52" si="14">C25+H25</f>
        <v>303.96767047691958</v>
      </c>
    </row>
    <row r="48" spans="1:12">
      <c r="A48" s="97" t="s">
        <v>274</v>
      </c>
      <c r="B48" s="805">
        <f t="shared" si="12"/>
        <v>168.3811203679526</v>
      </c>
      <c r="L48" s="805">
        <f t="shared" si="14"/>
        <v>125.5334349422711</v>
      </c>
    </row>
    <row r="49" spans="1:13">
      <c r="A49" s="97" t="s">
        <v>692</v>
      </c>
      <c r="B49" s="805">
        <f t="shared" si="12"/>
        <v>-2.1378559399999939</v>
      </c>
      <c r="L49" s="805">
        <f t="shared" si="14"/>
        <v>-19.002081600387534</v>
      </c>
    </row>
    <row r="50" spans="1:13">
      <c r="A50" s="97" t="s">
        <v>693</v>
      </c>
      <c r="B50" s="805">
        <f t="shared" si="12"/>
        <v>249.87943952999998</v>
      </c>
      <c r="L50" s="805">
        <f t="shared" si="14"/>
        <v>201.59010340054317</v>
      </c>
    </row>
    <row r="51" spans="1:13">
      <c r="A51" s="97" t="s">
        <v>256</v>
      </c>
      <c r="B51" s="805">
        <f t="shared" si="12"/>
        <v>273.19746994000002</v>
      </c>
      <c r="L51" s="805">
        <f t="shared" si="14"/>
        <v>270.86481995086547</v>
      </c>
    </row>
    <row r="52" spans="1:13">
      <c r="A52" s="97" t="s">
        <v>694</v>
      </c>
      <c r="B52" s="805">
        <f t="shared" si="12"/>
        <v>-13.803188482315099</v>
      </c>
      <c r="L52" s="805">
        <f t="shared" si="14"/>
        <v>0.61804477054501206</v>
      </c>
    </row>
    <row r="56" spans="1:13">
      <c r="B56" s="711">
        <f>SUM(B47:B55)</f>
        <v>949.75896326196755</v>
      </c>
    </row>
    <row r="57" spans="1:13">
      <c r="L57" s="711">
        <f>SUM(L47:L56)</f>
        <v>883.57199194075679</v>
      </c>
    </row>
    <row r="61" spans="1:13">
      <c r="B61" s="804" t="str">
        <f>B45</f>
        <v>FY26
Budget</v>
      </c>
      <c r="C61" s="804" t="str">
        <f>C45</f>
        <v>Vol &amp; Mix</v>
      </c>
      <c r="D61" s="804" t="str">
        <f>D45</f>
        <v>Selling 
price</v>
      </c>
      <c r="E61" s="804" t="str">
        <f>E45</f>
        <v>Input 
price</v>
      </c>
      <c r="F61" s="804" t="str">
        <f>F45</f>
        <v>Usage
Market driven</v>
      </c>
      <c r="G61" s="804"/>
      <c r="H61" s="804" t="str">
        <f t="shared" ref="H61:L61" si="15">H45</f>
        <v>Fixed 
costs</v>
      </c>
      <c r="I61" s="804" t="str">
        <f t="shared" si="15"/>
        <v>Logistic</v>
      </c>
      <c r="J61" s="804" t="str">
        <f t="shared" si="15"/>
        <v>Exchange 
rate</v>
      </c>
      <c r="K61" s="804" t="str">
        <f t="shared" si="15"/>
        <v>SV/Others</v>
      </c>
      <c r="L61" s="804" t="str">
        <f t="shared" si="15"/>
        <v>FY26
MRF7</v>
      </c>
    </row>
    <row r="63" spans="1:13">
      <c r="A63" s="97" t="s">
        <v>691</v>
      </c>
      <c r="B63" s="805">
        <f t="shared" ref="B63:B68" si="16">B47</f>
        <v>274.24197784633009</v>
      </c>
      <c r="C63" s="805"/>
      <c r="D63" s="805"/>
      <c r="E63" s="805"/>
      <c r="F63" s="805"/>
      <c r="G63" s="805"/>
      <c r="H63" s="805"/>
      <c r="I63" s="805"/>
      <c r="J63" s="805"/>
      <c r="K63" s="805"/>
      <c r="L63" s="805">
        <f t="shared" ref="L63:L68" si="17">L47</f>
        <v>303.96767047691958</v>
      </c>
      <c r="M63" s="805">
        <f t="shared" ref="M63:M68" si="18">L63-B63</f>
        <v>29.725692630589492</v>
      </c>
    </row>
    <row r="64" spans="1:13">
      <c r="A64" s="97" t="s">
        <v>274</v>
      </c>
      <c r="B64" s="805">
        <f t="shared" si="16"/>
        <v>168.3811203679526</v>
      </c>
      <c r="C64" s="805"/>
      <c r="D64" s="805"/>
      <c r="E64" s="805"/>
      <c r="F64" s="805"/>
      <c r="G64" s="805"/>
      <c r="H64" s="805"/>
      <c r="I64" s="805"/>
      <c r="J64" s="805"/>
      <c r="K64" s="805"/>
      <c r="L64" s="805">
        <f t="shared" si="17"/>
        <v>125.5334349422711</v>
      </c>
      <c r="M64" s="805">
        <f t="shared" si="18"/>
        <v>-42.847685425681505</v>
      </c>
    </row>
    <row r="65" spans="1:13">
      <c r="A65" s="97" t="s">
        <v>692</v>
      </c>
      <c r="B65" s="805">
        <f t="shared" si="16"/>
        <v>-2.1378559399999939</v>
      </c>
      <c r="C65" s="805"/>
      <c r="D65" s="805"/>
      <c r="E65" s="805"/>
      <c r="F65" s="805"/>
      <c r="G65" s="805"/>
      <c r="H65" s="805"/>
      <c r="I65" s="805"/>
      <c r="J65" s="805"/>
      <c r="K65" s="805"/>
      <c r="L65" s="805">
        <f t="shared" si="17"/>
        <v>-19.002081600387534</v>
      </c>
      <c r="M65" s="805">
        <f t="shared" si="18"/>
        <v>-16.86422566038754</v>
      </c>
    </row>
    <row r="66" spans="1:13">
      <c r="A66" s="97" t="s">
        <v>693</v>
      </c>
      <c r="B66" s="805">
        <f t="shared" si="16"/>
        <v>249.87943952999998</v>
      </c>
      <c r="C66" s="805"/>
      <c r="D66" s="805"/>
      <c r="E66" s="805"/>
      <c r="F66" s="805"/>
      <c r="G66" s="805"/>
      <c r="H66" s="805"/>
      <c r="I66" s="805"/>
      <c r="J66" s="805"/>
      <c r="K66" s="805"/>
      <c r="L66" s="805">
        <f t="shared" si="17"/>
        <v>201.59010340054317</v>
      </c>
      <c r="M66" s="805">
        <f t="shared" si="18"/>
        <v>-48.289336129456814</v>
      </c>
    </row>
    <row r="67" spans="1:13">
      <c r="A67" s="97" t="s">
        <v>256</v>
      </c>
      <c r="B67" s="805">
        <f t="shared" si="16"/>
        <v>273.19746994000002</v>
      </c>
      <c r="C67" s="805"/>
      <c r="D67" s="805"/>
      <c r="E67" s="805"/>
      <c r="F67" s="805"/>
      <c r="G67" s="805"/>
      <c r="H67" s="805"/>
      <c r="I67" s="805"/>
      <c r="J67" s="805"/>
      <c r="K67" s="805"/>
      <c r="L67" s="805">
        <f t="shared" si="17"/>
        <v>270.86481995086547</v>
      </c>
      <c r="M67" s="805">
        <f t="shared" si="18"/>
        <v>-2.332649989134552</v>
      </c>
    </row>
    <row r="68" spans="1:13">
      <c r="A68" s="97" t="s">
        <v>694</v>
      </c>
      <c r="B68" s="805">
        <f t="shared" si="16"/>
        <v>-13.803188482315099</v>
      </c>
      <c r="C68" s="805"/>
      <c r="D68" s="805"/>
      <c r="E68" s="805"/>
      <c r="F68" s="805"/>
      <c r="G68" s="805"/>
      <c r="H68" s="805"/>
      <c r="I68" s="805"/>
      <c r="J68" s="805"/>
      <c r="K68" s="805"/>
      <c r="L68" s="805">
        <f t="shared" si="17"/>
        <v>0.61804477054501206</v>
      </c>
      <c r="M68" s="805">
        <f t="shared" si="18"/>
        <v>14.421233252860111</v>
      </c>
    </row>
  </sheetData>
  <mergeCells count="10">
    <mergeCell ref="V16:V17"/>
    <mergeCell ref="W16:W17"/>
    <mergeCell ref="X16:X17"/>
    <mergeCell ref="Z16:Z17"/>
    <mergeCell ref="AA16:AA17"/>
    <mergeCell ref="B23:C23"/>
    <mergeCell ref="F23:H23"/>
    <mergeCell ref="Q16:Q17"/>
    <mergeCell ref="R16:R17"/>
    <mergeCell ref="U16:U17"/>
  </mergeCells>
  <conditionalFormatting sqref="C6:K9">
    <cfRule type="cellIs" dxfId="16" priority="5" operator="greaterThanOrEqual">
      <formula>0</formula>
    </cfRule>
    <cfRule type="cellIs" dxfId="15" priority="6" operator="lessThan">
      <formula>0</formula>
    </cfRule>
  </conditionalFormatting>
  <conditionalFormatting sqref="C21:K21 C37:K37">
    <cfRule type="cellIs" dxfId="14" priority="43" operator="greaterThanOrEqual">
      <formula>0</formula>
    </cfRule>
    <cfRule type="cellIs" dxfId="13" priority="44" operator="lessThan">
      <formula>0</formula>
    </cfRule>
  </conditionalFormatting>
  <printOptions horizontalCentered="1"/>
  <pageMargins left="0.17" right="0.2" top="0.66" bottom="0.59" header="0.51181102362204722" footer="0.51181102362204722"/>
  <pageSetup paperSize="8" scale="32" orientation="portrait" verticalDpi="598" r:id="rId1"/>
  <headerFooter alignWithMargins="0">
    <oddHeader>&amp;LArcelorMittal
Management Reporting&amp;C&amp;F
&amp;A&amp;RBudget 2010</oddHeader>
    <oddFooter>&amp;CPage &amp;P/&amp;N&amp;RPrinted: &amp;D, &amp;T</oddFooter>
  </headerFooter>
  <customProperties>
    <customPr name="_pios_id" r:id="rId2"/>
  </customProperties>
  <ignoredErrors>
    <ignoredError sqref="C6:J6 B11:S14 L7:S7 M16:P17 B15:I15 L15:S15 B10:K10 P10:S10 M10:N10 L6:S6" unlocked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77D9A-1A54-4CBA-8826-0F965F27E045}">
  <sheetPr codeName="Plan13">
    <tabColor rgb="FF0070C0"/>
    <pageSetUpPr fitToPage="1"/>
  </sheetPr>
  <dimension ref="A1:V90"/>
  <sheetViews>
    <sheetView showGridLines="0" zoomScale="80" zoomScaleNormal="80" workbookViewId="0">
      <selection activeCell="T42" sqref="T42"/>
    </sheetView>
  </sheetViews>
  <sheetFormatPr defaultColWidth="9.42578125" defaultRowHeight="15" outlineLevelRow="1"/>
  <cols>
    <col min="1" max="1" width="27.5703125" style="97" bestFit="1" customWidth="1"/>
    <col min="2" max="2" width="11.42578125" style="97" bestFit="1" customWidth="1"/>
    <col min="3" max="3" width="14.42578125" style="97" bestFit="1" customWidth="1"/>
    <col min="4" max="4" width="6.5703125" style="97" bestFit="1" customWidth="1"/>
    <col min="5" max="5" width="8.42578125" style="97" bestFit="1" customWidth="1"/>
    <col min="6" max="6" width="12.5703125" style="97" bestFit="1" customWidth="1"/>
    <col min="7" max="7" width="32.5703125" style="97" bestFit="1" customWidth="1"/>
    <col min="8" max="8" width="10" style="97" hidden="1" customWidth="1"/>
    <col min="9" max="10" width="8.5703125" style="97" bestFit="1" customWidth="1"/>
    <col min="11" max="11" width="21.42578125" style="97" bestFit="1" customWidth="1"/>
    <col min="12" max="12" width="15.42578125" style="97" hidden="1" customWidth="1"/>
    <col min="13" max="13" width="13" style="97" hidden="1" customWidth="1"/>
    <col min="14" max="14" width="9.42578125" style="97" bestFit="1" customWidth="1"/>
    <col min="15" max="15" width="12.42578125" style="97" customWidth="1"/>
    <col min="16" max="17" width="9.42578125" style="97"/>
    <col min="18" max="18" width="5" style="97" customWidth="1"/>
    <col min="19" max="19" width="17.42578125" style="97" bestFit="1" customWidth="1"/>
    <col min="20" max="20" width="9.42578125" style="97"/>
    <col min="21" max="21" width="18" style="97" bestFit="1" customWidth="1"/>
    <col min="22" max="16384" width="9.42578125" style="97"/>
  </cols>
  <sheetData>
    <row r="1" spans="1:17">
      <c r="B1" s="777"/>
    </row>
    <row r="2" spans="1:17"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</row>
    <row r="3" spans="1:17">
      <c r="A3" s="97" t="s">
        <v>695</v>
      </c>
      <c r="B3" s="235"/>
      <c r="C3" s="235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5"/>
    </row>
    <row r="4" spans="1:17" ht="45">
      <c r="B4" s="950" t="str">
        <f>'[41]Bridge combinada'!B17</f>
        <v>FY25
Budget</v>
      </c>
      <c r="C4" s="804" t="s">
        <v>787</v>
      </c>
      <c r="D4" s="950" t="s">
        <v>788</v>
      </c>
      <c r="E4" s="950" t="s">
        <v>789</v>
      </c>
      <c r="F4" s="950" t="s">
        <v>790</v>
      </c>
      <c r="G4" s="951" t="s">
        <v>809</v>
      </c>
      <c r="H4" s="950" t="s">
        <v>15</v>
      </c>
      <c r="I4" s="951" t="s">
        <v>785</v>
      </c>
      <c r="J4" s="950" t="s">
        <v>764</v>
      </c>
      <c r="K4" s="950" t="s">
        <v>799</v>
      </c>
      <c r="L4" s="950"/>
      <c r="M4" s="950"/>
      <c r="N4" s="950" t="s">
        <v>17</v>
      </c>
      <c r="O4" s="950" t="str">
        <f>'Bridge combinada'!L4</f>
        <v>FY26
MRF7</v>
      </c>
    </row>
    <row r="6" spans="1:17">
      <c r="B6" s="240">
        <f>'[41]Bridge combinada'!B19</f>
        <v>926.76654834917611</v>
      </c>
      <c r="C6" s="236">
        <f>-'[42]Summary Dec16th'!$S$5</f>
        <v>-251.43220828362433</v>
      </c>
      <c r="D6" s="236">
        <f>('[43]Box (resumo SAIDA)'!$F$13-'[43]Box (resumo SAIDA)'!$F$7)*'[43]Box (resumo SAIDA)'!$E$13/1000-3</f>
        <v>-12.209934010261026</v>
      </c>
      <c r="E6" s="236">
        <f>'Box (resumo SAIDA)'!N15</f>
        <v>52.025990401928425</v>
      </c>
      <c r="F6" s="236">
        <f>Box!AM5</f>
        <v>104.08292976195813</v>
      </c>
      <c r="G6" s="236">
        <f>Box!AM6+Box!AM7+T26+T27+T28</f>
        <v>-70.89814268946165</v>
      </c>
      <c r="H6" s="236"/>
      <c r="I6" s="236">
        <f>I29+I33+I45</f>
        <v>80.400000000000006</v>
      </c>
      <c r="J6" s="236">
        <f>Box!AU5</f>
        <v>-4.8965639554309162</v>
      </c>
      <c r="K6" s="236" t="e">
        <f>Box!#REF!+Box!AU7+Box!#REF!+Box!#REF!+Box!#REF!+Box!#REF!+T30</f>
        <v>#REF!</v>
      </c>
      <c r="L6" s="236"/>
      <c r="M6" s="236"/>
      <c r="N6" s="236" t="e">
        <f>P7-SUM(B6:M6)</f>
        <v>#REF!</v>
      </c>
      <c r="O6" s="240" t="s">
        <v>312</v>
      </c>
      <c r="P6" s="807" t="e">
        <f>SUM(B6:N6)</f>
        <v>#REF!</v>
      </c>
      <c r="Q6" s="807"/>
    </row>
    <row r="7" spans="1:17">
      <c r="G7" s="97" t="s">
        <v>802</v>
      </c>
      <c r="P7" s="807">
        <f>SUM('Bridge combinada'!B21:K21)</f>
        <v>1003.0401833556838</v>
      </c>
    </row>
    <row r="8" spans="1:17">
      <c r="P8" s="917" t="s">
        <v>70</v>
      </c>
      <c r="Q8" s="917" t="s">
        <v>801</v>
      </c>
    </row>
    <row r="9" spans="1:17" hidden="1">
      <c r="A9" s="914" t="str">
        <f>'Bridge combinada'!C4</f>
        <v>Vol &amp; Mix</v>
      </c>
      <c r="B9" s="1079"/>
      <c r="C9" s="1079">
        <f>C6</f>
        <v>-251.43220828362433</v>
      </c>
      <c r="D9" s="1079">
        <f>D6</f>
        <v>-12.209934010261026</v>
      </c>
      <c r="E9" s="1079">
        <f>E6</f>
        <v>52.025990401928425</v>
      </c>
      <c r="F9" s="1079"/>
      <c r="G9" s="1079"/>
      <c r="H9" s="921"/>
      <c r="I9" s="1079"/>
      <c r="J9" s="1079"/>
      <c r="K9" s="1079"/>
      <c r="L9" s="921"/>
      <c r="M9" s="921"/>
      <c r="N9" s="1079"/>
      <c r="O9" s="1079">
        <f>SUM(C9:N9)</f>
        <v>-211.61615189195692</v>
      </c>
      <c r="P9" s="1079">
        <f>'Bridge combinada'!C21+'Bridge combinada'!D21</f>
        <v>525.85999300646449</v>
      </c>
      <c r="Q9" s="1079">
        <f>O9-P9</f>
        <v>-737.47614489842135</v>
      </c>
    </row>
    <row r="10" spans="1:17" hidden="1">
      <c r="A10" s="914" t="str">
        <f>'Bridge combinada'!D4</f>
        <v>Selling 
price</v>
      </c>
      <c r="B10" s="1080"/>
      <c r="C10" s="1080"/>
      <c r="D10" s="1080"/>
      <c r="E10" s="1080"/>
      <c r="F10" s="1080"/>
      <c r="G10" s="1080"/>
      <c r="H10" s="922"/>
      <c r="I10" s="1080"/>
      <c r="J10" s="1080"/>
      <c r="K10" s="1080"/>
      <c r="L10" s="922"/>
      <c r="M10" s="922"/>
      <c r="N10" s="1080"/>
      <c r="O10" s="1080"/>
      <c r="P10" s="1080"/>
      <c r="Q10" s="1080"/>
    </row>
    <row r="11" spans="1:17" hidden="1">
      <c r="A11" s="914" t="str">
        <f>'Bridge combinada'!E4</f>
        <v>Input 
price</v>
      </c>
      <c r="B11" s="919"/>
      <c r="C11" s="919"/>
      <c r="D11" s="919"/>
      <c r="E11" s="919"/>
      <c r="F11" s="919"/>
      <c r="G11" s="919"/>
      <c r="H11" s="919"/>
      <c r="I11" s="919">
        <f>I33</f>
        <v>9</v>
      </c>
      <c r="J11" s="919"/>
      <c r="K11" s="919"/>
      <c r="L11" s="919"/>
      <c r="M11" s="919"/>
      <c r="N11" s="919"/>
      <c r="O11" s="919">
        <f t="shared" ref="O11:O17" si="0">SUM(C11:N11)</f>
        <v>9</v>
      </c>
      <c r="P11" s="919">
        <f>'Bridge combinada'!E21</f>
        <v>-245.9053609318153</v>
      </c>
      <c r="Q11" s="919">
        <f>O11-P11</f>
        <v>254.9053609318153</v>
      </c>
    </row>
    <row r="12" spans="1:17" hidden="1">
      <c r="A12" s="914" t="str">
        <f>'Bridge combinada'!F4</f>
        <v>Usage
Market driven</v>
      </c>
      <c r="B12" s="919"/>
      <c r="C12" s="919"/>
      <c r="D12" s="919"/>
      <c r="E12" s="919"/>
      <c r="F12" s="919"/>
      <c r="G12" s="919"/>
      <c r="H12" s="919"/>
      <c r="I12" s="919"/>
      <c r="J12" s="919"/>
      <c r="K12" s="919"/>
      <c r="L12" s="919"/>
      <c r="M12" s="919"/>
      <c r="N12" s="919"/>
      <c r="O12" s="919">
        <f t="shared" si="0"/>
        <v>0</v>
      </c>
      <c r="P12" s="919">
        <f>'Bridge combinada'!E21</f>
        <v>-245.9053609318153</v>
      </c>
      <c r="Q12" s="919">
        <f t="shared" ref="Q12:Q17" si="1">O12-P12</f>
        <v>245.9053609318153</v>
      </c>
    </row>
    <row r="13" spans="1:17" hidden="1">
      <c r="A13" s="914" t="str">
        <f>'Bridge combinada'!G4</f>
        <v>Usage
Operational Performance</v>
      </c>
      <c r="B13" s="919"/>
      <c r="C13" s="919"/>
      <c r="D13" s="919"/>
      <c r="E13" s="919"/>
      <c r="F13" s="919"/>
      <c r="G13" s="919"/>
      <c r="H13" s="919"/>
      <c r="I13" s="919">
        <f>I37+I41</f>
        <v>36</v>
      </c>
      <c r="J13" s="919"/>
      <c r="K13" s="919"/>
      <c r="L13" s="919"/>
      <c r="M13" s="919"/>
      <c r="N13" s="919"/>
      <c r="O13" s="919">
        <f t="shared" si="0"/>
        <v>36</v>
      </c>
      <c r="P13" s="919">
        <f>'Bridge combinada'!F21</f>
        <v>-64.886798423580004</v>
      </c>
      <c r="Q13" s="919">
        <f t="shared" si="1"/>
        <v>100.88679842358</v>
      </c>
    </row>
    <row r="14" spans="1:17" hidden="1">
      <c r="A14" s="914" t="str">
        <f>'Bridge combinada'!H4</f>
        <v>Fixed 
costs</v>
      </c>
      <c r="B14" s="919"/>
      <c r="C14" s="919"/>
      <c r="D14" s="919"/>
      <c r="E14" s="919"/>
      <c r="F14" s="919"/>
      <c r="G14" s="919"/>
      <c r="H14" s="919"/>
      <c r="I14" s="919">
        <f>I21</f>
        <v>33.700000000000003</v>
      </c>
      <c r="J14" s="919"/>
      <c r="K14" s="919"/>
      <c r="L14" s="919"/>
      <c r="M14" s="919"/>
      <c r="N14" s="919"/>
      <c r="O14" s="919">
        <f t="shared" si="0"/>
        <v>33.700000000000003</v>
      </c>
      <c r="P14" s="919">
        <f>'Bridge combinada'!H21</f>
        <v>-41.882270471769807</v>
      </c>
      <c r="Q14" s="919">
        <f t="shared" si="1"/>
        <v>75.582270471769817</v>
      </c>
    </row>
    <row r="15" spans="1:17" hidden="1">
      <c r="A15" s="914" t="str">
        <f>'Bridge combinada'!I4</f>
        <v>Logistic</v>
      </c>
      <c r="B15" s="920"/>
      <c r="C15" s="920"/>
      <c r="D15" s="919"/>
      <c r="E15" s="919"/>
      <c r="F15" s="919"/>
      <c r="G15" s="920"/>
      <c r="H15" s="920"/>
      <c r="I15" s="920">
        <f>I25</f>
        <v>1.7</v>
      </c>
      <c r="J15" s="919"/>
      <c r="K15" s="919"/>
      <c r="L15" s="919"/>
      <c r="M15" s="919"/>
      <c r="N15" s="919"/>
      <c r="O15" s="920">
        <f t="shared" si="0"/>
        <v>1.7</v>
      </c>
      <c r="P15" s="920">
        <f>'Bridge combinada'!I21</f>
        <v>-6.3640203629386232</v>
      </c>
      <c r="Q15" s="919">
        <f t="shared" si="1"/>
        <v>8.0640203629386225</v>
      </c>
    </row>
    <row r="16" spans="1:17" hidden="1">
      <c r="A16" s="914" t="str">
        <f>'Bridge combinada'!J4</f>
        <v>Exchange 
rate</v>
      </c>
      <c r="B16" s="923"/>
      <c r="C16" s="923"/>
      <c r="D16" s="919"/>
      <c r="E16" s="919"/>
      <c r="F16" s="919">
        <f>F6</f>
        <v>104.08292976195813</v>
      </c>
      <c r="G16" s="923">
        <f>Box!AM6+Box!AM7+'Box combinado'!X7</f>
        <v>-56.040071155388439</v>
      </c>
      <c r="H16" s="923"/>
      <c r="I16" s="923"/>
      <c r="J16" s="919"/>
      <c r="K16" s="919"/>
      <c r="L16" s="919"/>
      <c r="M16" s="919"/>
      <c r="N16" s="919"/>
      <c r="O16" s="923">
        <f t="shared" si="0"/>
        <v>48.042858606569688</v>
      </c>
      <c r="P16" s="923">
        <f>'Bridge combinada'!J21</f>
        <v>50.523884603237988</v>
      </c>
      <c r="Q16" s="919">
        <f t="shared" si="1"/>
        <v>-2.4810259966683006</v>
      </c>
    </row>
    <row r="17" spans="1:20" hidden="1">
      <c r="A17" s="914" t="str">
        <f>'Bridge combinada'!K4</f>
        <v>SV/Others</v>
      </c>
      <c r="B17" s="923"/>
      <c r="C17" s="923"/>
      <c r="D17" s="919"/>
      <c r="E17" s="919"/>
      <c r="F17" s="919"/>
      <c r="G17" s="923">
        <f>T26+T27</f>
        <v>-36.388071534073205</v>
      </c>
      <c r="H17" s="923"/>
      <c r="I17" s="923"/>
      <c r="J17" s="919"/>
      <c r="K17" s="919" t="e">
        <f>K6</f>
        <v>#REF!</v>
      </c>
      <c r="L17" s="919" t="e">
        <f>Box!#REF!</f>
        <v>#REF!</v>
      </c>
      <c r="M17" s="919"/>
      <c r="N17" s="919">
        <f>Box!AU8-11-G17</f>
        <v>25.697646055516984</v>
      </c>
      <c r="O17" s="923" t="e">
        <f t="shared" si="0"/>
        <v>#REF!</v>
      </c>
      <c r="P17" s="923">
        <f>'Bridge combinada'!K21</f>
        <v>-3.680425321566156</v>
      </c>
      <c r="Q17" s="919" t="e">
        <f t="shared" si="1"/>
        <v>#REF!</v>
      </c>
    </row>
    <row r="18" spans="1:20" hidden="1">
      <c r="A18" s="804"/>
      <c r="B18" s="924">
        <f>SUM(B9:B17)</f>
        <v>0</v>
      </c>
      <c r="C18" s="924">
        <f t="shared" ref="C18:N18" si="2">SUM(C9:C17)</f>
        <v>-251.43220828362433</v>
      </c>
      <c r="D18" s="924">
        <f t="shared" si="2"/>
        <v>-12.209934010261026</v>
      </c>
      <c r="E18" s="924">
        <f t="shared" si="2"/>
        <v>52.025990401928425</v>
      </c>
      <c r="F18" s="924">
        <f t="shared" si="2"/>
        <v>104.08292976195813</v>
      </c>
      <c r="G18" s="924">
        <f t="shared" si="2"/>
        <v>-92.428142689461652</v>
      </c>
      <c r="H18" s="924"/>
      <c r="I18" s="924">
        <f t="shared" si="2"/>
        <v>80.400000000000006</v>
      </c>
      <c r="J18" s="924"/>
      <c r="K18" s="924" t="e">
        <f t="shared" si="2"/>
        <v>#REF!</v>
      </c>
      <c r="L18" s="924" t="e">
        <f t="shared" ref="L18" si="3">SUM(L9:L17)</f>
        <v>#REF!</v>
      </c>
      <c r="M18" s="924"/>
      <c r="N18" s="924">
        <f t="shared" si="2"/>
        <v>25.697646055516984</v>
      </c>
      <c r="O18" s="924"/>
      <c r="P18" s="807"/>
      <c r="Q18" s="807"/>
    </row>
    <row r="19" spans="1:20" hidden="1">
      <c r="A19" s="804"/>
      <c r="B19" s="924"/>
      <c r="C19" s="924">
        <f>C6-C18</f>
        <v>0</v>
      </c>
      <c r="D19" s="924">
        <f>D6-D18</f>
        <v>0</v>
      </c>
      <c r="E19" s="924">
        <f>E6-E18</f>
        <v>0</v>
      </c>
      <c r="F19" s="924">
        <f>F6-F18</f>
        <v>0</v>
      </c>
      <c r="G19" s="924">
        <f>G6-G18</f>
        <v>21.53</v>
      </c>
      <c r="H19" s="924"/>
      <c r="I19" s="924">
        <f>I6-I18</f>
        <v>0</v>
      </c>
      <c r="J19" s="924"/>
      <c r="K19" s="924" t="e">
        <f>K6-K18</f>
        <v>#REF!</v>
      </c>
      <c r="L19" s="924" t="e">
        <f>L6-L18</f>
        <v>#REF!</v>
      </c>
      <c r="M19" s="924"/>
      <c r="N19" s="924" t="e">
        <f>N6-N18</f>
        <v>#REF!</v>
      </c>
      <c r="O19" s="924"/>
      <c r="P19" s="807"/>
      <c r="Q19" s="807"/>
    </row>
    <row r="20" spans="1:20" outlineLevel="1">
      <c r="A20" s="804"/>
      <c r="B20" s="253"/>
      <c r="C20" s="236"/>
      <c r="D20" s="236"/>
      <c r="E20" s="236"/>
      <c r="F20" s="236"/>
      <c r="G20" s="236"/>
      <c r="H20" s="236"/>
      <c r="I20" s="236">
        <f>190-110</f>
        <v>80</v>
      </c>
      <c r="J20" s="236" t="s">
        <v>873</v>
      </c>
      <c r="K20" s="236"/>
      <c r="L20" s="236"/>
      <c r="M20" s="236"/>
      <c r="N20" s="236"/>
      <c r="O20" s="236"/>
    </row>
    <row r="21" spans="1:20" outlineLevel="1">
      <c r="G21" s="908" t="s">
        <v>13</v>
      </c>
      <c r="H21" s="908"/>
      <c r="I21" s="908">
        <f>I22+I23</f>
        <v>33.700000000000003</v>
      </c>
    </row>
    <row r="22" spans="1:20" outlineLevel="1">
      <c r="G22" s="97" t="s">
        <v>791</v>
      </c>
      <c r="I22" s="968">
        <f>27-15</f>
        <v>12</v>
      </c>
    </row>
    <row r="23" spans="1:20" outlineLevel="1">
      <c r="G23" s="97" t="s">
        <v>688</v>
      </c>
      <c r="I23" s="968">
        <f>35-13.3</f>
        <v>21.7</v>
      </c>
      <c r="K23" s="97">
        <f>164-110</f>
        <v>54</v>
      </c>
    </row>
    <row r="24" spans="1:20" outlineLevel="1">
      <c r="S24" s="97" t="s">
        <v>737</v>
      </c>
      <c r="T24" s="808">
        <f>'Bridge combinada'!E6+'Bridge combinada'!E7-I33</f>
        <v>-244.02194678166524</v>
      </c>
    </row>
    <row r="25" spans="1:20" outlineLevel="1">
      <c r="G25" s="908" t="s">
        <v>560</v>
      </c>
      <c r="H25" s="908"/>
      <c r="I25" s="908">
        <f>I26+I27</f>
        <v>1.7</v>
      </c>
      <c r="S25" s="936" t="s">
        <v>803</v>
      </c>
      <c r="T25" s="936"/>
    </row>
    <row r="26" spans="1:20" outlineLevel="1">
      <c r="G26" s="97" t="s">
        <v>791</v>
      </c>
      <c r="I26" s="952">
        <v>1.7</v>
      </c>
      <c r="S26" s="936" t="s">
        <v>791</v>
      </c>
      <c r="T26" s="937">
        <f>Box!AU10</f>
        <v>-20.388071534073205</v>
      </c>
    </row>
    <row r="27" spans="1:20" outlineLevel="1">
      <c r="G27" s="97" t="s">
        <v>688</v>
      </c>
      <c r="I27" s="952">
        <v>0</v>
      </c>
      <c r="S27" s="936" t="s">
        <v>688</v>
      </c>
      <c r="T27" s="938">
        <v>-16</v>
      </c>
    </row>
    <row r="28" spans="1:20" outlineLevel="1">
      <c r="S28" s="97" t="s">
        <v>871</v>
      </c>
      <c r="T28" s="97">
        <v>-1</v>
      </c>
    </row>
    <row r="29" spans="1:20" outlineLevel="1">
      <c r="G29" s="909" t="s">
        <v>792</v>
      </c>
      <c r="H29" s="909"/>
      <c r="I29" s="909">
        <f>I25+I21</f>
        <v>35.400000000000006</v>
      </c>
      <c r="S29" s="97" t="s">
        <v>904</v>
      </c>
      <c r="T29" s="97">
        <v>10</v>
      </c>
    </row>
    <row r="30" spans="1:20" outlineLevel="1">
      <c r="G30" s="97" t="s">
        <v>30</v>
      </c>
      <c r="I30" s="97">
        <f>62-28+2</f>
        <v>36</v>
      </c>
      <c r="S30" s="97" t="s">
        <v>905</v>
      </c>
      <c r="T30" s="97">
        <v>-2</v>
      </c>
    </row>
    <row r="31" spans="1:20" outlineLevel="1">
      <c r="I31" s="97">
        <f>I29-I30</f>
        <v>-0.59999999999999432</v>
      </c>
    </row>
    <row r="32" spans="1:20" outlineLevel="1"/>
    <row r="33" spans="1:19" outlineLevel="1">
      <c r="G33" s="910" t="s">
        <v>793</v>
      </c>
      <c r="H33" s="910"/>
      <c r="I33" s="918">
        <f>I34+I35</f>
        <v>9</v>
      </c>
    </row>
    <row r="34" spans="1:19" outlineLevel="1">
      <c r="G34" s="97" t="s">
        <v>791</v>
      </c>
      <c r="I34" s="925">
        <f>29.7-18-I26</f>
        <v>10</v>
      </c>
      <c r="J34" s="97" t="s">
        <v>902</v>
      </c>
    </row>
    <row r="35" spans="1:19" outlineLevel="1">
      <c r="G35" s="97" t="s">
        <v>688</v>
      </c>
      <c r="I35" s="952">
        <v>-1</v>
      </c>
    </row>
    <row r="36" spans="1:19" outlineLevel="1"/>
    <row r="37" spans="1:19" outlineLevel="1">
      <c r="G37" s="908" t="s">
        <v>794</v>
      </c>
      <c r="H37" s="908"/>
      <c r="I37" s="908">
        <f>SUM(I38:I39)</f>
        <v>7</v>
      </c>
    </row>
    <row r="38" spans="1:19" outlineLevel="1">
      <c r="G38" s="97" t="s">
        <v>791</v>
      </c>
      <c r="I38" s="968">
        <f>49-49</f>
        <v>0</v>
      </c>
      <c r="S38" s="97">
        <f>43-21</f>
        <v>22</v>
      </c>
    </row>
    <row r="39" spans="1:19" outlineLevel="1">
      <c r="G39" s="97" t="s">
        <v>688</v>
      </c>
      <c r="I39" s="968">
        <f>21-14</f>
        <v>7</v>
      </c>
    </row>
    <row r="40" spans="1:19" outlineLevel="1"/>
    <row r="41" spans="1:19" outlineLevel="1">
      <c r="A41" s="97" t="s">
        <v>688</v>
      </c>
      <c r="G41" s="908" t="s">
        <v>16</v>
      </c>
      <c r="H41" s="908"/>
      <c r="I41" s="908">
        <f>I42+I43</f>
        <v>29</v>
      </c>
    </row>
    <row r="42" spans="1:19" outlineLevel="1">
      <c r="G42" s="97" t="s">
        <v>791</v>
      </c>
      <c r="I42" s="953">
        <v>18</v>
      </c>
    </row>
    <row r="43" spans="1:19" outlineLevel="1">
      <c r="A43" s="97">
        <f>4+2</f>
        <v>6</v>
      </c>
      <c r="G43" s="97" t="s">
        <v>688</v>
      </c>
      <c r="I43" s="953">
        <v>11</v>
      </c>
    </row>
    <row r="44" spans="1:19" outlineLevel="1"/>
    <row r="45" spans="1:19" outlineLevel="1">
      <c r="G45" s="910" t="s">
        <v>795</v>
      </c>
      <c r="H45" s="910"/>
      <c r="I45" s="910">
        <f>I46+I47</f>
        <v>36</v>
      </c>
    </row>
    <row r="46" spans="1:19" outlineLevel="1">
      <c r="G46" s="97" t="s">
        <v>796</v>
      </c>
      <c r="I46" s="97">
        <f>I41</f>
        <v>29</v>
      </c>
    </row>
    <row r="47" spans="1:19" outlineLevel="1">
      <c r="G47" s="97" t="s">
        <v>797</v>
      </c>
      <c r="I47" s="97">
        <f>I37</f>
        <v>7</v>
      </c>
    </row>
    <row r="48" spans="1:19" outlineLevel="1">
      <c r="I48" s="808">
        <f>SUM(I22:I23,I26:I27,I34:I35,I38:I39,I42:I43)</f>
        <v>80.400000000000006</v>
      </c>
    </row>
    <row r="49" spans="1:22" ht="15.75" thickBot="1"/>
    <row r="50" spans="1:22">
      <c r="A50" s="1081" t="s">
        <v>687</v>
      </c>
      <c r="B50" s="1082"/>
      <c r="C50" s="1082"/>
      <c r="D50" s="1082"/>
      <c r="E50" s="1082"/>
      <c r="F50" s="1082"/>
      <c r="G50" s="1082"/>
      <c r="H50" s="1082"/>
      <c r="I50" s="1082"/>
      <c r="J50" s="1082"/>
      <c r="K50" s="1082"/>
      <c r="L50" s="1082"/>
      <c r="M50" s="1082"/>
      <c r="N50" s="1082"/>
      <c r="O50" s="1082"/>
      <c r="P50" s="1082"/>
      <c r="Q50" s="1082"/>
      <c r="R50" s="1083"/>
    </row>
    <row r="51" spans="1:22" ht="45">
      <c r="A51" s="926"/>
      <c r="B51" s="804">
        <f>'[41]Bridge combinada'!B64</f>
        <v>249.87943952999998</v>
      </c>
      <c r="C51" s="804" t="s">
        <v>787</v>
      </c>
      <c r="D51" s="804" t="s">
        <v>788</v>
      </c>
      <c r="E51" s="804" t="s">
        <v>789</v>
      </c>
      <c r="F51" s="804" t="s">
        <v>790</v>
      </c>
      <c r="G51" s="804" t="s">
        <v>798</v>
      </c>
      <c r="H51" s="804" t="s">
        <v>15</v>
      </c>
      <c r="I51" s="907" t="s">
        <v>785</v>
      </c>
      <c r="J51" s="804" t="s">
        <v>764</v>
      </c>
      <c r="K51" s="804" t="s">
        <v>799</v>
      </c>
      <c r="L51" s="804" t="s">
        <v>800</v>
      </c>
      <c r="M51" s="804" t="s">
        <v>774</v>
      </c>
      <c r="N51" s="804" t="s">
        <v>721</v>
      </c>
      <c r="O51" s="804">
        <f>'Bridge combinada'!L53</f>
        <v>0</v>
      </c>
      <c r="R51" s="927"/>
    </row>
    <row r="52" spans="1:22">
      <c r="A52" s="926"/>
      <c r="R52" s="927"/>
      <c r="S52" s="235">
        <f>'Bridge Consolidade modelo n (2)'!N53+AH6+S6+2</f>
        <v>280.59237090469412</v>
      </c>
    </row>
    <row r="53" spans="1:22">
      <c r="A53" s="926"/>
      <c r="B53" s="240">
        <f>'Bridge combinada'!B13</f>
        <v>632.04404452987512</v>
      </c>
      <c r="C53" s="236">
        <f>'[44]Resumo- Analise movimentaçã Com'!$C$7</f>
        <v>-131.27923847506045</v>
      </c>
      <c r="D53" s="236">
        <f>D6</f>
        <v>-12.209934010261026</v>
      </c>
      <c r="E53" s="236">
        <f>E6</f>
        <v>52.025990401928425</v>
      </c>
      <c r="F53" s="236">
        <f>Box!AM5</f>
        <v>104.08292976195813</v>
      </c>
      <c r="G53" s="236">
        <f>Box!AM6+Box!AM7+T26</f>
        <v>-53.898142689461643</v>
      </c>
      <c r="H53" s="236">
        <f>Box!U21-Box!U16</f>
        <v>-157.61884882613339</v>
      </c>
      <c r="I53" s="236">
        <f>I22+I26+I34+I38+I42-1</f>
        <v>40.700000000000003</v>
      </c>
      <c r="J53" s="236">
        <f>Box!AU5</f>
        <v>-4.8965639554309162</v>
      </c>
      <c r="K53" s="236">
        <f>Box!AU6</f>
        <v>0.14979323466958516</v>
      </c>
      <c r="L53" s="236"/>
      <c r="M53" s="236"/>
      <c r="N53" s="236">
        <f>N54-SUM(B53:M53)</f>
        <v>278.59237090469412</v>
      </c>
      <c r="O53" s="240" t="s">
        <v>312</v>
      </c>
      <c r="R53" s="927"/>
      <c r="U53" s="97" t="s">
        <v>804</v>
      </c>
    </row>
    <row r="54" spans="1:22">
      <c r="A54" s="926"/>
      <c r="N54" s="777">
        <f>Cálculo!C13</f>
        <v>747.69240087677792</v>
      </c>
      <c r="R54" s="927"/>
      <c r="U54" s="97" t="s">
        <v>805</v>
      </c>
      <c r="V54" s="807">
        <f>'Box (resumo SAIDA)'!G6+'Box (resumo SAIDA)'!G5+'Box (resumo SAIDA)'!N5+'Box (resumo SAIDA)'!N6</f>
        <v>176.43070103181969</v>
      </c>
    </row>
    <row r="55" spans="1:22">
      <c r="A55" s="926"/>
      <c r="P55" s="917" t="s">
        <v>70</v>
      </c>
      <c r="Q55" s="917" t="s">
        <v>801</v>
      </c>
      <c r="R55" s="927"/>
      <c r="V55" s="807">
        <f>C56</f>
        <v>-130.69669924549819</v>
      </c>
    </row>
    <row r="56" spans="1:22">
      <c r="A56" s="928" t="str">
        <f>A9</f>
        <v>Vol &amp; Mix</v>
      </c>
      <c r="B56" s="1084"/>
      <c r="C56" s="1079">
        <f>SUM('[44]Resumo- Analise movimentaçã Com'!$C$4:$C$5)</f>
        <v>-130.69669924549819</v>
      </c>
      <c r="D56" s="1079">
        <f>D53</f>
        <v>-12.209934010261026</v>
      </c>
      <c r="E56" s="1079">
        <f>E53</f>
        <v>52.025990401928425</v>
      </c>
      <c r="F56" s="1079"/>
      <c r="G56" s="1079"/>
      <c r="H56" s="921"/>
      <c r="I56" s="1079"/>
      <c r="J56" s="1079"/>
      <c r="K56" s="1079"/>
      <c r="L56" s="1079"/>
      <c r="M56" s="921"/>
      <c r="N56" s="1086">
        <f>-28+2</f>
        <v>-26</v>
      </c>
      <c r="O56" s="1079">
        <f>SUM(C56:N57)</f>
        <v>-116.88064285383081</v>
      </c>
      <c r="P56" s="1079">
        <f>'Bridge combinada'!C13+'Bridge combinada'!D13</f>
        <v>279.868562971811</v>
      </c>
      <c r="Q56" s="1079">
        <f>O56-P56</f>
        <v>-396.74920582564181</v>
      </c>
      <c r="R56" s="927"/>
      <c r="V56" s="807">
        <f>V54-V55</f>
        <v>307.12740027731786</v>
      </c>
    </row>
    <row r="57" spans="1:22">
      <c r="A57" s="928" t="str">
        <f t="shared" ref="A57:A64" si="4">A10</f>
        <v>Selling 
price</v>
      </c>
      <c r="B57" s="1085"/>
      <c r="C57" s="1080"/>
      <c r="D57" s="1080"/>
      <c r="E57" s="1080"/>
      <c r="F57" s="1080"/>
      <c r="G57" s="1080"/>
      <c r="H57" s="922"/>
      <c r="I57" s="1080"/>
      <c r="J57" s="1080"/>
      <c r="K57" s="1080"/>
      <c r="L57" s="1080"/>
      <c r="M57" s="922"/>
      <c r="N57" s="1087"/>
      <c r="O57" s="1080"/>
      <c r="P57" s="1080"/>
      <c r="Q57" s="1080"/>
      <c r="R57" s="927"/>
      <c r="U57" s="97" t="s">
        <v>672</v>
      </c>
      <c r="V57" s="925">
        <f>'[31]Resumo- Analise movimentação'!$C$12+'[31]Resumo- Analise movimentação'!$C$15</f>
        <v>-12</v>
      </c>
    </row>
    <row r="58" spans="1:22">
      <c r="A58" s="928" t="str">
        <f t="shared" si="4"/>
        <v>Input 
price</v>
      </c>
      <c r="B58" s="915"/>
      <c r="C58" s="919"/>
      <c r="D58" s="919"/>
      <c r="E58" s="919"/>
      <c r="F58" s="919"/>
      <c r="G58" s="919"/>
      <c r="H58" s="919">
        <f>H53</f>
        <v>-157.61884882613339</v>
      </c>
      <c r="I58" s="919">
        <f>Box!U16</f>
        <v>-19.853097955531823</v>
      </c>
      <c r="J58" s="919"/>
      <c r="K58" s="919"/>
      <c r="L58" s="919"/>
      <c r="M58" s="919"/>
      <c r="N58" s="919"/>
      <c r="O58" s="919">
        <f t="shared" ref="O58:O64" si="5">SUM(C58:N58)</f>
        <v>-177.47194678166522</v>
      </c>
      <c r="P58" s="919">
        <f>'Bridge combinada'!E13</f>
        <v>-177.47194678166522</v>
      </c>
      <c r="Q58" s="919">
        <f>O58-P58</f>
        <v>0</v>
      </c>
      <c r="R58" s="927"/>
      <c r="V58" s="807">
        <f>V56-V57</f>
        <v>319.12740027731786</v>
      </c>
    </row>
    <row r="59" spans="1:22">
      <c r="A59" s="928" t="str">
        <f t="shared" si="4"/>
        <v>Usage
Market driven</v>
      </c>
      <c r="B59" s="915"/>
      <c r="C59" s="919">
        <f>'[44]Resumo- Analise movimentaçã Com'!$C$6</f>
        <v>-0.58253922956227022</v>
      </c>
      <c r="D59" s="919"/>
      <c r="E59" s="919"/>
      <c r="F59" s="919"/>
      <c r="G59" s="919"/>
      <c r="H59" s="919"/>
      <c r="I59" s="919"/>
      <c r="J59" s="919"/>
      <c r="K59" s="919"/>
      <c r="L59" s="919"/>
      <c r="M59" s="919"/>
      <c r="N59" s="919">
        <f>Box!AD6</f>
        <v>-6.5367984235799996</v>
      </c>
      <c r="O59" s="919">
        <f t="shared" si="5"/>
        <v>-7.1193376531422699</v>
      </c>
      <c r="P59" s="919">
        <f>'Bridge combinada'!F13</f>
        <v>-8.7367984235799998</v>
      </c>
      <c r="Q59" s="919">
        <f t="shared" ref="Q59:Q64" si="6">O59-P59</f>
        <v>1.61746077043773</v>
      </c>
      <c r="R59" s="927"/>
      <c r="U59" s="97" t="s">
        <v>806</v>
      </c>
      <c r="V59" s="925">
        <f>-9-0.5</f>
        <v>-9.5</v>
      </c>
    </row>
    <row r="60" spans="1:22">
      <c r="A60" s="928" t="str">
        <f t="shared" si="4"/>
        <v>Usage
Operational Performance</v>
      </c>
      <c r="B60" s="915"/>
      <c r="C60" s="919"/>
      <c r="D60" s="919"/>
      <c r="E60" s="919"/>
      <c r="F60" s="919"/>
      <c r="G60" s="919"/>
      <c r="H60" s="919"/>
      <c r="I60" s="919">
        <f>I42+I38</f>
        <v>18</v>
      </c>
      <c r="J60" s="919"/>
      <c r="K60" s="919"/>
      <c r="L60" s="919"/>
      <c r="M60" s="919"/>
      <c r="N60" s="919">
        <f>Box!AA11-I60</f>
        <v>-22.0925449488068</v>
      </c>
      <c r="O60" s="919">
        <f t="shared" si="5"/>
        <v>-4.0925449488068004</v>
      </c>
      <c r="P60" s="919">
        <f>'Bridge combinada'!G13</f>
        <v>-4.0925449488067995</v>
      </c>
      <c r="Q60" s="919">
        <f t="shared" si="6"/>
        <v>0</v>
      </c>
      <c r="R60" s="927"/>
      <c r="V60" s="807">
        <f>V58-V59</f>
        <v>328.62740027731786</v>
      </c>
    </row>
    <row r="61" spans="1:22">
      <c r="A61" s="928" t="str">
        <f t="shared" si="4"/>
        <v>Fixed 
costs</v>
      </c>
      <c r="B61" s="915"/>
      <c r="C61" s="919"/>
      <c r="D61" s="919"/>
      <c r="E61" s="919"/>
      <c r="F61" s="919"/>
      <c r="G61" s="919"/>
      <c r="H61" s="919"/>
      <c r="I61" s="919">
        <f>I22</f>
        <v>12</v>
      </c>
      <c r="J61" s="919"/>
      <c r="K61" s="919"/>
      <c r="L61" s="919"/>
      <c r="M61" s="919"/>
      <c r="N61" s="919">
        <f>Box!AX17-I61</f>
        <v>-46.354235516283325</v>
      </c>
      <c r="O61" s="919">
        <f t="shared" si="5"/>
        <v>-34.354235516283325</v>
      </c>
      <c r="P61" s="919">
        <f>'Bridge combinada'!H13</f>
        <v>-34.290558515169018</v>
      </c>
      <c r="Q61" s="919">
        <f t="shared" si="6"/>
        <v>-6.3677001114307075E-2</v>
      </c>
      <c r="R61" s="927"/>
      <c r="U61" s="97" t="s">
        <v>807</v>
      </c>
      <c r="V61" s="807">
        <f>'Box (resumo SAIDA)'!N8</f>
        <v>16.758587372739228</v>
      </c>
    </row>
    <row r="62" spans="1:22">
      <c r="A62" s="928" t="str">
        <f t="shared" si="4"/>
        <v>Logistic</v>
      </c>
      <c r="B62" s="915"/>
      <c r="C62" s="920"/>
      <c r="D62" s="919"/>
      <c r="E62" s="919"/>
      <c r="F62" s="919"/>
      <c r="G62" s="920"/>
      <c r="H62" s="920"/>
      <c r="I62" s="920">
        <f>I26</f>
        <v>1.7</v>
      </c>
      <c r="J62" s="919"/>
      <c r="K62" s="919"/>
      <c r="L62" s="919"/>
      <c r="M62" s="919"/>
      <c r="N62" s="919">
        <f>Box!AP7-I62</f>
        <v>-7.7</v>
      </c>
      <c r="O62" s="920">
        <f t="shared" si="5"/>
        <v>-6</v>
      </c>
      <c r="P62" s="920">
        <f>'Bridge combinada'!I13</f>
        <v>-5.7640203629386235</v>
      </c>
      <c r="Q62" s="919">
        <f t="shared" si="6"/>
        <v>-0.23597963706137648</v>
      </c>
      <c r="R62" s="927"/>
      <c r="V62" s="807">
        <f>'Box (resumo SAIDA)'!B29</f>
        <v>-10.255520439649018</v>
      </c>
    </row>
    <row r="63" spans="1:22">
      <c r="A63" s="928" t="str">
        <f t="shared" si="4"/>
        <v>Exchange 
rate</v>
      </c>
      <c r="B63" s="916"/>
      <c r="C63" s="923"/>
      <c r="D63" s="919"/>
      <c r="E63" s="919"/>
      <c r="F63" s="919">
        <f>Box!AM5</f>
        <v>104.08292976195813</v>
      </c>
      <c r="G63" s="923">
        <f>Box!AM6+Box!AM7</f>
        <v>-33.510071155388438</v>
      </c>
      <c r="H63" s="923"/>
      <c r="I63" s="923"/>
      <c r="J63" s="919"/>
      <c r="K63" s="919"/>
      <c r="L63" s="919"/>
      <c r="M63" s="919"/>
      <c r="N63" s="919"/>
      <c r="O63" s="923">
        <f t="shared" si="5"/>
        <v>70.572858606569696</v>
      </c>
      <c r="P63" s="923">
        <f>'Bridge combinada'!J13</f>
        <v>70.572858606569</v>
      </c>
      <c r="Q63" s="919">
        <f t="shared" si="6"/>
        <v>6.9633188104489818E-13</v>
      </c>
      <c r="R63" s="927"/>
      <c r="V63" s="807" t="e">
        <f>'Box (resumo SAIDA)'!#REF!</f>
        <v>#REF!</v>
      </c>
    </row>
    <row r="64" spans="1:22">
      <c r="A64" s="928" t="str">
        <f t="shared" si="4"/>
        <v>SV/Others</v>
      </c>
      <c r="B64" s="916"/>
      <c r="C64" s="923"/>
      <c r="D64" s="919"/>
      <c r="E64" s="919"/>
      <c r="F64" s="919"/>
      <c r="G64" s="923">
        <f>T26</f>
        <v>-20.388071534073205</v>
      </c>
      <c r="H64" s="923"/>
      <c r="I64" s="923"/>
      <c r="J64" s="919">
        <f>Box!AU5</f>
        <v>-4.8965639554309162</v>
      </c>
      <c r="K64" s="919">
        <f>Box!AU6</f>
        <v>0.14979323466958516</v>
      </c>
      <c r="L64" s="919"/>
      <c r="M64" s="919"/>
      <c r="N64" s="919">
        <f>Box!AU11</f>
        <v>23.301764765657655</v>
      </c>
      <c r="O64" s="923">
        <f t="shared" si="5"/>
        <v>-1.8330774891768833</v>
      </c>
      <c r="P64" s="923">
        <f>'Bridge combinada'!K6</f>
        <v>-4.2108091949075179</v>
      </c>
      <c r="Q64" s="919">
        <f t="shared" si="6"/>
        <v>2.3777317057306346</v>
      </c>
      <c r="R64" s="927"/>
      <c r="U64" s="97" t="s">
        <v>872</v>
      </c>
      <c r="V64" s="807">
        <v>4</v>
      </c>
    </row>
    <row r="65" spans="1:22">
      <c r="A65" s="929"/>
      <c r="B65" s="253">
        <f>SUM(B56:B64)</f>
        <v>0</v>
      </c>
      <c r="C65" s="930">
        <f t="shared" ref="C65" si="7">SUM(C56:C64)</f>
        <v>-131.27923847506045</v>
      </c>
      <c r="D65" s="930">
        <f t="shared" ref="D65" si="8">SUM(D56:D64)</f>
        <v>-12.209934010261026</v>
      </c>
      <c r="E65" s="930">
        <f t="shared" ref="E65" si="9">SUM(E56:E64)</f>
        <v>52.025990401928425</v>
      </c>
      <c r="F65" s="930">
        <f t="shared" ref="F65" si="10">SUM(F56:F64)</f>
        <v>104.08292976195813</v>
      </c>
      <c r="G65" s="930">
        <f t="shared" ref="G65:H65" si="11">SUM(G56:G64)</f>
        <v>-53.898142689461643</v>
      </c>
      <c r="H65" s="930">
        <f t="shared" si="11"/>
        <v>-157.61884882613339</v>
      </c>
      <c r="I65" s="930">
        <f t="shared" ref="I65" si="12">SUM(I56:I64)</f>
        <v>11.846902044468177</v>
      </c>
      <c r="J65" s="930">
        <f t="shared" ref="J65" si="13">SUM(J56:J64)</f>
        <v>-4.8965639554309162</v>
      </c>
      <c r="K65" s="930">
        <f t="shared" ref="K65:M65" si="14">SUM(K56:K64)</f>
        <v>0.14979323466958516</v>
      </c>
      <c r="L65" s="930">
        <f t="shared" si="14"/>
        <v>0</v>
      </c>
      <c r="M65" s="930">
        <f t="shared" si="14"/>
        <v>0</v>
      </c>
      <c r="N65" s="930">
        <f t="shared" ref="N65" si="15">SUM(N56:N64)</f>
        <v>-85.381814123012475</v>
      </c>
      <c r="O65" s="930"/>
      <c r="P65" s="931">
        <f>SUM(P58:P64)</f>
        <v>-163.99381962049816</v>
      </c>
      <c r="Q65" s="931">
        <f>B53+SUM(P56:P64)</f>
        <v>747.91878788118788</v>
      </c>
      <c r="R65" s="927"/>
    </row>
    <row r="66" spans="1:22">
      <c r="A66" s="926"/>
      <c r="C66" s="931">
        <f>C53-C65</f>
        <v>0</v>
      </c>
      <c r="D66" s="931">
        <f t="shared" ref="D66:N66" si="16">D53-D65</f>
        <v>0</v>
      </c>
      <c r="E66" s="931">
        <f t="shared" si="16"/>
        <v>0</v>
      </c>
      <c r="F66" s="931">
        <f t="shared" si="16"/>
        <v>0</v>
      </c>
      <c r="G66" s="931">
        <f t="shared" si="16"/>
        <v>0</v>
      </c>
      <c r="H66" s="931">
        <f t="shared" si="16"/>
        <v>0</v>
      </c>
      <c r="I66" s="931">
        <f t="shared" si="16"/>
        <v>28.853097955531826</v>
      </c>
      <c r="J66" s="931">
        <f t="shared" si="16"/>
        <v>0</v>
      </c>
      <c r="K66" s="931">
        <f t="shared" si="16"/>
        <v>0</v>
      </c>
      <c r="L66" s="931">
        <f t="shared" si="16"/>
        <v>0</v>
      </c>
      <c r="M66" s="931">
        <f t="shared" si="16"/>
        <v>0</v>
      </c>
      <c r="N66" s="931">
        <f t="shared" si="16"/>
        <v>363.9741850277066</v>
      </c>
      <c r="O66" s="931"/>
      <c r="P66" s="931">
        <f>SUM(P56:P64)</f>
        <v>115.87474335131282</v>
      </c>
      <c r="Q66" s="931">
        <f>Q65-Cálculo!C13</f>
        <v>0.22638700440995763</v>
      </c>
      <c r="R66" s="927"/>
    </row>
    <row r="67" spans="1:22">
      <c r="A67" s="926"/>
      <c r="C67" s="931"/>
      <c r="D67" s="931"/>
      <c r="E67" s="931"/>
      <c r="F67" s="931"/>
      <c r="G67" s="931"/>
      <c r="H67" s="931"/>
      <c r="I67" s="931"/>
      <c r="J67" s="931"/>
      <c r="K67" s="931"/>
      <c r="L67" s="931"/>
      <c r="M67" s="931"/>
      <c r="N67" s="931"/>
      <c r="O67" s="931"/>
      <c r="P67" s="931">
        <f>SUM('Bridge combinada'!C6:K6)</f>
        <v>115.87474335131282</v>
      </c>
      <c r="Q67" s="931"/>
      <c r="R67" s="927"/>
      <c r="V67" s="807" t="e">
        <f>V57+V59+V61+V62+V63+V64</f>
        <v>#REF!</v>
      </c>
    </row>
    <row r="68" spans="1:22" ht="15.75" thickBot="1">
      <c r="A68" s="932"/>
      <c r="B68" s="933"/>
      <c r="C68" s="934"/>
      <c r="D68" s="934"/>
      <c r="E68" s="934"/>
      <c r="F68" s="934"/>
      <c r="G68" s="934"/>
      <c r="H68" s="934"/>
      <c r="I68" s="934"/>
      <c r="J68" s="934"/>
      <c r="K68" s="934"/>
      <c r="L68" s="934"/>
      <c r="M68" s="934"/>
      <c r="N68" s="934"/>
      <c r="O68" s="934"/>
      <c r="P68" s="934">
        <f>P66-P67</f>
        <v>0</v>
      </c>
      <c r="Q68" s="934"/>
      <c r="R68" s="935"/>
      <c r="V68" s="807" t="e">
        <f>V67-N56</f>
        <v>#REF!</v>
      </c>
    </row>
    <row r="70" spans="1:22">
      <c r="J70" s="808">
        <f>N65+H65+2</f>
        <v>-241.00066294914586</v>
      </c>
    </row>
    <row r="71" spans="1:22" ht="15.75" thickBot="1"/>
    <row r="72" spans="1:22">
      <c r="A72" s="1081" t="s">
        <v>688</v>
      </c>
      <c r="B72" s="1082"/>
      <c r="C72" s="1082"/>
      <c r="D72" s="1082"/>
      <c r="E72" s="1082"/>
      <c r="F72" s="1082"/>
      <c r="G72" s="1082"/>
      <c r="H72" s="1082"/>
      <c r="I72" s="1082"/>
      <c r="J72" s="1082"/>
      <c r="K72" s="1082"/>
      <c r="L72" s="1082"/>
      <c r="M72" s="1082"/>
      <c r="N72" s="1082"/>
      <c r="O72" s="1082"/>
      <c r="P72" s="1082"/>
      <c r="Q72" s="1082"/>
      <c r="R72" s="1083"/>
    </row>
    <row r="73" spans="1:22" ht="45">
      <c r="A73" s="926"/>
      <c r="B73" s="804">
        <f>'[41]Bridge combinada'!B86</f>
        <v>0</v>
      </c>
      <c r="C73" s="804" t="s">
        <v>787</v>
      </c>
      <c r="D73" s="804" t="s">
        <v>788</v>
      </c>
      <c r="E73" s="804" t="s">
        <v>789</v>
      </c>
      <c r="F73" s="804" t="s">
        <v>790</v>
      </c>
      <c r="G73" s="804" t="s">
        <v>798</v>
      </c>
      <c r="H73" s="804" t="s">
        <v>15</v>
      </c>
      <c r="I73" s="907" t="s">
        <v>785</v>
      </c>
      <c r="J73" s="804" t="s">
        <v>764</v>
      </c>
      <c r="K73" s="804" t="s">
        <v>799</v>
      </c>
      <c r="L73" s="804" t="s">
        <v>800</v>
      </c>
      <c r="M73" s="804" t="s">
        <v>774</v>
      </c>
      <c r="N73" s="804" t="s">
        <v>721</v>
      </c>
      <c r="O73" s="804">
        <f>'Bridge combinada'!L75</f>
        <v>0</v>
      </c>
      <c r="R73" s="927"/>
    </row>
    <row r="74" spans="1:22">
      <c r="A74" s="926"/>
      <c r="R74" s="927"/>
    </row>
    <row r="75" spans="1:22">
      <c r="A75" s="926"/>
      <c r="B75" s="240">
        <f>'Bridge combinada'!B7</f>
        <v>100.26</v>
      </c>
      <c r="C75" s="236">
        <f>'[44]Resumo- Analise movimentaçã Com'!$I$7</f>
        <v>-156.80000000000001</v>
      </c>
      <c r="D75" s="236">
        <v>0</v>
      </c>
      <c r="E75" s="236">
        <v>0</v>
      </c>
      <c r="F75" s="236">
        <v>0</v>
      </c>
      <c r="G75" s="236">
        <f>T28+T27</f>
        <v>-17</v>
      </c>
      <c r="H75" s="236">
        <f>'Bridge combinada'!E7-I35</f>
        <v>-56.55</v>
      </c>
      <c r="I75" s="236">
        <f>I43+I39+I35+I27+I23</f>
        <v>38.700000000000003</v>
      </c>
      <c r="J75" s="236">
        <v>0</v>
      </c>
      <c r="K75" s="236">
        <f>T30</f>
        <v>-2</v>
      </c>
      <c r="L75" s="236">
        <v>0</v>
      </c>
      <c r="M75" s="236">
        <v>-1</v>
      </c>
      <c r="N75" s="236">
        <f>N76-SUM(B75:M75)</f>
        <v>283.28999999999996</v>
      </c>
      <c r="O75" s="240" t="s">
        <v>312</v>
      </c>
      <c r="R75" s="927"/>
    </row>
    <row r="76" spans="1:22">
      <c r="A76" s="926"/>
      <c r="I76" s="97">
        <v>31</v>
      </c>
      <c r="J76" s="97">
        <v>2</v>
      </c>
      <c r="N76" s="777">
        <f>'Bridge combinada'!L7</f>
        <v>188.89999999999995</v>
      </c>
      <c r="R76" s="927"/>
    </row>
    <row r="77" spans="1:22">
      <c r="A77" s="926"/>
      <c r="I77" s="235">
        <f>I76-I75</f>
        <v>-7.7000000000000028</v>
      </c>
      <c r="J77" s="97">
        <v>-3</v>
      </c>
      <c r="P77" s="917" t="s">
        <v>70</v>
      </c>
      <c r="Q77" s="917" t="s">
        <v>801</v>
      </c>
      <c r="R77" s="927"/>
    </row>
    <row r="78" spans="1:22">
      <c r="A78" s="928" t="str">
        <f>A56</f>
        <v>Vol &amp; Mix</v>
      </c>
      <c r="B78" s="1084"/>
      <c r="C78" s="1079">
        <f>SUM('[44]Resumo- Analise movimentaçã Com'!$I$4:$I$5)</f>
        <v>-140.30000000000001</v>
      </c>
      <c r="D78" s="1079"/>
      <c r="E78" s="1079"/>
      <c r="F78" s="1079"/>
      <c r="G78" s="1079"/>
      <c r="H78" s="921"/>
      <c r="I78" s="1079"/>
      <c r="J78" s="1079"/>
      <c r="K78" s="1079"/>
      <c r="L78" s="921"/>
      <c r="M78" s="921"/>
      <c r="N78" s="1086">
        <v>0</v>
      </c>
      <c r="O78" s="1079">
        <f>SUM(C78:N78)</f>
        <v>-140.30000000000001</v>
      </c>
      <c r="P78" s="1079">
        <f>'Bridge combinada'!C7+'Bridge combinada'!D7</f>
        <v>232.65</v>
      </c>
      <c r="Q78" s="1079">
        <f>O78-P78</f>
        <v>-372.95000000000005</v>
      </c>
      <c r="R78" s="927"/>
      <c r="S78" s="97" t="s">
        <v>808</v>
      </c>
      <c r="T78" s="97">
        <f>19-12</f>
        <v>7</v>
      </c>
    </row>
    <row r="79" spans="1:22">
      <c r="A79" s="928" t="str">
        <f t="shared" ref="A79:A86" si="17">A57</f>
        <v>Selling 
price</v>
      </c>
      <c r="B79" s="1085"/>
      <c r="C79" s="1080"/>
      <c r="D79" s="1080"/>
      <c r="E79" s="1080"/>
      <c r="F79" s="1080"/>
      <c r="G79" s="1080"/>
      <c r="H79" s="922"/>
      <c r="I79" s="1080"/>
      <c r="J79" s="1080"/>
      <c r="K79" s="1080"/>
      <c r="L79" s="922"/>
      <c r="M79" s="922"/>
      <c r="N79" s="1087"/>
      <c r="O79" s="1080"/>
      <c r="P79" s="1080"/>
      <c r="Q79" s="1080"/>
      <c r="R79" s="927"/>
      <c r="S79" s="97" t="s">
        <v>703</v>
      </c>
      <c r="T79" s="97">
        <v>-6</v>
      </c>
    </row>
    <row r="80" spans="1:22">
      <c r="A80" s="928" t="str">
        <f t="shared" si="17"/>
        <v>Input 
price</v>
      </c>
      <c r="B80" s="915"/>
      <c r="C80" s="919"/>
      <c r="D80" s="919"/>
      <c r="E80" s="919"/>
      <c r="F80" s="919"/>
      <c r="G80" s="919"/>
      <c r="H80" s="919">
        <f>'Bridge combinada'!E7-I80</f>
        <v>-56.55</v>
      </c>
      <c r="I80" s="919">
        <f>I35</f>
        <v>-1</v>
      </c>
      <c r="J80" s="919"/>
      <c r="K80" s="919"/>
      <c r="L80" s="919"/>
      <c r="M80" s="919"/>
      <c r="N80" s="919"/>
      <c r="O80" s="919">
        <f t="shared" ref="O80:O86" si="18">SUM(C80:N80)</f>
        <v>-57.55</v>
      </c>
      <c r="P80" s="919">
        <f>'Bridge combinada'!E7</f>
        <v>-57.55</v>
      </c>
      <c r="Q80" s="919">
        <f>O80-P80</f>
        <v>0</v>
      </c>
      <c r="R80" s="927"/>
    </row>
    <row r="81" spans="1:18">
      <c r="A81" s="928" t="str">
        <f t="shared" si="17"/>
        <v>Usage
Market driven</v>
      </c>
      <c r="B81" s="915"/>
      <c r="C81" s="919">
        <v>-11</v>
      </c>
      <c r="D81" s="919"/>
      <c r="E81" s="919"/>
      <c r="F81" s="919"/>
      <c r="G81" s="919"/>
      <c r="H81" s="919"/>
      <c r="I81" s="919"/>
      <c r="J81" s="919"/>
      <c r="K81" s="919"/>
      <c r="L81" s="919"/>
      <c r="M81" s="919"/>
      <c r="N81" s="919"/>
      <c r="O81" s="919">
        <f t="shared" si="18"/>
        <v>-11</v>
      </c>
      <c r="P81" s="919">
        <f>'Bridge combinada'!F7</f>
        <v>-56.15</v>
      </c>
      <c r="Q81" s="919">
        <f t="shared" ref="Q81:Q86" si="19">O81-P81</f>
        <v>45.15</v>
      </c>
      <c r="R81" s="927"/>
    </row>
    <row r="82" spans="1:18">
      <c r="A82" s="928" t="str">
        <f t="shared" si="17"/>
        <v>Usage
Operational Performance</v>
      </c>
      <c r="B82" s="915"/>
      <c r="C82" s="919"/>
      <c r="D82" s="919"/>
      <c r="E82" s="919"/>
      <c r="F82" s="919"/>
      <c r="G82" s="919"/>
      <c r="H82" s="919"/>
      <c r="I82" s="919">
        <f>I43+I39</f>
        <v>18</v>
      </c>
      <c r="J82" s="919"/>
      <c r="K82" s="919"/>
      <c r="L82" s="919"/>
      <c r="M82" s="919"/>
      <c r="N82" s="919">
        <f>'Bridge combinada'!G15-I82</f>
        <v>-8.08</v>
      </c>
      <c r="O82" s="919">
        <f t="shared" si="18"/>
        <v>9.92</v>
      </c>
      <c r="P82" s="919">
        <f>'Bridge combinada'!G7</f>
        <v>9.92</v>
      </c>
      <c r="Q82" s="919">
        <f t="shared" si="19"/>
        <v>0</v>
      </c>
      <c r="R82" s="927"/>
    </row>
    <row r="83" spans="1:18">
      <c r="A83" s="928" t="str">
        <f t="shared" si="17"/>
        <v>Fixed 
costs</v>
      </c>
      <c r="B83" s="915"/>
      <c r="C83" s="919"/>
      <c r="D83" s="919"/>
      <c r="E83" s="919"/>
      <c r="F83" s="919"/>
      <c r="G83" s="919"/>
      <c r="H83" s="919"/>
      <c r="I83" s="919">
        <f>I23</f>
        <v>21.7</v>
      </c>
      <c r="J83" s="919"/>
      <c r="K83" s="919"/>
      <c r="L83" s="919"/>
      <c r="M83" s="919"/>
      <c r="N83" s="919">
        <f>'Bridge combinada'!H15-I83</f>
        <v>-29.299999999999997</v>
      </c>
      <c r="O83" s="919">
        <f t="shared" si="18"/>
        <v>-7.5999999999999979</v>
      </c>
      <c r="P83" s="919">
        <f>'Bridge combinada'!H7</f>
        <v>-7.6</v>
      </c>
      <c r="Q83" s="919">
        <f t="shared" si="19"/>
        <v>0</v>
      </c>
      <c r="R83" s="927"/>
    </row>
    <row r="84" spans="1:18">
      <c r="A84" s="928" t="str">
        <f t="shared" si="17"/>
        <v>Logistic</v>
      </c>
      <c r="B84" s="915"/>
      <c r="C84" s="920"/>
      <c r="D84" s="919"/>
      <c r="E84" s="919"/>
      <c r="F84" s="919"/>
      <c r="G84" s="920"/>
      <c r="H84" s="920"/>
      <c r="I84" s="920"/>
      <c r="J84" s="919"/>
      <c r="K84" s="919"/>
      <c r="L84" s="919"/>
      <c r="M84" s="919"/>
      <c r="N84" s="919"/>
      <c r="O84" s="920">
        <f t="shared" si="18"/>
        <v>0</v>
      </c>
      <c r="P84" s="920">
        <f>'Bridge combinada'!I7</f>
        <v>-0.6</v>
      </c>
      <c r="Q84" s="919">
        <f t="shared" si="19"/>
        <v>0.6</v>
      </c>
      <c r="R84" s="927"/>
    </row>
    <row r="85" spans="1:18">
      <c r="A85" s="928" t="str">
        <f t="shared" si="17"/>
        <v>Exchange 
rate</v>
      </c>
      <c r="B85" s="916"/>
      <c r="C85" s="923"/>
      <c r="D85" s="919"/>
      <c r="E85" s="919"/>
      <c r="F85" s="919"/>
      <c r="G85" s="923">
        <f>'Bridge combinada'!J7</f>
        <v>-22.53</v>
      </c>
      <c r="H85" s="923"/>
      <c r="I85" s="923"/>
      <c r="J85" s="919"/>
      <c r="K85" s="919"/>
      <c r="L85" s="919"/>
      <c r="M85" s="919"/>
      <c r="N85" s="919"/>
      <c r="O85" s="923">
        <f t="shared" si="18"/>
        <v>-22.53</v>
      </c>
      <c r="P85" s="923">
        <f>'Bridge combinada'!J7</f>
        <v>-22.53</v>
      </c>
      <c r="Q85" s="919">
        <f t="shared" si="19"/>
        <v>0</v>
      </c>
      <c r="R85" s="927"/>
    </row>
    <row r="86" spans="1:18">
      <c r="A86" s="928" t="str">
        <f t="shared" si="17"/>
        <v>SV/Others</v>
      </c>
      <c r="B86" s="916"/>
      <c r="C86" s="923"/>
      <c r="D86" s="919"/>
      <c r="E86" s="919"/>
      <c r="F86" s="919"/>
      <c r="G86" s="923">
        <f>T27</f>
        <v>-16</v>
      </c>
      <c r="H86" s="923"/>
      <c r="I86" s="923"/>
      <c r="J86" s="919"/>
      <c r="K86" s="919"/>
      <c r="L86" s="919"/>
      <c r="M86" s="919"/>
      <c r="N86" s="939">
        <f>'Bridge combinada'!K7-G86</f>
        <v>6.5</v>
      </c>
      <c r="O86" s="923">
        <f t="shared" si="18"/>
        <v>-9.5</v>
      </c>
      <c r="P86" s="923">
        <f>'Bridge combinada'!K7</f>
        <v>-9.5</v>
      </c>
      <c r="Q86" s="919">
        <f t="shared" si="19"/>
        <v>0</v>
      </c>
      <c r="R86" s="927"/>
    </row>
    <row r="87" spans="1:18">
      <c r="A87" s="929"/>
      <c r="B87" s="253">
        <f>SUM(B78:B86)</f>
        <v>0</v>
      </c>
      <c r="C87" s="930">
        <f t="shared" ref="C87" si="20">SUM(C78:C86)</f>
        <v>-151.30000000000001</v>
      </c>
      <c r="D87" s="930">
        <f t="shared" ref="D87" si="21">SUM(D78:D86)</f>
        <v>0</v>
      </c>
      <c r="E87" s="930">
        <f t="shared" ref="E87" si="22">SUM(E78:E86)</f>
        <v>0</v>
      </c>
      <c r="F87" s="930">
        <f t="shared" ref="F87" si="23">SUM(F78:F86)</f>
        <v>0</v>
      </c>
      <c r="G87" s="930">
        <f t="shared" ref="G87" si="24">SUM(G78:G86)</f>
        <v>-38.53</v>
      </c>
      <c r="H87" s="930">
        <f t="shared" ref="H87" si="25">SUM(H78:H86)</f>
        <v>-56.55</v>
      </c>
      <c r="I87" s="930">
        <f t="shared" ref="I87" si="26">SUM(I78:I86)</f>
        <v>38.700000000000003</v>
      </c>
      <c r="J87" s="930">
        <f t="shared" ref="J87" si="27">SUM(J78:J86)</f>
        <v>0</v>
      </c>
      <c r="K87" s="930">
        <f t="shared" ref="K87" si="28">SUM(K78:K86)</f>
        <v>0</v>
      </c>
      <c r="L87" s="930">
        <f t="shared" ref="L87" si="29">SUM(L78:L86)</f>
        <v>0</v>
      </c>
      <c r="M87" s="930"/>
      <c r="N87" s="930">
        <f t="shared" ref="N87" si="30">SUM(N78:N86)</f>
        <v>-30.879999999999995</v>
      </c>
      <c r="O87" s="930"/>
      <c r="P87" s="931">
        <f>SUM(P78:P86)</f>
        <v>88.640000000000015</v>
      </c>
      <c r="Q87" s="931">
        <f>B75+SUM(P78:P86)</f>
        <v>188.90000000000003</v>
      </c>
      <c r="R87" s="927"/>
    </row>
    <row r="88" spans="1:18">
      <c r="A88" s="926"/>
      <c r="C88" s="931">
        <f>C75-C87</f>
        <v>-5.5</v>
      </c>
      <c r="D88" s="931">
        <f t="shared" ref="D88" si="31">D75-D87</f>
        <v>0</v>
      </c>
      <c r="E88" s="931">
        <f t="shared" ref="E88" si="32">E75-E87</f>
        <v>0</v>
      </c>
      <c r="F88" s="931">
        <f t="shared" ref="F88" si="33">F75-F87</f>
        <v>0</v>
      </c>
      <c r="G88" s="931">
        <f t="shared" ref="G88" si="34">G75-G87</f>
        <v>21.53</v>
      </c>
      <c r="H88" s="931">
        <f t="shared" ref="H88" si="35">H75-H87</f>
        <v>0</v>
      </c>
      <c r="I88" s="931">
        <f t="shared" ref="I88" si="36">I75-I87</f>
        <v>0</v>
      </c>
      <c r="J88" s="931">
        <f t="shared" ref="J88" si="37">J75-J87</f>
        <v>0</v>
      </c>
      <c r="K88" s="931">
        <f t="shared" ref="K88" si="38">K75-K87</f>
        <v>-2</v>
      </c>
      <c r="L88" s="931">
        <f t="shared" ref="L88" si="39">L75-L87</f>
        <v>0</v>
      </c>
      <c r="M88" s="931"/>
      <c r="N88" s="931">
        <f t="shared" ref="N88" si="40">N75-N87</f>
        <v>314.16999999999996</v>
      </c>
      <c r="O88" s="931"/>
      <c r="P88" s="931">
        <f>SUM('Bridge combinada'!C7:K7)</f>
        <v>88.640000000000015</v>
      </c>
      <c r="Q88" s="931">
        <f>Q87-Cálculo!C36</f>
        <v>-416395.80999999994</v>
      </c>
      <c r="R88" s="927"/>
    </row>
    <row r="89" spans="1:18">
      <c r="A89" s="926"/>
      <c r="C89" s="931"/>
      <c r="D89" s="931"/>
      <c r="E89" s="931"/>
      <c r="F89" s="931"/>
      <c r="G89" s="931"/>
      <c r="H89" s="931"/>
      <c r="I89" s="931"/>
      <c r="J89" s="931"/>
      <c r="K89" s="931"/>
      <c r="L89" s="931"/>
      <c r="M89" s="931"/>
      <c r="N89" s="931"/>
      <c r="O89" s="931"/>
      <c r="P89" s="931">
        <f>SUM('Bridge combinada'!C30:K30)</f>
        <v>1.4007454052887365</v>
      </c>
      <c r="Q89" s="931"/>
      <c r="R89" s="927"/>
    </row>
    <row r="90" spans="1:18" ht="15.75" thickBot="1">
      <c r="A90" s="932"/>
      <c r="B90" s="933"/>
      <c r="C90" s="933"/>
      <c r="D90" s="933"/>
      <c r="E90" s="933"/>
      <c r="F90" s="933"/>
      <c r="G90" s="933"/>
      <c r="H90" s="933"/>
      <c r="I90" s="933"/>
      <c r="J90" s="933"/>
      <c r="K90" s="933"/>
      <c r="L90" s="933"/>
      <c r="M90" s="933"/>
      <c r="N90" s="933"/>
      <c r="O90" s="933"/>
      <c r="P90" s="933"/>
      <c r="Q90" s="933"/>
      <c r="R90" s="935"/>
    </row>
  </sheetData>
  <mergeCells count="42">
    <mergeCell ref="O56:O57"/>
    <mergeCell ref="P56:P57"/>
    <mergeCell ref="Q56:Q57"/>
    <mergeCell ref="B78:B79"/>
    <mergeCell ref="C78:C79"/>
    <mergeCell ref="D78:D79"/>
    <mergeCell ref="E78:E79"/>
    <mergeCell ref="F78:F79"/>
    <mergeCell ref="G78:G79"/>
    <mergeCell ref="I78:I79"/>
    <mergeCell ref="J78:J79"/>
    <mergeCell ref="K78:K79"/>
    <mergeCell ref="N78:N79"/>
    <mergeCell ref="O78:O79"/>
    <mergeCell ref="P78:P79"/>
    <mergeCell ref="Q78:Q79"/>
    <mergeCell ref="G56:G57"/>
    <mergeCell ref="I56:I57"/>
    <mergeCell ref="J56:J57"/>
    <mergeCell ref="K56:K57"/>
    <mergeCell ref="N56:N57"/>
    <mergeCell ref="B56:B57"/>
    <mergeCell ref="C56:C57"/>
    <mergeCell ref="D56:D57"/>
    <mergeCell ref="E56:E57"/>
    <mergeCell ref="F56:F57"/>
    <mergeCell ref="G9:G10"/>
    <mergeCell ref="I9:I10"/>
    <mergeCell ref="L56:L57"/>
    <mergeCell ref="A50:R50"/>
    <mergeCell ref="A72:R72"/>
    <mergeCell ref="B9:B10"/>
    <mergeCell ref="C9:C10"/>
    <mergeCell ref="D9:D10"/>
    <mergeCell ref="E9:E10"/>
    <mergeCell ref="F9:F10"/>
    <mergeCell ref="P9:P10"/>
    <mergeCell ref="Q9:Q10"/>
    <mergeCell ref="J9:J10"/>
    <mergeCell ref="K9:K10"/>
    <mergeCell ref="N9:N10"/>
    <mergeCell ref="O9:O10"/>
  </mergeCells>
  <conditionalFormatting sqref="C6:N6 C53:N53 C75:N75">
    <cfRule type="cellIs" dxfId="12" priority="5" operator="greaterThanOrEqual">
      <formula>0</formula>
    </cfRule>
    <cfRule type="cellIs" dxfId="11" priority="6" operator="lessThan">
      <formula>0</formula>
    </cfRule>
  </conditionalFormatting>
  <printOptions horizontalCentered="1"/>
  <pageMargins left="0.17" right="0.2" top="0.66" bottom="0.59" header="0.51181102362204722" footer="0.51181102362204722"/>
  <pageSetup paperSize="8" scale="32" orientation="portrait" verticalDpi="598" r:id="rId1"/>
  <headerFooter alignWithMargins="0">
    <oddHeader>&amp;LArcelorMittal
Management Reporting&amp;C&amp;F
&amp;A&amp;RBudget 2010</oddHeader>
    <oddFooter>&amp;CPage &amp;P/&amp;N&amp;RPrinted: &amp;D, &amp;T</oddFooter>
  </headerFooter>
  <customProperties>
    <customPr name="_pios_id" r:id="rId2"/>
  </customProperties>
  <ignoredErrors>
    <ignoredError sqref="A9:A17 N18:N19 I18:I19 A56 A57 B18:G19 I24 A58:A64 Q56 O57:Q57 N66:Q68 V55:V58 O58:O64 C65:I65 N65:O65 Q58:Q65 I36 O9 N10:Q10 N9 P9:Q9 O11:Q17 B17:I17 B16:F16 N11:N16 H16:I16 B11:I15 B9:I9 B10:I10 C66:I68 I44:I45 I27:I28 I40 K9:L9 V60:V63 K18:K19 J65:K65 K17 K16:L16 K11:L15 K10:L10 J66:L68 A79:Q80 A87:Q90 A85:F85 H85:Q85 A86:F86 H86:M86 A84:Q84 A82:H82 J82:M82 O82:Q82 A83:H83 O83:Q83 J83:M83 O86:Q86 I47 A78:B78 D78:Q78 I31:I33 A81:B81 D81:Q81" unlockedFormula="1"/>
  </ignoredErrors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49D3A-C967-4AE4-86AB-FB0E5FE547D4}">
  <sheetPr codeName="Plan9">
    <tabColor rgb="FF0070C0"/>
    <pageSetUpPr fitToPage="1"/>
  </sheetPr>
  <dimension ref="A4:L36"/>
  <sheetViews>
    <sheetView showGridLines="0" zoomScale="60" zoomScaleNormal="60" workbookViewId="0">
      <selection activeCell="L24" sqref="L24"/>
    </sheetView>
  </sheetViews>
  <sheetFormatPr defaultColWidth="9.42578125" defaultRowHeight="15"/>
  <cols>
    <col min="1" max="9" width="18.42578125" style="97" customWidth="1"/>
    <col min="10" max="10" width="6.5703125" style="97" hidden="1" customWidth="1"/>
    <col min="11" max="12" width="18.42578125" style="97" customWidth="1"/>
    <col min="13" max="16384" width="9.42578125" style="97"/>
  </cols>
  <sheetData>
    <row r="4" spans="1:12">
      <c r="B4" s="237" t="str">
        <f>Bridge!U17</f>
        <v>FY26
Budget</v>
      </c>
      <c r="C4" s="237" t="str">
        <f>Bridge!V17</f>
        <v>Vol &amp; Mix</v>
      </c>
      <c r="D4" s="237" t="str">
        <f>Bridge!W17</f>
        <v>Selling 
price</v>
      </c>
      <c r="E4" s="237" t="str">
        <f>Bridge!X17</f>
        <v>Input 
price</v>
      </c>
      <c r="F4" s="237" t="str">
        <f>Bridge!Y17</f>
        <v>Usage 
Market driven</v>
      </c>
      <c r="G4" s="237" t="str">
        <f>Bridge!AA17</f>
        <v>Fixed 
costs</v>
      </c>
      <c r="H4" s="237" t="str">
        <f>Bridge!AB17</f>
        <v>Logistic</v>
      </c>
      <c r="I4" s="237" t="str">
        <f>Bridge!AC17</f>
        <v>Exchange 
rate</v>
      </c>
      <c r="J4" s="237" t="e">
        <f>Bridge!#REF!</f>
        <v>#REF!</v>
      </c>
      <c r="K4" s="237" t="str">
        <f>Bridge!AD17</f>
        <v>SV/Others</v>
      </c>
      <c r="L4" s="237" t="str">
        <f>Bridge!AE17</f>
        <v>FY26
MRF7</v>
      </c>
    </row>
    <row r="5" spans="1:12">
      <c r="B5" s="235"/>
    </row>
    <row r="6" spans="1:12">
      <c r="B6" s="240">
        <f>B11</f>
        <v>632.04404452987512</v>
      </c>
      <c r="C6" s="236">
        <f>C11</f>
        <v>-6.680380721635153</v>
      </c>
      <c r="D6" s="236">
        <f t="shared" ref="D6:K6" si="0">D11</f>
        <v>286.54894369344618</v>
      </c>
      <c r="E6" s="236">
        <f t="shared" si="0"/>
        <v>-177.47194678166522</v>
      </c>
      <c r="F6" s="236">
        <f t="shared" si="0"/>
        <v>-8.7367984235799998</v>
      </c>
      <c r="G6" s="236">
        <f t="shared" si="0"/>
        <v>-34.290558515169018</v>
      </c>
      <c r="H6" s="236">
        <f t="shared" si="0"/>
        <v>-5.7640203629386235</v>
      </c>
      <c r="I6" s="236">
        <f t="shared" si="0"/>
        <v>70.572858606569</v>
      </c>
      <c r="J6" s="236" t="e">
        <f t="shared" si="0"/>
        <v>#REF!</v>
      </c>
      <c r="K6" s="236">
        <f t="shared" si="0"/>
        <v>-4.4371961993175546</v>
      </c>
      <c r="L6" s="240" t="e">
        <f>SUM(B6:K6)</f>
        <v>#REF!</v>
      </c>
    </row>
    <row r="7" spans="1:12">
      <c r="B7" s="240">
        <f>B13</f>
        <v>245</v>
      </c>
      <c r="C7" s="236">
        <f>C13</f>
        <v>0</v>
      </c>
      <c r="D7" s="236">
        <f t="shared" ref="D7:K7" si="1">D13</f>
        <v>0</v>
      </c>
      <c r="E7" s="236">
        <f t="shared" si="1"/>
        <v>0</v>
      </c>
      <c r="F7" s="236">
        <f t="shared" si="1"/>
        <v>0</v>
      </c>
      <c r="G7" s="236">
        <f t="shared" si="1"/>
        <v>0</v>
      </c>
      <c r="H7" s="236">
        <f t="shared" si="1"/>
        <v>0</v>
      </c>
      <c r="I7" s="236">
        <f t="shared" si="1"/>
        <v>0</v>
      </c>
      <c r="J7" s="236">
        <f t="shared" si="1"/>
        <v>0</v>
      </c>
      <c r="K7" s="236">
        <f t="shared" si="1"/>
        <v>172</v>
      </c>
      <c r="L7" s="240">
        <f>SUM(B7:K7)</f>
        <v>417</v>
      </c>
    </row>
    <row r="8" spans="1:12">
      <c r="C8" s="235"/>
      <c r="D8" s="235"/>
      <c r="K8" s="235"/>
      <c r="L8" s="776"/>
    </row>
    <row r="9" spans="1:12">
      <c r="C9" s="235"/>
      <c r="D9" s="777"/>
      <c r="E9" s="777"/>
      <c r="F9" s="777"/>
      <c r="L9" s="235"/>
    </row>
    <row r="10" spans="1:12">
      <c r="L10" s="711"/>
    </row>
    <row r="11" spans="1:12">
      <c r="A11" s="97" t="s">
        <v>687</v>
      </c>
      <c r="B11" s="801">
        <f>Bridge!U19</f>
        <v>632.04404452987512</v>
      </c>
      <c r="C11" s="801">
        <f>Bridge!V19</f>
        <v>-6.680380721635153</v>
      </c>
      <c r="D11" s="801">
        <f>Bridge!W19</f>
        <v>286.54894369344618</v>
      </c>
      <c r="E11" s="801">
        <f>Bridge!X19</f>
        <v>-177.47194678166522</v>
      </c>
      <c r="F11" s="801">
        <f>Bridge!Y19</f>
        <v>-8.7367984235799998</v>
      </c>
      <c r="G11" s="801">
        <f>Bridge!AA19</f>
        <v>-34.290558515169018</v>
      </c>
      <c r="H11" s="801">
        <f>Bridge!AB19</f>
        <v>-5.7640203629386235</v>
      </c>
      <c r="I11" s="801">
        <f>Bridge!AC19</f>
        <v>70.572858606569</v>
      </c>
      <c r="J11" s="801" t="e">
        <f>Bridge!#REF!</f>
        <v>#REF!</v>
      </c>
      <c r="K11" s="801">
        <f>Bridge!AD19</f>
        <v>-4.4371961993175546</v>
      </c>
      <c r="L11" s="801" t="e">
        <f>SUM(B11:K11)</f>
        <v>#REF!</v>
      </c>
    </row>
    <row r="12" spans="1:12">
      <c r="D12" s="235"/>
      <c r="G12" s="235"/>
      <c r="H12" s="235"/>
      <c r="I12" s="235"/>
      <c r="J12" s="235"/>
      <c r="K12" s="235"/>
      <c r="L12" s="777"/>
    </row>
    <row r="13" spans="1:12">
      <c r="A13" s="97" t="s">
        <v>688</v>
      </c>
      <c r="B13" s="801">
        <v>245</v>
      </c>
      <c r="C13" s="801"/>
      <c r="D13" s="801"/>
      <c r="E13" s="801"/>
      <c r="F13" s="801"/>
      <c r="G13" s="801"/>
      <c r="H13" s="801"/>
      <c r="I13" s="801"/>
      <c r="J13" s="801"/>
      <c r="K13" s="801">
        <v>172</v>
      </c>
      <c r="L13" s="801">
        <f>SUM(B13:K13)</f>
        <v>417</v>
      </c>
    </row>
    <row r="14" spans="1:12">
      <c r="B14" s="777"/>
      <c r="L14" s="97">
        <v>417</v>
      </c>
    </row>
    <row r="15" spans="1:12">
      <c r="B15" s="235"/>
      <c r="L15" s="777">
        <f>L14-B13</f>
        <v>172</v>
      </c>
    </row>
    <row r="16" spans="1:12">
      <c r="C16" s="235"/>
      <c r="D16" s="235"/>
      <c r="E16" s="235"/>
      <c r="F16" s="235"/>
      <c r="G16" s="235"/>
      <c r="H16" s="235"/>
      <c r="I16" s="235"/>
      <c r="J16" s="235"/>
      <c r="K16" s="235"/>
      <c r="L16" s="235"/>
    </row>
    <row r="18" spans="1:12" hidden="1"/>
    <row r="19" spans="1:12" ht="16.5">
      <c r="C19" s="710"/>
      <c r="D19" s="710"/>
      <c r="E19" s="710"/>
      <c r="F19" s="710"/>
      <c r="G19" s="710"/>
      <c r="H19" s="710"/>
      <c r="I19" s="710"/>
      <c r="J19" s="710"/>
      <c r="K19" s="710"/>
      <c r="L19" s="711"/>
    </row>
    <row r="22" spans="1:12" ht="17.850000000000001" customHeight="1">
      <c r="A22" s="97" t="s">
        <v>687</v>
      </c>
      <c r="B22" s="97" t="s">
        <v>260</v>
      </c>
    </row>
    <row r="23" spans="1:12" ht="17.850000000000001" customHeight="1"/>
    <row r="24" spans="1:12">
      <c r="A24" s="97" t="s">
        <v>691</v>
      </c>
      <c r="B24" s="802">
        <f>'[38]Template - LEAN vs MRF anterior'!$AO$50+'[38]Template - LEAN vs MRF anterior'!$AO$51</f>
        <v>13.440801832529418</v>
      </c>
      <c r="C24" s="803">
        <f>L24</f>
        <v>12.542048969999984</v>
      </c>
      <c r="L24" s="802">
        <f>'[38]Template - LEAN vs MRF anterior'!$AQ$50+'[38]Template - LEAN vs MRF anterior'!$AQ$51</f>
        <v>12.542048969999984</v>
      </c>
    </row>
    <row r="25" spans="1:12">
      <c r="A25" s="97" t="s">
        <v>274</v>
      </c>
      <c r="B25" s="802">
        <f>'[38]Template - LEAN vs MRF anterior'!$AO$66</f>
        <v>0.37359880831916009</v>
      </c>
      <c r="C25" s="803">
        <f>'[38]Template - LEAN vs MRF anterior'!$AQ$66</f>
        <v>-0.25064842000000087</v>
      </c>
      <c r="L25" s="802"/>
    </row>
    <row r="26" spans="1:12">
      <c r="A26" s="97" t="s">
        <v>692</v>
      </c>
      <c r="B26" s="802">
        <f>'[38]Template - LEAN vs MRF anterior'!$AO$52</f>
        <v>-5.3790522839455877</v>
      </c>
      <c r="C26" s="803">
        <f t="shared" ref="C26:C30" si="2">L26</f>
        <v>-5.8421381000000041</v>
      </c>
      <c r="L26" s="802">
        <f>'[38]Template - LEAN vs MRF anterior'!$AQ$52</f>
        <v>-5.8421381000000041</v>
      </c>
    </row>
    <row r="27" spans="1:12">
      <c r="A27" s="97" t="s">
        <v>693</v>
      </c>
      <c r="B27" s="802">
        <f>'[38]Template - LEAN vs MRF anterior'!$AO$83-B25</f>
        <v>59.108871307412336</v>
      </c>
      <c r="C27" s="803">
        <f>L27-C25</f>
        <v>40.366197070000027</v>
      </c>
      <c r="L27" s="802">
        <f>'[38]Template - LEAN vs MRF anterior'!$AQ$83</f>
        <v>40.115548650000029</v>
      </c>
    </row>
    <row r="28" spans="1:12">
      <c r="A28" s="97" t="s">
        <v>256</v>
      </c>
      <c r="B28" s="802">
        <f>'[38]Template - LEAN vs MRF anterior'!$AO$65+'[38]Template - LEAN vs MRF anterior'!$AO$56+'[38]Template - LEAN vs MRF anterior'!$AO$54</f>
        <v>67.194562058842237</v>
      </c>
      <c r="C28" s="803">
        <f t="shared" si="2"/>
        <v>68.785576869999971</v>
      </c>
      <c r="L28" s="802">
        <f>'[38]Template - LEAN vs MRF anterior'!$AQ$65+'[38]Template - LEAN vs MRF anterior'!$AQ$56+'[38]Template - LEAN vs MRF anterior'!$AQ$54</f>
        <v>68.785576869999971</v>
      </c>
    </row>
    <row r="29" spans="1:12">
      <c r="A29" s="97" t="s">
        <v>694</v>
      </c>
      <c r="B29" s="802">
        <f>'[38]Template - LEAN vs MRF anterior'!$AO$92</f>
        <v>-0.67864418108864299</v>
      </c>
      <c r="C29" s="803">
        <f t="shared" si="2"/>
        <v>-1.7551497360181001</v>
      </c>
      <c r="L29" s="802">
        <f>'[38]Template - LEAN vs MRF anterior'!$AQ$92</f>
        <v>-1.7551497360181001</v>
      </c>
    </row>
    <row r="30" spans="1:12">
      <c r="B30" s="802">
        <f>SUM(B24:B29)</f>
        <v>134.0601375420689</v>
      </c>
      <c r="C30" s="803">
        <f t="shared" si="2"/>
        <v>113.84588665398189</v>
      </c>
      <c r="L30" s="802">
        <f>SUM(L24:L29)</f>
        <v>113.84588665398189</v>
      </c>
    </row>
    <row r="34" spans="2:12">
      <c r="B34" s="237" t="str">
        <f>B4</f>
        <v>FY26
Budget</v>
      </c>
      <c r="C34" s="237" t="str">
        <f t="shared" ref="C34:L34" si="3">C4</f>
        <v>Vol &amp; Mix</v>
      </c>
      <c r="D34" s="237" t="str">
        <f t="shared" si="3"/>
        <v>Selling 
price</v>
      </c>
      <c r="E34" s="237" t="str">
        <f t="shared" si="3"/>
        <v>Input 
price</v>
      </c>
      <c r="F34" s="237" t="str">
        <f t="shared" si="3"/>
        <v>Usage 
Market driven</v>
      </c>
      <c r="G34" s="237" t="str">
        <f t="shared" si="3"/>
        <v>Fixed 
costs</v>
      </c>
      <c r="H34" s="237" t="str">
        <f t="shared" si="3"/>
        <v>Logistic</v>
      </c>
      <c r="I34" s="237" t="str">
        <f t="shared" si="3"/>
        <v>Exchange 
rate</v>
      </c>
      <c r="J34" s="237" t="e">
        <f t="shared" si="3"/>
        <v>#REF!</v>
      </c>
      <c r="K34" s="237" t="str">
        <f t="shared" si="3"/>
        <v>SV/Others</v>
      </c>
      <c r="L34" s="237" t="str">
        <f t="shared" si="3"/>
        <v>FY26
MRF7</v>
      </c>
    </row>
    <row r="35" spans="2:12">
      <c r="B35" s="237"/>
      <c r="C35" s="237"/>
      <c r="D35" s="237"/>
      <c r="E35" s="237"/>
      <c r="F35" s="237"/>
      <c r="G35" s="237"/>
      <c r="H35" s="237"/>
      <c r="I35" s="237"/>
      <c r="J35" s="237"/>
      <c r="K35" s="237"/>
      <c r="L35" s="237"/>
    </row>
    <row r="36" spans="2:12">
      <c r="B36" s="235">
        <f>B6+B7</f>
        <v>877.04404452987512</v>
      </c>
      <c r="C36" s="236">
        <f t="shared" ref="C36:K36" si="4">C6+C7</f>
        <v>-6.680380721635153</v>
      </c>
      <c r="D36" s="236">
        <f t="shared" si="4"/>
        <v>286.54894369344618</v>
      </c>
      <c r="E36" s="236">
        <f t="shared" si="4"/>
        <v>-177.47194678166522</v>
      </c>
      <c r="F36" s="236">
        <f t="shared" si="4"/>
        <v>-8.7367984235799998</v>
      </c>
      <c r="G36" s="236">
        <f t="shared" si="4"/>
        <v>-34.290558515169018</v>
      </c>
      <c r="H36" s="236">
        <f t="shared" si="4"/>
        <v>-5.7640203629386235</v>
      </c>
      <c r="I36" s="236">
        <f t="shared" si="4"/>
        <v>70.572858606569</v>
      </c>
      <c r="J36" s="236" t="e">
        <f t="shared" si="4"/>
        <v>#REF!</v>
      </c>
      <c r="K36" s="236">
        <f t="shared" si="4"/>
        <v>167.56280380068245</v>
      </c>
      <c r="L36" s="235" t="e">
        <f>SUM(B36:K36)</f>
        <v>#REF!</v>
      </c>
    </row>
  </sheetData>
  <conditionalFormatting sqref="C6:K7">
    <cfRule type="cellIs" dxfId="10" priority="3" operator="greaterThanOrEqual">
      <formula>0</formula>
    </cfRule>
    <cfRule type="cellIs" dxfId="9" priority="4" operator="lessThan">
      <formula>0</formula>
    </cfRule>
  </conditionalFormatting>
  <conditionalFormatting sqref="C36:K36">
    <cfRule type="cellIs" dxfId="8" priority="1" operator="greaterThanOrEqual">
      <formula>0</formula>
    </cfRule>
    <cfRule type="cellIs" dxfId="7" priority="2" operator="lessThan">
      <formula>0</formula>
    </cfRule>
  </conditionalFormatting>
  <printOptions horizontalCentered="1"/>
  <pageMargins left="0.17" right="0.2" top="0.66" bottom="0.59" header="0.51181102362204722" footer="0.51181102362204722"/>
  <pageSetup paperSize="8" scale="32" orientation="portrait" verticalDpi="598" r:id="rId1"/>
  <headerFooter alignWithMargins="0">
    <oddHeader>&amp;LArcelorMittal
Management Reporting&amp;C&amp;F
&amp;A&amp;RBudget 2010</oddHeader>
    <oddFooter>&amp;CPage &amp;P/&amp;N&amp;RPrinted: &amp;D, &amp;T</oddFooter>
  </headerFooter>
  <customProperties>
    <customPr name="_pios_id" r:id="rId2"/>
  </customProperties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54967-8B99-445C-8101-F6B274740765}">
  <sheetPr>
    <tabColor rgb="FF0070C0"/>
  </sheetPr>
  <dimension ref="B1:AP17"/>
  <sheetViews>
    <sheetView showGridLines="0" zoomScaleNormal="100" workbookViewId="0">
      <selection activeCell="G15" sqref="G15"/>
    </sheetView>
  </sheetViews>
  <sheetFormatPr defaultRowHeight="12.75"/>
  <cols>
    <col min="2" max="2" width="12.42578125" customWidth="1"/>
    <col min="3" max="3" width="9.5703125" customWidth="1"/>
    <col min="4" max="4" width="1.42578125" customWidth="1"/>
    <col min="5" max="5" width="12.42578125" customWidth="1"/>
    <col min="6" max="6" width="9.5703125" customWidth="1"/>
    <col min="7" max="7" width="1.42578125" customWidth="1"/>
    <col min="8" max="8" width="12.42578125" customWidth="1"/>
    <col min="9" max="9" width="9.5703125" customWidth="1"/>
    <col min="10" max="10" width="1.42578125" customWidth="1"/>
    <col min="11" max="11" width="12.42578125" customWidth="1"/>
    <col min="12" max="12" width="9.5703125" customWidth="1"/>
    <col min="13" max="13" width="1.42578125" customWidth="1"/>
    <col min="14" max="14" width="9.42578125" bestFit="1" customWidth="1"/>
    <col min="15" max="15" width="9.5703125" customWidth="1"/>
    <col min="16" max="16" width="1.42578125" customWidth="1"/>
    <col min="17" max="17" width="1.42578125" hidden="1" customWidth="1"/>
    <col min="18" max="18" width="12.42578125" hidden="1" customWidth="1"/>
    <col min="19" max="19" width="9.5703125" hidden="1" customWidth="1"/>
    <col min="20" max="20" width="1.42578125" hidden="1" customWidth="1"/>
    <col min="21" max="21" width="12.42578125" customWidth="1"/>
    <col min="22" max="22" width="9.5703125" customWidth="1"/>
    <col min="23" max="23" width="1.42578125" customWidth="1"/>
    <col min="24" max="24" width="12.42578125" customWidth="1"/>
    <col min="25" max="25" width="9.5703125" customWidth="1"/>
    <col min="26" max="26" width="1.42578125" customWidth="1"/>
    <col min="27" max="27" width="12.42578125" customWidth="1"/>
    <col min="28" max="28" width="9.5703125" customWidth="1"/>
    <col min="29" max="29" width="1.42578125" hidden="1" customWidth="1"/>
    <col min="30" max="30" width="12.42578125" hidden="1" customWidth="1"/>
    <col min="31" max="31" width="9.5703125" hidden="1" customWidth="1"/>
    <col min="32" max="32" width="1.42578125" hidden="1" customWidth="1"/>
    <col min="33" max="33" width="12.42578125" hidden="1" customWidth="1"/>
    <col min="34" max="34" width="9.5703125" hidden="1" customWidth="1"/>
    <col min="35" max="35" width="1.42578125" customWidth="1"/>
    <col min="36" max="36" width="12.42578125" customWidth="1"/>
    <col min="37" max="37" width="9.5703125" customWidth="1"/>
  </cols>
  <sheetData>
    <row r="1" spans="2:42">
      <c r="K1" t="s">
        <v>870</v>
      </c>
    </row>
    <row r="3" spans="2:42">
      <c r="B3" s="1088" t="str">
        <f>'Bridge Consolidade modelo n (2)'!C4</f>
        <v>US tariff impact</v>
      </c>
      <c r="C3" s="1059"/>
      <c r="E3" s="1088" t="str">
        <f>'Bridge Consolidade modelo n (2)'!D4</f>
        <v>Mix DM</v>
      </c>
      <c r="F3" s="1059"/>
      <c r="H3" s="1088" t="str">
        <f>'Bridge Consolidade modelo n (2)'!E4</f>
        <v>Price DM</v>
      </c>
      <c r="I3" s="1059"/>
      <c r="K3" s="1088" t="str">
        <f>'Bridge Consolidade modelo n (2)'!F4</f>
        <v>Forex Industry</v>
      </c>
      <c r="L3" s="1059"/>
      <c r="N3" s="1088" t="s">
        <v>874</v>
      </c>
      <c r="O3" s="1059"/>
      <c r="R3" s="1088" t="str">
        <f>'Bridge Consolidade modelo n (2)'!H4</f>
        <v>Input price</v>
      </c>
      <c r="S3" s="1059"/>
      <c r="U3" s="1088" t="str">
        <f>'Bridge Consolidade modelo n (2)'!I4</f>
        <v>Cost reduction</v>
      </c>
      <c r="V3" s="1088"/>
      <c r="X3" s="1088" t="str">
        <f>'Bridge Consolidade modelo n (2)'!J4</f>
        <v>Invest-ES</v>
      </c>
      <c r="Y3" s="1088"/>
      <c r="AA3" s="1088" t="str">
        <f>'Bridge Consolidade modelo n (2)'!K4</f>
        <v>Extemporaneous effects</v>
      </c>
      <c r="AB3" s="1088"/>
      <c r="AD3" s="1088">
        <f>'Bridge Consolidade modelo n (2)'!L4</f>
        <v>0</v>
      </c>
      <c r="AE3" s="1088"/>
      <c r="AG3" s="1088">
        <f>'Bridge Consolidade modelo n (2)'!M4</f>
        <v>0</v>
      </c>
      <c r="AH3" s="1088"/>
      <c r="AJ3" s="1088" t="str">
        <f>'Bridge Consolidade modelo n (2)'!N4</f>
        <v>Others</v>
      </c>
      <c r="AK3" s="1059"/>
    </row>
    <row r="4" spans="2:42" ht="4.5" customHeight="1">
      <c r="B4" s="130"/>
      <c r="C4" s="130"/>
      <c r="E4" s="130"/>
      <c r="F4" s="130"/>
      <c r="H4" s="130"/>
      <c r="I4" s="130"/>
      <c r="K4" s="130"/>
      <c r="L4" s="130"/>
      <c r="N4" s="130"/>
      <c r="O4" s="130"/>
      <c r="R4" s="130"/>
      <c r="S4" s="130"/>
      <c r="U4" s="130"/>
      <c r="V4" s="130"/>
      <c r="X4" s="130"/>
      <c r="Y4" s="130"/>
      <c r="AA4" s="130"/>
      <c r="AB4" s="130"/>
      <c r="AD4" s="130"/>
      <c r="AE4" s="130"/>
      <c r="AG4" s="130"/>
      <c r="AH4" s="130"/>
      <c r="AJ4" s="130"/>
      <c r="AK4" s="130"/>
    </row>
    <row r="5" spans="2:42">
      <c r="B5" s="232" t="s">
        <v>689</v>
      </c>
      <c r="C5" s="232" t="s">
        <v>90</v>
      </c>
      <c r="D5" s="251"/>
      <c r="E5" s="232" t="s">
        <v>689</v>
      </c>
      <c r="F5" s="232" t="s">
        <v>90</v>
      </c>
      <c r="G5" s="251"/>
      <c r="H5" s="232" t="s">
        <v>689</v>
      </c>
      <c r="I5" s="232" t="s">
        <v>90</v>
      </c>
      <c r="J5" s="251"/>
      <c r="K5" s="232" t="s">
        <v>689</v>
      </c>
      <c r="L5" s="232" t="s">
        <v>90</v>
      </c>
      <c r="M5" s="251"/>
      <c r="N5" s="232" t="s">
        <v>689</v>
      </c>
      <c r="O5" s="232" t="s">
        <v>90</v>
      </c>
      <c r="P5" s="251"/>
      <c r="Q5" s="251"/>
      <c r="R5" s="232" t="s">
        <v>689</v>
      </c>
      <c r="S5" s="232" t="s">
        <v>90</v>
      </c>
      <c r="T5" s="251"/>
      <c r="U5" s="232" t="s">
        <v>689</v>
      </c>
      <c r="V5" s="232" t="s">
        <v>90</v>
      </c>
      <c r="W5" s="251"/>
      <c r="X5" s="232" t="s">
        <v>689</v>
      </c>
      <c r="Y5" s="232" t="s">
        <v>90</v>
      </c>
      <c r="Z5" s="251"/>
      <c r="AA5" s="232" t="s">
        <v>689</v>
      </c>
      <c r="AB5" s="232" t="s">
        <v>90</v>
      </c>
      <c r="AC5" s="251"/>
      <c r="AD5" s="232" t="s">
        <v>689</v>
      </c>
      <c r="AE5" s="232" t="s">
        <v>90</v>
      </c>
      <c r="AF5" s="251"/>
      <c r="AG5" s="232" t="s">
        <v>689</v>
      </c>
      <c r="AH5" s="232" t="s">
        <v>90</v>
      </c>
      <c r="AI5" s="251"/>
      <c r="AJ5" s="232" t="s">
        <v>689</v>
      </c>
      <c r="AK5" s="232" t="s">
        <v>90</v>
      </c>
    </row>
    <row r="6" spans="2:42">
      <c r="B6" s="809" t="s">
        <v>708</v>
      </c>
      <c r="C6" s="148">
        <f>-'[42]Summary Dec16th'!$S$29</f>
        <v>-95.2030449649573</v>
      </c>
      <c r="D6" s="251"/>
      <c r="E6" s="809" t="s">
        <v>708</v>
      </c>
      <c r="F6" s="148">
        <f>'Bridge Consolidade modelo n (2)'!D53</f>
        <v>-12.209934010261026</v>
      </c>
      <c r="G6" s="251"/>
      <c r="H6" s="809" t="s">
        <v>708</v>
      </c>
      <c r="I6" s="148">
        <f>'Bridge Consolidade modelo n (2)'!E53</f>
        <v>52.025990401928425</v>
      </c>
      <c r="J6" s="251"/>
      <c r="K6" s="809" t="s">
        <v>708</v>
      </c>
      <c r="L6" s="148">
        <f>'Bridge Consolidade modelo n (2)'!F53</f>
        <v>104.08292976195813</v>
      </c>
      <c r="M6" s="251"/>
      <c r="N6" s="809" t="s">
        <v>708</v>
      </c>
      <c r="O6" s="148">
        <f>'Bridge Consolidade modelo n (2)'!G53</f>
        <v>-53.898142689461643</v>
      </c>
      <c r="P6" s="251"/>
      <c r="Q6" s="251"/>
      <c r="R6" s="809" t="s">
        <v>708</v>
      </c>
      <c r="S6" s="148">
        <f>'Bridge Consolidade modelo n (2)'!H53</f>
        <v>-157.61884882613339</v>
      </c>
      <c r="T6" s="251"/>
      <c r="U6" s="809" t="s">
        <v>708</v>
      </c>
      <c r="V6" s="148">
        <f>[45]Planilha1!$G$17</f>
        <v>41.7</v>
      </c>
      <c r="W6" s="251"/>
      <c r="X6" s="809" t="s">
        <v>708</v>
      </c>
      <c r="Y6" s="148">
        <f>'Bridge Consolidade modelo n (2)'!J53</f>
        <v>-4.8965639554309162</v>
      </c>
      <c r="Z6" s="251"/>
      <c r="AA6" s="809" t="s">
        <v>708</v>
      </c>
      <c r="AB6" s="148" t="e">
        <f>Box!#REF!+Box!AU7+Box!#REF!+Box!#REF!+Box!#REF!+Box!#REF!</f>
        <v>#REF!</v>
      </c>
      <c r="AC6" s="251"/>
      <c r="AD6" s="809" t="s">
        <v>708</v>
      </c>
      <c r="AE6" s="148">
        <f>'Bridge Consolidade modelo n (2)'!L53</f>
        <v>0</v>
      </c>
      <c r="AF6" s="251"/>
      <c r="AG6" s="809" t="s">
        <v>708</v>
      </c>
      <c r="AH6" s="148">
        <f>'Bridge Consolidade modelo n (2)'!M53</f>
        <v>0</v>
      </c>
      <c r="AI6" s="251"/>
      <c r="AJ6" s="809" t="s">
        <v>708</v>
      </c>
      <c r="AK6" s="148" t="e">
        <f>'Bridge combinada'!L6-'Bridge combinada'!B6-SUM(C6,F6,I6,L6,O6,V6,Y6,AB6)+1</f>
        <v>#REF!</v>
      </c>
      <c r="AM6">
        <f>'Bridge combinada'!B6</f>
        <v>632.04404452987512</v>
      </c>
      <c r="AN6" s="828" t="e">
        <f>F6+I6+L6+O6+V6+Y6+AB6+AM6+C6+AK6</f>
        <v>#REF!</v>
      </c>
      <c r="AO6" s="828" t="e">
        <f>AP6-AN6</f>
        <v>#REF!</v>
      </c>
      <c r="AP6" s="283">
        <f>'Bridge combinada'!L6+1</f>
        <v>748.918787881188</v>
      </c>
    </row>
    <row r="7" spans="2:42">
      <c r="B7" s="809" t="s">
        <v>709</v>
      </c>
      <c r="C7" s="148">
        <f>-'[42]Summary Dec16th'!$S$53</f>
        <v>-156.22916331866702</v>
      </c>
      <c r="D7" s="251"/>
      <c r="E7" s="809" t="s">
        <v>709</v>
      </c>
      <c r="F7" s="148">
        <f>'Bridge Consolidade modelo n (2)'!D75</f>
        <v>0</v>
      </c>
      <c r="G7" s="251"/>
      <c r="H7" s="809" t="s">
        <v>709</v>
      </c>
      <c r="I7" s="148">
        <f>'Bridge Consolidade modelo n (2)'!E75</f>
        <v>0</v>
      </c>
      <c r="J7" s="251"/>
      <c r="K7" s="809" t="s">
        <v>709</v>
      </c>
      <c r="L7" s="148">
        <f>'Bridge Consolidade modelo n (2)'!F75</f>
        <v>0</v>
      </c>
      <c r="M7" s="251"/>
      <c r="N7" s="809" t="s">
        <v>709</v>
      </c>
      <c r="O7" s="148">
        <f>'Bridge Consolidade modelo n (2)'!G75</f>
        <v>-17</v>
      </c>
      <c r="P7" s="251"/>
      <c r="Q7" s="251"/>
      <c r="R7" s="809" t="s">
        <v>709</v>
      </c>
      <c r="S7" s="148">
        <f>'Bridge Consolidade modelo n (2)'!H75</f>
        <v>-56.55</v>
      </c>
      <c r="T7" s="251"/>
      <c r="U7" s="809" t="s">
        <v>709</v>
      </c>
      <c r="V7" s="148">
        <f>[45]Planilha1!$G$18</f>
        <v>38.700000000000003</v>
      </c>
      <c r="W7" s="251"/>
      <c r="X7" s="809" t="s">
        <v>709</v>
      </c>
      <c r="Y7" s="148">
        <f>'Bridge Consolidade modelo n (2)'!J75</f>
        <v>0</v>
      </c>
      <c r="Z7" s="251"/>
      <c r="AA7" s="809" t="s">
        <v>709</v>
      </c>
      <c r="AB7" s="148">
        <f>'Bridge Consolidade modelo n (2)'!T30</f>
        <v>-2</v>
      </c>
      <c r="AC7" s="251"/>
      <c r="AD7" s="809" t="s">
        <v>709</v>
      </c>
      <c r="AE7" s="148">
        <f>'Bridge Consolidade modelo n (2)'!L75</f>
        <v>0</v>
      </c>
      <c r="AF7" s="251"/>
      <c r="AG7" s="809" t="s">
        <v>709</v>
      </c>
      <c r="AH7" s="148">
        <f>'Bridge Consolidade modelo n (2)'!M75</f>
        <v>-1</v>
      </c>
      <c r="AI7" s="251"/>
      <c r="AJ7" s="809" t="s">
        <v>709</v>
      </c>
      <c r="AK7" s="148">
        <f>'Bridge combinada'!L7-'Bridge combinada'!B7-SUM(C7,F7,I7,L7,O7,V7,Y7,AB7)</f>
        <v>225.16916331866696</v>
      </c>
      <c r="AM7">
        <f>'Bridge combinada'!B7</f>
        <v>100.26</v>
      </c>
      <c r="AN7" s="828">
        <f>F7+I7+L7+O7+V7+Y7+AB7+AM7+C7+AK7</f>
        <v>188.89999999999995</v>
      </c>
      <c r="AO7" s="828">
        <f>AP7-AN7</f>
        <v>0</v>
      </c>
      <c r="AP7">
        <f>'Bridge combinada'!L7</f>
        <v>188.89999999999995</v>
      </c>
    </row>
    <row r="8" spans="2:42">
      <c r="B8" s="810" t="s">
        <v>14</v>
      </c>
      <c r="C8" s="241">
        <f>C6+C7</f>
        <v>-251.43220828362433</v>
      </c>
      <c r="D8" s="251"/>
      <c r="E8" s="810" t="s">
        <v>14</v>
      </c>
      <c r="F8" s="241">
        <f>F6+F7</f>
        <v>-12.209934010261026</v>
      </c>
      <c r="G8" s="251"/>
      <c r="H8" s="810" t="s">
        <v>14</v>
      </c>
      <c r="I8" s="241">
        <f>I6+I7</f>
        <v>52.025990401928425</v>
      </c>
      <c r="J8" s="251"/>
      <c r="K8" s="810" t="s">
        <v>14</v>
      </c>
      <c r="L8" s="241">
        <f>L6+L7</f>
        <v>104.08292976195813</v>
      </c>
      <c r="M8" s="251"/>
      <c r="N8" s="810" t="s">
        <v>14</v>
      </c>
      <c r="O8" s="241">
        <f>O6+O7</f>
        <v>-70.89814268946165</v>
      </c>
      <c r="P8" s="251"/>
      <c r="Q8" s="251"/>
      <c r="R8" s="810" t="s">
        <v>14</v>
      </c>
      <c r="S8" s="241">
        <f>S6+S7</f>
        <v>-214.1688488261334</v>
      </c>
      <c r="T8" s="251"/>
      <c r="U8" s="810" t="s">
        <v>14</v>
      </c>
      <c r="V8" s="241">
        <f>V6+V7</f>
        <v>80.400000000000006</v>
      </c>
      <c r="W8" s="251"/>
      <c r="X8" s="810" t="s">
        <v>14</v>
      </c>
      <c r="Y8" s="241">
        <f>Y6+Y7</f>
        <v>-4.8965639554309162</v>
      </c>
      <c r="Z8" s="251"/>
      <c r="AA8" s="810" t="s">
        <v>14</v>
      </c>
      <c r="AB8" s="241" t="e">
        <f>AB6+AB7</f>
        <v>#REF!</v>
      </c>
      <c r="AC8" s="251"/>
      <c r="AD8" s="810" t="s">
        <v>14</v>
      </c>
      <c r="AE8" s="241">
        <f>AE6+AE7</f>
        <v>0</v>
      </c>
      <c r="AF8" s="251"/>
      <c r="AG8" s="810" t="s">
        <v>14</v>
      </c>
      <c r="AH8" s="241">
        <f>AH6+AH7</f>
        <v>-1</v>
      </c>
      <c r="AI8" s="251"/>
      <c r="AJ8" s="810" t="s">
        <v>14</v>
      </c>
      <c r="AK8" s="241" t="e">
        <f>AK6+AK7+0.3</f>
        <v>#REF!</v>
      </c>
    </row>
    <row r="17" spans="19:19">
      <c r="S17" t="s">
        <v>870</v>
      </c>
    </row>
  </sheetData>
  <mergeCells count="12">
    <mergeCell ref="AG3:AH3"/>
    <mergeCell ref="AJ3:AK3"/>
    <mergeCell ref="B3:C3"/>
    <mergeCell ref="E3:F3"/>
    <mergeCell ref="H3:I3"/>
    <mergeCell ref="K3:L3"/>
    <mergeCell ref="N3:O3"/>
    <mergeCell ref="R3:S3"/>
    <mergeCell ref="U3:V3"/>
    <mergeCell ref="X3:Y3"/>
    <mergeCell ref="AA3:AB3"/>
    <mergeCell ref="AD3:AE3"/>
  </mergeCells>
  <pageMargins left="0.511811024" right="0.511811024" top="0.78740157499999996" bottom="0.78740157499999996" header="0.31496062000000002" footer="0.31496062000000002"/>
  <customProperties>
    <customPr name="_pios_id" r:id="rId1"/>
  </customPropertie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6EE4F-8321-4D00-B374-0A4488F78C30}">
  <dimension ref="A2:R26"/>
  <sheetViews>
    <sheetView showGridLines="0" workbookViewId="0">
      <selection activeCell="J17" sqref="J17"/>
    </sheetView>
  </sheetViews>
  <sheetFormatPr defaultRowHeight="12.75"/>
  <cols>
    <col min="4" max="7" width="12.85546875" bestFit="1" customWidth="1"/>
    <col min="8" max="8" width="13.140625" bestFit="1" customWidth="1"/>
    <col min="9" max="14" width="12.85546875" bestFit="1" customWidth="1"/>
    <col min="15" max="15" width="13.140625" bestFit="1" customWidth="1"/>
    <col min="16" max="16" width="13.85546875" bestFit="1" customWidth="1"/>
  </cols>
  <sheetData>
    <row r="2" spans="1:18" ht="13.5" thickBot="1"/>
    <row r="3" spans="1:18" ht="15.75" thickBot="1">
      <c r="B3" s="607"/>
      <c r="C3" s="607"/>
      <c r="D3" s="976" t="s">
        <v>826</v>
      </c>
      <c r="E3" s="977" t="s">
        <v>827</v>
      </c>
      <c r="F3" s="977" t="s">
        <v>828</v>
      </c>
      <c r="G3" s="977" t="s">
        <v>829</v>
      </c>
      <c r="H3" s="977" t="s">
        <v>811</v>
      </c>
      <c r="I3" s="977" t="s">
        <v>812</v>
      </c>
      <c r="J3" s="977" t="s">
        <v>813</v>
      </c>
      <c r="K3" s="977" t="s">
        <v>814</v>
      </c>
      <c r="L3" s="977" t="s">
        <v>815</v>
      </c>
      <c r="M3" s="977" t="s">
        <v>816</v>
      </c>
      <c r="N3" s="977" t="s">
        <v>817</v>
      </c>
      <c r="O3" s="977" t="s">
        <v>818</v>
      </c>
      <c r="P3" s="977">
        <v>2026</v>
      </c>
      <c r="Q3" s="978"/>
    </row>
    <row r="4" spans="1:18" ht="15">
      <c r="B4" s="979" t="s">
        <v>923</v>
      </c>
      <c r="C4" s="980" t="s">
        <v>72</v>
      </c>
      <c r="D4" s="981">
        <v>10830382.407407399</v>
      </c>
      <c r="E4" s="981">
        <v>11069997.5925925</v>
      </c>
      <c r="F4" s="981">
        <v>11551258.5185185</v>
      </c>
      <c r="G4" s="981">
        <v>11041344.629629601</v>
      </c>
      <c r="H4" s="981">
        <v>11167776.481481399</v>
      </c>
      <c r="I4" s="981">
        <v>11280219.2592592</v>
      </c>
      <c r="J4" s="981">
        <v>11395983.888888801</v>
      </c>
      <c r="K4" s="981">
        <v>12433932.2222222</v>
      </c>
      <c r="L4" s="981">
        <v>11020623.3333333</v>
      </c>
      <c r="M4" s="981">
        <v>12274791.8518518</v>
      </c>
      <c r="N4" s="981">
        <v>12233213.148148101</v>
      </c>
      <c r="O4" s="981">
        <v>8485185.1851851009</v>
      </c>
      <c r="P4" s="981">
        <v>134784708.51851699</v>
      </c>
      <c r="Q4" s="978" t="s">
        <v>260</v>
      </c>
    </row>
    <row r="5" spans="1:18" ht="15">
      <c r="B5" s="979" t="s">
        <v>923</v>
      </c>
      <c r="C5" s="980" t="s">
        <v>72</v>
      </c>
      <c r="D5" s="981">
        <v>11241750.7875</v>
      </c>
      <c r="E5" s="981">
        <v>11907968.888888888</v>
      </c>
      <c r="F5" s="981">
        <v>11474361.019444443</v>
      </c>
      <c r="G5" s="981">
        <v>10961686.876388889</v>
      </c>
      <c r="H5" s="981">
        <v>12161513.465277776</v>
      </c>
      <c r="I5" s="981">
        <v>11429834.531944443</v>
      </c>
      <c r="J5" s="981">
        <v>11508922.652777778</v>
      </c>
      <c r="K5" s="981">
        <v>12054488.797222221</v>
      </c>
      <c r="L5" s="981">
        <v>11423262.215277776</v>
      </c>
      <c r="M5" s="981">
        <v>11383291.713888889</v>
      </c>
      <c r="N5" s="981">
        <v>11257534.229166666</v>
      </c>
      <c r="O5" s="981">
        <v>7367240.3972222228</v>
      </c>
      <c r="P5" s="981">
        <v>134171855.57499999</v>
      </c>
      <c r="Q5" s="978" t="s">
        <v>672</v>
      </c>
    </row>
    <row r="6" spans="1:18" ht="15">
      <c r="B6" s="979" t="s">
        <v>923</v>
      </c>
      <c r="C6" s="980" t="s">
        <v>72</v>
      </c>
      <c r="D6" s="984">
        <v>11646875.235658817</v>
      </c>
      <c r="E6" s="984">
        <v>10128422.056944445</v>
      </c>
      <c r="F6" s="984">
        <v>11789617.94861111</v>
      </c>
      <c r="G6" s="984">
        <v>13314065.522222221</v>
      </c>
      <c r="H6" s="984">
        <v>12983218.751388887</v>
      </c>
      <c r="I6" s="984">
        <v>11860107.506944444</v>
      </c>
      <c r="J6" s="984">
        <v>11916511.993055556</v>
      </c>
      <c r="K6" s="984">
        <v>12684949.88611111</v>
      </c>
      <c r="L6" s="984">
        <v>11516886.30138889</v>
      </c>
      <c r="M6" s="984">
        <v>12291287.813888889</v>
      </c>
      <c r="N6" s="984">
        <v>11363566.193055555</v>
      </c>
      <c r="O6" s="984">
        <v>2880006.1680555549</v>
      </c>
      <c r="P6" s="984">
        <v>134171855.57499999</v>
      </c>
      <c r="Q6" s="978" t="s">
        <v>724</v>
      </c>
    </row>
    <row r="7" spans="1:18" ht="15">
      <c r="A7" s="978"/>
      <c r="B7" s="979" t="s">
        <v>923</v>
      </c>
      <c r="C7" s="980" t="s">
        <v>72</v>
      </c>
      <c r="D7" s="984">
        <f>D6</f>
        <v>11646875.235658817</v>
      </c>
      <c r="E7" s="984">
        <f>([46]Análise!$G$27+[46]Análise!$G$28)*1000000</f>
        <v>10443841.847357847</v>
      </c>
      <c r="F7" s="984">
        <v>11773782.790654207</v>
      </c>
      <c r="G7" s="984">
        <v>12812921.687383179</v>
      </c>
      <c r="H7" s="984">
        <v>12815113.766355142</v>
      </c>
      <c r="I7" s="984">
        <v>12034402.372429907</v>
      </c>
      <c r="J7" s="984">
        <v>12716587.593925234</v>
      </c>
      <c r="K7" s="984">
        <v>12608485.854672896</v>
      </c>
      <c r="L7" s="984">
        <v>11735482.558878506</v>
      </c>
      <c r="M7" s="984">
        <v>12494651.938317757</v>
      </c>
      <c r="N7" s="984">
        <v>12591730.860280372</v>
      </c>
      <c r="O7" s="984">
        <v>965661.32056074776</v>
      </c>
      <c r="P7" s="984">
        <f>SUM(D7:O7)</f>
        <v>134639537.82647464</v>
      </c>
      <c r="Q7" s="978" t="s">
        <v>946</v>
      </c>
    </row>
    <row r="8" spans="1:18" ht="15">
      <c r="B8" s="979" t="s">
        <v>923</v>
      </c>
      <c r="C8" s="980" t="s">
        <v>72</v>
      </c>
      <c r="D8" s="984">
        <f>D7</f>
        <v>11646875.235658817</v>
      </c>
      <c r="E8" s="984">
        <f>E7</f>
        <v>10443841.847357847</v>
      </c>
      <c r="F8" s="984">
        <f>([47]Análise!$G$27+[47]Análise!$G$28)*1000000</f>
        <v>11384596.063678754</v>
      </c>
      <c r="G8" s="984">
        <v>12675235.78738318</v>
      </c>
      <c r="H8" s="984">
        <v>13850723.081775701</v>
      </c>
      <c r="I8" s="984">
        <v>12530993.496728973</v>
      </c>
      <c r="J8" s="984">
        <v>12325262.907476636</v>
      </c>
      <c r="K8" s="984">
        <v>13723009.164953271</v>
      </c>
      <c r="L8" s="984">
        <v>12368118.110747663</v>
      </c>
      <c r="M8" s="984">
        <v>13311752.046728974</v>
      </c>
      <c r="N8" s="984">
        <v>9963171.8046728987</v>
      </c>
      <c r="O8" s="984">
        <v>0</v>
      </c>
      <c r="P8" s="984">
        <f>SUM(D8:O8)</f>
        <v>134223579.54716274</v>
      </c>
      <c r="Q8" s="978" t="s">
        <v>949</v>
      </c>
    </row>
    <row r="9" spans="1:18" ht="15">
      <c r="A9" s="978"/>
      <c r="B9" s="979" t="s">
        <v>923</v>
      </c>
      <c r="C9" s="980" t="s">
        <v>72</v>
      </c>
      <c r="D9" s="984">
        <f>D8</f>
        <v>11646875.235658817</v>
      </c>
      <c r="E9" s="984">
        <f>E8</f>
        <v>10443841.847357847</v>
      </c>
      <c r="F9" s="984">
        <f>F8</f>
        <v>11384596.063678754</v>
      </c>
      <c r="G9" s="984">
        <f>([48]Análise!$G$27+[48]Análise!$G$28)*1000000</f>
        <v>11824558.511481542</v>
      </c>
      <c r="H9" s="984">
        <f>'[49]AMB_ICMS ES'!H187</f>
        <v>12629418.825714286</v>
      </c>
      <c r="I9" s="984">
        <f>'[49]AMB_ICMS ES'!I187</f>
        <v>14742585.470000001</v>
      </c>
      <c r="J9" s="984">
        <f>'[49]AMB_ICMS ES'!J187</f>
        <v>12324342.217142858</v>
      </c>
      <c r="K9" s="984">
        <f>'[49]AMB_ICMS ES'!K187</f>
        <v>14002044.035714285</v>
      </c>
      <c r="L9" s="984">
        <f>'[49]AMB_ICMS ES'!L187</f>
        <v>12869043.422857143</v>
      </c>
      <c r="M9" s="984">
        <f>'[49]AMB_ICMS ES'!M187</f>
        <v>13627621.635714287</v>
      </c>
      <c r="N9" s="984">
        <f>'[49]AMB_ICMS ES'!N187</f>
        <v>8737401.5442857146</v>
      </c>
      <c r="O9" s="984">
        <v>552379.70891144895</v>
      </c>
      <c r="P9" s="984">
        <f t="shared" ref="P9" si="0">SUM(D9:O9)</f>
        <v>134784708.51851699</v>
      </c>
      <c r="Q9" s="978" t="s">
        <v>953</v>
      </c>
      <c r="R9" s="982">
        <f>P9-P4</f>
        <v>0</v>
      </c>
    </row>
    <row r="10" spans="1:18" ht="15">
      <c r="A10" s="978"/>
      <c r="B10" s="979" t="s">
        <v>923</v>
      </c>
      <c r="C10" s="980" t="s">
        <v>72</v>
      </c>
      <c r="D10" s="984">
        <f>D9</f>
        <v>11646875.235658817</v>
      </c>
      <c r="E10" s="984">
        <f>E9</f>
        <v>10443841.847357847</v>
      </c>
      <c r="F10" s="984">
        <f>F9</f>
        <v>11384596.063678754</v>
      </c>
      <c r="G10" s="984">
        <f>G9</f>
        <v>11824558.511481542</v>
      </c>
      <c r="H10" s="984">
        <f>([50]Análise!$G$27+[50]Análise!$G$28)*1000000</f>
        <v>13968621.345932741</v>
      </c>
      <c r="I10" s="984">
        <v>11358155.958173078</v>
      </c>
      <c r="J10" s="984">
        <v>12325978.704807691</v>
      </c>
      <c r="K10" s="984">
        <v>15083263.179807691</v>
      </c>
      <c r="L10" s="984">
        <v>13273870.482692309</v>
      </c>
      <c r="M10" s="984">
        <v>13833510.724038461</v>
      </c>
      <c r="N10" s="984">
        <v>12971807.227403846</v>
      </c>
      <c r="O10" s="984"/>
      <c r="P10" s="984">
        <f>SUM(D10:O10)</f>
        <v>138115079.28103277</v>
      </c>
      <c r="Q10" s="978" t="s">
        <v>957</v>
      </c>
    </row>
    <row r="11" spans="1:18" ht="15">
      <c r="A11" s="978"/>
      <c r="B11" s="979" t="s">
        <v>923</v>
      </c>
      <c r="C11" s="980" t="s">
        <v>72</v>
      </c>
      <c r="D11" s="984">
        <f>D10</f>
        <v>11646875.235658817</v>
      </c>
      <c r="E11" s="984">
        <f t="shared" ref="E11:H11" si="1">E10</f>
        <v>10443841.847357847</v>
      </c>
      <c r="F11" s="984">
        <f t="shared" si="1"/>
        <v>11384596.063678754</v>
      </c>
      <c r="G11" s="984">
        <f t="shared" si="1"/>
        <v>11824558.511481542</v>
      </c>
      <c r="H11" s="984">
        <f t="shared" si="1"/>
        <v>13968621.345932741</v>
      </c>
      <c r="I11" s="984">
        <f>([51]Análise!$G$27+[51]Análise!$G$28)*1000000</f>
        <v>12490587.05785181</v>
      </c>
      <c r="J11" s="984">
        <f>'[52]AMB_ICMS ES'!J199</f>
        <v>-5942732.8321394883</v>
      </c>
      <c r="K11" s="984">
        <f>'[52]AMB_ICMS ES'!K199</f>
        <v>14311340.852314835</v>
      </c>
      <c r="L11" s="984">
        <f>'[52]AMB_ICMS ES'!L199</f>
        <v>11707336.125555219</v>
      </c>
      <c r="M11" s="984">
        <f>'[52]AMB_ICMS ES'!M199</f>
        <v>14078424.155358104</v>
      </c>
      <c r="N11" s="984">
        <f>'[52]AMB_ICMS ES'!N199</f>
        <v>13470828.712629739</v>
      </c>
      <c r="O11" s="984">
        <f>'[52]AMB_ICMS ES'!O199</f>
        <v>10503867.487406183</v>
      </c>
      <c r="P11" s="984">
        <f t="shared" ref="P11" si="2">SUM(D11:O11)</f>
        <v>129888144.56308608</v>
      </c>
      <c r="Q11" s="978" t="s">
        <v>317</v>
      </c>
    </row>
    <row r="21" spans="3:15">
      <c r="H21" s="982">
        <f>H9*5.25</f>
        <v>66304448.835000001</v>
      </c>
      <c r="I21" s="982">
        <f t="shared" ref="I21:O21" si="3">I9*5.25</f>
        <v>77398573.717500001</v>
      </c>
      <c r="J21" s="982">
        <f t="shared" si="3"/>
        <v>64702796.640000001</v>
      </c>
      <c r="K21" s="982">
        <f t="shared" si="3"/>
        <v>73510731.1875</v>
      </c>
      <c r="L21" s="982">
        <f t="shared" si="3"/>
        <v>67562477.969999999</v>
      </c>
      <c r="M21" s="982">
        <f t="shared" si="3"/>
        <v>71545013.587500006</v>
      </c>
      <c r="N21" s="982">
        <f t="shared" si="3"/>
        <v>45871358.107500002</v>
      </c>
      <c r="O21" s="982">
        <f t="shared" si="3"/>
        <v>2899993.4717851072</v>
      </c>
    </row>
    <row r="22" spans="3:15" ht="13.5" thickBot="1"/>
    <row r="23" spans="3:15" ht="13.5" thickBot="1">
      <c r="D23" s="976" t="s">
        <v>314</v>
      </c>
      <c r="E23" s="977" t="s">
        <v>315</v>
      </c>
      <c r="F23" s="977" t="s">
        <v>316</v>
      </c>
      <c r="G23" s="977" t="s">
        <v>432</v>
      </c>
      <c r="H23" s="977" t="s">
        <v>311</v>
      </c>
    </row>
    <row r="24" spans="3:15">
      <c r="C24" t="s">
        <v>260</v>
      </c>
      <c r="D24" s="982">
        <f>SUM(D4:F4)/1000000</f>
        <v>33.451638518518401</v>
      </c>
      <c r="E24" s="982">
        <f>SUM(G4:I4)/1000000</f>
        <v>33.489340370370201</v>
      </c>
      <c r="F24" s="982">
        <f>SUM(J4:L4)/1000000</f>
        <v>34.850539444444301</v>
      </c>
      <c r="G24" s="982">
        <f>SUM(M4:O4)/1000000</f>
        <v>32.993190185185007</v>
      </c>
      <c r="H24" s="982">
        <f>SUM(D24:G24)</f>
        <v>134.7847085185179</v>
      </c>
    </row>
    <row r="25" spans="3:15">
      <c r="C25" t="s">
        <v>957</v>
      </c>
      <c r="D25" s="982">
        <f>SUM(D10:F10)/1000000</f>
        <v>33.47531314669542</v>
      </c>
      <c r="E25" s="982">
        <f>SUM(G10:I10)/1000000</f>
        <v>37.151335815587359</v>
      </c>
      <c r="F25" s="982">
        <f>SUM(J10:L10)/1000000</f>
        <v>40.683112367307693</v>
      </c>
      <c r="G25" s="982">
        <f>SUM(M10:O10)/1000000</f>
        <v>26.805317951442309</v>
      </c>
      <c r="H25" s="982">
        <f>SUM(D25:G25)</f>
        <v>138.11507928103279</v>
      </c>
    </row>
    <row r="26" spans="3:15">
      <c r="C26" t="s">
        <v>924</v>
      </c>
      <c r="D26" s="982">
        <f>D25-D24</f>
        <v>2.3674628177019486E-2</v>
      </c>
      <c r="E26" s="982">
        <f t="shared" ref="E26:G26" si="4">E25-E24</f>
        <v>3.6619954452171584</v>
      </c>
      <c r="F26" s="982">
        <f t="shared" si="4"/>
        <v>5.8325729228633918</v>
      </c>
      <c r="G26" s="982">
        <f t="shared" si="4"/>
        <v>-6.1878722337426986</v>
      </c>
      <c r="H26" s="982">
        <f>SUM(D26:G26)</f>
        <v>3.3303707625148711</v>
      </c>
    </row>
  </sheetData>
  <phoneticPr fontId="214" type="noConversion"/>
  <pageMargins left="0.511811024" right="0.511811024" top="0.78740157499999996" bottom="0.78740157499999996" header="0.31496062000000002" footer="0.31496062000000002"/>
  <customProperties>
    <customPr name="_pios_id" r:id="rId1"/>
  </customProperties>
  <ignoredErrors>
    <ignoredError sqref="G9" formula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6">
    <pageSetUpPr fitToPage="1"/>
  </sheetPr>
  <dimension ref="A1:AO57"/>
  <sheetViews>
    <sheetView showGridLines="0" topLeftCell="K16" zoomScale="70" zoomScaleNormal="70" workbookViewId="0">
      <selection activeCell="K28" sqref="A1:XFD1048576"/>
    </sheetView>
  </sheetViews>
  <sheetFormatPr defaultColWidth="9.42578125" defaultRowHeight="15"/>
  <cols>
    <col min="1" max="1" width="18.5703125" style="196" customWidth="1"/>
    <col min="2" max="13" width="10.5703125" style="196" customWidth="1"/>
    <col min="14" max="14" width="13.42578125" style="196" customWidth="1"/>
    <col min="15" max="15" width="5" style="196" customWidth="1"/>
    <col min="16" max="21" width="9.42578125" style="196"/>
    <col min="22" max="22" width="13.42578125" style="196" customWidth="1"/>
    <col min="23" max="23" width="12.5703125" style="196" bestFit="1" customWidth="1"/>
    <col min="24" max="24" width="11.42578125" style="196" customWidth="1"/>
    <col min="25" max="25" width="13.42578125" style="196" customWidth="1"/>
    <col min="26" max="26" width="13" style="196" customWidth="1"/>
    <col min="27" max="27" width="12.42578125" style="196" customWidth="1"/>
    <col min="28" max="28" width="9.42578125" style="196" customWidth="1"/>
    <col min="29" max="29" width="14" style="196" customWidth="1"/>
    <col min="30" max="30" width="12.42578125" style="196" customWidth="1"/>
    <col min="31" max="31" width="13.5703125" style="196" customWidth="1"/>
    <col min="32" max="32" width="12.42578125" style="196" customWidth="1"/>
    <col min="33" max="33" width="11.5703125" style="196" customWidth="1"/>
    <col min="34" max="34" width="13.5703125" style="196" customWidth="1"/>
    <col min="35" max="35" width="11.42578125" style="196" customWidth="1"/>
    <col min="36" max="36" width="8.5703125" style="196" customWidth="1"/>
    <col min="37" max="37" width="13.5703125" style="196" customWidth="1"/>
    <col min="38" max="38" width="13" style="196" customWidth="1"/>
    <col min="39" max="39" width="16.42578125" style="196" customWidth="1"/>
    <col min="40" max="40" width="16.42578125" style="196" hidden="1" customWidth="1"/>
    <col min="41" max="41" width="9.5703125" style="196" customWidth="1"/>
    <col min="42" max="42" width="13.5703125" style="196" customWidth="1"/>
    <col min="43" max="43" width="16.42578125" style="196" customWidth="1"/>
    <col min="44" max="16384" width="9.42578125" style="196"/>
  </cols>
  <sheetData>
    <row r="1" spans="1:14" ht="18" customHeight="1">
      <c r="A1" s="195"/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</row>
    <row r="27" spans="1:41" ht="15.75" thickBot="1"/>
    <row r="28" spans="1:41" ht="15.75" thickBot="1">
      <c r="B28" s="98"/>
      <c r="C28" s="98"/>
      <c r="D28" s="99"/>
      <c r="E28" s="100"/>
      <c r="F28" s="101"/>
      <c r="G28" s="102"/>
      <c r="H28" s="100"/>
      <c r="I28" s="101"/>
      <c r="J28" s="102"/>
      <c r="W28" s="333"/>
      <c r="X28" s="243"/>
      <c r="Y28" s="243"/>
      <c r="Z28" s="243"/>
      <c r="AA28" s="388"/>
      <c r="AB28" s="243"/>
      <c r="AC28" s="243"/>
      <c r="AD28" s="242"/>
      <c r="AE28" s="243"/>
      <c r="AF28" s="243"/>
      <c r="AG28" s="243"/>
      <c r="AH28" s="243"/>
      <c r="AI28" s="243"/>
      <c r="AJ28" s="388"/>
      <c r="AK28" s="243"/>
      <c r="AL28" s="243"/>
      <c r="AM28" s="243"/>
      <c r="AN28" s="243"/>
      <c r="AO28" s="333"/>
    </row>
    <row r="29" spans="1:41">
      <c r="A29" s="197"/>
      <c r="B29" s="104"/>
      <c r="C29" s="104"/>
      <c r="D29" s="104"/>
      <c r="E29" s="105"/>
      <c r="F29" s="105"/>
      <c r="G29" s="105"/>
      <c r="H29" s="105"/>
      <c r="I29" s="105"/>
      <c r="J29" s="105"/>
      <c r="L29" s="202"/>
    </row>
    <row r="30" spans="1:41">
      <c r="A30" s="198"/>
      <c r="B30" s="104"/>
      <c r="C30" s="104"/>
      <c r="D30" s="104"/>
      <c r="E30" s="104"/>
      <c r="F30" s="104"/>
      <c r="G30" s="104"/>
      <c r="H30" s="104"/>
      <c r="I30" s="104"/>
      <c r="J30" s="104"/>
      <c r="L30" s="202"/>
      <c r="W30" s="240"/>
      <c r="X30" s="236"/>
      <c r="Y30" s="236"/>
      <c r="Z30" s="236"/>
      <c r="AA30" s="240"/>
      <c r="AB30" s="236"/>
      <c r="AC30" s="236"/>
      <c r="AD30" s="235"/>
      <c r="AE30" s="236"/>
      <c r="AF30" s="236"/>
      <c r="AG30" s="236"/>
      <c r="AH30" s="235"/>
      <c r="AI30" s="235"/>
      <c r="AJ30" s="240"/>
      <c r="AK30" s="235"/>
      <c r="AL30" s="235"/>
      <c r="AM30" s="235"/>
      <c r="AN30" s="235"/>
      <c r="AO30" s="240"/>
    </row>
    <row r="31" spans="1:41">
      <c r="A31" s="198"/>
      <c r="B31" s="104"/>
      <c r="C31" s="104"/>
      <c r="D31" s="104"/>
      <c r="E31" s="104"/>
      <c r="F31" s="104"/>
      <c r="G31" s="104"/>
      <c r="H31" s="104"/>
      <c r="I31" s="104"/>
      <c r="J31" s="104"/>
      <c r="L31" s="202"/>
    </row>
    <row r="32" spans="1:41">
      <c r="A32" s="198"/>
      <c r="B32" s="104"/>
      <c r="C32" s="104"/>
      <c r="D32" s="104"/>
      <c r="E32" s="104"/>
      <c r="F32" s="104"/>
      <c r="G32" s="104"/>
      <c r="H32" s="104"/>
      <c r="I32" s="104"/>
      <c r="J32" s="104"/>
      <c r="L32" s="202"/>
      <c r="AE32" s="243"/>
    </row>
    <row r="33" spans="1:37">
      <c r="A33" s="198"/>
      <c r="B33" s="227"/>
      <c r="C33" s="104"/>
      <c r="D33" s="104"/>
      <c r="E33" s="104"/>
      <c r="F33" s="104"/>
      <c r="G33" s="104"/>
      <c r="H33" s="104"/>
      <c r="I33" s="104"/>
      <c r="J33" s="104"/>
      <c r="L33" s="202"/>
      <c r="AC33" s="202"/>
      <c r="AI33" s="202"/>
      <c r="AK33" s="202"/>
    </row>
    <row r="34" spans="1:37">
      <c r="A34" s="198"/>
      <c r="B34" s="104"/>
      <c r="C34" s="104"/>
      <c r="D34" s="104"/>
      <c r="E34" s="104"/>
      <c r="F34" s="104"/>
      <c r="G34" s="104"/>
      <c r="H34" s="104"/>
      <c r="I34" s="104"/>
      <c r="J34" s="104"/>
      <c r="L34" s="202"/>
      <c r="AE34" s="243"/>
    </row>
    <row r="35" spans="1:37">
      <c r="A35" s="198"/>
      <c r="B35" s="104"/>
      <c r="C35" s="104"/>
      <c r="D35" s="104"/>
      <c r="E35" s="104"/>
      <c r="F35" s="104"/>
      <c r="G35" s="104"/>
      <c r="H35" s="104"/>
      <c r="I35" s="104"/>
      <c r="J35" s="104"/>
      <c r="L35" s="202"/>
    </row>
    <row r="36" spans="1:37" hidden="1">
      <c r="A36" s="198"/>
      <c r="B36" s="104"/>
      <c r="C36" s="104"/>
      <c r="D36" s="104"/>
      <c r="E36" s="104"/>
      <c r="F36" s="104"/>
      <c r="G36" s="104"/>
      <c r="H36" s="104"/>
      <c r="I36" s="104"/>
      <c r="J36" s="104"/>
      <c r="L36" s="202"/>
    </row>
    <row r="37" spans="1:37" hidden="1">
      <c r="A37" s="198"/>
      <c r="B37" s="104"/>
      <c r="C37" s="104"/>
      <c r="D37" s="104"/>
      <c r="E37" s="104"/>
      <c r="F37" s="104"/>
      <c r="G37" s="104"/>
      <c r="H37" s="104"/>
      <c r="I37" s="104"/>
      <c r="J37" s="104"/>
      <c r="L37" s="202"/>
    </row>
    <row r="38" spans="1:37" hidden="1">
      <c r="A38" s="198"/>
      <c r="B38" s="104"/>
      <c r="C38" s="108"/>
      <c r="D38" s="108"/>
      <c r="E38" s="109"/>
      <c r="F38" s="109"/>
      <c r="G38" s="109"/>
      <c r="H38" s="109"/>
      <c r="I38" s="109"/>
      <c r="J38" s="109"/>
      <c r="L38" s="202"/>
    </row>
    <row r="39" spans="1:37" hidden="1">
      <c r="A39" s="198"/>
      <c r="B39" s="104"/>
      <c r="C39" s="104"/>
      <c r="D39" s="104"/>
      <c r="E39" s="104"/>
      <c r="F39" s="104"/>
      <c r="G39" s="104"/>
      <c r="H39" s="104"/>
      <c r="I39" s="104"/>
      <c r="J39" s="104"/>
      <c r="L39" s="202"/>
    </row>
    <row r="40" spans="1:37" hidden="1">
      <c r="A40" s="198"/>
      <c r="B40" s="104"/>
      <c r="C40" s="104"/>
      <c r="D40" s="104"/>
      <c r="E40" s="104"/>
      <c r="F40" s="104"/>
      <c r="G40" s="104"/>
      <c r="H40" s="104"/>
      <c r="I40" s="104"/>
      <c r="J40" s="104"/>
      <c r="L40" s="202"/>
    </row>
    <row r="41" spans="1:37" hidden="1">
      <c r="A41" s="198"/>
      <c r="B41" s="104"/>
      <c r="C41" s="104"/>
      <c r="D41" s="104"/>
      <c r="E41" s="104"/>
      <c r="F41" s="104"/>
      <c r="G41" s="104"/>
      <c r="H41" s="104"/>
      <c r="I41" s="104"/>
      <c r="J41" s="104"/>
      <c r="L41" s="202"/>
    </row>
    <row r="42" spans="1:37" hidden="1">
      <c r="A42" s="198"/>
      <c r="B42" s="104"/>
      <c r="C42" s="104"/>
      <c r="D42" s="104"/>
      <c r="E42" s="104"/>
      <c r="F42" s="104"/>
      <c r="G42" s="104"/>
      <c r="H42" s="104"/>
      <c r="I42" s="104"/>
      <c r="J42" s="104"/>
      <c r="L42" s="202"/>
    </row>
    <row r="43" spans="1:37" hidden="1">
      <c r="A43" s="198"/>
      <c r="B43" s="104"/>
      <c r="C43" s="104"/>
      <c r="D43" s="104"/>
      <c r="E43" s="104"/>
      <c r="F43" s="104"/>
      <c r="G43" s="104"/>
      <c r="H43" s="104"/>
      <c r="I43" s="104"/>
      <c r="J43" s="104"/>
      <c r="L43" s="202"/>
    </row>
    <row r="44" spans="1:37" hidden="1">
      <c r="A44" s="198"/>
      <c r="B44" s="104"/>
      <c r="C44" s="104"/>
      <c r="D44" s="104"/>
      <c r="E44" s="104"/>
      <c r="F44" s="104"/>
      <c r="G44" s="104"/>
      <c r="H44" s="104"/>
      <c r="I44" s="104"/>
      <c r="J44" s="104"/>
      <c r="L44" s="202"/>
    </row>
    <row r="45" spans="1:37" hidden="1">
      <c r="A45" s="198"/>
      <c r="B45" s="104"/>
      <c r="C45" s="104"/>
      <c r="D45" s="104"/>
      <c r="E45" s="104"/>
      <c r="F45" s="104"/>
      <c r="G45" s="104"/>
      <c r="H45" s="104"/>
      <c r="I45" s="104"/>
      <c r="J45" s="104"/>
      <c r="L45" s="202"/>
    </row>
    <row r="46" spans="1:37" hidden="1">
      <c r="A46" s="198"/>
      <c r="B46" s="104"/>
      <c r="C46" s="104"/>
      <c r="D46" s="104"/>
      <c r="E46" s="104"/>
      <c r="F46" s="104"/>
      <c r="G46" s="104"/>
      <c r="H46" s="104"/>
      <c r="I46" s="104"/>
      <c r="J46" s="104"/>
      <c r="L46" s="202"/>
    </row>
    <row r="47" spans="1:37" hidden="1">
      <c r="A47" s="198"/>
      <c r="B47" s="104"/>
      <c r="C47" s="104"/>
      <c r="D47" s="104"/>
      <c r="E47" s="104"/>
      <c r="F47" s="104"/>
      <c r="G47" s="104"/>
      <c r="H47" s="104"/>
      <c r="I47" s="104"/>
      <c r="J47" s="104"/>
      <c r="L47" s="202"/>
    </row>
    <row r="48" spans="1:37">
      <c r="A48" s="197"/>
      <c r="B48" s="184"/>
      <c r="C48" s="108"/>
      <c r="D48" s="108"/>
      <c r="E48" s="109"/>
      <c r="F48" s="109"/>
      <c r="G48" s="109"/>
      <c r="H48" s="109"/>
      <c r="I48" s="109"/>
      <c r="J48" s="109"/>
    </row>
    <row r="49" spans="1:2">
      <c r="A49" s="199"/>
      <c r="B49" s="200"/>
    </row>
    <row r="51" spans="1:2">
      <c r="B51" s="201"/>
    </row>
    <row r="52" spans="1:2">
      <c r="B52" s="202"/>
    </row>
    <row r="53" spans="1:2">
      <c r="B53" s="202"/>
    </row>
    <row r="56" spans="1:2">
      <c r="B56" s="202"/>
    </row>
    <row r="57" spans="1:2">
      <c r="B57" s="202"/>
    </row>
  </sheetData>
  <conditionalFormatting sqref="X30:Z30">
    <cfRule type="cellIs" dxfId="6" priority="5" operator="greaterThanOrEqual">
      <formula>0</formula>
    </cfRule>
    <cfRule type="cellIs" dxfId="5" priority="6" operator="lessThan">
      <formula>0</formula>
    </cfRule>
  </conditionalFormatting>
  <conditionalFormatting sqref="AB30:AI30">
    <cfRule type="cellIs" dxfId="4" priority="1" operator="greaterThanOrEqual">
      <formula>0</formula>
    </cfRule>
    <cfRule type="cellIs" dxfId="3" priority="2" operator="lessThan">
      <formula>0</formula>
    </cfRule>
  </conditionalFormatting>
  <conditionalFormatting sqref="AK30:AN30">
    <cfRule type="cellIs" dxfId="2" priority="21" operator="greaterThanOrEqual">
      <formula>0</formula>
    </cfRule>
    <cfRule type="cellIs" dxfId="1" priority="22" operator="lessThan">
      <formula>0</formula>
    </cfRule>
  </conditionalFormatting>
  <printOptions horizontalCentered="1"/>
  <pageMargins left="0.17" right="0.2" top="0.66" bottom="0.59" header="0.51181102362204722" footer="0.51181102362204722"/>
  <pageSetup paperSize="8" scale="25" orientation="portrait" verticalDpi="598" r:id="rId1"/>
  <headerFooter alignWithMargins="0">
    <oddHeader>&amp;LArcelorMittal
Management Reporting&amp;C&amp;F
&amp;A&amp;RBudget 2010</oddHeader>
    <oddFooter>&amp;CPage &amp;P/&amp;N&amp;RPrinted: &amp;D, &amp;T</oddFooter>
  </headerFooter>
  <customProperties>
    <customPr name="_pios_id" r:id="rId2"/>
  </customProperties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CDB73-4AD2-42D8-84FC-876DAFCCFE43}">
  <sheetPr codeName="Planilha4"/>
  <dimension ref="B2:J39"/>
  <sheetViews>
    <sheetView showGridLines="0" workbookViewId="0">
      <selection activeCell="D4" sqref="D4"/>
    </sheetView>
  </sheetViews>
  <sheetFormatPr defaultColWidth="8.5703125" defaultRowHeight="15"/>
  <cols>
    <col min="1" max="1" width="8.5703125" style="627"/>
    <col min="2" max="2" width="29.42578125" style="627" customWidth="1"/>
    <col min="3" max="3" width="17.5703125" style="627" customWidth="1"/>
    <col min="4" max="4" width="8.5703125" style="627"/>
    <col min="5" max="5" width="1.42578125" style="627" customWidth="1"/>
    <col min="6" max="6" width="55.42578125" style="627" customWidth="1"/>
    <col min="7" max="16384" width="8.5703125" style="627"/>
  </cols>
  <sheetData>
    <row r="2" spans="2:6">
      <c r="B2" s="626"/>
    </row>
    <row r="3" spans="2:6" ht="15.75" thickBot="1">
      <c r="B3" s="626"/>
      <c r="D3" s="628" t="s">
        <v>561</v>
      </c>
    </row>
    <row r="4" spans="2:6" ht="15.75" thickBot="1">
      <c r="C4" s="629" t="s">
        <v>562</v>
      </c>
      <c r="D4" s="630">
        <f>Cálculo!$C$3</f>
        <v>632.04404452987512</v>
      </c>
      <c r="F4" s="627" t="s">
        <v>563</v>
      </c>
    </row>
    <row r="5" spans="2:6">
      <c r="B5" s="631" t="s">
        <v>564</v>
      </c>
    </row>
    <row r="6" spans="2:6">
      <c r="C6" s="627" t="s">
        <v>565</v>
      </c>
      <c r="D6" s="632" t="e">
        <f>Footprint!$I$27</f>
        <v>#REF!</v>
      </c>
    </row>
    <row r="7" spans="2:6">
      <c r="C7" s="627" t="s">
        <v>566</v>
      </c>
      <c r="D7" s="633">
        <f>Footprint!$I$34</f>
        <v>-158.74420574815466</v>
      </c>
    </row>
    <row r="8" spans="2:6">
      <c r="D8" s="634" t="e">
        <f>D6+D7</f>
        <v>#REF!</v>
      </c>
    </row>
    <row r="9" spans="2:6">
      <c r="C9" s="627" t="s">
        <v>539</v>
      </c>
      <c r="D9" s="635" t="e">
        <f>D4+D8</f>
        <v>#REF!</v>
      </c>
    </row>
    <row r="10" spans="2:6">
      <c r="B10" s="631" t="s">
        <v>567</v>
      </c>
    </row>
    <row r="11" spans="2:6">
      <c r="C11" s="627" t="s">
        <v>602</v>
      </c>
      <c r="D11" s="632">
        <f>Footprint!$I$6</f>
        <v>-413.83900049425097</v>
      </c>
      <c r="F11" s="627" t="s">
        <v>568</v>
      </c>
    </row>
    <row r="12" spans="2:6">
      <c r="C12" s="627" t="s">
        <v>569</v>
      </c>
      <c r="D12" s="632">
        <f>Footprint!$I$12</f>
        <v>-4.0925449488067995</v>
      </c>
    </row>
    <row r="13" spans="2:6">
      <c r="C13" s="627" t="s">
        <v>570</v>
      </c>
      <c r="D13" s="627" t="e">
        <f>Box!#REF!</f>
        <v>#REF!</v>
      </c>
      <c r="F13" s="627" t="s">
        <v>571</v>
      </c>
    </row>
    <row r="14" spans="2:6">
      <c r="C14" s="627" t="s">
        <v>572</v>
      </c>
      <c r="D14" s="636" t="e">
        <f>Box!#REF!+Box!#REF!</f>
        <v>#REF!</v>
      </c>
    </row>
    <row r="15" spans="2:6">
      <c r="C15" s="627" t="s">
        <v>573</v>
      </c>
      <c r="D15" s="636">
        <f>Footprint!$E$13</f>
        <v>1.0062019895570222</v>
      </c>
      <c r="F15" s="627" t="s">
        <v>574</v>
      </c>
    </row>
    <row r="16" spans="2:6">
      <c r="C16" s="627" t="s">
        <v>575</v>
      </c>
      <c r="D16" s="636" t="e">
        <f>Box!#REF!-1-1.7</f>
        <v>#REF!</v>
      </c>
      <c r="F16" s="627" t="s">
        <v>613</v>
      </c>
    </row>
    <row r="17" spans="2:10">
      <c r="C17" s="627" t="e">
        <f>Box!#REF!</f>
        <v>#REF!</v>
      </c>
      <c r="D17" s="637" t="e">
        <f>Box!#REF!</f>
        <v>#REF!</v>
      </c>
    </row>
    <row r="18" spans="2:10">
      <c r="D18" s="634" t="e">
        <f>SUM(D11:D17)</f>
        <v>#REF!</v>
      </c>
    </row>
    <row r="19" spans="2:10">
      <c r="C19" s="627" t="s">
        <v>576</v>
      </c>
      <c r="D19" s="635" t="e">
        <f>D9+D18</f>
        <v>#REF!</v>
      </c>
      <c r="H19" s="638"/>
      <c r="I19" s="638"/>
      <c r="J19" s="638"/>
    </row>
    <row r="20" spans="2:10">
      <c r="B20" s="631" t="s">
        <v>577</v>
      </c>
      <c r="H20" s="638"/>
      <c r="I20" s="638"/>
      <c r="J20" s="638"/>
    </row>
    <row r="21" spans="2:10">
      <c r="C21" s="627" t="s">
        <v>578</v>
      </c>
      <c r="D21" s="632" t="e">
        <f>Footprint!$I$5+Footprint!$I$29</f>
        <v>#REF!</v>
      </c>
      <c r="H21" s="638"/>
      <c r="I21" s="638"/>
      <c r="J21" s="638"/>
    </row>
    <row r="22" spans="2:10">
      <c r="C22" s="627" t="s">
        <v>579</v>
      </c>
      <c r="D22" s="632" t="e">
        <f>Footprint!$I$7+Footprint!$I$8</f>
        <v>#REF!</v>
      </c>
      <c r="H22" s="638"/>
      <c r="I22" s="638"/>
      <c r="J22" s="638"/>
    </row>
    <row r="23" spans="2:10">
      <c r="C23" s="627" t="s">
        <v>580</v>
      </c>
      <c r="D23" s="632" t="e">
        <f>Footprint!$I$28</f>
        <v>#REF!</v>
      </c>
      <c r="H23" s="638"/>
      <c r="I23" s="638"/>
      <c r="J23" s="638"/>
    </row>
    <row r="24" spans="2:10">
      <c r="C24" s="627" t="s">
        <v>581</v>
      </c>
      <c r="D24" s="644" t="e">
        <f>'Box Book'!G102</f>
        <v>#REF!</v>
      </c>
      <c r="F24" s="627" t="s">
        <v>271</v>
      </c>
      <c r="H24" s="638"/>
      <c r="I24" s="638"/>
      <c r="J24" s="638"/>
    </row>
    <row r="25" spans="2:10">
      <c r="C25" s="627" t="s">
        <v>582</v>
      </c>
      <c r="D25" s="639">
        <f>Box!X17</f>
        <v>-6.5367984235799996</v>
      </c>
      <c r="H25" s="638"/>
      <c r="I25" s="638"/>
      <c r="J25" s="638"/>
    </row>
    <row r="26" spans="2:10">
      <c r="C26" s="627" t="s">
        <v>583</v>
      </c>
      <c r="D26" s="639" t="e">
        <f>Box!#REF!</f>
        <v>#REF!</v>
      </c>
      <c r="F26" s="627" t="s">
        <v>607</v>
      </c>
      <c r="G26" s="632"/>
      <c r="H26" s="638"/>
      <c r="I26" s="638"/>
      <c r="J26" s="638"/>
    </row>
    <row r="27" spans="2:10">
      <c r="C27" s="627" t="s">
        <v>594</v>
      </c>
      <c r="D27" s="640" t="e">
        <f>Box!#REF!+Box!#REF!+Box!#REF!+1</f>
        <v>#REF!</v>
      </c>
      <c r="F27" s="627" t="s">
        <v>595</v>
      </c>
      <c r="H27" s="638"/>
      <c r="I27" s="638"/>
      <c r="J27" s="638"/>
    </row>
    <row r="28" spans="2:10">
      <c r="D28" s="634" t="e">
        <f>SUM(D21:D27)</f>
        <v>#REF!</v>
      </c>
      <c r="H28" s="638"/>
      <c r="I28" s="638"/>
      <c r="J28" s="638"/>
    </row>
    <row r="29" spans="2:10">
      <c r="C29" s="627" t="s">
        <v>584</v>
      </c>
      <c r="D29" s="635" t="e">
        <f>D19+D28</f>
        <v>#REF!</v>
      </c>
      <c r="H29" s="638"/>
      <c r="I29" s="638"/>
      <c r="J29" s="638"/>
    </row>
    <row r="30" spans="2:10">
      <c r="B30" s="631" t="s">
        <v>585</v>
      </c>
      <c r="H30" s="638"/>
      <c r="I30" s="638"/>
      <c r="J30" s="638"/>
    </row>
    <row r="31" spans="2:10">
      <c r="C31" s="627" t="s">
        <v>586</v>
      </c>
      <c r="D31" s="639">
        <f>Cálculo!$C$4</f>
        <v>70.572858606569</v>
      </c>
      <c r="H31" s="638"/>
      <c r="I31" s="638"/>
      <c r="J31" s="638"/>
    </row>
    <row r="32" spans="2:10">
      <c r="C32" s="627" t="s">
        <v>587</v>
      </c>
      <c r="D32" s="639" t="e">
        <f>Footprint!$I$19+Footprint!$I$35</f>
        <v>#VALUE!</v>
      </c>
      <c r="F32" s="627" t="s">
        <v>588</v>
      </c>
    </row>
    <row r="33" spans="3:6">
      <c r="C33" s="627" t="s">
        <v>589</v>
      </c>
      <c r="D33" s="639" t="e">
        <f>Box!#REF!</f>
        <v>#REF!</v>
      </c>
      <c r="F33" s="627" t="s">
        <v>590</v>
      </c>
    </row>
    <row r="34" spans="3:6">
      <c r="C34" s="627" t="s">
        <v>591</v>
      </c>
      <c r="D34" s="639" t="e">
        <f>Box!#REF!+Box!#REF!+Box!#REF!</f>
        <v>#REF!</v>
      </c>
      <c r="F34" s="627" t="s">
        <v>592</v>
      </c>
    </row>
    <row r="35" spans="3:6">
      <c r="C35" s="627" t="s">
        <v>593</v>
      </c>
      <c r="D35" s="639" t="e">
        <f>Box!#REF!</f>
        <v>#REF!</v>
      </c>
      <c r="F35" s="627" t="s">
        <v>252</v>
      </c>
    </row>
    <row r="36" spans="3:6" ht="15.75" thickBot="1">
      <c r="D36" s="634" t="e">
        <f>SUM(D31:D35)</f>
        <v>#VALUE!</v>
      </c>
    </row>
    <row r="37" spans="3:6" ht="15.75" thickBot="1">
      <c r="C37" s="629" t="s">
        <v>596</v>
      </c>
      <c r="D37" s="641" t="e">
        <f>D29+D36</f>
        <v>#REF!</v>
      </c>
    </row>
    <row r="38" spans="3:6" ht="15.75" thickBot="1">
      <c r="C38" s="642" t="s">
        <v>597</v>
      </c>
      <c r="D38" s="643" t="e">
        <f>D39-D37</f>
        <v>#REF!</v>
      </c>
    </row>
    <row r="39" spans="3:6" ht="15.75" thickBot="1">
      <c r="C39" s="629" t="s">
        <v>596</v>
      </c>
      <c r="D39" s="641">
        <f>Cálculo!$C$13</f>
        <v>747.69240087677792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  <customProperties>
    <customPr name="_pios_id" r:id="rId2"/>
  </customProperties>
  <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F54E4-28B8-46B9-A89D-A3AC3BA08B4B}">
  <sheetPr codeName="Planilha5"/>
  <dimension ref="A1:AW139"/>
  <sheetViews>
    <sheetView showGridLines="0" topLeftCell="H1" zoomScale="90" zoomScaleNormal="90" workbookViewId="0">
      <selection activeCell="G7" sqref="G7"/>
    </sheetView>
  </sheetViews>
  <sheetFormatPr defaultColWidth="9.42578125" defaultRowHeight="11.25" outlineLevelRow="1" outlineLevelCol="1"/>
  <cols>
    <col min="1" max="1" width="9.42578125" style="189"/>
    <col min="2" max="2" width="17.5703125" style="189" customWidth="1"/>
    <col min="3" max="4" width="5.5703125" style="189" hidden="1" customWidth="1" outlineLevel="1"/>
    <col min="5" max="5" width="5.5703125" style="189" hidden="1" customWidth="1" outlineLevel="1" collapsed="1"/>
    <col min="6" max="6" width="5.5703125" style="189" hidden="1" customWidth="1" outlineLevel="1"/>
    <col min="7" max="7" width="5.42578125" style="189" customWidth="1" collapsed="1"/>
    <col min="8" max="8" width="14.5703125" style="189" customWidth="1"/>
    <col min="9" max="9" width="8.5703125" style="189" customWidth="1"/>
    <col min="10" max="10" width="16.5703125" style="189" customWidth="1"/>
    <col min="11" max="12" width="6.42578125" style="189" customWidth="1"/>
    <col min="13" max="13" width="8.42578125" style="189" customWidth="1"/>
    <col min="14" max="14" width="6.5703125" style="317" customWidth="1"/>
    <col min="15" max="15" width="16.42578125" style="189" customWidth="1"/>
    <col min="16" max="17" width="6.42578125" style="189" customWidth="1"/>
    <col min="18" max="18" width="8" style="189" customWidth="1"/>
    <col min="19" max="20" width="6.5703125" style="317" customWidth="1"/>
    <col min="21" max="21" width="8.5703125" style="189" customWidth="1"/>
    <col min="22" max="23" width="5.5703125" style="189" customWidth="1"/>
    <col min="24" max="24" width="14.42578125" style="189" customWidth="1"/>
    <col min="25" max="26" width="5.5703125" style="189" customWidth="1"/>
    <col min="27" max="27" width="7.42578125" style="189" customWidth="1"/>
    <col min="28" max="31" width="5.5703125" style="189" customWidth="1"/>
    <col min="32" max="32" width="14.42578125" style="189" customWidth="1"/>
    <col min="33" max="33" width="7.5703125" style="189" customWidth="1"/>
    <col min="34" max="34" width="8.42578125" style="189" customWidth="1"/>
    <col min="35" max="35" width="9.5703125" style="189" bestFit="1" customWidth="1"/>
    <col min="36" max="36" width="6" style="189" bestFit="1" customWidth="1"/>
    <col min="37" max="39" width="7" style="189" customWidth="1"/>
    <col min="40" max="40" width="8.5703125" style="189" customWidth="1"/>
    <col min="41" max="41" width="6.5703125" style="189" bestFit="1" customWidth="1"/>
    <col min="42" max="42" width="4.42578125" style="189" bestFit="1" customWidth="1"/>
    <col min="43" max="43" width="9.42578125" style="189" bestFit="1" customWidth="1"/>
    <col min="44" max="44" width="14.5703125" style="189" customWidth="1"/>
    <col min="45" max="16384" width="9.42578125" style="189"/>
  </cols>
  <sheetData>
    <row r="1" spans="1:49" ht="12" thickBot="1">
      <c r="D1" s="189" t="s">
        <v>546</v>
      </c>
    </row>
    <row r="2" spans="1:49" ht="12.75" thickTop="1" thickBot="1">
      <c r="D2" s="189" t="s">
        <v>545</v>
      </c>
      <c r="I2" s="553"/>
      <c r="J2" s="554"/>
      <c r="K2" s="554"/>
      <c r="L2" s="554" t="s">
        <v>528</v>
      </c>
      <c r="M2" s="554"/>
      <c r="N2" s="555"/>
      <c r="O2" s="554"/>
      <c r="P2" s="554"/>
      <c r="Q2" s="554"/>
      <c r="R2" s="554"/>
      <c r="S2" s="555"/>
      <c r="T2" s="555"/>
      <c r="U2" s="554"/>
      <c r="V2" s="554"/>
      <c r="W2" s="554"/>
      <c r="X2" s="554"/>
      <c r="Y2" s="554"/>
      <c r="Z2" s="554"/>
      <c r="AA2" s="554"/>
      <c r="AB2" s="554"/>
      <c r="AC2" s="556"/>
      <c r="AE2" s="499"/>
      <c r="AF2" s="500"/>
      <c r="AG2" s="605">
        <v>-0.11</v>
      </c>
      <c r="AH2" s="500">
        <f>-12%</f>
        <v>-0.12</v>
      </c>
      <c r="AI2" s="500"/>
      <c r="AJ2" s="500"/>
      <c r="AK2" s="500"/>
      <c r="AL2" s="500"/>
      <c r="AM2" s="500"/>
      <c r="AN2" s="500"/>
      <c r="AO2" s="501"/>
    </row>
    <row r="3" spans="1:49" ht="12" thickTop="1">
      <c r="B3" s="1059" t="s">
        <v>598</v>
      </c>
      <c r="C3" s="1059"/>
      <c r="D3" s="1059"/>
      <c r="E3" s="1059"/>
      <c r="F3" s="1059"/>
      <c r="G3" s="1059"/>
      <c r="I3" s="557"/>
      <c r="J3" s="1089" t="s">
        <v>259</v>
      </c>
      <c r="K3" s="1089"/>
      <c r="L3" s="554" t="s">
        <v>529</v>
      </c>
      <c r="X3" s="524" t="s">
        <v>515</v>
      </c>
      <c r="Y3" s="511"/>
      <c r="Z3" s="511"/>
      <c r="AA3" s="511"/>
      <c r="AC3" s="558"/>
      <c r="AE3" s="502"/>
      <c r="AF3" s="1089" t="s">
        <v>12</v>
      </c>
      <c r="AG3" s="1089"/>
      <c r="AO3" s="503"/>
    </row>
    <row r="4" spans="1:49" s="130" customFormat="1" ht="6" customHeight="1">
      <c r="I4" s="559"/>
      <c r="J4" s="484" t="s">
        <v>505</v>
      </c>
      <c r="K4" s="485" t="e">
        <f>SUM(G6:G7)</f>
        <v>#REF!</v>
      </c>
      <c r="N4" s="245"/>
      <c r="X4" s="189"/>
      <c r="Y4" s="189"/>
      <c r="Z4" s="189"/>
      <c r="AA4" s="189"/>
      <c r="AB4" s="189"/>
      <c r="AC4" s="560"/>
      <c r="AE4" s="504"/>
      <c r="AI4" s="130" t="s">
        <v>419</v>
      </c>
      <c r="AM4" s="130" t="s">
        <v>357</v>
      </c>
      <c r="AO4" s="505"/>
    </row>
    <row r="5" spans="1:49">
      <c r="B5" s="131" t="s">
        <v>92</v>
      </c>
      <c r="C5" s="132" t="s">
        <v>357</v>
      </c>
      <c r="D5" s="132" t="s">
        <v>419</v>
      </c>
      <c r="E5" s="133" t="s">
        <v>89</v>
      </c>
      <c r="F5" s="133" t="s">
        <v>20</v>
      </c>
      <c r="G5" s="133" t="s">
        <v>90</v>
      </c>
      <c r="I5" s="557"/>
      <c r="J5" s="550" t="s">
        <v>524</v>
      </c>
      <c r="K5" s="552">
        <f>R5</f>
        <v>-0.92597757059088104</v>
      </c>
      <c r="L5" s="137"/>
      <c r="M5" s="245" t="s">
        <v>524</v>
      </c>
      <c r="N5" s="317">
        <v>43</v>
      </c>
      <c r="O5" s="189">
        <v>40</v>
      </c>
      <c r="P5" s="299">
        <f>O5-N5</f>
        <v>-3</v>
      </c>
      <c r="Q5" s="586">
        <f>R25/1000</f>
        <v>308.65919019696031</v>
      </c>
      <c r="R5" s="189">
        <f>P5*Q5/1000</f>
        <v>-0.92597757059088104</v>
      </c>
      <c r="X5" s="509" t="s">
        <v>487</v>
      </c>
      <c r="Y5" s="510">
        <f>AVERAGE('Slab BR FOB'!B4:M4)</f>
        <v>404.59236778922212</v>
      </c>
      <c r="Z5" s="510">
        <f>AVERAGE('Slab BR FOB'!N4:Y4)</f>
        <v>440.29452535956744</v>
      </c>
      <c r="AA5" s="510">
        <f>Z5-Y5</f>
        <v>35.702157570345321</v>
      </c>
      <c r="AB5" s="191">
        <f>AA5-M31</f>
        <v>-6.0373658996048221</v>
      </c>
      <c r="AC5" s="558"/>
      <c r="AE5" s="502"/>
      <c r="AF5" s="303" t="s">
        <v>301</v>
      </c>
      <c r="AG5" s="304" t="e">
        <f>E8*AG20/1000</f>
        <v>#REF!</v>
      </c>
      <c r="AI5" s="191" t="e">
        <f>D8</f>
        <v>#REF!</v>
      </c>
      <c r="AM5" s="191">
        <f>C8</f>
        <v>447.22365522712943</v>
      </c>
      <c r="AO5" s="503"/>
      <c r="AR5" s="189" t="s">
        <v>299</v>
      </c>
      <c r="AS5" s="527" t="e">
        <f>G9+G54+Box!#REF!</f>
        <v>#REF!</v>
      </c>
      <c r="AT5" s="527">
        <f>Cálculo!P8/1000+Cálculo!C6+Cálculo!C7+Cálculo!F5</f>
        <v>364.64896364705976</v>
      </c>
      <c r="AU5" s="528" t="e">
        <f>AS5-AT5</f>
        <v>#REF!</v>
      </c>
      <c r="AV5" s="189" t="s">
        <v>362</v>
      </c>
      <c r="AW5" s="527">
        <f>SUM(Cálculo!V5:V7)</f>
        <v>-64.503509648069141</v>
      </c>
    </row>
    <row r="6" spans="1:49">
      <c r="B6" s="134" t="s">
        <v>522</v>
      </c>
      <c r="C6" s="141">
        <f>G14</f>
        <v>459.24469310415407</v>
      </c>
      <c r="D6" s="141" t="e">
        <f>G19</f>
        <v>#REF!</v>
      </c>
      <c r="E6" s="141" t="e">
        <f>D6-C6</f>
        <v>#REF!</v>
      </c>
      <c r="F6" s="166">
        <f>K16</f>
        <v>2211.6246024002262</v>
      </c>
      <c r="G6" s="138" t="e">
        <f>E6*F6/1000</f>
        <v>#REF!</v>
      </c>
      <c r="H6" s="190"/>
      <c r="I6" s="561"/>
      <c r="J6" s="550" t="s">
        <v>467</v>
      </c>
      <c r="K6" s="552">
        <f>-U28</f>
        <v>-26.07329427886685</v>
      </c>
      <c r="L6" s="137"/>
      <c r="M6" s="190"/>
      <c r="N6" s="215"/>
      <c r="V6" s="190"/>
      <c r="W6" s="190"/>
      <c r="X6" s="404" t="s">
        <v>468</v>
      </c>
      <c r="Y6" s="408" t="s">
        <v>257</v>
      </c>
      <c r="Z6" s="408" t="s">
        <v>273</v>
      </c>
      <c r="AA6" s="408" t="s">
        <v>261</v>
      </c>
      <c r="AC6" s="562"/>
      <c r="AD6" s="190"/>
      <c r="AE6" s="506"/>
      <c r="AF6" s="305" t="s">
        <v>368</v>
      </c>
      <c r="AG6" s="306" t="e">
        <f>E8*0.12*AG22/1000</f>
        <v>#REF!</v>
      </c>
      <c r="AI6" s="189">
        <v>32.5</v>
      </c>
      <c r="AJ6" s="189" t="s">
        <v>418</v>
      </c>
      <c r="AM6" s="189">
        <v>27</v>
      </c>
      <c r="AO6" s="503"/>
      <c r="AR6" s="189" t="s">
        <v>15</v>
      </c>
      <c r="AS6" s="527" t="e">
        <f>G72+G84+G102</f>
        <v>#REF!</v>
      </c>
      <c r="AT6" s="527">
        <f>Cálculo!C9</f>
        <v>-177.47194678166522</v>
      </c>
      <c r="AU6" s="528" t="e">
        <f>AS6-AT6</f>
        <v>#REF!</v>
      </c>
      <c r="AW6" s="527"/>
    </row>
    <row r="7" spans="1:49">
      <c r="B7" s="139" t="s">
        <v>541</v>
      </c>
      <c r="C7" s="137">
        <f>G26</f>
        <v>-54.002848251755282</v>
      </c>
      <c r="D7" s="137" t="e">
        <f>G31</f>
        <v>#REF!</v>
      </c>
      <c r="E7" s="137" t="e">
        <f>D7-C7</f>
        <v>#REF!</v>
      </c>
      <c r="F7" s="142" t="e">
        <f>G32</f>
        <v>#REF!</v>
      </c>
      <c r="G7" s="152" t="e">
        <f>E7*F7/1000</f>
        <v>#REF!</v>
      </c>
      <c r="I7" s="563"/>
      <c r="J7" s="550" t="s">
        <v>471</v>
      </c>
      <c r="K7" s="552">
        <f>U42</f>
        <v>-25.228834435519925</v>
      </c>
      <c r="L7" s="547"/>
      <c r="M7" s="190"/>
      <c r="N7" s="215"/>
      <c r="S7" s="189"/>
      <c r="T7" s="189"/>
      <c r="X7" s="402" t="str">
        <f>'[53]Preço NRP'!D40</f>
        <v>AM Dofasco 1</v>
      </c>
      <c r="Y7" s="472">
        <v>462.26447465485683</v>
      </c>
      <c r="Z7" s="467">
        <v>201.01988</v>
      </c>
      <c r="AA7" s="412">
        <f t="shared" ref="AA7:AA10" si="0">Y7*Z7</f>
        <v>92924.349223382364</v>
      </c>
      <c r="AC7" s="562"/>
      <c r="AD7" s="190"/>
      <c r="AE7" s="506"/>
      <c r="AF7" s="305"/>
      <c r="AG7" s="306"/>
      <c r="AI7" s="191" t="e">
        <f>SUM(AI5:AI6)</f>
        <v>#REF!</v>
      </c>
      <c r="AL7" s="189" t="e">
        <f>AI9*AM19/100</f>
        <v>#REF!</v>
      </c>
      <c r="AM7" s="191">
        <f>SUM(AM5:AM6)</f>
        <v>474.22365522712943</v>
      </c>
      <c r="AO7" s="503"/>
    </row>
    <row r="8" spans="1:49">
      <c r="B8" s="206" t="s">
        <v>523</v>
      </c>
      <c r="C8" s="162">
        <f>G38</f>
        <v>447.22365522712943</v>
      </c>
      <c r="D8" s="162" t="e">
        <f>G43</f>
        <v>#REF!</v>
      </c>
      <c r="E8" s="162" t="e">
        <f>D8-C8</f>
        <v>#REF!</v>
      </c>
      <c r="F8" s="207">
        <f>AG20</f>
        <v>3986.3766942277593</v>
      </c>
      <c r="G8" s="160" t="e">
        <f>E8*F8/1000</f>
        <v>#REF!</v>
      </c>
      <c r="I8" s="557"/>
      <c r="J8" s="551" t="s">
        <v>517</v>
      </c>
      <c r="K8" s="552"/>
      <c r="L8" s="548"/>
      <c r="M8" s="190" t="s">
        <v>525</v>
      </c>
      <c r="N8" s="215">
        <f>(-4+17-12-2)/4</f>
        <v>-0.25</v>
      </c>
      <c r="O8" s="189">
        <v>10</v>
      </c>
      <c r="P8" s="190">
        <f>O8-N8</f>
        <v>10.25</v>
      </c>
      <c r="X8" s="402" t="str">
        <f>'[53]Preço NRP'!D41</f>
        <v>AM Dofasco 2</v>
      </c>
      <c r="Y8" s="472">
        <v>449.98783812454559</v>
      </c>
      <c r="Z8" s="467">
        <v>100.04775000000001</v>
      </c>
      <c r="AA8" s="412">
        <f t="shared" si="0"/>
        <v>45020.27073172501</v>
      </c>
      <c r="AB8" s="130"/>
      <c r="AC8" s="562">
        <f>SUM(Z7:Z8)</f>
        <v>301.06763000000001</v>
      </c>
      <c r="AD8" s="190"/>
      <c r="AE8" s="506"/>
      <c r="AF8" s="305" t="s">
        <v>288</v>
      </c>
      <c r="AG8" s="306" t="e">
        <f>AI9*AM19/100*AG22/1000*0.6</f>
        <v>#REF!</v>
      </c>
      <c r="AH8" s="320" t="s">
        <v>373</v>
      </c>
      <c r="AI8" s="189">
        <f>80+28-22</f>
        <v>86</v>
      </c>
      <c r="AJ8" s="529" t="s">
        <v>527</v>
      </c>
      <c r="AK8" s="529"/>
      <c r="AL8" s="588" t="e">
        <f>AL7*AG22</f>
        <v>#REF!</v>
      </c>
      <c r="AM8" s="189">
        <f>AI8</f>
        <v>86</v>
      </c>
      <c r="AO8" s="503"/>
    </row>
    <row r="9" spans="1:49">
      <c r="B9" s="155" t="s">
        <v>14</v>
      </c>
      <c r="C9" s="165"/>
      <c r="D9" s="165"/>
      <c r="E9" s="156"/>
      <c r="F9" s="156"/>
      <c r="G9" s="157" t="e">
        <f>SUM(G6:G8)</f>
        <v>#REF!</v>
      </c>
      <c r="H9" s="191"/>
      <c r="I9" s="557"/>
      <c r="J9" s="551" t="s">
        <v>520</v>
      </c>
      <c r="K9" s="552">
        <f>AC34</f>
        <v>-1.215356120747858</v>
      </c>
      <c r="L9" s="547"/>
      <c r="M9" s="190" t="s">
        <v>526</v>
      </c>
      <c r="N9" s="215">
        <f>-(59+58+43+57)/4</f>
        <v>-54.25</v>
      </c>
      <c r="O9" s="189">
        <f>-(60+55+55+55)/4</f>
        <v>-56.25</v>
      </c>
      <c r="P9" s="190">
        <f>N9-O9</f>
        <v>2</v>
      </c>
      <c r="X9" s="403" t="str">
        <f>'[53]Preço NRP'!$D$46</f>
        <v>CSI</v>
      </c>
      <c r="Y9" s="468">
        <v>427.00215446153493</v>
      </c>
      <c r="Z9" s="468">
        <v>101.72101000000001</v>
      </c>
      <c r="AA9" s="412">
        <f t="shared" si="0"/>
        <v>43435.090424003341</v>
      </c>
      <c r="AC9" s="562">
        <f>Z16</f>
        <v>109</v>
      </c>
      <c r="AD9" s="190"/>
      <c r="AE9" s="506"/>
      <c r="AF9" s="305" t="s">
        <v>434</v>
      </c>
      <c r="AG9" s="589" t="e">
        <f>AI33</f>
        <v>#REF!</v>
      </c>
      <c r="AI9" s="191" t="e">
        <f>SUM(AI7:AI8)</f>
        <v>#REF!</v>
      </c>
      <c r="AJ9" s="317"/>
      <c r="AK9" s="317"/>
      <c r="AM9" s="191">
        <f>SUM(AM7:AM8)</f>
        <v>560.22365522712948</v>
      </c>
      <c r="AO9" s="503"/>
    </row>
    <row r="10" spans="1:49">
      <c r="I10" s="557"/>
      <c r="J10" s="551" t="s">
        <v>615</v>
      </c>
      <c r="K10" s="579">
        <f>O16</f>
        <v>-18.574429693658537</v>
      </c>
      <c r="L10" s="137"/>
      <c r="X10" s="403" t="str">
        <f>'[53]Preço NRP'!$D$49</f>
        <v>NLMK USA</v>
      </c>
      <c r="Y10" s="468">
        <v>460</v>
      </c>
      <c r="Z10" s="468">
        <v>50</v>
      </c>
      <c r="AA10" s="412">
        <f t="shared" si="0"/>
        <v>23000</v>
      </c>
      <c r="AB10" s="190"/>
      <c r="AC10" s="562">
        <f>AC9-AC8</f>
        <v>-192.06763000000001</v>
      </c>
      <c r="AE10" s="502"/>
      <c r="AF10" s="305"/>
      <c r="AG10" s="306"/>
      <c r="AH10" s="488" t="e">
        <f>E8*1.12*1.0567</f>
        <v>#REF!</v>
      </c>
      <c r="AO10" s="503"/>
    </row>
    <row r="11" spans="1:49">
      <c r="B11" s="1058" t="s">
        <v>504</v>
      </c>
      <c r="C11" s="1058"/>
      <c r="D11" s="1058"/>
      <c r="E11" s="1058"/>
      <c r="F11" s="1058"/>
      <c r="G11" s="1058"/>
      <c r="I11" s="557"/>
      <c r="J11" s="192" t="s">
        <v>14</v>
      </c>
      <c r="K11" s="193" t="e">
        <f>SUM(K4:K10)</f>
        <v>#REF!</v>
      </c>
      <c r="L11" s="137"/>
      <c r="X11" s="470" t="s">
        <v>257</v>
      </c>
      <c r="Y11" s="469">
        <f>AA11/Z11</f>
        <v>451.37994270154547</v>
      </c>
      <c r="Z11" s="469">
        <f>SUM(Z7:Z10)</f>
        <v>452.78863999999999</v>
      </c>
      <c r="AA11" s="471">
        <f>SUM(AA7:AA10)</f>
        <v>204379.71037911071</v>
      </c>
      <c r="AB11" s="190"/>
      <c r="AC11" s="665">
        <f>Y16-P33</f>
        <v>86</v>
      </c>
      <c r="AE11" s="502"/>
      <c r="AF11" s="305"/>
      <c r="AG11" s="306"/>
      <c r="AI11" s="189" t="e">
        <f>AI9*$AM$18/100</f>
        <v>#REF!</v>
      </c>
      <c r="AO11" s="503"/>
    </row>
    <row r="12" spans="1:49" s="130" customFormat="1" ht="6.6" customHeight="1">
      <c r="I12" s="564">
        <f>SUM(H47:H47)</f>
        <v>0</v>
      </c>
      <c r="J12" s="192" t="s">
        <v>70</v>
      </c>
      <c r="K12" s="193">
        <f>Cálculo!P6/1000+Cálculo!I172/1000</f>
        <v>177.66705358633405</v>
      </c>
      <c r="L12" s="137"/>
      <c r="N12" s="245"/>
      <c r="S12" s="245"/>
      <c r="T12" s="245"/>
      <c r="V12" s="294"/>
      <c r="W12" s="294"/>
      <c r="X12" s="507"/>
      <c r="AA12" s="190"/>
      <c r="AB12" s="190"/>
      <c r="AC12" s="560">
        <f>AC10*AC11/1000+2</f>
        <v>-14.517816180000001</v>
      </c>
      <c r="AE12" s="504"/>
      <c r="AF12" s="305" t="s">
        <v>372</v>
      </c>
      <c r="AG12" s="306">
        <f>AI42</f>
        <v>51.633547041618527</v>
      </c>
      <c r="AI12" s="173" t="e">
        <f>AI9*AM17/100</f>
        <v>#REF!</v>
      </c>
      <c r="AL12" s="189"/>
      <c r="AM12" s="189">
        <f>AM9*AM18/100</f>
        <v>24.276358393175613</v>
      </c>
      <c r="AN12" s="189" t="e">
        <f>AI12-AM12</f>
        <v>#REF!</v>
      </c>
      <c r="AO12" s="505"/>
    </row>
    <row r="13" spans="1:49">
      <c r="B13" s="131" t="str">
        <f>B6</f>
        <v>HRC China - Exports</v>
      </c>
      <c r="C13" s="132" t="s">
        <v>493</v>
      </c>
      <c r="D13" s="132" t="s">
        <v>495</v>
      </c>
      <c r="E13" s="133" t="s">
        <v>496</v>
      </c>
      <c r="F13" s="133" t="s">
        <v>497</v>
      </c>
      <c r="G13" s="133" t="s">
        <v>357</v>
      </c>
      <c r="I13" s="557"/>
      <c r="J13" s="139" t="s">
        <v>262</v>
      </c>
      <c r="K13" s="315" t="e">
        <f>K12-K11</f>
        <v>#REF!</v>
      </c>
      <c r="L13" s="137"/>
      <c r="M13" s="662">
        <f>N33</f>
        <v>0.32615609123421829</v>
      </c>
      <c r="N13" s="663">
        <f>S33</f>
        <v>0.55816435432230527</v>
      </c>
      <c r="O13" s="664">
        <f>M13-N13</f>
        <v>-0.23200826308808697</v>
      </c>
      <c r="P13" s="530" cm="1">
        <f t="array" ref="P13:P14">K33-(M34:M35)/SUM(L34:L35)</f>
        <v>-85.78046265924587</v>
      </c>
      <c r="Q13" s="507">
        <f>O13*P13*Q36/1000</f>
        <v>18.647964251110899</v>
      </c>
      <c r="V13" s="294"/>
      <c r="W13" s="294"/>
      <c r="X13" s="130"/>
      <c r="Y13" s="130"/>
      <c r="Z13" s="130"/>
      <c r="AA13" s="190"/>
      <c r="AB13" s="190"/>
      <c r="AC13" s="558"/>
      <c r="AE13" s="502"/>
      <c r="AF13" s="307" t="s">
        <v>14</v>
      </c>
      <c r="AG13" s="308" t="e">
        <f>SUM(AG5:AG12)</f>
        <v>#REF!</v>
      </c>
      <c r="AI13" s="189" t="e">
        <f>AI12-AI11</f>
        <v>#REF!</v>
      </c>
      <c r="AJ13" s="530"/>
      <c r="AO13" s="503"/>
    </row>
    <row r="14" spans="1:49" s="130" customFormat="1">
      <c r="A14" s="130" t="s">
        <v>521</v>
      </c>
      <c r="B14" s="134" t="s">
        <v>503</v>
      </c>
      <c r="C14" s="141">
        <f>'[54]HRC Prices'!V52</f>
        <v>450.55384615384617</v>
      </c>
      <c r="D14" s="141">
        <f>'[54]HRC Prices'!W52</f>
        <v>466.0625</v>
      </c>
      <c r="E14" s="141">
        <f>'[54]HRC Prices'!X52</f>
        <v>417.11864406779659</v>
      </c>
      <c r="F14" s="141">
        <f>'[54]HRC Prices'!Y52</f>
        <v>489.22727272727275</v>
      </c>
      <c r="G14" s="138">
        <f>G16/G15*1000</f>
        <v>459.24469310415407</v>
      </c>
      <c r="I14" s="559"/>
      <c r="J14" s="206" t="s">
        <v>257</v>
      </c>
      <c r="K14" s="316" t="e">
        <f>K13/K16*1000</f>
        <v>#REF!</v>
      </c>
      <c r="L14" s="137"/>
      <c r="N14" s="245"/>
      <c r="P14" s="130">
        <v>294.05725108981846</v>
      </c>
      <c r="S14" s="245"/>
      <c r="T14" s="245"/>
      <c r="V14" s="460"/>
      <c r="W14" s="460"/>
      <c r="AA14" s="189"/>
      <c r="AB14" s="189"/>
      <c r="AC14" s="560"/>
      <c r="AE14" s="504"/>
      <c r="AF14" s="309"/>
      <c r="AG14" s="310"/>
      <c r="AJ14" s="216"/>
      <c r="AL14" s="189"/>
      <c r="AO14" s="505"/>
    </row>
    <row r="15" spans="1:49">
      <c r="B15" s="206" t="s">
        <v>494</v>
      </c>
      <c r="C15" s="207">
        <f>'[3]Shipments &amp; Prices'!Q111</f>
        <v>684.06751217940973</v>
      </c>
      <c r="D15" s="207">
        <f>'[3]Shipments &amp; Prices'!R111</f>
        <v>880.72258647972239</v>
      </c>
      <c r="E15" s="207">
        <f>'[3]Shipments &amp; Prices'!S111</f>
        <v>709.80898411784028</v>
      </c>
      <c r="F15" s="207">
        <f>'[3]Shipments &amp; Prices'!T111</f>
        <v>995.31054282551793</v>
      </c>
      <c r="G15" s="602">
        <f>SUM(C15:F15)</f>
        <v>3269.9096256024905</v>
      </c>
      <c r="I15" s="557"/>
      <c r="J15" s="130"/>
      <c r="K15" s="130"/>
      <c r="L15" s="190"/>
      <c r="X15" s="404" t="s">
        <v>469</v>
      </c>
      <c r="Y15" s="408" t="s">
        <v>257</v>
      </c>
      <c r="Z15" s="408" t="s">
        <v>273</v>
      </c>
      <c r="AA15" s="408" t="s">
        <v>261</v>
      </c>
      <c r="AB15" s="399" t="s">
        <v>425</v>
      </c>
      <c r="AC15" s="565"/>
      <c r="AE15" s="502"/>
      <c r="AF15" s="307" t="s">
        <v>70</v>
      </c>
      <c r="AG15" s="308">
        <f>Cálculo!P7/1000+Cálculo!F5</f>
        <v>193.66229078236088</v>
      </c>
      <c r="AJ15" s="530"/>
      <c r="AO15" s="503"/>
    </row>
    <row r="16" spans="1:49" outlineLevel="1">
      <c r="B16" s="206" t="s">
        <v>502</v>
      </c>
      <c r="C16" s="162">
        <f>C15*C14/1000</f>
        <v>308.20924864132604</v>
      </c>
      <c r="D16" s="162">
        <f>D15*D14/1000</f>
        <v>410.47177046120561</v>
      </c>
      <c r="E16" s="162">
        <f>E15*E14/1000</f>
        <v>296.07456100237368</v>
      </c>
      <c r="F16" s="162">
        <f>F15*F14/1000</f>
        <v>486.93306238322953</v>
      </c>
      <c r="G16" s="160">
        <f>SUM(C16:F16)</f>
        <v>1501.688642488135</v>
      </c>
      <c r="H16" s="130"/>
      <c r="I16" s="557"/>
      <c r="J16" s="189" t="s">
        <v>263</v>
      </c>
      <c r="K16" s="190">
        <f>SUM(Cálculo!F17:F18,Cálculo!F22,Cálculo!F28:F29,Cálculo!F33:F34,Cálculo!F38)/1000</f>
        <v>2211.6246024002262</v>
      </c>
      <c r="L16" s="299"/>
      <c r="M16" s="507">
        <f>Q34-L34</f>
        <v>-288.78863999999999</v>
      </c>
      <c r="N16" s="488">
        <f>P34-P33</f>
        <v>71.243902439024396</v>
      </c>
      <c r="O16" s="507">
        <f>M16*N16/1000+2</f>
        <v>-18.574429693658537</v>
      </c>
      <c r="R16" s="508"/>
      <c r="W16" s="460"/>
      <c r="X16" s="402" t="str">
        <f>X7</f>
        <v>AM Dofasco 1</v>
      </c>
      <c r="Y16" s="652">
        <v>466</v>
      </c>
      <c r="Z16" s="652">
        <v>109</v>
      </c>
      <c r="AA16" s="412">
        <f t="shared" ref="AA16:AA19" si="1">Y16*Z16</f>
        <v>50794</v>
      </c>
      <c r="AB16" s="422">
        <f>Y16-Y7</f>
        <v>3.7355253451431736</v>
      </c>
      <c r="AC16" s="566">
        <f>AB16-AA5</f>
        <v>-31.966632225202147</v>
      </c>
      <c r="AD16" s="299"/>
      <c r="AE16" s="502"/>
      <c r="AF16" s="309"/>
      <c r="AG16" s="310"/>
      <c r="AH16" s="531" t="s">
        <v>413</v>
      </c>
      <c r="AI16" s="399" t="s">
        <v>314</v>
      </c>
      <c r="AJ16" s="532" t="s">
        <v>315</v>
      </c>
      <c r="AK16" s="533" t="s">
        <v>316</v>
      </c>
      <c r="AL16" s="399" t="s">
        <v>432</v>
      </c>
      <c r="AM16" s="399" t="s">
        <v>414</v>
      </c>
      <c r="AO16" s="503"/>
    </row>
    <row r="17" spans="1:41" ht="6.6" customHeight="1">
      <c r="I17" s="557"/>
      <c r="J17" s="189" t="s">
        <v>420</v>
      </c>
      <c r="K17" s="190" t="e">
        <f>#REF!</f>
        <v>#REF!</v>
      </c>
      <c r="L17" s="190"/>
      <c r="M17" s="299"/>
      <c r="W17" s="460"/>
      <c r="X17" s="402" t="str">
        <f>X8</f>
        <v>AM Dofasco 2</v>
      </c>
      <c r="Y17" s="467">
        <v>0</v>
      </c>
      <c r="Z17" s="467">
        <v>0</v>
      </c>
      <c r="AA17" s="412">
        <f t="shared" si="1"/>
        <v>0</v>
      </c>
      <c r="AB17" s="294"/>
      <c r="AC17" s="565"/>
      <c r="AE17" s="502"/>
      <c r="AF17" s="305" t="s">
        <v>262</v>
      </c>
      <c r="AG17" s="306" t="e">
        <f>AG15-AG13</f>
        <v>#REF!</v>
      </c>
      <c r="AH17" s="317" t="s">
        <v>419</v>
      </c>
      <c r="AI17" s="488">
        <v>10</v>
      </c>
      <c r="AJ17" s="488">
        <v>10</v>
      </c>
      <c r="AK17" s="488">
        <v>10</v>
      </c>
      <c r="AL17" s="488">
        <v>10</v>
      </c>
      <c r="AM17" s="534">
        <f>AVERAGE(AI17:AL17)</f>
        <v>10</v>
      </c>
      <c r="AO17" s="503"/>
    </row>
    <row r="18" spans="1:41" s="130" customFormat="1">
      <c r="B18" s="131" t="str">
        <f>B13</f>
        <v>HRC China - Exports</v>
      </c>
      <c r="C18" s="132" t="s">
        <v>498</v>
      </c>
      <c r="D18" s="132" t="s">
        <v>499</v>
      </c>
      <c r="E18" s="133" t="s">
        <v>500</v>
      </c>
      <c r="F18" s="133" t="s">
        <v>501</v>
      </c>
      <c r="G18" s="133" t="s">
        <v>419</v>
      </c>
      <c r="H18" s="189"/>
      <c r="I18" s="559"/>
      <c r="J18" s="189" t="s">
        <v>30</v>
      </c>
      <c r="K18" s="190" t="e">
        <f>K16-K17</f>
        <v>#REF!</v>
      </c>
      <c r="M18" s="299"/>
      <c r="N18" s="245"/>
      <c r="O18" s="130" t="s">
        <v>614</v>
      </c>
      <c r="S18" s="245"/>
      <c r="T18" s="245"/>
      <c r="W18" s="460"/>
      <c r="X18" s="402" t="str">
        <f>X9</f>
        <v>CSI</v>
      </c>
      <c r="Y18" s="653">
        <v>422</v>
      </c>
      <c r="Z18" s="653">
        <v>55</v>
      </c>
      <c r="AA18" s="412">
        <f t="shared" si="1"/>
        <v>23210</v>
      </c>
      <c r="AB18" s="422">
        <f>Y18-Y9</f>
        <v>-5.0021544615349285</v>
      </c>
      <c r="AC18" s="567">
        <f>AB18-AA5</f>
        <v>-40.704312031880249</v>
      </c>
      <c r="AD18" s="294"/>
      <c r="AE18" s="504"/>
      <c r="AF18" s="338" t="s">
        <v>257</v>
      </c>
      <c r="AG18" s="339" t="e">
        <f>AG17/AG20*1000</f>
        <v>#REF!</v>
      </c>
      <c r="AH18" s="317" t="s">
        <v>357</v>
      </c>
      <c r="AI18" s="495">
        <f>AVERAGE(2,1,-1)</f>
        <v>0.66666666666666663</v>
      </c>
      <c r="AJ18" s="495">
        <f>AVERAGE(8,4,2)</f>
        <v>4.666666666666667</v>
      </c>
      <c r="AK18" s="488">
        <f>AVERAGE(8,1,-3)</f>
        <v>2</v>
      </c>
      <c r="AL18" s="488">
        <v>10</v>
      </c>
      <c r="AM18" s="587">
        <f>AVERAGE(AI18:AL18)</f>
        <v>4.3333333333333339</v>
      </c>
      <c r="AO18" s="505"/>
    </row>
    <row r="19" spans="1:41">
      <c r="A19" s="130" t="s">
        <v>521</v>
      </c>
      <c r="B19" s="134" t="s">
        <v>503</v>
      </c>
      <c r="C19" s="141">
        <f>'[54]HRC Prices'!Z52</f>
        <v>496.65136458385859</v>
      </c>
      <c r="D19" s="141">
        <f>'[54]HRC Prices'!AA52</f>
        <v>489.69499999999999</v>
      </c>
      <c r="E19" s="141">
        <f>'[54]HRC Prices'!AB52</f>
        <v>474.3</v>
      </c>
      <c r="F19" s="141">
        <f>'[54]HRC Prices'!AC52</f>
        <v>460.85</v>
      </c>
      <c r="G19" s="138" t="e">
        <f>G21/G20*1000</f>
        <v>#REF!</v>
      </c>
      <c r="I19" s="557"/>
      <c r="W19" s="460"/>
      <c r="X19" s="402" t="str">
        <f>X10</f>
        <v>NLMK USA</v>
      </c>
      <c r="Y19" s="468">
        <v>0</v>
      </c>
      <c r="Z19" s="468">
        <v>0</v>
      </c>
      <c r="AA19" s="412">
        <f t="shared" si="1"/>
        <v>0</v>
      </c>
      <c r="AC19" s="565"/>
      <c r="AD19" s="317"/>
      <c r="AE19" s="535"/>
      <c r="AF19" s="130"/>
      <c r="AG19" s="130"/>
      <c r="AH19" s="130"/>
      <c r="AK19" s="130"/>
      <c r="AL19" s="130"/>
      <c r="AM19" s="536">
        <f>AM17-AM18</f>
        <v>5.6666666666666661</v>
      </c>
      <c r="AN19" s="320" t="s">
        <v>373</v>
      </c>
      <c r="AO19" s="503"/>
    </row>
    <row r="20" spans="1:41" s="130" customFormat="1">
      <c r="B20" s="206" t="s">
        <v>494</v>
      </c>
      <c r="C20" s="207" t="e">
        <f>#REF!</f>
        <v>#REF!</v>
      </c>
      <c r="D20" s="207" t="e">
        <f>#REF!</f>
        <v>#REF!</v>
      </c>
      <c r="E20" s="207" t="e">
        <f>#REF!</f>
        <v>#REF!</v>
      </c>
      <c r="F20" s="207" t="e">
        <f>#REF!</f>
        <v>#REF!</v>
      </c>
      <c r="G20" s="602" t="e">
        <f>SUM(C20:F20)</f>
        <v>#REF!</v>
      </c>
      <c r="I20" s="559"/>
      <c r="N20" s="245"/>
      <c r="S20" s="245"/>
      <c r="T20" s="245"/>
      <c r="W20" s="460"/>
      <c r="X20" s="470" t="s">
        <v>257</v>
      </c>
      <c r="Y20" s="654">
        <f>AA20/Z20</f>
        <v>451.2439024390244</v>
      </c>
      <c r="Z20" s="469">
        <f>SUM(Z16:Z19)</f>
        <v>164</v>
      </c>
      <c r="AA20" s="471">
        <f>SUM(AA16:AA19)</f>
        <v>74004</v>
      </c>
      <c r="AB20" s="299">
        <f>Y20-Y11</f>
        <v>-0.13604026252107815</v>
      </c>
      <c r="AC20" s="567">
        <f>AB20-AA5</f>
        <v>-35.838197832866399</v>
      </c>
      <c r="AD20" s="410"/>
      <c r="AE20" s="537"/>
      <c r="AF20" s="189" t="s">
        <v>264</v>
      </c>
      <c r="AG20" s="190">
        <f>SUM(Cálculo!F20:F21,Cálculo!F23:F27,Cálculo!F30:F32,Cálculo!F35:F37,Cálculo!F39:F43)/1000</f>
        <v>3986.3766942277593</v>
      </c>
      <c r="AO20" s="505"/>
    </row>
    <row r="21" spans="1:41" hidden="1" outlineLevel="1">
      <c r="B21" s="206" t="str">
        <f>B16</f>
        <v>Sales $m</v>
      </c>
      <c r="C21" s="162" t="e">
        <f>C20*C19/1000</f>
        <v>#REF!</v>
      </c>
      <c r="D21" s="162" t="e">
        <f>D20*D19/1000</f>
        <v>#REF!</v>
      </c>
      <c r="E21" s="162" t="e">
        <f>E20*E19/1000</f>
        <v>#REF!</v>
      </c>
      <c r="F21" s="162" t="e">
        <f>F20*F19/1000</f>
        <v>#REF!</v>
      </c>
      <c r="G21" s="160" t="e">
        <f>SUM(C21:F21)</f>
        <v>#REF!</v>
      </c>
      <c r="I21" s="557"/>
      <c r="J21" s="524" t="s">
        <v>423</v>
      </c>
      <c r="K21" s="525"/>
      <c r="L21" s="525"/>
      <c r="M21" s="525"/>
      <c r="N21" s="526"/>
      <c r="O21" s="524" t="s">
        <v>426</v>
      </c>
      <c r="P21" s="525"/>
      <c r="Q21" s="525"/>
      <c r="R21" s="525"/>
      <c r="S21" s="526"/>
      <c r="T21" s="526"/>
      <c r="U21" s="419"/>
      <c r="V21" s="399"/>
      <c r="W21" s="399"/>
      <c r="X21" s="130"/>
      <c r="Y21" s="130"/>
      <c r="Z21" s="130"/>
      <c r="AC21" s="568"/>
      <c r="AD21" s="410"/>
      <c r="AE21" s="537"/>
      <c r="AF21" s="130"/>
      <c r="AG21" s="130"/>
      <c r="AI21" s="189" t="s">
        <v>300</v>
      </c>
      <c r="AJ21" s="191" t="e">
        <f>E8</f>
        <v>#REF!</v>
      </c>
      <c r="AK21" s="530" t="e">
        <f>AI13*0.65</f>
        <v>#REF!</v>
      </c>
      <c r="AO21" s="503"/>
    </row>
    <row r="22" spans="1:41" collapsed="1">
      <c r="B22" s="130"/>
      <c r="C22" s="130"/>
      <c r="D22" s="130"/>
      <c r="E22" s="130"/>
      <c r="F22" s="130"/>
      <c r="G22" s="130"/>
      <c r="H22" s="130"/>
      <c r="I22" s="569"/>
      <c r="N22" s="245"/>
      <c r="O22" s="130"/>
      <c r="P22" s="130"/>
      <c r="X22" s="130"/>
      <c r="Y22" s="130"/>
      <c r="Z22" s="130"/>
      <c r="AA22" s="130"/>
      <c r="AB22" s="130"/>
      <c r="AC22" s="568"/>
      <c r="AD22" s="410"/>
      <c r="AE22" s="537"/>
      <c r="AF22" s="130" t="s">
        <v>265</v>
      </c>
      <c r="AG22" s="190">
        <f>SUM(Cálculo!F20:F21,Cálculo!F24:F25,Cálculo!F27,Cálculo!F31:F32,Cálculo!F36:F37,Cálculo!F39:F40,Cálculo!F42)/1000</f>
        <v>3133.25609989848</v>
      </c>
      <c r="AO22" s="503"/>
    </row>
    <row r="23" spans="1:41">
      <c r="B23" s="1058" t="s">
        <v>543</v>
      </c>
      <c r="C23" s="1058"/>
      <c r="D23" s="1058"/>
      <c r="E23" s="1058"/>
      <c r="F23" s="1058"/>
      <c r="G23" s="1058"/>
      <c r="I23" s="557"/>
      <c r="J23" s="509" t="s">
        <v>509</v>
      </c>
      <c r="K23" s="510">
        <f>AVERAGE(C14:F14)</f>
        <v>455.74056573722891</v>
      </c>
      <c r="L23" s="510">
        <f>AVERAGE(C19:F19)</f>
        <v>480.3740911459646</v>
      </c>
      <c r="M23" s="510">
        <f>L23-K23</f>
        <v>24.633525408735693</v>
      </c>
      <c r="U23" s="541"/>
      <c r="X23" s="404" t="s">
        <v>488</v>
      </c>
      <c r="Y23" s="408" t="str">
        <f>Y15</f>
        <v>$/t</v>
      </c>
      <c r="Z23" s="408" t="str">
        <f>Z15</f>
        <v>Kt</v>
      </c>
      <c r="AA23" s="408" t="str">
        <f>AA15</f>
        <v>$m</v>
      </c>
      <c r="AB23" s="317"/>
      <c r="AC23" s="558"/>
      <c r="AE23" s="502"/>
      <c r="AF23" s="189" t="s">
        <v>266</v>
      </c>
      <c r="AG23" s="190">
        <f>SUM(Cálculo!F23,Cálculo!F26,Cálculo!F30,Cálculo!F35,Cálculo!F41,Cálculo!F43)/1000</f>
        <v>853.12059432927981</v>
      </c>
      <c r="AO23" s="503"/>
    </row>
    <row r="24" spans="1:41">
      <c r="B24" s="130"/>
      <c r="C24" s="130"/>
      <c r="D24" s="130"/>
      <c r="E24" s="130"/>
      <c r="F24" s="130"/>
      <c r="G24" s="130"/>
      <c r="I24" s="557"/>
      <c r="J24" s="404" t="s">
        <v>511</v>
      </c>
      <c r="K24" s="408" t="s">
        <v>257</v>
      </c>
      <c r="L24" s="408" t="s">
        <v>273</v>
      </c>
      <c r="M24" s="408" t="s">
        <v>261</v>
      </c>
      <c r="N24" s="399" t="s">
        <v>506</v>
      </c>
      <c r="O24" s="404" t="s">
        <v>512</v>
      </c>
      <c r="P24" s="408" t="s">
        <v>257</v>
      </c>
      <c r="Q24" s="408" t="s">
        <v>273</v>
      </c>
      <c r="R24" s="408" t="s">
        <v>261</v>
      </c>
      <c r="S24" s="399" t="s">
        <v>506</v>
      </c>
      <c r="T24" s="399" t="s">
        <v>425</v>
      </c>
      <c r="U24" s="542" t="s">
        <v>519</v>
      </c>
      <c r="V24" s="410"/>
      <c r="W24" s="410"/>
      <c r="X24" s="402" t="s">
        <v>490</v>
      </c>
      <c r="Y24" s="406">
        <v>21.150056153650073</v>
      </c>
      <c r="Z24" s="406">
        <v>201.01988</v>
      </c>
      <c r="AA24" s="412">
        <f>Y24*Z24</f>
        <v>4251.5817499999994</v>
      </c>
      <c r="AB24" s="410"/>
      <c r="AC24" s="570"/>
      <c r="AD24" s="507"/>
      <c r="AE24" s="538"/>
      <c r="AO24" s="503"/>
    </row>
    <row r="25" spans="1:41">
      <c r="B25" s="131" t="s">
        <v>542</v>
      </c>
      <c r="C25" s="132" t="s">
        <v>493</v>
      </c>
      <c r="D25" s="132" t="s">
        <v>495</v>
      </c>
      <c r="E25" s="133" t="s">
        <v>496</v>
      </c>
      <c r="F25" s="133" t="s">
        <v>497</v>
      </c>
      <c r="G25" s="133" t="s">
        <v>357</v>
      </c>
      <c r="I25" s="571"/>
      <c r="J25" s="403" t="s">
        <v>421</v>
      </c>
      <c r="K25" s="427">
        <v>478.2145783082579</v>
      </c>
      <c r="L25" s="405">
        <v>393.00167700000003</v>
      </c>
      <c r="M25" s="411">
        <f>K25*L25</f>
        <v>187939.13124099319</v>
      </c>
      <c r="N25" s="221">
        <f>L25/L27</f>
        <v>0.78323663637388652</v>
      </c>
      <c r="O25" s="403" t="s">
        <v>421</v>
      </c>
      <c r="P25" s="427">
        <v>477.80060402006234</v>
      </c>
      <c r="Q25" s="405">
        <v>646</v>
      </c>
      <c r="R25" s="411">
        <f>P25*Q25</f>
        <v>308659.19019696029</v>
      </c>
      <c r="S25" s="221">
        <f>Q25/Q27</f>
        <v>0.52189368233963485</v>
      </c>
      <c r="T25" s="497">
        <f>P25-K25</f>
        <v>-0.41397428819556126</v>
      </c>
      <c r="U25" s="512">
        <f>T25*Q25/1000</f>
        <v>-0.26742739017433259</v>
      </c>
      <c r="V25" s="507"/>
      <c r="W25" s="507"/>
      <c r="X25" s="402" t="s">
        <v>491</v>
      </c>
      <c r="Y25" s="406">
        <v>10.951049074067132</v>
      </c>
      <c r="Z25" s="406">
        <v>100.04775000000001</v>
      </c>
      <c r="AA25" s="412">
        <f>Y25*Z25</f>
        <v>1095.6278199999999</v>
      </c>
      <c r="AB25" s="410"/>
      <c r="AC25" s="558"/>
      <c r="AE25" s="502"/>
      <c r="AO25" s="503"/>
    </row>
    <row r="26" spans="1:41">
      <c r="B26" s="134" t="s">
        <v>503</v>
      </c>
      <c r="C26" s="141">
        <f>-4-59</f>
        <v>-63</v>
      </c>
      <c r="D26" s="141">
        <f>17-58</f>
        <v>-41</v>
      </c>
      <c r="E26" s="141">
        <f>-12-43</f>
        <v>-55</v>
      </c>
      <c r="F26" s="141">
        <f>-2-57</f>
        <v>-59</v>
      </c>
      <c r="G26" s="138">
        <f>G28/G27*1000</f>
        <v>-54.002848251755282</v>
      </c>
      <c r="I26" s="572"/>
      <c r="J26" s="402" t="s">
        <v>422</v>
      </c>
      <c r="K26" s="406">
        <v>397.61465431215169</v>
      </c>
      <c r="L26" s="406">
        <v>108.7645310000001</v>
      </c>
      <c r="M26" s="412">
        <f>K26*L26</f>
        <v>43246.371394988346</v>
      </c>
      <c r="N26" s="221">
        <f>L26/L27</f>
        <v>0.21676336362611345</v>
      </c>
      <c r="O26" s="402" t="s">
        <v>422</v>
      </c>
      <c r="P26" s="406">
        <v>445.6997088240563</v>
      </c>
      <c r="Q26" s="406">
        <v>591.79999999999995</v>
      </c>
      <c r="R26" s="412">
        <f>P26*Q26</f>
        <v>263765.0876820765</v>
      </c>
      <c r="S26" s="221">
        <f>Q26/Q27</f>
        <v>0.47810631766036515</v>
      </c>
      <c r="T26" s="498">
        <f>P26-K26</f>
        <v>48.085054511904616</v>
      </c>
      <c r="U26" s="512">
        <f>T26*Q26/1000</f>
        <v>28.456735260145148</v>
      </c>
      <c r="X26" s="404" t="s">
        <v>492</v>
      </c>
      <c r="Y26" s="407">
        <f>AA26/Z26</f>
        <v>17.760825267067066</v>
      </c>
      <c r="Z26" s="407">
        <f>SUM(Z24:Z25)</f>
        <v>301.06763000000001</v>
      </c>
      <c r="AA26" s="413">
        <f>SUM(AA24:AA25)</f>
        <v>5347.2095699999991</v>
      </c>
      <c r="AB26" s="317"/>
      <c r="AC26" s="558"/>
      <c r="AE26" s="502"/>
      <c r="AF26" s="314" t="s">
        <v>256</v>
      </c>
      <c r="AG26" s="314" t="s">
        <v>286</v>
      </c>
      <c r="AH26" s="314" t="s">
        <v>273</v>
      </c>
      <c r="AI26" s="314" t="s">
        <v>287</v>
      </c>
      <c r="AK26" s="314" t="s">
        <v>357</v>
      </c>
      <c r="AL26" s="314" t="s">
        <v>419</v>
      </c>
      <c r="AM26" s="314" t="s">
        <v>359</v>
      </c>
      <c r="AN26" s="314" t="s">
        <v>360</v>
      </c>
      <c r="AO26" s="503"/>
    </row>
    <row r="27" spans="1:41">
      <c r="B27" s="206" t="s">
        <v>494</v>
      </c>
      <c r="C27" s="207">
        <f>'[3]Shipments &amp; Prices'!Q22</f>
        <v>579</v>
      </c>
      <c r="D27" s="207">
        <f>'[3]Shipments &amp; Prices'!R22</f>
        <v>771.60500000000002</v>
      </c>
      <c r="E27" s="207">
        <f>'[3]Shipments &amp; Prices'!S22</f>
        <v>585</v>
      </c>
      <c r="F27" s="207">
        <f>'[3]Shipments &amp; Prices'!T22</f>
        <v>848.55899999999997</v>
      </c>
      <c r="G27" s="602">
        <f>SUM(C27:F27)</f>
        <v>2784.1639999999998</v>
      </c>
      <c r="I27" s="557"/>
      <c r="J27" s="404" t="s">
        <v>14</v>
      </c>
      <c r="K27" s="407">
        <f>M27/L27</f>
        <v>460.74346767485281</v>
      </c>
      <c r="L27" s="407">
        <f>SUM(L25:L26)</f>
        <v>501.76620800000012</v>
      </c>
      <c r="M27" s="413">
        <f>SUM(M25:M26)</f>
        <v>231185.50263598154</v>
      </c>
      <c r="N27" s="414"/>
      <c r="O27" s="404" t="str">
        <f>J27</f>
        <v>Total</v>
      </c>
      <c r="P27" s="407">
        <f>R27/Q27</f>
        <v>462.45296322429857</v>
      </c>
      <c r="Q27" s="407">
        <f>SUM(Q25:Q26)</f>
        <v>1237.8</v>
      </c>
      <c r="R27" s="413">
        <f>SUM(R25:R26)</f>
        <v>572424.27787903673</v>
      </c>
      <c r="S27" s="414"/>
      <c r="T27" s="498">
        <f>P27-K27</f>
        <v>1.7094955494457622</v>
      </c>
      <c r="U27" s="512">
        <f>T27*Q27/1000</f>
        <v>2.1160135911039641</v>
      </c>
      <c r="V27" s="507"/>
      <c r="W27" s="507"/>
      <c r="Y27" s="317"/>
      <c r="Z27" s="317"/>
      <c r="AA27" s="317"/>
      <c r="AB27" s="317"/>
      <c r="AC27" s="570"/>
      <c r="AD27" s="507"/>
      <c r="AE27" s="538"/>
      <c r="AF27" s="134" t="s">
        <v>94</v>
      </c>
      <c r="AG27" s="141" t="e">
        <f>Cálculo!O23-$E$8</f>
        <v>#REF!</v>
      </c>
      <c r="AH27" s="166">
        <f>Cálculo!F23/1000</f>
        <v>100.23684017419748</v>
      </c>
      <c r="AI27" s="138" t="e">
        <f t="shared" ref="AI27:AI32" si="2">AG27*AH27/1000</f>
        <v>#REF!</v>
      </c>
      <c r="AK27" s="311">
        <f>Cálculo!D23*Cálculo!$E$152</f>
        <v>3679.7808312548805</v>
      </c>
      <c r="AL27" s="311">
        <f>Cálculo!G23*Cálculo!$H$152</f>
        <v>3757.0515455868849</v>
      </c>
      <c r="AM27" s="312">
        <f t="shared" ref="AM27:AM32" si="3">AL27-AK27</f>
        <v>77.270714332004445</v>
      </c>
      <c r="AN27" s="313">
        <f t="shared" ref="AN27:AN32" si="4">AM27/AK27</f>
        <v>2.0998727336066249E-2</v>
      </c>
      <c r="AO27" s="503"/>
    </row>
    <row r="28" spans="1:41" outlineLevel="1">
      <c r="B28" s="206" t="s">
        <v>502</v>
      </c>
      <c r="C28" s="162">
        <f>C27*C26/1000</f>
        <v>-36.476999999999997</v>
      </c>
      <c r="D28" s="162">
        <f>D27*D26/1000</f>
        <v>-31.635805000000001</v>
      </c>
      <c r="E28" s="162">
        <f>E27*E26/1000</f>
        <v>-32.174999999999997</v>
      </c>
      <c r="F28" s="162">
        <f>F27*F26/1000</f>
        <v>-50.064981000000003</v>
      </c>
      <c r="G28" s="160">
        <f>SUM(C28:F28)</f>
        <v>-150.35278599999998</v>
      </c>
      <c r="I28" s="557"/>
      <c r="M28" s="508">
        <f>M27/L27</f>
        <v>460.74346767485281</v>
      </c>
      <c r="N28" s="508"/>
      <c r="Q28" s="488">
        <f>Q27-L27</f>
        <v>736.03379199999983</v>
      </c>
      <c r="R28" s="508">
        <f>R27/Q27</f>
        <v>462.45296322429857</v>
      </c>
      <c r="S28" s="508"/>
      <c r="T28" s="410">
        <f>R28-M28</f>
        <v>1.7094955494457622</v>
      </c>
      <c r="U28" s="543">
        <f>U25+U26-U27</f>
        <v>26.07329427886685</v>
      </c>
      <c r="V28" s="539" t="s">
        <v>510</v>
      </c>
      <c r="W28" s="410"/>
      <c r="X28" s="402" t="s">
        <v>380</v>
      </c>
      <c r="Y28" s="406">
        <v>47.17</v>
      </c>
      <c r="Z28" s="406">
        <v>365.25129999999996</v>
      </c>
      <c r="AA28" s="412">
        <f>Y28*Z28</f>
        <v>17228.903821</v>
      </c>
      <c r="AB28" s="317"/>
      <c r="AC28" s="558"/>
      <c r="AE28" s="502"/>
      <c r="AF28" s="139" t="s">
        <v>102</v>
      </c>
      <c r="AG28" s="137" t="e">
        <f>Cálculo!O26-$E$8</f>
        <v>#REF!</v>
      </c>
      <c r="AH28" s="142">
        <f>Cálculo!F26/1000</f>
        <v>90.523857724700008</v>
      </c>
      <c r="AI28" s="152" t="e">
        <f t="shared" si="2"/>
        <v>#REF!</v>
      </c>
      <c r="AK28" s="311">
        <f>Cálculo!D26*Cálculo!$E$152</f>
        <v>4639.7129915936957</v>
      </c>
      <c r="AL28" s="311">
        <f>Cálculo!G26*Cálculo!$H$152</f>
        <v>4733.5025730571733</v>
      </c>
      <c r="AM28" s="312">
        <f t="shared" si="3"/>
        <v>93.789581463477589</v>
      </c>
      <c r="AN28" s="313">
        <f t="shared" si="4"/>
        <v>2.0214522241657408E-2</v>
      </c>
      <c r="AO28" s="503"/>
    </row>
    <row r="29" spans="1:41">
      <c r="I29" s="557"/>
      <c r="J29" s="511" t="s">
        <v>433</v>
      </c>
      <c r="K29" s="511"/>
      <c r="L29" s="511"/>
      <c r="M29" s="512">
        <f>M28-C6</f>
        <v>1.4987745706987425</v>
      </c>
      <c r="N29" s="513"/>
      <c r="O29" s="511" t="s">
        <v>433</v>
      </c>
      <c r="P29" s="511"/>
      <c r="Q29" s="511"/>
      <c r="R29" s="512" t="e">
        <f>R28-D6</f>
        <v>#REF!</v>
      </c>
      <c r="S29" s="513"/>
      <c r="T29" s="514" t="e">
        <f>R29-M29</f>
        <v>#REF!</v>
      </c>
      <c r="U29" s="460" t="e">
        <f>T29*Q27/1000</f>
        <v>#REF!</v>
      </c>
      <c r="V29" s="460"/>
      <c r="W29" s="460"/>
      <c r="X29" s="402" t="s">
        <v>430</v>
      </c>
      <c r="Y29" s="406">
        <v>120.92941708595529</v>
      </c>
      <c r="Z29" s="406">
        <v>193.32147000000001</v>
      </c>
      <c r="AA29" s="412">
        <f>Y29*Z29</f>
        <v>23378.252677299995</v>
      </c>
      <c r="AB29" s="410"/>
      <c r="AC29" s="558"/>
      <c r="AE29" s="502"/>
      <c r="AF29" s="139" t="s">
        <v>103</v>
      </c>
      <c r="AG29" s="137" t="e">
        <f>Cálculo!O30-$E$8</f>
        <v>#REF!</v>
      </c>
      <c r="AH29" s="142">
        <f>Cálculo!F30/1000</f>
        <v>95.622293215625149</v>
      </c>
      <c r="AI29" s="152" t="e">
        <f t="shared" si="2"/>
        <v>#REF!</v>
      </c>
      <c r="AK29" s="311">
        <f>Cálculo!D30*Cálculo!$E$152</f>
        <v>4978.9200251292195</v>
      </c>
      <c r="AL29" s="311">
        <f>Cálculo!G30*Cálculo!$H$152</f>
        <v>5088.1970023102322</v>
      </c>
      <c r="AM29" s="312">
        <f t="shared" si="3"/>
        <v>109.27697718101263</v>
      </c>
      <c r="AN29" s="313">
        <f t="shared" si="4"/>
        <v>2.1947927789456013E-2</v>
      </c>
      <c r="AO29" s="503"/>
    </row>
    <row r="30" spans="1:41">
      <c r="B30" s="131" t="s">
        <v>542</v>
      </c>
      <c r="C30" s="132" t="s">
        <v>498</v>
      </c>
      <c r="D30" s="132" t="s">
        <v>499</v>
      </c>
      <c r="E30" s="133" t="s">
        <v>500</v>
      </c>
      <c r="F30" s="133" t="s">
        <v>501</v>
      </c>
      <c r="G30" s="133" t="s">
        <v>419</v>
      </c>
      <c r="I30" s="557"/>
      <c r="X30" s="404" t="s">
        <v>492</v>
      </c>
      <c r="Y30" s="407">
        <f>AA30/Z30</f>
        <v>72.698059553278981</v>
      </c>
      <c r="Z30" s="407">
        <f>SUM(Z28:Z29)</f>
        <v>558.57276999999999</v>
      </c>
      <c r="AA30" s="413">
        <f>SUM(AA28:AA29)</f>
        <v>40607.156498299999</v>
      </c>
      <c r="AB30" s="317"/>
      <c r="AC30" s="558"/>
      <c r="AE30" s="502"/>
      <c r="AF30" s="139" t="s">
        <v>105</v>
      </c>
      <c r="AG30" s="137" t="e">
        <f>Cálculo!O35-$E$8</f>
        <v>#REF!</v>
      </c>
      <c r="AH30" s="142">
        <f>Cálculo!F35/1000</f>
        <v>463.78728951984948</v>
      </c>
      <c r="AI30" s="152" t="e">
        <f t="shared" si="2"/>
        <v>#REF!</v>
      </c>
      <c r="AK30" s="311">
        <f>Cálculo!D35*Cálculo!$E$152</f>
        <v>5643.5325118701885</v>
      </c>
      <c r="AL30" s="311">
        <f>Cálculo!G35*Cálculo!$H$152</f>
        <v>5687.8781955019485</v>
      </c>
      <c r="AM30" s="312">
        <f t="shared" si="3"/>
        <v>44.345683631760039</v>
      </c>
      <c r="AN30" s="313">
        <f t="shared" si="4"/>
        <v>7.8577882803876134E-3</v>
      </c>
      <c r="AO30" s="503"/>
    </row>
    <row r="31" spans="1:41">
      <c r="B31" s="134" t="s">
        <v>503</v>
      </c>
      <c r="C31" s="141">
        <f>10-60</f>
        <v>-50</v>
      </c>
      <c r="D31" s="141">
        <f>10-55</f>
        <v>-45</v>
      </c>
      <c r="E31" s="141">
        <f>10-55</f>
        <v>-45</v>
      </c>
      <c r="F31" s="141">
        <f>10-55</f>
        <v>-45</v>
      </c>
      <c r="G31" s="138" t="e">
        <f>G33/G32*1000</f>
        <v>#REF!</v>
      </c>
      <c r="I31" s="557"/>
      <c r="J31" s="515" t="s">
        <v>435</v>
      </c>
      <c r="K31" s="510">
        <f>AVERAGE('[54]Semis steel prices and spreads'!$V$10:$Y$10)</f>
        <v>387.43028846153845</v>
      </c>
      <c r="L31" s="510">
        <f>AVERAGE('[54]Semis steel prices and spreads'!$Z$10:$AC$10)</f>
        <v>429.1698119314886</v>
      </c>
      <c r="M31" s="510">
        <f>L31-K31</f>
        <v>41.739523469950143</v>
      </c>
      <c r="Y31" s="317"/>
      <c r="Z31" s="317"/>
      <c r="AA31" s="317"/>
      <c r="AB31" s="508"/>
      <c r="AC31" s="558"/>
      <c r="AE31" s="502"/>
      <c r="AF31" s="139" t="s">
        <v>268</v>
      </c>
      <c r="AG31" s="137" t="e">
        <f>Cálculo!O41-$E$8</f>
        <v>#REF!</v>
      </c>
      <c r="AH31" s="142">
        <f>Cálculo!F41/1000</f>
        <v>99.323020800091982</v>
      </c>
      <c r="AI31" s="152" t="e">
        <f t="shared" si="2"/>
        <v>#REF!</v>
      </c>
      <c r="AK31" s="311">
        <f>Cálculo!D41*Cálculo!$E$152</f>
        <v>6973.4037958816934</v>
      </c>
      <c r="AL31" s="311">
        <f>Cálculo!G41*Cálculo!$H$152</f>
        <v>7149.6530679781426</v>
      </c>
      <c r="AM31" s="312">
        <f t="shared" si="3"/>
        <v>176.2492720964492</v>
      </c>
      <c r="AN31" s="313">
        <f t="shared" si="4"/>
        <v>2.5274496824712393E-2</v>
      </c>
      <c r="AO31" s="503"/>
    </row>
    <row r="32" spans="1:41" s="130" customFormat="1">
      <c r="B32" s="206" t="s">
        <v>494</v>
      </c>
      <c r="C32" s="207" t="e">
        <f>#REF!</f>
        <v>#REF!</v>
      </c>
      <c r="D32" s="207" t="e">
        <f>#REF!</f>
        <v>#REF!</v>
      </c>
      <c r="E32" s="207" t="e">
        <f>#REF!</f>
        <v>#REF!</v>
      </c>
      <c r="F32" s="207" t="e">
        <f>#REF!</f>
        <v>#REF!</v>
      </c>
      <c r="G32" s="602" t="e">
        <f>SUM(C32:F32)</f>
        <v>#REF!</v>
      </c>
      <c r="I32" s="559"/>
      <c r="J32" s="404" t="s">
        <v>513</v>
      </c>
      <c r="K32" s="408" t="s">
        <v>257</v>
      </c>
      <c r="L32" s="408" t="s">
        <v>273</v>
      </c>
      <c r="M32" s="408" t="s">
        <v>261</v>
      </c>
      <c r="N32" s="399" t="s">
        <v>506</v>
      </c>
      <c r="O32" s="404" t="s">
        <v>514</v>
      </c>
      <c r="P32" s="408" t="s">
        <v>257</v>
      </c>
      <c r="Q32" s="408" t="s">
        <v>273</v>
      </c>
      <c r="R32" s="408" t="s">
        <v>261</v>
      </c>
      <c r="S32" s="203" t="s">
        <v>506</v>
      </c>
      <c r="T32" s="399" t="s">
        <v>425</v>
      </c>
      <c r="U32" s="542" t="s">
        <v>519</v>
      </c>
      <c r="V32" s="189"/>
      <c r="W32" s="189"/>
      <c r="X32" s="189"/>
      <c r="Y32" s="317"/>
      <c r="Z32" s="317"/>
      <c r="AA32" s="317"/>
      <c r="AB32" s="317"/>
      <c r="AC32" s="558"/>
      <c r="AD32" s="189"/>
      <c r="AE32" s="502"/>
      <c r="AF32" s="206" t="s">
        <v>285</v>
      </c>
      <c r="AG32" s="162" t="e">
        <f>Cálculo!O43-$E$8</f>
        <v>#REF!</v>
      </c>
      <c r="AH32" s="207">
        <f>Cálculo!F43/1000</f>
        <v>3.6272928948158056</v>
      </c>
      <c r="AI32" s="160" t="e">
        <f t="shared" si="2"/>
        <v>#REF!</v>
      </c>
      <c r="AJ32" s="189"/>
      <c r="AK32" s="311">
        <f>Cálculo!D43*Cálculo!$E$152</f>
        <v>10111.406393288522</v>
      </c>
      <c r="AL32" s="311">
        <f>Cálculo!G43*Cálculo!$H$152</f>
        <v>10097.650329754119</v>
      </c>
      <c r="AM32" s="312">
        <f t="shared" si="3"/>
        <v>-13.756063534403438</v>
      </c>
      <c r="AN32" s="313">
        <f t="shared" si="4"/>
        <v>-1.3604500698868229E-3</v>
      </c>
      <c r="AO32" s="505"/>
    </row>
    <row r="33" spans="2:44" outlineLevel="1">
      <c r="B33" s="206" t="str">
        <f>B28</f>
        <v>Sales $m</v>
      </c>
      <c r="C33" s="162" t="e">
        <f>C32*C31/1000</f>
        <v>#REF!</v>
      </c>
      <c r="D33" s="162" t="e">
        <f>D32*D31/1000</f>
        <v>#REF!</v>
      </c>
      <c r="E33" s="162" t="e">
        <f>E32*E31/1000</f>
        <v>#REF!</v>
      </c>
      <c r="F33" s="162" t="e">
        <f>F32*F31/1000</f>
        <v>#REF!</v>
      </c>
      <c r="G33" s="160" t="e">
        <f>SUM(C33:F33)</f>
        <v>#REF!</v>
      </c>
      <c r="I33" s="557"/>
      <c r="J33" s="403" t="s">
        <v>427</v>
      </c>
      <c r="K33" s="405">
        <v>328.96065308382549</v>
      </c>
      <c r="L33" s="411">
        <v>238.52113900000003</v>
      </c>
      <c r="M33" s="411">
        <f>K33*L33</f>
        <v>78464.069659737928</v>
      </c>
      <c r="N33" s="492">
        <f>L33/$L$36</f>
        <v>0.32615609123421829</v>
      </c>
      <c r="O33" s="403" t="s">
        <v>427</v>
      </c>
      <c r="P33" s="651">
        <v>380</v>
      </c>
      <c r="Q33" s="660">
        <v>523</v>
      </c>
      <c r="R33" s="411">
        <f>P33*Q33</f>
        <v>198740</v>
      </c>
      <c r="S33" s="492">
        <f>Q33/$Q$36</f>
        <v>0.55816435432230527</v>
      </c>
      <c r="T33" s="495">
        <f>P33-K33</f>
        <v>51.039346916174509</v>
      </c>
      <c r="U33" s="512">
        <f>T33*Q33/1000</f>
        <v>26.693578437159267</v>
      </c>
      <c r="V33" s="130"/>
      <c r="W33" s="130"/>
      <c r="X33" s="404" t="s">
        <v>489</v>
      </c>
      <c r="Y33" s="408" t="str">
        <f>Y23</f>
        <v>$/t</v>
      </c>
      <c r="Z33" s="408" t="str">
        <f>Z23</f>
        <v>Kt</v>
      </c>
      <c r="AA33" s="408" t="str">
        <f>AA23</f>
        <v>$m</v>
      </c>
      <c r="AB33" s="399" t="s">
        <v>425</v>
      </c>
      <c r="AC33" s="560"/>
      <c r="AD33" s="130"/>
      <c r="AE33" s="504"/>
      <c r="AF33" s="203" t="s">
        <v>14</v>
      </c>
      <c r="AG33" s="203"/>
      <c r="AH33" s="203"/>
      <c r="AI33" s="208" t="e">
        <f>SUM(AI27:AI32)</f>
        <v>#REF!</v>
      </c>
      <c r="AJ33" s="130"/>
      <c r="AK33" s="130"/>
      <c r="AL33" s="130"/>
      <c r="AM33" s="130"/>
      <c r="AN33" s="130"/>
      <c r="AO33" s="503"/>
    </row>
    <row r="34" spans="2:44" s="130" customFormat="1">
      <c r="I34" s="559"/>
      <c r="J34" s="402" t="s">
        <v>428</v>
      </c>
      <c r="K34" s="406">
        <f>Y11</f>
        <v>451.37994270154547</v>
      </c>
      <c r="L34" s="412">
        <f>Z11</f>
        <v>452.78863999999999</v>
      </c>
      <c r="M34" s="412">
        <f>AA11</f>
        <v>204379.71037911071</v>
      </c>
      <c r="N34" s="492">
        <f>L34/$L$36</f>
        <v>0.61914752544283969</v>
      </c>
      <c r="O34" s="402" t="s">
        <v>428</v>
      </c>
      <c r="P34" s="655">
        <f>Y20</f>
        <v>451.2439024390244</v>
      </c>
      <c r="Q34" s="657">
        <f>Z20</f>
        <v>164</v>
      </c>
      <c r="R34" s="411">
        <f>AA20</f>
        <v>74004</v>
      </c>
      <c r="S34" s="492">
        <f>Q34/$Q$36</f>
        <v>0.17502668089647813</v>
      </c>
      <c r="T34" s="496">
        <f>P34-K34</f>
        <v>-0.13604026252107815</v>
      </c>
      <c r="U34" s="512">
        <f>T34*Q34/1000</f>
        <v>-2.2310603053456817E-2</v>
      </c>
      <c r="X34" s="402" t="s">
        <v>490</v>
      </c>
      <c r="Y34" s="655">
        <v>10</v>
      </c>
      <c r="Z34" s="406">
        <v>109</v>
      </c>
      <c r="AA34" s="412">
        <f>Y34*Z34</f>
        <v>1090</v>
      </c>
      <c r="AB34" s="508">
        <f>Y34-Y24</f>
        <v>-11.150056153650073</v>
      </c>
      <c r="AC34" s="578">
        <f>AB34*Z34/1000</f>
        <v>-1.215356120747858</v>
      </c>
      <c r="AE34" s="504"/>
      <c r="AF34" s="189"/>
      <c r="AG34" s="189"/>
      <c r="AO34" s="505"/>
    </row>
    <row r="35" spans="2:44">
      <c r="B35" s="1058" t="s">
        <v>518</v>
      </c>
      <c r="C35" s="1058"/>
      <c r="D35" s="1058"/>
      <c r="E35" s="1058"/>
      <c r="F35" s="1058"/>
      <c r="G35" s="1058"/>
      <c r="I35" s="559"/>
      <c r="J35" s="402" t="s">
        <v>429</v>
      </c>
      <c r="K35" s="426">
        <v>430</v>
      </c>
      <c r="L35" s="412">
        <v>40</v>
      </c>
      <c r="M35" s="412">
        <f>K35*L35</f>
        <v>17200</v>
      </c>
      <c r="N35" s="492">
        <f>L35/$L$36</f>
        <v>5.4696383322941994E-2</v>
      </c>
      <c r="O35" s="402" t="s">
        <v>429</v>
      </c>
      <c r="P35" s="655">
        <v>398.70879995520005</v>
      </c>
      <c r="Q35" s="657">
        <v>250</v>
      </c>
      <c r="R35" s="412">
        <f>P35*Q35</f>
        <v>99677.199988800014</v>
      </c>
      <c r="S35" s="492">
        <f>Q35/$Q$36</f>
        <v>0.26680896478121663</v>
      </c>
      <c r="T35" s="496">
        <f>P35-K35</f>
        <v>-31.29120004479995</v>
      </c>
      <c r="U35" s="512">
        <f>T35*Q35/1000</f>
        <v>-7.8228000111999876</v>
      </c>
      <c r="X35" s="402" t="s">
        <v>491</v>
      </c>
      <c r="Y35" s="483">
        <v>0</v>
      </c>
      <c r="Z35" s="483">
        <v>0</v>
      </c>
      <c r="AA35" s="412">
        <f>Y35*Z35</f>
        <v>0</v>
      </c>
      <c r="AB35" s="508">
        <f>Y35-Y25</f>
        <v>-10.951049074067132</v>
      </c>
      <c r="AC35" s="558"/>
      <c r="AE35" s="502"/>
      <c r="AO35" s="503"/>
    </row>
    <row r="36" spans="2:44">
      <c r="B36" s="130"/>
      <c r="C36" s="130"/>
      <c r="D36" s="130"/>
      <c r="E36" s="130"/>
      <c r="F36" s="130"/>
      <c r="G36" s="130"/>
      <c r="I36" s="557"/>
      <c r="J36" s="404" t="s">
        <v>14</v>
      </c>
      <c r="K36" s="407">
        <f>M36/L36</f>
        <v>410.28274016673396</v>
      </c>
      <c r="L36" s="413">
        <f>SUM(L33:L35)</f>
        <v>731.30977900000005</v>
      </c>
      <c r="M36" s="413">
        <f>SUM(M33:M35)</f>
        <v>300043.78003884864</v>
      </c>
      <c r="N36" s="221">
        <f>L36/$L$36</f>
        <v>1</v>
      </c>
      <c r="O36" s="404" t="str">
        <f>J36</f>
        <v>Total</v>
      </c>
      <c r="P36" s="407">
        <f>R36/Q36</f>
        <v>397.46125932636073</v>
      </c>
      <c r="Q36" s="413">
        <f>SUM(Q33:Q35)</f>
        <v>937</v>
      </c>
      <c r="R36" s="413">
        <f>SUM(R33:R35)</f>
        <v>372421.19998879998</v>
      </c>
      <c r="S36" s="221">
        <f>Q36/$Q$36</f>
        <v>1</v>
      </c>
      <c r="T36" s="517">
        <f>P36-K36</f>
        <v>-12.821480840373226</v>
      </c>
      <c r="U36" s="545">
        <f>T36*Q36/1000</f>
        <v>-12.013727547429713</v>
      </c>
      <c r="X36" s="404" t="s">
        <v>492</v>
      </c>
      <c r="Y36" s="407">
        <f>AA36/Z36</f>
        <v>10</v>
      </c>
      <c r="Z36" s="407">
        <f>SUM(Z34:Z35)</f>
        <v>109</v>
      </c>
      <c r="AA36" s="413">
        <f>SUM(AA34:AA35)</f>
        <v>1090</v>
      </c>
      <c r="AB36" s="245"/>
      <c r="AC36" s="558"/>
      <c r="AE36" s="502"/>
      <c r="AF36" s="314" t="s">
        <v>255</v>
      </c>
      <c r="AG36" s="314" t="s">
        <v>286</v>
      </c>
      <c r="AH36" s="314" t="s">
        <v>273</v>
      </c>
      <c r="AI36" s="314" t="s">
        <v>287</v>
      </c>
      <c r="AK36" s="314" t="s">
        <v>357</v>
      </c>
      <c r="AL36" s="314" t="s">
        <v>419</v>
      </c>
      <c r="AM36" s="314" t="s">
        <v>359</v>
      </c>
      <c r="AN36" s="314" t="s">
        <v>360</v>
      </c>
      <c r="AO36" s="503"/>
      <c r="AR36" s="130"/>
    </row>
    <row r="37" spans="2:44">
      <c r="B37" s="131" t="s">
        <v>523</v>
      </c>
      <c r="C37" s="132" t="s">
        <v>493</v>
      </c>
      <c r="D37" s="132" t="s">
        <v>495</v>
      </c>
      <c r="E37" s="133" t="s">
        <v>496</v>
      </c>
      <c r="F37" s="133" t="s">
        <v>497</v>
      </c>
      <c r="G37" s="133" t="s">
        <v>357</v>
      </c>
      <c r="I37" s="557"/>
      <c r="L37" s="465">
        <f>Cálculo!C14/1000</f>
        <v>-3.7999999988824127E-4</v>
      </c>
      <c r="Q37" s="465">
        <f>Cálculo!F14/1000</f>
        <v>7106.558486627986</v>
      </c>
      <c r="U37" s="544">
        <f>-SUM(U33:U35)+U36</f>
        <v>-30.862195370335538</v>
      </c>
      <c r="V37" s="539" t="s">
        <v>516</v>
      </c>
      <c r="X37" s="399" t="s">
        <v>425</v>
      </c>
      <c r="Y37" s="488">
        <f>Y36-Y26</f>
        <v>-7.7608252670670659</v>
      </c>
      <c r="Z37" s="488">
        <f>Z36-Z26</f>
        <v>-192.06763000000001</v>
      </c>
      <c r="AA37" s="516">
        <f>AA36-AA26</f>
        <v>-4257.2095699999991</v>
      </c>
      <c r="AB37" s="317"/>
      <c r="AC37" s="558"/>
      <c r="AE37" s="502"/>
      <c r="AF37" s="134" t="s">
        <v>102</v>
      </c>
      <c r="AG37" s="141">
        <f>Cálculo!O27-$AG$44</f>
        <v>0</v>
      </c>
      <c r="AH37" s="166">
        <f>Cálculo!F27/1000</f>
        <v>45.424208000000021</v>
      </c>
      <c r="AI37" s="138">
        <f>AG37*AH37/1000</f>
        <v>0</v>
      </c>
      <c r="AK37" s="311">
        <f>Cálculo!D27*Cálculo!$E$152</f>
        <v>3905.6444955809361</v>
      </c>
      <c r="AL37" s="311">
        <f>Cálculo!G27*Cálculo!$H$152</f>
        <v>3743.787672547508</v>
      </c>
      <c r="AM37" s="312">
        <f>AL37-AK37</f>
        <v>-161.8568230334281</v>
      </c>
      <c r="AN37" s="313">
        <f>AM37/AK37</f>
        <v>-4.1441770549409181E-2</v>
      </c>
      <c r="AO37" s="503"/>
    </row>
    <row r="38" spans="2:44">
      <c r="B38" s="134" t="s">
        <v>92</v>
      </c>
      <c r="C38" s="141">
        <f>[55]Planilha3!S5</f>
        <v>466.73076923076923</v>
      </c>
      <c r="D38" s="141">
        <f>[55]Planilha3!T5</f>
        <v>374.42307692307691</v>
      </c>
      <c r="E38" s="141">
        <f>[55]Planilha3!U5</f>
        <v>462.19230769230768</v>
      </c>
      <c r="F38" s="141">
        <f>[55]Planilha3!V5</f>
        <v>487.34341347066527</v>
      </c>
      <c r="G38" s="138">
        <f>G40/G39*1000</f>
        <v>447.22365522712943</v>
      </c>
      <c r="I38" s="557"/>
      <c r="J38" s="404" t="s">
        <v>507</v>
      </c>
      <c r="K38" s="408" t="s">
        <v>257</v>
      </c>
      <c r="L38" s="408" t="s">
        <v>273</v>
      </c>
      <c r="M38" s="408" t="s">
        <v>261</v>
      </c>
      <c r="N38" s="518" t="str">
        <f>N32</f>
        <v>% Mix</v>
      </c>
      <c r="O38" s="490" t="s">
        <v>508</v>
      </c>
      <c r="P38" s="408" t="s">
        <v>257</v>
      </c>
      <c r="Q38" s="408" t="s">
        <v>273</v>
      </c>
      <c r="R38" s="408" t="s">
        <v>261</v>
      </c>
      <c r="S38" s="399" t="str">
        <f>S32</f>
        <v>% Mix</v>
      </c>
      <c r="T38" s="399" t="s">
        <v>425</v>
      </c>
      <c r="U38" s="542" t="s">
        <v>519</v>
      </c>
      <c r="V38" s="507"/>
      <c r="W38" s="507"/>
      <c r="Y38" s="317"/>
      <c r="Z38" s="317"/>
      <c r="AA38" s="317"/>
      <c r="AB38" s="317"/>
      <c r="AC38" s="558"/>
      <c r="AE38" s="502"/>
      <c r="AF38" s="139" t="s">
        <v>96</v>
      </c>
      <c r="AG38" s="137">
        <f>Cálculo!O31-$AG$44</f>
        <v>56.689756404167611</v>
      </c>
      <c r="AH38" s="142">
        <f>Cálculo!F31/1000</f>
        <v>286.12231839448168</v>
      </c>
      <c r="AI38" s="152">
        <f>AG38*AH38/1000</f>
        <v>16.220204531578851</v>
      </c>
      <c r="AK38" s="311">
        <f>Cálculo!D31*Cálculo!$E$152</f>
        <v>4256.3652555908202</v>
      </c>
      <c r="AL38" s="311">
        <f>Cálculo!G31*Cálculo!$H$152</f>
        <v>4373.4122789386747</v>
      </c>
      <c r="AM38" s="312">
        <f>AL38-AK38</f>
        <v>117.04702334785452</v>
      </c>
      <c r="AN38" s="313">
        <f>AM38/AK38</f>
        <v>2.7499290196984605E-2</v>
      </c>
      <c r="AO38" s="503"/>
    </row>
    <row r="39" spans="2:44" s="130" customFormat="1">
      <c r="B39" s="206" t="s">
        <v>494</v>
      </c>
      <c r="C39" s="207">
        <f>'[3]Shipments &amp; Prices'!Q112</f>
        <v>943.87066918262076</v>
      </c>
      <c r="D39" s="207">
        <f>'[3]Shipments &amp; Prices'!R112</f>
        <v>1003.2054383132881</v>
      </c>
      <c r="E39" s="207">
        <f>'[3]Shipments &amp; Prices'!S112</f>
        <v>1043.0362900526325</v>
      </c>
      <c r="F39" s="207">
        <f>'[3]Shipments &amp; Prices'!T112</f>
        <v>972.31133217158185</v>
      </c>
      <c r="G39" s="602">
        <f>SUM(C39:F39)</f>
        <v>3962.4237297201234</v>
      </c>
      <c r="I39" s="559"/>
      <c r="J39" s="402" t="s">
        <v>380</v>
      </c>
      <c r="K39" s="467">
        <v>464.87560692139937</v>
      </c>
      <c r="L39" s="546">
        <v>365.25129999999996</v>
      </c>
      <c r="M39" s="546">
        <v>169796.4197663301</v>
      </c>
      <c r="N39" s="523">
        <f>L39/$L$41</f>
        <v>0.65390101275434531</v>
      </c>
      <c r="O39" s="402" t="str">
        <f>J39</f>
        <v>Calvert</v>
      </c>
      <c r="P39" s="652">
        <v>488.86482758620684</v>
      </c>
      <c r="Q39" s="658">
        <v>1160</v>
      </c>
      <c r="R39" s="412">
        <f t="shared" ref="R39:R40" si="5">P39*Q39</f>
        <v>567083.19999999995</v>
      </c>
      <c r="S39" s="523">
        <f>Q39/$Q$41</f>
        <v>0.92063492063492058</v>
      </c>
      <c r="T39" s="495">
        <f>P39-K39</f>
        <v>23.989220664807476</v>
      </c>
      <c r="U39" s="512">
        <f>T39*Q39/1000</f>
        <v>27.827495971176671</v>
      </c>
      <c r="V39" s="460">
        <f>(T39-$AA$5)*Q39/1000</f>
        <v>-13.587006810423899</v>
      </c>
      <c r="X39" s="402" t="s">
        <v>380</v>
      </c>
      <c r="Y39" s="655">
        <v>47.169999999999995</v>
      </c>
      <c r="Z39" s="406">
        <v>1106</v>
      </c>
      <c r="AA39" s="412">
        <f>Y39*Z39</f>
        <v>52170.02</v>
      </c>
      <c r="AB39" s="508">
        <f>Y39-Y28</f>
        <v>0</v>
      </c>
      <c r="AC39" s="578">
        <f>AB39*Z39/1000</f>
        <v>0</v>
      </c>
      <c r="AE39" s="504"/>
      <c r="AF39" s="139" t="s">
        <v>97</v>
      </c>
      <c r="AG39" s="137">
        <f>Cálculo!O36-$AG$44</f>
        <v>63.768901895362205</v>
      </c>
      <c r="AH39" s="142">
        <f>Cálculo!F36/1000</f>
        <v>438.61917</v>
      </c>
      <c r="AI39" s="152">
        <f>AG39*AH39/1000</f>
        <v>27.970262821155195</v>
      </c>
      <c r="AK39" s="311">
        <f>Cálculo!D36*Cálculo!$E$152</f>
        <v>4583.4279528124016</v>
      </c>
      <c r="AL39" s="311">
        <f>Cálculo!G36*Cálculo!$H$152</f>
        <v>4723.5640940142666</v>
      </c>
      <c r="AM39" s="312">
        <f>AL39-AK39</f>
        <v>140.13614120186503</v>
      </c>
      <c r="AN39" s="313">
        <f>AM39/AK39</f>
        <v>3.0574526892230777E-2</v>
      </c>
      <c r="AO39" s="505"/>
    </row>
    <row r="40" spans="2:44" outlineLevel="1">
      <c r="B40" s="206" t="s">
        <v>502</v>
      </c>
      <c r="C40" s="162">
        <f>C39*C38/1000</f>
        <v>440.5334834819655</v>
      </c>
      <c r="D40" s="162">
        <f>D39*D38/1000</f>
        <v>375.62326699922539</v>
      </c>
      <c r="E40" s="162">
        <f>E39*E38/1000</f>
        <v>482.0833499062494</v>
      </c>
      <c r="F40" s="162">
        <f>F39*F38/1000</f>
        <v>473.84952357670858</v>
      </c>
      <c r="G40" s="160">
        <f>SUM(C40:F40)</f>
        <v>1772.0896239641488</v>
      </c>
      <c r="I40" s="557"/>
      <c r="J40" s="402" t="s">
        <v>430</v>
      </c>
      <c r="K40" s="467">
        <v>539.9424952361752</v>
      </c>
      <c r="L40" s="546">
        <v>193.32147000000001</v>
      </c>
      <c r="M40" s="546">
        <v>104382.47689452539</v>
      </c>
      <c r="N40" s="523">
        <f>L40/$L$41</f>
        <v>0.34609898724565469</v>
      </c>
      <c r="O40" s="402" t="str">
        <f>J40</f>
        <v>Calvert USIBOR</v>
      </c>
      <c r="P40" s="653">
        <v>572</v>
      </c>
      <c r="Q40" s="659">
        <v>100</v>
      </c>
      <c r="R40" s="412">
        <f t="shared" si="5"/>
        <v>57200</v>
      </c>
      <c r="S40" s="523">
        <f>Q40/$Q$41</f>
        <v>7.9365079365079361E-2</v>
      </c>
      <c r="T40" s="495">
        <f>P40-K40</f>
        <v>32.057504763824795</v>
      </c>
      <c r="U40" s="512">
        <f>T40*Q40/1000</f>
        <v>3.2057504763824793</v>
      </c>
      <c r="V40" s="460">
        <f>(T40-$AA$5)*Q40/1000</f>
        <v>-0.36446528065205258</v>
      </c>
      <c r="X40" s="402" t="s">
        <v>430</v>
      </c>
      <c r="Y40" s="655">
        <v>120.62999999999998</v>
      </c>
      <c r="Z40" s="483">
        <v>154</v>
      </c>
      <c r="AA40" s="412">
        <f>Y40*Z40</f>
        <v>18577.019999999997</v>
      </c>
      <c r="AB40" s="508">
        <f>Y40-Y29</f>
        <v>-0.29941708595531225</v>
      </c>
      <c r="AC40" s="558"/>
      <c r="AE40" s="502"/>
      <c r="AF40" s="206" t="s">
        <v>108</v>
      </c>
      <c r="AG40" s="162">
        <f>Cálculo!O39-$AG$44</f>
        <v>54.619373118265003</v>
      </c>
      <c r="AH40" s="207">
        <f>Cálculo!F39/1000</f>
        <v>136.27178900000007</v>
      </c>
      <c r="AI40" s="160">
        <f>AG40*AH40/1000</f>
        <v>7.4430796888844846</v>
      </c>
      <c r="AK40" s="311">
        <f>Cálculo!D39*Cálculo!$E$152</f>
        <v>5254.316688243076</v>
      </c>
      <c r="AL40" s="311">
        <f>Cálculo!G39*Cálculo!$H$152</f>
        <v>5319.2900894406794</v>
      </c>
      <c r="AM40" s="312">
        <f>AL40-AK40</f>
        <v>64.97340119760338</v>
      </c>
      <c r="AN40" s="313">
        <f>AM40/AK40</f>
        <v>1.2365718523016741E-2</v>
      </c>
      <c r="AO40" s="503"/>
    </row>
    <row r="41" spans="2:44">
      <c r="I41" s="557"/>
      <c r="J41" s="404" t="s">
        <v>14</v>
      </c>
      <c r="K41" s="490">
        <f>SUM(M39:M40)/SUM(L39:L40)</f>
        <v>490.85618094282597</v>
      </c>
      <c r="L41" s="491">
        <f>SUM(L39:L40)</f>
        <v>558.57276999999999</v>
      </c>
      <c r="M41" s="404"/>
      <c r="O41" s="404" t="s">
        <v>14</v>
      </c>
      <c r="P41" s="656">
        <f>SUM(R39:R40)/SUM(Q39:Q40)</f>
        <v>495.4628571428571</v>
      </c>
      <c r="Q41" s="661">
        <f>SUM(Q39:Q40)</f>
        <v>1260</v>
      </c>
      <c r="R41" s="491">
        <f>SUM(R39:R40)</f>
        <v>624283.19999999995</v>
      </c>
      <c r="T41" s="517">
        <f>P41-K41</f>
        <v>4.6066762000311314</v>
      </c>
      <c r="U41" s="512">
        <f>T41*Q41/1000</f>
        <v>5.8044120120392257</v>
      </c>
      <c r="X41" s="404" t="s">
        <v>492</v>
      </c>
      <c r="Y41" s="407">
        <f>AA41/Z41</f>
        <v>56.148444444444436</v>
      </c>
      <c r="Z41" s="407">
        <f>SUM(Z39:Z40)</f>
        <v>1260</v>
      </c>
      <c r="AA41" s="413">
        <f>SUM(AA39:AA40)</f>
        <v>70747.039999999994</v>
      </c>
      <c r="AB41" s="317"/>
      <c r="AC41" s="558"/>
      <c r="AE41" s="502"/>
      <c r="AF41" s="158"/>
      <c r="AG41" s="137"/>
      <c r="AH41" s="142"/>
      <c r="AI41" s="137"/>
      <c r="AO41" s="503"/>
    </row>
    <row r="42" spans="2:44">
      <c r="B42" s="131" t="str">
        <f>B37</f>
        <v>HRC CIS - Domestic</v>
      </c>
      <c r="C42" s="132" t="s">
        <v>498</v>
      </c>
      <c r="D42" s="132" t="s">
        <v>499</v>
      </c>
      <c r="E42" s="133" t="s">
        <v>500</v>
      </c>
      <c r="F42" s="133" t="s">
        <v>501</v>
      </c>
      <c r="G42" s="133" t="s">
        <v>419</v>
      </c>
      <c r="I42" s="557"/>
      <c r="Q42" s="519">
        <f>Q41-L41</f>
        <v>701.42723000000001</v>
      </c>
      <c r="R42" s="419" t="s">
        <v>431</v>
      </c>
      <c r="U42" s="544">
        <f>-(SUM(U39:U40)-U41)</f>
        <v>-25.228834435519925</v>
      </c>
      <c r="V42" s="540" t="s">
        <v>470</v>
      </c>
      <c r="W42" s="130"/>
      <c r="X42" s="399" t="s">
        <v>425</v>
      </c>
      <c r="Y42" s="488">
        <f>Y41-Y30</f>
        <v>-16.549615108834544</v>
      </c>
      <c r="Z42" s="488">
        <f>Z41-Z30</f>
        <v>701.42723000000001</v>
      </c>
      <c r="AA42" s="516">
        <f>AA41-AA30</f>
        <v>30139.883501699995</v>
      </c>
      <c r="AB42" s="317"/>
      <c r="AC42" s="558"/>
      <c r="AE42" s="502"/>
      <c r="AF42" s="203" t="s">
        <v>14</v>
      </c>
      <c r="AG42" s="203"/>
      <c r="AH42" s="203"/>
      <c r="AI42" s="208">
        <f>SUM(AI37:AI40)</f>
        <v>51.633547041618527</v>
      </c>
      <c r="AO42" s="503"/>
    </row>
    <row r="43" spans="2:44" s="130" customFormat="1" ht="12" thickBot="1">
      <c r="B43" s="134" t="s">
        <v>92</v>
      </c>
      <c r="C43" s="141">
        <f>[55]Planilha3!X5</f>
        <v>484.76502681783921</v>
      </c>
      <c r="D43" s="141">
        <f>[55]Planilha3!Y5</f>
        <v>470.17885857906816</v>
      </c>
      <c r="E43" s="141">
        <f>[55]Planilha3!Z5</f>
        <v>458.80258691415969</v>
      </c>
      <c r="F43" s="141">
        <f>[55]Planilha3!AA5</f>
        <v>458.06778507731451</v>
      </c>
      <c r="G43" s="138" t="e">
        <f>G45/G44*1000</f>
        <v>#REF!</v>
      </c>
      <c r="I43" s="573"/>
      <c r="J43" s="574"/>
      <c r="K43" s="574"/>
      <c r="L43" s="574"/>
      <c r="M43" s="574"/>
      <c r="N43" s="575"/>
      <c r="O43" s="576"/>
      <c r="P43" s="576"/>
      <c r="Q43" s="576"/>
      <c r="R43" s="576"/>
      <c r="S43" s="575"/>
      <c r="T43" s="575"/>
      <c r="U43" s="576"/>
      <c r="V43" s="576"/>
      <c r="W43" s="576"/>
      <c r="X43" s="576"/>
      <c r="Y43" s="576"/>
      <c r="Z43" s="576"/>
      <c r="AA43" s="576"/>
      <c r="AB43" s="576"/>
      <c r="AC43" s="577"/>
      <c r="AE43" s="504"/>
      <c r="AO43" s="505"/>
    </row>
    <row r="44" spans="2:44" ht="12" thickTop="1">
      <c r="B44" s="206" t="s">
        <v>494</v>
      </c>
      <c r="C44" s="207" t="e">
        <f>#REF!</f>
        <v>#REF!</v>
      </c>
      <c r="D44" s="207" t="e">
        <f>#REF!</f>
        <v>#REF!</v>
      </c>
      <c r="E44" s="207" t="e">
        <f>#REF!</f>
        <v>#REF!</v>
      </c>
      <c r="F44" s="207" t="e">
        <f>#REF!</f>
        <v>#REF!</v>
      </c>
      <c r="G44" s="602" t="e">
        <f>SUM(C44:F44)</f>
        <v>#REF!</v>
      </c>
      <c r="AE44" s="502"/>
      <c r="AF44" s="189" t="s">
        <v>300</v>
      </c>
      <c r="AG44" s="137">
        <f>Cálculo!AF24</f>
        <v>0</v>
      </c>
      <c r="AO44" s="503"/>
    </row>
    <row r="45" spans="2:44" outlineLevel="1">
      <c r="B45" s="206" t="s">
        <v>502</v>
      </c>
      <c r="C45" s="162" t="e">
        <f>C44*C43/1000</f>
        <v>#REF!</v>
      </c>
      <c r="D45" s="162" t="e">
        <f>D44*D43/1000</f>
        <v>#REF!</v>
      </c>
      <c r="E45" s="162" t="e">
        <f>E44*E43/1000</f>
        <v>#REF!</v>
      </c>
      <c r="F45" s="162" t="e">
        <f>F44*F43/1000</f>
        <v>#REF!</v>
      </c>
      <c r="G45" s="160" t="e">
        <f>SUM(C45:F45)</f>
        <v>#REF!</v>
      </c>
      <c r="AE45" s="502"/>
      <c r="AG45" s="137"/>
      <c r="AO45" s="503"/>
    </row>
    <row r="46" spans="2:44">
      <c r="AE46" s="502"/>
      <c r="AF46" s="318" t="s">
        <v>363</v>
      </c>
      <c r="AG46" s="318" t="s">
        <v>357</v>
      </c>
      <c r="AH46" s="318" t="s">
        <v>419</v>
      </c>
      <c r="AI46" s="314" t="s">
        <v>286</v>
      </c>
      <c r="AJ46" s="399" t="s">
        <v>30</v>
      </c>
      <c r="AO46" s="503"/>
    </row>
    <row r="47" spans="2:44">
      <c r="B47" s="1059" t="s">
        <v>611</v>
      </c>
      <c r="C47" s="1059"/>
      <c r="D47" s="1059"/>
      <c r="E47" s="1059"/>
      <c r="F47" s="1059"/>
      <c r="G47" s="1059"/>
      <c r="H47" s="381"/>
      <c r="AE47" s="502"/>
      <c r="AF47" s="134" t="s">
        <v>102</v>
      </c>
      <c r="AG47" s="141">
        <v>48</v>
      </c>
      <c r="AH47" s="141">
        <v>63</v>
      </c>
      <c r="AI47" s="138">
        <f>AH47-AG47</f>
        <v>15</v>
      </c>
      <c r="AJ47" s="595">
        <f>AI47-AG37</f>
        <v>15</v>
      </c>
      <c r="AO47" s="503"/>
    </row>
    <row r="48" spans="2:44" ht="5.0999999999999996" customHeight="1">
      <c r="B48" s="130"/>
      <c r="C48" s="130"/>
      <c r="D48" s="130"/>
      <c r="E48" s="130"/>
      <c r="F48" s="130"/>
      <c r="G48" s="130"/>
      <c r="AE48" s="502"/>
      <c r="AF48" s="139" t="s">
        <v>96</v>
      </c>
      <c r="AG48" s="137">
        <v>68</v>
      </c>
      <c r="AH48" s="137">
        <v>85</v>
      </c>
      <c r="AI48" s="152">
        <f>AH48-AG48</f>
        <v>17</v>
      </c>
      <c r="AJ48" s="595">
        <f>AI48-AG38</f>
        <v>-39.689756404167611</v>
      </c>
      <c r="AO48" s="503"/>
    </row>
    <row r="49" spans="2:41">
      <c r="B49" s="131" t="s">
        <v>600</v>
      </c>
      <c r="C49" s="132" t="str">
        <f>C5</f>
        <v>FY20</v>
      </c>
      <c r="D49" s="132" t="str">
        <f>D5</f>
        <v>FY21</v>
      </c>
      <c r="E49" s="133" t="s">
        <v>89</v>
      </c>
      <c r="F49" s="133" t="s">
        <v>20</v>
      </c>
      <c r="G49" s="133" t="s">
        <v>90</v>
      </c>
      <c r="H49" s="130"/>
      <c r="AE49" s="502"/>
      <c r="AF49" s="139" t="s">
        <v>97</v>
      </c>
      <c r="AG49" s="137">
        <v>150</v>
      </c>
      <c r="AH49" s="137">
        <v>154</v>
      </c>
      <c r="AI49" s="152">
        <f>AH49-AG49</f>
        <v>4</v>
      </c>
      <c r="AJ49" s="595">
        <f>AI49-AG39</f>
        <v>-59.768901895362205</v>
      </c>
      <c r="AO49" s="503"/>
    </row>
    <row r="50" spans="2:41">
      <c r="B50" s="134" t="s">
        <v>267</v>
      </c>
      <c r="C50" s="140"/>
      <c r="D50" s="140"/>
      <c r="E50" s="141" t="e">
        <f t="shared" ref="E50:E51" si="6">G50/F50*1000</f>
        <v>#REF!</v>
      </c>
      <c r="F50" s="166">
        <f>AG23</f>
        <v>853.12059432927981</v>
      </c>
      <c r="G50" s="138" t="e">
        <f>AG9</f>
        <v>#REF!</v>
      </c>
      <c r="H50" s="189">
        <v>62</v>
      </c>
      <c r="AE50" s="502"/>
      <c r="AF50" s="206" t="s">
        <v>108</v>
      </c>
      <c r="AG50" s="162">
        <v>255</v>
      </c>
      <c r="AH50" s="162">
        <v>280</v>
      </c>
      <c r="AI50" s="160">
        <f>AH50-AG50</f>
        <v>25</v>
      </c>
      <c r="AJ50" s="595">
        <f>AI50-AG40</f>
        <v>-29.619373118265003</v>
      </c>
      <c r="AO50" s="503"/>
    </row>
    <row r="51" spans="2:41" s="130" customFormat="1">
      <c r="B51" s="213" t="s">
        <v>544</v>
      </c>
      <c r="C51" s="189"/>
      <c r="D51" s="189"/>
      <c r="E51" s="137" t="e">
        <f t="shared" si="6"/>
        <v>#REF!</v>
      </c>
      <c r="F51" s="214">
        <f>AG22</f>
        <v>3133.25609989848</v>
      </c>
      <c r="G51" s="152" t="e">
        <f>AG8</f>
        <v>#REF!</v>
      </c>
      <c r="H51" s="189">
        <v>55</v>
      </c>
      <c r="I51" s="189"/>
      <c r="S51" s="245"/>
      <c r="T51" s="245"/>
      <c r="AE51" s="504"/>
      <c r="AO51" s="505"/>
    </row>
    <row r="52" spans="2:41">
      <c r="B52" s="213" t="s">
        <v>617</v>
      </c>
      <c r="E52" s="137">
        <f>G52/F52*1000</f>
        <v>-9.694619486185168</v>
      </c>
      <c r="F52" s="488">
        <f>Q27</f>
        <v>1237.8</v>
      </c>
      <c r="G52" s="489">
        <v>-12</v>
      </c>
      <c r="H52" s="189" t="s">
        <v>616</v>
      </c>
      <c r="AE52" s="502"/>
      <c r="AF52" s="314" t="s">
        <v>364</v>
      </c>
      <c r="AG52" s="314" t="str">
        <f>AG46</f>
        <v>FY20</v>
      </c>
      <c r="AH52" s="314" t="str">
        <f>AH46</f>
        <v>FY21</v>
      </c>
      <c r="AI52" s="314" t="s">
        <v>356</v>
      </c>
      <c r="AJ52" s="399" t="s">
        <v>30</v>
      </c>
      <c r="AO52" s="503"/>
    </row>
    <row r="53" spans="2:41">
      <c r="B53" s="213" t="s">
        <v>17</v>
      </c>
      <c r="E53" s="137"/>
      <c r="F53" s="488"/>
      <c r="G53" s="489">
        <v>-6</v>
      </c>
      <c r="AE53" s="502"/>
      <c r="AF53" s="399"/>
      <c r="AG53" s="399"/>
      <c r="AH53" s="399"/>
      <c r="AI53" s="399"/>
      <c r="AJ53" s="399"/>
      <c r="AO53" s="503"/>
    </row>
    <row r="54" spans="2:41">
      <c r="B54" s="155" t="s">
        <v>14</v>
      </c>
      <c r="C54" s="165"/>
      <c r="D54" s="165"/>
      <c r="E54" s="156"/>
      <c r="F54" s="156"/>
      <c r="G54" s="157" t="e">
        <f>SUM(G50:G53)-1</f>
        <v>#REF!</v>
      </c>
      <c r="H54" s="189">
        <v>109</v>
      </c>
      <c r="I54" s="182" t="e">
        <f>H54-G54</f>
        <v>#REF!</v>
      </c>
      <c r="AE54" s="502"/>
      <c r="AF54" s="139" t="s">
        <v>96</v>
      </c>
      <c r="AG54" s="137">
        <f>AVERAGE(144,82,43,-26)</f>
        <v>60.75</v>
      </c>
      <c r="AH54" s="137">
        <f>AVERAGE(21,82,86,78)</f>
        <v>66.75</v>
      </c>
      <c r="AI54" s="152">
        <f>AH54-AG54</f>
        <v>6</v>
      </c>
      <c r="AJ54" s="319" t="e">
        <f>AI54-AG29+AG44</f>
        <v>#REF!</v>
      </c>
      <c r="AO54" s="503"/>
    </row>
    <row r="55" spans="2:41">
      <c r="H55" s="606" t="s">
        <v>466</v>
      </c>
      <c r="J55" s="130"/>
      <c r="K55" s="130"/>
      <c r="L55" s="130"/>
      <c r="M55" s="130"/>
      <c r="AE55" s="502"/>
      <c r="AF55" s="139" t="s">
        <v>97</v>
      </c>
      <c r="AG55" s="137">
        <f>AVERAGE(148,97,49,-22)</f>
        <v>68</v>
      </c>
      <c r="AH55" s="137">
        <f>AVERAGE(19,140,149,152)</f>
        <v>115</v>
      </c>
      <c r="AI55" s="152">
        <f>AH55-AG55</f>
        <v>47</v>
      </c>
      <c r="AJ55" s="319" t="e">
        <f>AI55-AG30+AG44</f>
        <v>#REF!</v>
      </c>
      <c r="AO55" s="503"/>
    </row>
    <row r="56" spans="2:41">
      <c r="I56" s="130"/>
      <c r="J56" s="130"/>
      <c r="K56" s="130"/>
      <c r="L56" s="130"/>
      <c r="M56" s="130"/>
      <c r="AE56" s="502"/>
      <c r="AF56" s="206" t="s">
        <v>365</v>
      </c>
      <c r="AG56" s="162">
        <f>AVERAGE(137,115,120,124)</f>
        <v>124</v>
      </c>
      <c r="AH56" s="162">
        <f>AVERAGE(138,151,150,148)</f>
        <v>146.75</v>
      </c>
      <c r="AI56" s="160">
        <f>AH56-AG56</f>
        <v>22.75</v>
      </c>
      <c r="AJ56" s="319" t="e">
        <f>AI56-AG31+AG44</f>
        <v>#REF!</v>
      </c>
      <c r="AO56" s="503"/>
    </row>
    <row r="57" spans="2:41" s="130" customFormat="1">
      <c r="H57" s="215"/>
      <c r="N57" s="245"/>
      <c r="S57" s="245"/>
      <c r="T57" s="245"/>
      <c r="AE57" s="504"/>
      <c r="AO57" s="505"/>
    </row>
    <row r="58" spans="2:41" s="130" customFormat="1" ht="12" thickBot="1">
      <c r="B58" s="213" t="s">
        <v>17</v>
      </c>
      <c r="C58" s="189"/>
      <c r="D58" s="189"/>
      <c r="E58" s="137"/>
      <c r="F58" s="214"/>
      <c r="G58" s="152" t="e">
        <f>SUM(G52:G54)</f>
        <v>#REF!</v>
      </c>
      <c r="H58" s="215"/>
      <c r="I58" s="549"/>
      <c r="N58" s="245"/>
      <c r="S58" s="245"/>
      <c r="T58" s="245"/>
      <c r="AE58" s="520"/>
      <c r="AF58" s="521"/>
      <c r="AG58" s="521"/>
      <c r="AH58" s="521"/>
      <c r="AI58" s="521"/>
      <c r="AJ58" s="521"/>
      <c r="AK58" s="521"/>
      <c r="AL58" s="521"/>
      <c r="AM58" s="521"/>
      <c r="AN58" s="521"/>
      <c r="AO58" s="522"/>
    </row>
    <row r="59" spans="2:41" s="130" customFormat="1">
      <c r="N59" s="245"/>
      <c r="S59" s="245"/>
      <c r="T59" s="245"/>
    </row>
    <row r="60" spans="2:41" s="130" customFormat="1">
      <c r="B60" s="478"/>
      <c r="C60" s="478"/>
      <c r="D60" s="478"/>
      <c r="E60" s="478"/>
      <c r="F60" s="478"/>
      <c r="G60" s="478"/>
      <c r="H60" s="189"/>
      <c r="N60" s="245"/>
      <c r="S60" s="245"/>
      <c r="T60" s="245"/>
    </row>
    <row r="61" spans="2:41" s="130" customFormat="1" ht="6" customHeight="1">
      <c r="B61" s="189"/>
      <c r="C61" s="189"/>
      <c r="D61" s="189"/>
      <c r="E61" s="189"/>
      <c r="F61" s="189"/>
      <c r="G61" s="189"/>
      <c r="H61" s="189"/>
      <c r="N61" s="245"/>
      <c r="S61" s="245"/>
      <c r="T61" s="245"/>
    </row>
    <row r="63" spans="2:41" s="130" customFormat="1">
      <c r="B63" s="189"/>
      <c r="C63" s="189"/>
      <c r="D63" s="299"/>
      <c r="E63" s="299"/>
      <c r="F63" s="189"/>
      <c r="G63" s="189"/>
      <c r="H63" s="189"/>
      <c r="N63" s="245"/>
      <c r="S63" s="245"/>
      <c r="T63" s="245"/>
    </row>
    <row r="64" spans="2:41">
      <c r="B64" s="320" t="s">
        <v>424</v>
      </c>
      <c r="C64" s="409">
        <f>'[3]Shipments &amp; Prices'!$O$111</f>
        <v>3269.9096256024905</v>
      </c>
      <c r="D64" s="190">
        <f>K16</f>
        <v>2211.6246024002262</v>
      </c>
      <c r="E64" s="423"/>
      <c r="F64" s="409"/>
    </row>
    <row r="65" spans="1:43">
      <c r="B65" s="1059" t="s">
        <v>599</v>
      </c>
      <c r="C65" s="1059"/>
      <c r="D65" s="1059"/>
      <c r="E65" s="1059"/>
      <c r="F65" s="1059"/>
      <c r="G65" s="1059"/>
    </row>
    <row r="66" spans="1:43" ht="4.5" customHeight="1">
      <c r="H66" s="190"/>
    </row>
    <row r="67" spans="1:43">
      <c r="B67" s="1090" t="s">
        <v>302</v>
      </c>
      <c r="C67" s="1090"/>
      <c r="D67" s="1090"/>
      <c r="E67" s="1090"/>
      <c r="F67" s="1090"/>
      <c r="G67" s="1090"/>
    </row>
    <row r="68" spans="1:43" ht="4.5" customHeight="1">
      <c r="A68" s="320"/>
      <c r="N68" s="493"/>
      <c r="O68" s="320"/>
      <c r="P68" s="320"/>
      <c r="Q68" s="320"/>
      <c r="R68" s="320"/>
      <c r="S68" s="493"/>
      <c r="T68" s="493"/>
      <c r="U68" s="320"/>
      <c r="V68" s="320"/>
      <c r="W68" s="320"/>
      <c r="X68" s="320"/>
      <c r="Y68" s="320"/>
      <c r="Z68" s="320"/>
      <c r="AA68" s="320"/>
      <c r="AB68" s="320"/>
      <c r="AC68" s="320"/>
      <c r="AD68" s="320"/>
      <c r="AE68" s="320"/>
      <c r="AF68" s="320"/>
      <c r="AG68" s="320"/>
      <c r="AH68" s="320"/>
      <c r="AI68" s="320"/>
      <c r="AJ68" s="320"/>
    </row>
    <row r="69" spans="1:43">
      <c r="A69" s="320"/>
      <c r="B69" s="131" t="s">
        <v>92</v>
      </c>
      <c r="C69" s="132" t="str">
        <f>C5</f>
        <v>FY20</v>
      </c>
      <c r="D69" s="132" t="str">
        <f>D5</f>
        <v>FY21</v>
      </c>
      <c r="E69" s="133" t="s">
        <v>89</v>
      </c>
      <c r="F69" s="133" t="s">
        <v>20</v>
      </c>
      <c r="G69" s="133" t="s">
        <v>90</v>
      </c>
      <c r="I69" s="330" t="s">
        <v>366</v>
      </c>
      <c r="J69" s="331" t="s">
        <v>70</v>
      </c>
      <c r="K69" s="332" t="s">
        <v>356</v>
      </c>
      <c r="L69" s="399"/>
      <c r="N69" s="493"/>
      <c r="O69" s="320"/>
      <c r="P69" s="320"/>
      <c r="Q69" s="320"/>
      <c r="R69" s="320"/>
      <c r="S69" s="493"/>
      <c r="T69" s="493"/>
      <c r="U69" s="320"/>
      <c r="V69" s="320"/>
      <c r="W69" s="320"/>
      <c r="X69" s="320"/>
      <c r="Y69" s="320"/>
      <c r="Z69" s="320"/>
      <c r="AA69" s="320"/>
      <c r="AB69" s="320"/>
      <c r="AC69" s="320"/>
      <c r="AD69" s="320"/>
      <c r="AE69" s="320"/>
      <c r="AF69" s="320"/>
      <c r="AG69" s="320"/>
      <c r="AH69" s="320"/>
      <c r="AI69" s="320"/>
      <c r="AJ69" s="320"/>
    </row>
    <row r="70" spans="1:43">
      <c r="A70" s="320"/>
      <c r="B70" s="134" t="s">
        <v>303</v>
      </c>
      <c r="C70" s="140">
        <f>[55]Planilha3!$W$13</f>
        <v>132.02594556051588</v>
      </c>
      <c r="D70" s="140">
        <f>[55]Planilha3!$AB$13</f>
        <v>148.75</v>
      </c>
      <c r="E70" s="141">
        <f>D70-C70</f>
        <v>16.724054439484121</v>
      </c>
      <c r="F70" s="166">
        <f>(SUM(Cálculo!I128,Cálculo!I129)*Cálculo!G144)</f>
        <v>4658.5493393347788</v>
      </c>
      <c r="G70" s="138">
        <f>-E70*F70/1000</f>
        <v>-77.909832760057625</v>
      </c>
      <c r="I70" s="323">
        <f>G70</f>
        <v>-77.909832760057625</v>
      </c>
      <c r="J70" s="215">
        <f>SUM(Cálculo!J128:J129)/1000</f>
        <v>-95.378797563242671</v>
      </c>
      <c r="K70" s="324">
        <f>J70-I70</f>
        <v>-17.468964803185045</v>
      </c>
      <c r="L70" s="400"/>
      <c r="N70" s="493"/>
      <c r="O70" s="320"/>
      <c r="P70" s="320"/>
      <c r="Q70" s="320"/>
      <c r="R70" s="320"/>
      <c r="S70" s="493"/>
      <c r="T70" s="493"/>
      <c r="U70" s="320"/>
      <c r="V70" s="320"/>
      <c r="W70" s="320"/>
      <c r="X70" s="320"/>
      <c r="Y70" s="320"/>
      <c r="Z70" s="320"/>
      <c r="AA70" s="320"/>
      <c r="AB70" s="320"/>
      <c r="AC70" s="320"/>
      <c r="AD70" s="320"/>
      <c r="AE70" s="320"/>
      <c r="AF70" s="320"/>
      <c r="AG70" s="320"/>
      <c r="AH70" s="320"/>
      <c r="AI70" s="320"/>
      <c r="AJ70" s="320"/>
    </row>
    <row r="71" spans="1:43">
      <c r="A71" s="320"/>
      <c r="B71" s="206" t="s">
        <v>417</v>
      </c>
      <c r="C71" s="161">
        <f>'[56]Iron ore'!$Q$6</f>
        <v>101.61903015873015</v>
      </c>
      <c r="D71" s="161">
        <f>'[56]Iron ore'!$Q$19</f>
        <v>101.66666666666667</v>
      </c>
      <c r="E71" s="162">
        <f>D71-C71</f>
        <v>4.7636507936516637E-2</v>
      </c>
      <c r="F71" s="207">
        <f>(SUM(Cálculo!I132:I134)*Cálculo!G144)</f>
        <v>10547.195620466768</v>
      </c>
      <c r="G71" s="160">
        <f>-E71*F71/1000</f>
        <v>-0.50243156788235865</v>
      </c>
      <c r="H71" s="130"/>
      <c r="I71" s="323">
        <f>G71+G84</f>
        <v>-80.83437298809703</v>
      </c>
      <c r="J71" s="325">
        <f>SUM(Cálculo!J132:J134)/1000</f>
        <v>-54.073370921853154</v>
      </c>
      <c r="K71" s="336">
        <f>J71-I71</f>
        <v>26.761002066243876</v>
      </c>
      <c r="L71" s="317"/>
      <c r="M71" s="189" t="s">
        <v>367</v>
      </c>
      <c r="N71" s="493"/>
      <c r="O71" s="320"/>
      <c r="P71" s="320"/>
      <c r="Q71" s="320"/>
      <c r="R71" s="320"/>
      <c r="S71" s="493"/>
      <c r="T71" s="493"/>
      <c r="U71" s="320"/>
      <c r="V71" s="320"/>
      <c r="W71" s="320"/>
      <c r="X71" s="320"/>
      <c r="Y71" s="320"/>
      <c r="Z71" s="320"/>
      <c r="AA71" s="320"/>
      <c r="AB71" s="320"/>
      <c r="AC71" s="320"/>
      <c r="AD71" s="320"/>
      <c r="AE71" s="320"/>
      <c r="AF71" s="320"/>
      <c r="AG71" s="320"/>
      <c r="AH71" s="320"/>
      <c r="AI71" s="320"/>
      <c r="AJ71" s="320"/>
    </row>
    <row r="72" spans="1:43" s="130" customFormat="1">
      <c r="A72" s="173"/>
      <c r="B72" s="155" t="s">
        <v>14</v>
      </c>
      <c r="C72" s="165"/>
      <c r="D72" s="165"/>
      <c r="E72" s="156"/>
      <c r="F72" s="156"/>
      <c r="G72" s="157">
        <f>SUM(G70:G71)</f>
        <v>-78.41226432793998</v>
      </c>
      <c r="H72" s="189"/>
      <c r="I72" s="327"/>
      <c r="J72" s="328"/>
      <c r="K72" s="326">
        <v>26</v>
      </c>
      <c r="L72" s="401"/>
      <c r="N72" s="494"/>
      <c r="O72" s="173"/>
      <c r="P72" s="173"/>
      <c r="Q72" s="173"/>
      <c r="R72" s="173"/>
      <c r="S72" s="494"/>
      <c r="T72" s="494"/>
      <c r="U72" s="173"/>
      <c r="V72" s="173"/>
      <c r="W72" s="173"/>
      <c r="X72" s="173"/>
      <c r="Y72" s="173"/>
      <c r="Z72" s="173"/>
      <c r="AA72" s="173"/>
      <c r="AB72" s="173"/>
      <c r="AC72" s="173"/>
      <c r="AD72" s="173"/>
      <c r="AE72" s="173"/>
      <c r="AF72" s="320"/>
      <c r="AG72" s="320"/>
      <c r="AH72" s="173"/>
      <c r="AI72" s="173"/>
      <c r="AJ72" s="173"/>
    </row>
    <row r="73" spans="1:43" s="130" customFormat="1" ht="6" customHeight="1">
      <c r="A73" s="173"/>
      <c r="B73" s="189"/>
      <c r="C73" s="189"/>
      <c r="D73" s="189"/>
      <c r="E73" s="189"/>
      <c r="F73" s="189"/>
      <c r="G73" s="189"/>
      <c r="K73" s="329">
        <f>SUM(K71:K72)</f>
        <v>52.761002066243876</v>
      </c>
      <c r="N73" s="494"/>
      <c r="O73" s="173"/>
      <c r="P73" s="173"/>
      <c r="Q73" s="173"/>
      <c r="R73" s="173"/>
      <c r="S73" s="494"/>
      <c r="T73" s="494"/>
      <c r="U73" s="173"/>
      <c r="V73" s="173"/>
      <c r="W73" s="173"/>
      <c r="X73" s="173"/>
      <c r="Y73" s="173"/>
      <c r="Z73" s="173"/>
      <c r="AA73" s="173"/>
      <c r="AB73" s="173"/>
      <c r="AC73" s="173"/>
      <c r="AD73" s="173"/>
      <c r="AE73" s="173"/>
      <c r="AF73" s="320"/>
      <c r="AG73" s="320"/>
      <c r="AH73" s="173"/>
      <c r="AI73" s="173"/>
      <c r="AJ73" s="173"/>
    </row>
    <row r="74" spans="1:43">
      <c r="A74" s="320"/>
      <c r="B74" s="1090" t="s">
        <v>606</v>
      </c>
      <c r="C74" s="1090"/>
      <c r="D74" s="1090"/>
      <c r="E74" s="1090"/>
      <c r="F74" s="1090"/>
      <c r="G74" s="1090"/>
      <c r="N74" s="493"/>
      <c r="O74" s="320"/>
      <c r="P74" s="320"/>
      <c r="Q74" s="320"/>
      <c r="R74" s="320"/>
      <c r="S74" s="493"/>
      <c r="T74" s="493"/>
      <c r="U74" s="320"/>
      <c r="V74" s="320"/>
      <c r="W74" s="320"/>
      <c r="X74" s="320"/>
      <c r="Y74" s="320"/>
      <c r="Z74" s="320"/>
      <c r="AA74" s="320"/>
      <c r="AB74" s="320"/>
      <c r="AC74" s="320"/>
      <c r="AD74" s="320"/>
      <c r="AE74" s="320"/>
      <c r="AF74" s="320"/>
      <c r="AG74" s="320"/>
      <c r="AH74" s="320"/>
      <c r="AI74" s="320"/>
      <c r="AJ74" s="320"/>
    </row>
    <row r="75" spans="1:43" ht="4.5" customHeight="1">
      <c r="A75" s="320"/>
      <c r="I75" s="191">
        <f>H77-G77</f>
        <v>131.85678340680772</v>
      </c>
      <c r="N75" s="493"/>
      <c r="O75" s="320"/>
      <c r="P75" s="320"/>
      <c r="Q75" s="320"/>
      <c r="R75" s="320"/>
      <c r="S75" s="493"/>
      <c r="T75" s="493"/>
      <c r="U75" s="320"/>
      <c r="V75" s="320"/>
      <c r="W75" s="320"/>
      <c r="X75" s="320"/>
      <c r="Y75" s="320"/>
      <c r="Z75" s="320"/>
      <c r="AA75" s="320"/>
      <c r="AB75" s="320"/>
      <c r="AC75" s="320"/>
      <c r="AD75" s="320"/>
      <c r="AE75" s="320"/>
      <c r="AF75" s="320"/>
      <c r="AG75" s="320"/>
      <c r="AH75" s="320"/>
      <c r="AI75" s="320"/>
      <c r="AJ75" s="320"/>
    </row>
    <row r="76" spans="1:43">
      <c r="A76" s="320"/>
      <c r="B76" s="131" t="s">
        <v>92</v>
      </c>
      <c r="C76" s="132" t="str">
        <f>C69</f>
        <v>FY20</v>
      </c>
      <c r="D76" s="132" t="str">
        <f>D69</f>
        <v>FY21</v>
      </c>
      <c r="E76" s="133" t="s">
        <v>89</v>
      </c>
      <c r="F76" s="133" t="s">
        <v>20</v>
      </c>
      <c r="G76" s="133" t="s">
        <v>90</v>
      </c>
      <c r="I76" s="191">
        <f>H78-G78</f>
        <v>5.8973777824228932</v>
      </c>
      <c r="N76" s="493"/>
      <c r="O76" s="320"/>
      <c r="P76" s="320"/>
      <c r="Q76" s="320"/>
      <c r="R76" s="320"/>
      <c r="S76" s="493"/>
      <c r="T76" s="493"/>
      <c r="U76" s="320"/>
      <c r="V76" s="320"/>
      <c r="W76" s="320"/>
      <c r="X76" s="320"/>
      <c r="Y76" s="320"/>
      <c r="Z76" s="320"/>
      <c r="AA76" s="320"/>
      <c r="AB76" s="320"/>
      <c r="AC76" s="320"/>
      <c r="AD76" s="320"/>
      <c r="AE76" s="320"/>
      <c r="AF76" s="320"/>
      <c r="AG76" s="320"/>
      <c r="AH76" s="320"/>
      <c r="AI76" s="320"/>
      <c r="AJ76" s="320"/>
      <c r="AK76" s="320"/>
      <c r="AL76" s="320"/>
      <c r="AM76" s="320"/>
      <c r="AN76" s="320"/>
      <c r="AO76" s="320"/>
      <c r="AP76" s="320"/>
      <c r="AQ76" s="320"/>
    </row>
    <row r="77" spans="1:43">
      <c r="A77" s="320"/>
      <c r="B77" s="134" t="s">
        <v>270</v>
      </c>
      <c r="C77" s="140">
        <f>AVERAGE('[56]Iron ore'!$Q$10)</f>
        <v>33.375</v>
      </c>
      <c r="D77" s="140">
        <f>'[56]Iron ore'!$Q$23+0.3</f>
        <v>34.049999999999997</v>
      </c>
      <c r="E77" s="141">
        <f>D77-C77</f>
        <v>0.67499999999999716</v>
      </c>
      <c r="F77" s="166">
        <f>(Cálculo!G144*Cálculo!I133)</f>
        <v>5485.6050471225763</v>
      </c>
      <c r="G77" s="138">
        <f>-E77*F77/1000</f>
        <v>-3.7027834068077232</v>
      </c>
      <c r="H77" s="189">
        <v>128.154</v>
      </c>
      <c r="I77" s="191">
        <f>H79-G79</f>
        <v>5.2751315515543844</v>
      </c>
      <c r="J77" s="130"/>
      <c r="K77" s="130"/>
      <c r="L77" s="130"/>
      <c r="M77" s="130"/>
      <c r="N77" s="493"/>
      <c r="O77" s="320"/>
      <c r="P77" s="320"/>
      <c r="Q77" s="320"/>
      <c r="R77" s="320"/>
      <c r="S77" s="493"/>
      <c r="T77" s="493"/>
      <c r="U77" s="320"/>
      <c r="V77" s="320"/>
      <c r="W77" s="320"/>
      <c r="X77" s="320"/>
      <c r="Y77" s="320"/>
      <c r="Z77" s="320"/>
      <c r="AA77" s="320"/>
      <c r="AB77" s="320"/>
      <c r="AC77" s="320"/>
      <c r="AD77" s="320"/>
      <c r="AE77" s="320"/>
      <c r="AF77" s="320"/>
      <c r="AG77" s="320"/>
      <c r="AH77" s="320"/>
      <c r="AI77" s="320"/>
      <c r="AJ77" s="320"/>
      <c r="AK77" s="320"/>
      <c r="AL77" s="320"/>
      <c r="AM77" s="320"/>
      <c r="AN77" s="320"/>
      <c r="AO77" s="320"/>
      <c r="AP77" s="320"/>
      <c r="AQ77" s="320"/>
    </row>
    <row r="78" spans="1:43">
      <c r="A78" s="320"/>
      <c r="B78" s="139" t="s">
        <v>304</v>
      </c>
      <c r="C78" s="153">
        <f>'[56]Iron ore'!$Q$11</f>
        <v>8.6736517499999994</v>
      </c>
      <c r="D78" s="153">
        <f>'[56]Iron ore'!$Q$24+0.3</f>
        <v>10.000000000000002</v>
      </c>
      <c r="E78" s="137">
        <f>D78-C78</f>
        <v>1.3263482500000023</v>
      </c>
      <c r="F78" s="142">
        <f>Cálculo!G144*Cálculo!I134</f>
        <v>1538.3796740853338</v>
      </c>
      <c r="G78" s="152">
        <f>-E78*F78/1000</f>
        <v>-2.0404271885586565</v>
      </c>
      <c r="H78" s="130">
        <v>3.8569505938642372</v>
      </c>
      <c r="I78" s="194"/>
      <c r="J78" s="320"/>
      <c r="K78" s="320"/>
      <c r="L78" s="320"/>
      <c r="M78" s="320"/>
      <c r="N78" s="493"/>
      <c r="O78" s="320"/>
      <c r="P78" s="320"/>
      <c r="Q78" s="320"/>
      <c r="R78" s="320"/>
      <c r="S78" s="493"/>
      <c r="T78" s="493"/>
      <c r="U78" s="320"/>
      <c r="V78" s="320"/>
      <c r="W78" s="320"/>
      <c r="X78" s="320"/>
      <c r="Y78" s="320"/>
      <c r="Z78" s="320"/>
      <c r="AA78" s="320"/>
      <c r="AB78" s="320"/>
      <c r="AC78" s="320"/>
      <c r="AD78" s="320"/>
      <c r="AE78" s="320"/>
      <c r="AF78" s="320"/>
      <c r="AG78" s="320"/>
      <c r="AH78" s="320"/>
      <c r="AI78" s="320"/>
      <c r="AJ78" s="320"/>
      <c r="AK78" s="320"/>
      <c r="AL78" s="320"/>
      <c r="AM78" s="320"/>
      <c r="AN78" s="320"/>
      <c r="AO78" s="320"/>
      <c r="AP78" s="320"/>
      <c r="AQ78" s="320"/>
    </row>
    <row r="79" spans="1:43">
      <c r="A79" s="320"/>
      <c r="B79" s="211" t="e">
        <f>Box!#REF!</f>
        <v>#REF!</v>
      </c>
      <c r="C79" s="153">
        <f>'[56]Iron ore'!$Q$7</f>
        <v>14.12694535</v>
      </c>
      <c r="D79" s="153">
        <f>'[56]Iron ore'!$Q$20</f>
        <v>15.350199999999999</v>
      </c>
      <c r="E79" s="137">
        <f>D79-C79</f>
        <v>1.2232546499999994</v>
      </c>
      <c r="F79" s="142">
        <f>F71</f>
        <v>10547.195620466768</v>
      </c>
      <c r="G79" s="152">
        <f>E79*F79/1000</f>
        <v>12.901906087195602</v>
      </c>
      <c r="H79" s="189">
        <v>18.177037638749987</v>
      </c>
      <c r="N79" s="493"/>
      <c r="O79" s="320"/>
      <c r="P79" s="320"/>
      <c r="Q79" s="320"/>
      <c r="R79" s="320"/>
      <c r="S79" s="493"/>
      <c r="T79" s="493"/>
      <c r="U79" s="320"/>
      <c r="V79" s="320"/>
      <c r="W79" s="320"/>
      <c r="X79" s="320"/>
      <c r="Y79" s="320"/>
      <c r="Z79" s="320"/>
      <c r="AA79" s="320"/>
      <c r="AB79" s="320"/>
      <c r="AC79" s="320"/>
      <c r="AD79" s="320"/>
      <c r="AE79" s="320"/>
      <c r="AF79" s="320"/>
      <c r="AG79" s="320"/>
      <c r="AH79" s="320"/>
      <c r="AI79" s="320"/>
      <c r="AJ79" s="320"/>
      <c r="AK79" s="320"/>
      <c r="AL79" s="320"/>
      <c r="AM79" s="320"/>
      <c r="AN79" s="320"/>
      <c r="AO79" s="320"/>
      <c r="AP79" s="320"/>
      <c r="AQ79" s="320"/>
    </row>
    <row r="80" spans="1:43">
      <c r="A80" s="320"/>
      <c r="B80" s="139" t="s">
        <v>464</v>
      </c>
      <c r="C80" s="153"/>
      <c r="D80" s="153"/>
      <c r="E80" s="137"/>
      <c r="F80" s="142"/>
      <c r="G80" s="152">
        <f>Box!U12+Box!U13+Box!U14-G71-G77-G78-G79-1</f>
        <v>-61.729634845800007</v>
      </c>
      <c r="I80" s="194"/>
      <c r="J80" s="320"/>
      <c r="K80" s="320"/>
      <c r="L80" s="320"/>
      <c r="M80" s="320"/>
      <c r="N80" s="493"/>
      <c r="O80" s="320"/>
      <c r="P80" s="320"/>
      <c r="Q80" s="320"/>
      <c r="R80" s="320"/>
      <c r="S80" s="493"/>
      <c r="T80" s="493"/>
      <c r="U80" s="320"/>
      <c r="V80" s="320"/>
      <c r="W80" s="320"/>
      <c r="X80" s="320"/>
      <c r="Y80" s="320"/>
      <c r="Z80" s="320"/>
      <c r="AA80" s="320"/>
      <c r="AB80" s="320"/>
      <c r="AC80" s="320"/>
      <c r="AD80" s="320"/>
      <c r="AE80" s="320"/>
      <c r="AF80" s="320"/>
      <c r="AG80" s="320"/>
      <c r="AH80" s="320"/>
      <c r="AI80" s="320"/>
      <c r="AJ80" s="320"/>
      <c r="AK80" s="320"/>
      <c r="AL80" s="320"/>
      <c r="AM80" s="320"/>
      <c r="AN80" s="320"/>
      <c r="AO80" s="320"/>
      <c r="AP80" s="320"/>
      <c r="AQ80" s="320"/>
    </row>
    <row r="81" spans="1:43">
      <c r="A81" s="320"/>
      <c r="B81" s="139" t="str">
        <f>Box!P9</f>
        <v>Coke</v>
      </c>
      <c r="C81" s="153"/>
      <c r="D81" s="153"/>
      <c r="E81" s="137"/>
      <c r="F81" s="142"/>
      <c r="G81" s="152">
        <f>Box!U9</f>
        <v>-2.7166629223997378</v>
      </c>
      <c r="H81" s="130"/>
      <c r="I81" s="194"/>
      <c r="J81" s="320"/>
      <c r="K81" s="320"/>
      <c r="L81" s="320"/>
      <c r="M81" s="320"/>
      <c r="N81" s="493"/>
      <c r="O81" s="320"/>
      <c r="P81" s="320"/>
      <c r="Q81" s="320"/>
      <c r="R81" s="320"/>
      <c r="S81" s="493"/>
      <c r="T81" s="493"/>
      <c r="U81" s="320"/>
      <c r="V81" s="320"/>
      <c r="W81" s="320"/>
      <c r="X81" s="320"/>
      <c r="Y81" s="320"/>
      <c r="Z81" s="320"/>
      <c r="AA81" s="320"/>
      <c r="AB81" s="320"/>
      <c r="AC81" s="320"/>
      <c r="AD81" s="320"/>
      <c r="AE81" s="320"/>
      <c r="AF81" s="320"/>
      <c r="AG81" s="320"/>
      <c r="AH81" s="320"/>
      <c r="AI81" s="320"/>
      <c r="AJ81" s="320"/>
      <c r="AK81" s="320"/>
      <c r="AL81" s="320"/>
      <c r="AM81" s="320"/>
      <c r="AN81" s="320"/>
      <c r="AO81" s="320"/>
      <c r="AP81" s="320"/>
      <c r="AQ81" s="320"/>
    </row>
    <row r="82" spans="1:43">
      <c r="A82" s="320"/>
      <c r="B82" s="139" t="str">
        <f>Box!P15</f>
        <v>Alloys</v>
      </c>
      <c r="C82" s="153"/>
      <c r="D82" s="153"/>
      <c r="E82" s="137"/>
      <c r="F82" s="142"/>
      <c r="G82" s="152">
        <f>Box!U15</f>
        <v>-12.014339143844159</v>
      </c>
      <c r="H82" s="130"/>
      <c r="I82" s="194"/>
      <c r="J82" s="320"/>
      <c r="K82" s="320"/>
      <c r="L82" s="320"/>
      <c r="M82" s="320"/>
      <c r="N82" s="493"/>
      <c r="O82" s="320"/>
      <c r="P82" s="320"/>
      <c r="Q82" s="320"/>
      <c r="R82" s="320"/>
      <c r="S82" s="493"/>
      <c r="T82" s="493"/>
      <c r="U82" s="320"/>
      <c r="V82" s="320"/>
      <c r="W82" s="320"/>
      <c r="X82" s="320"/>
      <c r="Y82" s="320"/>
      <c r="Z82" s="320"/>
      <c r="AA82" s="320"/>
      <c r="AB82" s="320"/>
      <c r="AC82" s="320"/>
      <c r="AD82" s="320"/>
      <c r="AE82" s="320"/>
      <c r="AF82" s="320"/>
      <c r="AG82" s="320"/>
      <c r="AH82" s="320"/>
      <c r="AI82" s="320"/>
      <c r="AJ82" s="320"/>
      <c r="AK82" s="320"/>
      <c r="AL82" s="320"/>
      <c r="AM82" s="320"/>
      <c r="AN82" s="320"/>
      <c r="AO82" s="320"/>
      <c r="AP82" s="320"/>
      <c r="AQ82" s="320"/>
    </row>
    <row r="83" spans="1:43">
      <c r="A83" s="320"/>
      <c r="B83" s="139" t="str">
        <f>Box!P18</f>
        <v>Zinc</v>
      </c>
      <c r="C83" s="153"/>
      <c r="D83" s="153"/>
      <c r="E83" s="137"/>
      <c r="F83" s="142"/>
      <c r="G83" s="152">
        <f>Box!U18</f>
        <v>-11.03</v>
      </c>
      <c r="H83" s="130"/>
      <c r="I83" s="194"/>
      <c r="J83" s="320"/>
      <c r="K83" s="320"/>
      <c r="L83" s="320"/>
      <c r="M83" s="320"/>
      <c r="N83" s="493"/>
      <c r="O83" s="320"/>
      <c r="P83" s="320"/>
      <c r="Q83" s="320"/>
      <c r="R83" s="320"/>
      <c r="S83" s="493"/>
      <c r="T83" s="493"/>
      <c r="U83" s="320"/>
      <c r="V83" s="320"/>
      <c r="W83" s="320"/>
      <c r="X83" s="320"/>
      <c r="Y83" s="320"/>
      <c r="Z83" s="320"/>
      <c r="AA83" s="320"/>
      <c r="AB83" s="320"/>
      <c r="AC83" s="320"/>
      <c r="AD83" s="320"/>
      <c r="AE83" s="320"/>
      <c r="AF83" s="320"/>
      <c r="AG83" s="320"/>
      <c r="AH83" s="320"/>
      <c r="AI83" s="320"/>
      <c r="AJ83" s="320"/>
      <c r="AK83" s="320"/>
      <c r="AL83" s="320"/>
      <c r="AM83" s="320"/>
      <c r="AN83" s="320"/>
      <c r="AO83" s="320"/>
      <c r="AP83" s="320"/>
      <c r="AQ83" s="320"/>
    </row>
    <row r="84" spans="1:43">
      <c r="A84" s="320"/>
      <c r="B84" s="155" t="s">
        <v>14</v>
      </c>
      <c r="C84" s="165"/>
      <c r="D84" s="165"/>
      <c r="E84" s="156"/>
      <c r="F84" s="156"/>
      <c r="G84" s="157">
        <f>SUM(G77:G83)</f>
        <v>-80.331941420214676</v>
      </c>
      <c r="I84" s="320"/>
      <c r="J84" s="320"/>
      <c r="K84" s="320"/>
      <c r="L84" s="320"/>
      <c r="M84" s="320"/>
      <c r="N84" s="493"/>
      <c r="O84" s="320"/>
      <c r="P84" s="320"/>
      <c r="Q84" s="320"/>
      <c r="R84" s="320"/>
      <c r="S84" s="493"/>
      <c r="T84" s="493"/>
      <c r="U84" s="320"/>
      <c r="V84" s="320"/>
      <c r="W84" s="320"/>
      <c r="X84" s="320"/>
      <c r="Y84" s="320"/>
      <c r="Z84" s="320"/>
      <c r="AA84" s="320"/>
      <c r="AB84" s="320"/>
      <c r="AC84" s="320"/>
      <c r="AD84" s="320"/>
      <c r="AE84" s="320"/>
      <c r="AF84" s="320"/>
      <c r="AG84" s="320"/>
      <c r="AH84" s="320"/>
      <c r="AI84" s="320"/>
      <c r="AJ84" s="320"/>
    </row>
    <row r="85" spans="1:43">
      <c r="A85" s="320"/>
      <c r="B85" s="130"/>
      <c r="C85" s="130"/>
      <c r="D85" s="130"/>
      <c r="E85" s="130"/>
      <c r="F85" s="130"/>
      <c r="G85" s="130"/>
      <c r="H85" s="130"/>
      <c r="I85" s="320"/>
      <c r="J85" s="320"/>
      <c r="K85" s="320"/>
      <c r="L85" s="320"/>
      <c r="M85" s="320"/>
      <c r="N85" s="493"/>
      <c r="O85" s="320"/>
      <c r="P85" s="320"/>
      <c r="Q85" s="320"/>
      <c r="R85" s="320"/>
      <c r="S85" s="493"/>
      <c r="T85" s="493"/>
      <c r="U85" s="320"/>
      <c r="V85" s="320"/>
      <c r="W85" s="320"/>
      <c r="X85" s="320"/>
      <c r="Y85" s="320"/>
      <c r="Z85" s="320"/>
      <c r="AA85" s="320"/>
      <c r="AB85" s="320"/>
      <c r="AC85" s="320"/>
      <c r="AD85" s="320"/>
      <c r="AE85" s="320"/>
      <c r="AF85" s="320"/>
      <c r="AG85" s="320"/>
      <c r="AH85" s="320"/>
      <c r="AI85" s="320"/>
      <c r="AJ85" s="320"/>
    </row>
    <row r="86" spans="1:43">
      <c r="A86" s="320"/>
      <c r="B86" s="170" t="s">
        <v>14</v>
      </c>
      <c r="C86" s="461"/>
      <c r="D86" s="461"/>
      <c r="E86" s="461"/>
      <c r="F86" s="461"/>
      <c r="G86" s="157">
        <f>G84+G72</f>
        <v>-158.74420574815466</v>
      </c>
      <c r="I86" s="320"/>
      <c r="J86" s="320"/>
      <c r="K86" s="320"/>
      <c r="L86" s="320"/>
      <c r="M86" s="320"/>
      <c r="N86" s="493"/>
      <c r="O86" s="320"/>
      <c r="P86" s="320"/>
      <c r="Q86" s="320"/>
      <c r="R86" s="320"/>
      <c r="S86" s="493"/>
      <c r="T86" s="493"/>
      <c r="U86" s="320"/>
      <c r="V86" s="320"/>
      <c r="W86" s="320"/>
      <c r="X86" s="320"/>
      <c r="Y86" s="320"/>
      <c r="Z86" s="320"/>
      <c r="AA86" s="320"/>
      <c r="AB86" s="320"/>
      <c r="AC86" s="320"/>
      <c r="AD86" s="320"/>
      <c r="AE86" s="320"/>
      <c r="AF86" s="320"/>
      <c r="AG86" s="320"/>
      <c r="AH86" s="320"/>
      <c r="AI86" s="320"/>
      <c r="AJ86" s="320"/>
    </row>
    <row r="87" spans="1:43">
      <c r="A87" s="320"/>
      <c r="I87" s="320"/>
      <c r="J87" s="320"/>
      <c r="K87" s="320"/>
      <c r="L87" s="320"/>
      <c r="M87" s="320"/>
      <c r="N87" s="493"/>
      <c r="O87" s="320"/>
      <c r="P87" s="320"/>
      <c r="Q87" s="320"/>
      <c r="R87" s="320"/>
      <c r="S87" s="493"/>
      <c r="T87" s="493"/>
      <c r="U87" s="320"/>
      <c r="V87" s="320"/>
      <c r="W87" s="320"/>
      <c r="X87" s="320"/>
      <c r="Y87" s="320"/>
      <c r="Z87" s="320"/>
      <c r="AA87" s="320"/>
      <c r="AB87" s="320"/>
      <c r="AC87" s="320"/>
      <c r="AD87" s="320"/>
      <c r="AE87" s="320"/>
      <c r="AF87" s="320"/>
      <c r="AG87" s="320"/>
      <c r="AH87" s="320"/>
      <c r="AI87" s="320"/>
      <c r="AJ87" s="320"/>
    </row>
    <row r="88" spans="1:43">
      <c r="A88" s="320"/>
      <c r="B88" s="300" t="s">
        <v>369</v>
      </c>
      <c r="C88" s="335">
        <f>[55]Planilha3!$W$10</f>
        <v>103.86394483476451</v>
      </c>
      <c r="D88" s="335">
        <f>[55]Planilha3!$AB$10</f>
        <v>100</v>
      </c>
      <c r="E88" s="301">
        <f>D88-C88</f>
        <v>-3.86394483476451</v>
      </c>
      <c r="F88" s="175">
        <f>SUM(Cálculo!I132:I134)*Cálculo!G144</f>
        <v>10547.195620466768</v>
      </c>
      <c r="G88" s="302">
        <f>-E88*F88/1000</f>
        <v>40.753782038953425</v>
      </c>
      <c r="I88" s="320"/>
      <c r="J88" s="320"/>
      <c r="K88" s="320"/>
      <c r="L88" s="320"/>
      <c r="M88" s="320"/>
      <c r="N88" s="493"/>
      <c r="O88" s="320"/>
      <c r="P88" s="320"/>
      <c r="Q88" s="320"/>
      <c r="R88" s="320"/>
      <c r="S88" s="493"/>
      <c r="T88" s="493"/>
      <c r="U88" s="320"/>
      <c r="V88" s="320"/>
      <c r="W88" s="320"/>
      <c r="X88" s="320"/>
      <c r="Y88" s="320"/>
      <c r="Z88" s="320"/>
      <c r="AA88" s="320"/>
      <c r="AB88" s="320"/>
      <c r="AC88" s="320"/>
      <c r="AD88" s="320"/>
      <c r="AE88" s="320"/>
      <c r="AF88" s="320"/>
      <c r="AG88" s="320"/>
      <c r="AH88" s="320"/>
      <c r="AI88" s="320"/>
      <c r="AJ88" s="320"/>
    </row>
    <row r="89" spans="1:43">
      <c r="A89" s="320"/>
      <c r="I89" s="320"/>
      <c r="J89" s="320"/>
      <c r="K89" s="322"/>
      <c r="L89" s="322"/>
      <c r="M89" s="322"/>
      <c r="N89" s="493"/>
      <c r="O89" s="320"/>
      <c r="P89" s="320"/>
      <c r="Q89" s="320"/>
      <c r="R89" s="320"/>
      <c r="S89" s="493"/>
      <c r="T89" s="493"/>
      <c r="U89" s="320"/>
      <c r="V89" s="320"/>
      <c r="W89" s="320"/>
      <c r="X89" s="320"/>
      <c r="Y89" s="320"/>
      <c r="Z89" s="320"/>
      <c r="AA89" s="320"/>
      <c r="AB89" s="320"/>
      <c r="AC89" s="320"/>
      <c r="AD89" s="320"/>
      <c r="AE89" s="320"/>
      <c r="AF89" s="320"/>
      <c r="AG89" s="320"/>
      <c r="AH89" s="320"/>
      <c r="AI89" s="320"/>
      <c r="AJ89" s="320"/>
    </row>
    <row r="90" spans="1:43">
      <c r="A90" s="320"/>
      <c r="I90" s="194"/>
      <c r="J90" s="320"/>
      <c r="K90" s="320"/>
      <c r="L90" s="320"/>
      <c r="M90" s="320"/>
      <c r="N90" s="493"/>
      <c r="O90" s="320"/>
      <c r="P90" s="320"/>
      <c r="Q90" s="320"/>
      <c r="R90" s="320"/>
      <c r="S90" s="493"/>
      <c r="T90" s="493"/>
      <c r="U90" s="320"/>
      <c r="V90" s="320"/>
      <c r="W90" s="320"/>
      <c r="X90" s="320"/>
      <c r="Y90" s="320"/>
      <c r="Z90" s="320"/>
      <c r="AA90" s="320"/>
      <c r="AB90" s="320"/>
      <c r="AC90" s="320"/>
      <c r="AD90" s="320"/>
      <c r="AE90" s="320"/>
      <c r="AF90" s="320"/>
      <c r="AG90" s="320"/>
      <c r="AH90" s="320"/>
      <c r="AI90" s="320"/>
      <c r="AJ90" s="320"/>
    </row>
    <row r="91" spans="1:43" ht="45">
      <c r="A91" s="320"/>
      <c r="B91" s="477" t="s">
        <v>269</v>
      </c>
      <c r="C91" s="477"/>
      <c r="D91" s="477"/>
      <c r="E91" s="477"/>
      <c r="F91" s="477"/>
      <c r="G91" s="477"/>
      <c r="N91" s="493"/>
      <c r="O91" s="320"/>
      <c r="P91" s="320"/>
      <c r="Q91" s="320"/>
      <c r="R91" s="320"/>
      <c r="S91" s="493"/>
      <c r="T91" s="493"/>
      <c r="U91" s="320"/>
      <c r="V91" s="320"/>
      <c r="W91" s="320"/>
      <c r="X91" s="320"/>
      <c r="Y91" s="320"/>
      <c r="Z91" s="320"/>
      <c r="AA91" s="320"/>
      <c r="AB91" s="320"/>
      <c r="AC91" s="320"/>
      <c r="AD91" s="320"/>
      <c r="AE91" s="320"/>
      <c r="AF91" s="320"/>
      <c r="AG91" s="320"/>
      <c r="AH91" s="320"/>
      <c r="AI91" s="320"/>
      <c r="AJ91" s="320"/>
    </row>
    <row r="92" spans="1:43">
      <c r="B92" s="320"/>
      <c r="C92" s="320"/>
      <c r="D92" s="320"/>
      <c r="E92" s="320"/>
      <c r="F92" s="320"/>
      <c r="G92" s="320"/>
      <c r="H92" s="320"/>
    </row>
    <row r="93" spans="1:43">
      <c r="H93" s="320"/>
    </row>
    <row r="94" spans="1:43" ht="6" customHeight="1">
      <c r="H94" s="173"/>
    </row>
    <row r="95" spans="1:43">
      <c r="H95" s="173"/>
    </row>
    <row r="96" spans="1:43">
      <c r="B96" s="1059" t="s">
        <v>612</v>
      </c>
      <c r="C96" s="1059"/>
      <c r="D96" s="1059"/>
      <c r="E96" s="1059"/>
      <c r="F96" s="1059"/>
      <c r="G96" s="1059"/>
      <c r="H96" s="321"/>
    </row>
    <row r="97" spans="2:15" ht="4.5" customHeight="1">
      <c r="B97" s="130"/>
      <c r="C97" s="130"/>
      <c r="D97" s="130"/>
      <c r="E97" s="130"/>
      <c r="F97" s="130"/>
      <c r="G97" s="130"/>
      <c r="H97" s="321"/>
    </row>
    <row r="98" spans="2:15">
      <c r="B98" s="131" t="s">
        <v>601</v>
      </c>
      <c r="C98" s="132" t="str">
        <f>C76</f>
        <v>FY20</v>
      </c>
      <c r="D98" s="132" t="str">
        <f>D76</f>
        <v>FY21</v>
      </c>
      <c r="E98" s="132" t="str">
        <f>E76</f>
        <v>Var</v>
      </c>
      <c r="F98" s="132" t="str">
        <f>F76</f>
        <v>kt</v>
      </c>
      <c r="G98" s="132" t="str">
        <f>G76</f>
        <v>MUSD</v>
      </c>
      <c r="H98" s="321"/>
      <c r="I98" s="601"/>
    </row>
    <row r="99" spans="2:15">
      <c r="B99" s="648">
        <f>Box!BE5</f>
        <v>0</v>
      </c>
      <c r="C99" s="649"/>
      <c r="D99" s="649"/>
      <c r="E99" s="649"/>
      <c r="F99" s="649"/>
      <c r="G99" s="138">
        <f>Box!BF5</f>
        <v>0</v>
      </c>
      <c r="H99" s="320"/>
    </row>
    <row r="100" spans="2:15">
      <c r="B100" s="341" t="s">
        <v>473</v>
      </c>
      <c r="C100" s="189">
        <f>(1.4*3+0.34)/4</f>
        <v>1.1349999999999998</v>
      </c>
      <c r="D100" s="189">
        <f>0.34</f>
        <v>0.34</v>
      </c>
      <c r="E100" s="189">
        <f>D100-C100</f>
        <v>-0.79499999999999971</v>
      </c>
      <c r="F100" s="465">
        <f>SUM(Cálculo!I128:I131)*Cálculo!G144</f>
        <v>4756.6635471481204</v>
      </c>
      <c r="G100" s="152">
        <f>-E100*F100/1000+0.4</f>
        <v>4.1815475199827548</v>
      </c>
      <c r="H100" s="320"/>
      <c r="J100" s="211" t="s">
        <v>559</v>
      </c>
      <c r="N100" s="189"/>
      <c r="O100" s="152" t="e">
        <f>Box!#REF!</f>
        <v>#REF!</v>
      </c>
    </row>
    <row r="101" spans="2:15">
      <c r="B101" s="212" t="s">
        <v>603</v>
      </c>
      <c r="C101" s="459"/>
      <c r="D101" s="459"/>
      <c r="E101" s="459"/>
      <c r="F101" s="459"/>
      <c r="G101" s="160" t="e">
        <f>Box!#REF!+0.2</f>
        <v>#REF!</v>
      </c>
      <c r="H101" s="466"/>
    </row>
    <row r="102" spans="2:15">
      <c r="B102" s="155" t="s">
        <v>14</v>
      </c>
      <c r="C102" s="165"/>
      <c r="D102" s="165"/>
      <c r="E102" s="156"/>
      <c r="F102" s="156"/>
      <c r="G102" s="241" t="e">
        <f>SUM(G99:G101)</f>
        <v>#REF!</v>
      </c>
      <c r="H102" s="320"/>
      <c r="J102" s="139" t="str">
        <f>Box!P15</f>
        <v>Alloys</v>
      </c>
      <c r="K102" s="153"/>
      <c r="L102" s="153"/>
      <c r="M102" s="137"/>
      <c r="N102" s="142"/>
      <c r="O102" s="152">
        <f>Box!U15</f>
        <v>-12.014339143844159</v>
      </c>
    </row>
    <row r="103" spans="2:15">
      <c r="H103" s="320"/>
      <c r="J103" s="139" t="str">
        <f>Box!P18</f>
        <v>Zinc</v>
      </c>
      <c r="K103" s="337"/>
      <c r="L103" s="337"/>
      <c r="M103" s="137"/>
      <c r="N103" s="142"/>
      <c r="O103" s="152">
        <f>Box!U18</f>
        <v>-11.03</v>
      </c>
    </row>
    <row r="104" spans="2:15">
      <c r="H104" s="320"/>
      <c r="J104" s="341" t="e">
        <f>Box!#REF!</f>
        <v>#REF!</v>
      </c>
      <c r="N104" s="189"/>
      <c r="O104" s="152" t="e">
        <f>Box!#REF!</f>
        <v>#REF!</v>
      </c>
    </row>
    <row r="107" spans="2:15">
      <c r="B107" s="211" t="e">
        <f>Box!#REF!</f>
        <v>#REF!</v>
      </c>
      <c r="G107" s="152" t="e">
        <f>Box!#REF!</f>
        <v>#REF!</v>
      </c>
    </row>
    <row r="108" spans="2:15">
      <c r="B108" s="211" t="e">
        <f>Box!#REF!</f>
        <v>#REF!</v>
      </c>
      <c r="G108" s="152" t="e">
        <f>Box!#REF!</f>
        <v>#REF!</v>
      </c>
    </row>
    <row r="109" spans="2:15">
      <c r="B109" s="211" t="e">
        <f>Box!#REF!</f>
        <v>#REF!</v>
      </c>
      <c r="G109" s="152" t="e">
        <f>Box!#REF!</f>
        <v>#REF!</v>
      </c>
    </row>
    <row r="116" spans="2:7">
      <c r="B116" s="1058" t="s">
        <v>556</v>
      </c>
      <c r="C116" s="1058"/>
      <c r="D116" s="1058"/>
      <c r="E116" s="1058"/>
      <c r="F116" s="1058"/>
      <c r="G116" s="1058"/>
    </row>
    <row r="117" spans="2:7">
      <c r="B117" s="130"/>
      <c r="C117" s="130"/>
      <c r="D117" s="130"/>
      <c r="E117" s="130"/>
      <c r="F117" s="130"/>
      <c r="G117" s="130"/>
    </row>
    <row r="118" spans="2:7">
      <c r="B118" s="131">
        <f>B111</f>
        <v>0</v>
      </c>
      <c r="C118" s="132" t="s">
        <v>493</v>
      </c>
      <c r="D118" s="132" t="s">
        <v>495</v>
      </c>
      <c r="E118" s="133" t="s">
        <v>496</v>
      </c>
      <c r="F118" s="133" t="s">
        <v>497</v>
      </c>
      <c r="G118" s="133" t="s">
        <v>357</v>
      </c>
    </row>
    <row r="119" spans="2:7">
      <c r="B119" s="134" t="s">
        <v>503</v>
      </c>
      <c r="C119" s="141">
        <f>'[54]Raw materials - nominal USD'!Z65</f>
        <v>140.00079365079364</v>
      </c>
      <c r="D119" s="141">
        <f>'[54]Raw materials - nominal USD'!AA65</f>
        <v>155.01171875</v>
      </c>
      <c r="E119" s="141">
        <f>'[54]Raw materials - nominal USD'!AB65</f>
        <v>118.09126984126983</v>
      </c>
      <c r="F119" s="141">
        <f>'[54]Raw materials - nominal USD'!AC65</f>
        <v>115</v>
      </c>
      <c r="G119" s="138">
        <f>G121/G120*1000</f>
        <v>130.30189539432956</v>
      </c>
    </row>
    <row r="120" spans="2:7">
      <c r="B120" s="206" t="s">
        <v>494</v>
      </c>
      <c r="C120" s="207">
        <f>'[57]FCF &amp; OWCR - BUDGET'!B15</f>
        <v>1484.44</v>
      </c>
      <c r="D120" s="207">
        <f>'[57]FCF &amp; OWCR - BUDGET'!C15</f>
        <v>865.96299999999997</v>
      </c>
      <c r="E120" s="207">
        <f>'[57]FCF &amp; OWCR - BUDGET'!D15</f>
        <v>1068.1759999999999</v>
      </c>
      <c r="F120" s="207">
        <f>'[57]FCF &amp; OWCR - BUDGET'!E15</f>
        <v>1486.8829999999998</v>
      </c>
      <c r="G120" s="602">
        <f>SUM(C120:F120)</f>
        <v>4905.4619999999995</v>
      </c>
    </row>
    <row r="121" spans="2:7">
      <c r="B121" s="206" t="s">
        <v>261</v>
      </c>
      <c r="C121" s="162">
        <f>C120*C119/1000</f>
        <v>207.8227781269841</v>
      </c>
      <c r="D121" s="162">
        <f>D120*D119/1000</f>
        <v>134.23441300390627</v>
      </c>
      <c r="E121" s="162">
        <f>E120*E119/1000</f>
        <v>126.14226025396825</v>
      </c>
      <c r="F121" s="162">
        <f>F120*F119/1000</f>
        <v>170.99154499999997</v>
      </c>
      <c r="G121" s="160">
        <f>SUM(C121:F121)</f>
        <v>639.19099638485864</v>
      </c>
    </row>
    <row r="123" spans="2:7">
      <c r="B123" s="131">
        <f>B118</f>
        <v>0</v>
      </c>
      <c r="C123" s="132" t="s">
        <v>498</v>
      </c>
      <c r="D123" s="132" t="s">
        <v>499</v>
      </c>
      <c r="E123" s="133" t="s">
        <v>500</v>
      </c>
      <c r="F123" s="133" t="s">
        <v>501</v>
      </c>
      <c r="G123" s="133" t="s">
        <v>419</v>
      </c>
    </row>
    <row r="124" spans="2:7">
      <c r="B124" s="134" t="s">
        <v>503</v>
      </c>
      <c r="C124" s="141">
        <f>'[54]Raw materials - nominal USD'!AD65</f>
        <v>145</v>
      </c>
      <c r="D124" s="141">
        <f>'[54]Raw materials - nominal USD'!AE65</f>
        <v>160</v>
      </c>
      <c r="E124" s="141">
        <f>'[54]Raw materials - nominal USD'!AF65</f>
        <v>150</v>
      </c>
      <c r="F124" s="141">
        <f>'[54]Raw materials - nominal USD'!AG65</f>
        <v>140</v>
      </c>
      <c r="G124" s="138">
        <f>G126/G125*1000</f>
        <v>148.85238992702318</v>
      </c>
    </row>
    <row r="125" spans="2:7">
      <c r="B125" s="206" t="s">
        <v>494</v>
      </c>
      <c r="C125" s="207">
        <f>'[57]FCF &amp; OWCR - BUDGET'!$M$15</f>
        <v>1749.2429999999999</v>
      </c>
      <c r="D125" s="207">
        <f>'[57]FCF &amp; OWCR - BUDGET'!$Q$15</f>
        <v>1728.598</v>
      </c>
      <c r="E125" s="207">
        <f>'[57]FCF &amp; OWCR - BUDGET'!$U$15</f>
        <v>1636.7089999999998</v>
      </c>
      <c r="F125" s="207">
        <f>'[57]FCF &amp; OWCR - BUDGET'!$Y$15</f>
        <v>1627.7269999999999</v>
      </c>
      <c r="G125" s="602">
        <f>SUM(C125:F125)</f>
        <v>6742.2769999999991</v>
      </c>
    </row>
    <row r="126" spans="2:7">
      <c r="B126" s="206" t="str">
        <f>B121</f>
        <v>$m</v>
      </c>
      <c r="C126" s="162">
        <f>C125*C124/1000</f>
        <v>253.64023499999999</v>
      </c>
      <c r="D126" s="162">
        <f>D125*D124/1000</f>
        <v>276.57567999999998</v>
      </c>
      <c r="E126" s="162">
        <f>E125*E124/1000</f>
        <v>245.50634999999997</v>
      </c>
      <c r="F126" s="162">
        <f>F125*F124/1000</f>
        <v>227.88177999999996</v>
      </c>
      <c r="G126" s="160">
        <f>SUM(C126:F126)</f>
        <v>1003.6040449999999</v>
      </c>
    </row>
    <row r="129" spans="2:7">
      <c r="B129" s="1058" t="s">
        <v>557</v>
      </c>
      <c r="C129" s="1058"/>
      <c r="D129" s="1058"/>
      <c r="E129" s="1058"/>
      <c r="F129" s="1058"/>
      <c r="G129" s="1058"/>
    </row>
    <row r="130" spans="2:7">
      <c r="B130" s="130"/>
      <c r="C130" s="130"/>
      <c r="D130" s="130"/>
      <c r="E130" s="130"/>
      <c r="F130" s="130"/>
      <c r="G130" s="130"/>
    </row>
    <row r="131" spans="2:7">
      <c r="B131" s="131" t="str">
        <f>B124</f>
        <v>Price $/t (1 quarter lag)</v>
      </c>
      <c r="C131" s="132" t="s">
        <v>493</v>
      </c>
      <c r="D131" s="132" t="s">
        <v>495</v>
      </c>
      <c r="E131" s="133" t="s">
        <v>496</v>
      </c>
      <c r="F131" s="133" t="s">
        <v>497</v>
      </c>
      <c r="G131" s="133" t="s">
        <v>357</v>
      </c>
    </row>
    <row r="132" spans="2:7">
      <c r="B132" s="134" t="s">
        <v>558</v>
      </c>
      <c r="C132" s="141">
        <f>'[56]Iron ore'!R6</f>
        <v>91.061599999999999</v>
      </c>
      <c r="D132" s="141">
        <f>'[56]Iron ore'!S6</f>
        <v>87.967920634920631</v>
      </c>
      <c r="E132" s="141">
        <f>'[56]Iron ore'!T6</f>
        <v>109.27383333333334</v>
      </c>
      <c r="F132" s="141">
        <f>'[56]Iron ore'!U6</f>
        <v>118.17276666666667</v>
      </c>
      <c r="G132" s="138">
        <f>G134/G133*1000</f>
        <v>102.69883040069983</v>
      </c>
    </row>
    <row r="133" spans="2:7">
      <c r="B133" s="206" t="s">
        <v>494</v>
      </c>
      <c r="C133" s="207">
        <f>C120</f>
        <v>1484.44</v>
      </c>
      <c r="D133" s="207">
        <f>D120</f>
        <v>865.96299999999997</v>
      </c>
      <c r="E133" s="207">
        <f>E120</f>
        <v>1068.1759999999999</v>
      </c>
      <c r="F133" s="207">
        <f>F120</f>
        <v>1486.8829999999998</v>
      </c>
      <c r="G133" s="602">
        <f>SUM(C133:F133)</f>
        <v>4905.4619999999995</v>
      </c>
    </row>
    <row r="134" spans="2:7">
      <c r="B134" s="206" t="s">
        <v>261</v>
      </c>
      <c r="C134" s="162">
        <f>C133*C132/1000</f>
        <v>135.175481504</v>
      </c>
      <c r="D134" s="162">
        <f>D133*D132/1000</f>
        <v>76.176964456777768</v>
      </c>
      <c r="E134" s="162">
        <f>E133*E132/1000</f>
        <v>116.72368619466667</v>
      </c>
      <c r="F134" s="162">
        <f>F133*F132/1000</f>
        <v>175.70907781963334</v>
      </c>
      <c r="G134" s="160">
        <f>SUM(C134:F134)</f>
        <v>503.78520997507781</v>
      </c>
    </row>
    <row r="136" spans="2:7">
      <c r="B136" s="131" t="str">
        <f>B131</f>
        <v>Price $/t (1 quarter lag)</v>
      </c>
      <c r="C136" s="132" t="s">
        <v>498</v>
      </c>
      <c r="D136" s="132" t="s">
        <v>499</v>
      </c>
      <c r="E136" s="133" t="s">
        <v>500</v>
      </c>
      <c r="F136" s="133" t="s">
        <v>501</v>
      </c>
      <c r="G136" s="133" t="s">
        <v>419</v>
      </c>
    </row>
    <row r="137" spans="2:7">
      <c r="B137" s="134" t="s">
        <v>503</v>
      </c>
      <c r="C137" s="141">
        <f>'[56]Iron ore'!R19</f>
        <v>111.66666666666667</v>
      </c>
      <c r="D137" s="141">
        <f>'[56]Iron ore'!S19</f>
        <v>103.33333333333333</v>
      </c>
      <c r="E137" s="141">
        <f>'[56]Iron ore'!T19</f>
        <v>96.666666666666671</v>
      </c>
      <c r="F137" s="141">
        <f>'[56]Iron ore'!U19</f>
        <v>95</v>
      </c>
      <c r="G137" s="138">
        <f>G139/G138*1000</f>
        <v>101.86517057466887</v>
      </c>
    </row>
    <row r="138" spans="2:7">
      <c r="B138" s="206" t="s">
        <v>494</v>
      </c>
      <c r="C138" s="207">
        <f>'[57]FCF &amp; OWCR - BUDGET'!$M$15</f>
        <v>1749.2429999999999</v>
      </c>
      <c r="D138" s="207">
        <f>'[57]FCF &amp; OWCR - BUDGET'!$Q$15</f>
        <v>1728.598</v>
      </c>
      <c r="E138" s="207">
        <f>'[57]FCF &amp; OWCR - BUDGET'!$U$15</f>
        <v>1636.7089999999998</v>
      </c>
      <c r="F138" s="207">
        <f>'[57]FCF &amp; OWCR - BUDGET'!$Y$15</f>
        <v>1627.7269999999999</v>
      </c>
      <c r="G138" s="602">
        <f>SUM(C138:F138)</f>
        <v>6742.2769999999991</v>
      </c>
    </row>
    <row r="139" spans="2:7">
      <c r="B139" s="206" t="str">
        <f>B134</f>
        <v>$m</v>
      </c>
      <c r="C139" s="162">
        <f>C138*C137/1000</f>
        <v>195.33213500000002</v>
      </c>
      <c r="D139" s="162">
        <f>D138*D137/1000</f>
        <v>178.62179333333333</v>
      </c>
      <c r="E139" s="162">
        <f>E138*E137/1000</f>
        <v>158.21520333333333</v>
      </c>
      <c r="F139" s="162">
        <f>F138*F137/1000</f>
        <v>154.63406499999996</v>
      </c>
      <c r="G139" s="160">
        <f>SUM(C139:F139)</f>
        <v>686.80319666666662</v>
      </c>
    </row>
  </sheetData>
  <mergeCells count="13">
    <mergeCell ref="AF3:AG3"/>
    <mergeCell ref="B11:G11"/>
    <mergeCell ref="B23:G23"/>
    <mergeCell ref="B35:G35"/>
    <mergeCell ref="B47:G47"/>
    <mergeCell ref="B116:G116"/>
    <mergeCell ref="B129:G129"/>
    <mergeCell ref="B96:G96"/>
    <mergeCell ref="B3:G3"/>
    <mergeCell ref="J3:K3"/>
    <mergeCell ref="B65:G65"/>
    <mergeCell ref="B67:G67"/>
    <mergeCell ref="B74:G74"/>
  </mergeCells>
  <conditionalFormatting sqref="K5:K6">
    <cfRule type="top10" dxfId="0" priority="1" percent="1" rank="10"/>
  </conditionalFormatting>
  <conditionalFormatting sqref="AN27:AN32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N37:AN40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  <customProperties>
    <customPr name="_pios_id" r:id="rId2"/>
  </customProperties>
  <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3C747-446F-406D-AC33-A18B81B2A05A}">
  <sheetPr codeName="Planilha6"/>
  <dimension ref="B2:J36"/>
  <sheetViews>
    <sheetView showGridLines="0" zoomScale="80" zoomScaleNormal="80" workbookViewId="0">
      <selection activeCell="B5" sqref="B5"/>
    </sheetView>
  </sheetViews>
  <sheetFormatPr defaultColWidth="8.5703125" defaultRowHeight="15"/>
  <cols>
    <col min="1" max="1" width="8.5703125" style="607"/>
    <col min="2" max="2" width="10.42578125" style="607" bestFit="1" customWidth="1"/>
    <col min="3" max="3" width="8.5703125" style="608" bestFit="1" customWidth="1"/>
    <col min="4" max="5" width="8.5703125" style="608"/>
    <col min="6" max="7" width="8.5703125" style="607"/>
    <col min="8" max="8" width="14.5703125" style="607" customWidth="1"/>
    <col min="9" max="16384" width="8.5703125" style="607"/>
  </cols>
  <sheetData>
    <row r="2" spans="2:9" s="623" customFormat="1">
      <c r="B2" s="623" t="s">
        <v>550</v>
      </c>
      <c r="C2" s="624"/>
      <c r="D2" s="624"/>
      <c r="E2" s="624"/>
      <c r="H2" s="623" t="s">
        <v>551</v>
      </c>
    </row>
    <row r="3" spans="2:9">
      <c r="B3" s="620" t="s">
        <v>406</v>
      </c>
      <c r="C3" s="621" t="s">
        <v>273</v>
      </c>
      <c r="D3" s="621" t="s">
        <v>547</v>
      </c>
      <c r="E3" s="621" t="s">
        <v>261</v>
      </c>
      <c r="H3" s="1091" t="s">
        <v>41</v>
      </c>
      <c r="I3" s="1091"/>
    </row>
    <row r="4" spans="2:9">
      <c r="B4" s="616" t="s">
        <v>9</v>
      </c>
      <c r="C4" s="618">
        <f>Cálculo!J114/1000</f>
        <v>-125.77524869462778</v>
      </c>
      <c r="D4" s="619">
        <f>E4/C4*1000</f>
        <v>3290.3055632115575</v>
      </c>
      <c r="E4" s="618">
        <f>SUM(E5:E9)</f>
        <v>-413.83900049425097</v>
      </c>
      <c r="H4" s="607" t="s">
        <v>552</v>
      </c>
      <c r="I4" s="610">
        <f>SUM(Cálculo!C6:C7)</f>
        <v>-6.680380721635153</v>
      </c>
    </row>
    <row r="5" spans="2:9">
      <c r="B5" s="612" t="s">
        <v>111</v>
      </c>
      <c r="C5" s="615">
        <f>Cálculo!F84/1000</f>
        <v>997.327082214813</v>
      </c>
      <c r="D5" s="615">
        <f>Cálculo!D84</f>
        <v>28.199954689128276</v>
      </c>
      <c r="E5" s="613">
        <f>C5*D5/1000</f>
        <v>28.12457852869824</v>
      </c>
      <c r="H5" s="607" t="s">
        <v>380</v>
      </c>
      <c r="I5" s="610" t="e">
        <f>Box!#REF!</f>
        <v>#REF!</v>
      </c>
    </row>
    <row r="6" spans="2:9">
      <c r="B6" s="612" t="s">
        <v>274</v>
      </c>
      <c r="C6" s="615">
        <f>Cálculo!F86/1000</f>
        <v>32.424160000000001</v>
      </c>
      <c r="D6" s="615">
        <f>Cálculo!D86</f>
        <v>0.72748998948657118</v>
      </c>
      <c r="E6" s="613">
        <f>C6*D6/1000</f>
        <v>2.35882518175109E-2</v>
      </c>
      <c r="H6" s="607" t="s">
        <v>374</v>
      </c>
      <c r="I6" s="610">
        <f>E4</f>
        <v>-413.83900049425097</v>
      </c>
    </row>
    <row r="7" spans="2:9">
      <c r="B7" s="612" t="s">
        <v>28</v>
      </c>
      <c r="C7" s="615">
        <f>Cálculo!F87/1000</f>
        <v>16.529159999999997</v>
      </c>
      <c r="D7" s="615">
        <f>Cálculo!D87</f>
        <v>269.02612368960223</v>
      </c>
      <c r="E7" s="613">
        <f>C7*D7/1000</f>
        <v>4.4467758426452244</v>
      </c>
      <c r="H7" s="607" t="s">
        <v>256</v>
      </c>
      <c r="I7" s="610">
        <f>SUM(Cálculo!K89,Cálculo!K92,Cálculo!K94,Cálculo!K96,Cálculo!K99,Cálculo!K101,Cálculo!K107)/1000</f>
        <v>1.8211753041965453</v>
      </c>
    </row>
    <row r="8" spans="2:9">
      <c r="B8" s="612" t="s">
        <v>422</v>
      </c>
      <c r="C8" s="614">
        <f>'Box Book'!Q26</f>
        <v>591.79999999999995</v>
      </c>
      <c r="D8" s="614">
        <f>-('Box Book'!P27-'Box Book'!P26)+Cálculo!D88</f>
        <v>19.299008713860701</v>
      </c>
      <c r="E8" s="613">
        <f>C8*D8/1000</f>
        <v>11.421153356862762</v>
      </c>
      <c r="H8" s="607" t="s">
        <v>17</v>
      </c>
      <c r="I8" s="610" t="e">
        <f>I4-I5-I6-I7</f>
        <v>#REF!</v>
      </c>
    </row>
    <row r="9" spans="2:9">
      <c r="B9" s="612" t="s">
        <v>548</v>
      </c>
      <c r="C9" s="613">
        <f>C4-C5-C6-C7-C8</f>
        <v>-1763.8556509094408</v>
      </c>
      <c r="D9" s="614">
        <f>-('Box Book'!P27-'Box Book'!P25)+Cálculo!D89</f>
        <v>259.57628462295395</v>
      </c>
      <c r="E9" s="613">
        <f>C9*D9/1000</f>
        <v>-457.85509647427472</v>
      </c>
    </row>
    <row r="10" spans="2:9">
      <c r="C10" s="609"/>
      <c r="H10" s="1091" t="s">
        <v>16</v>
      </c>
      <c r="I10" s="1091"/>
    </row>
    <row r="11" spans="2:9">
      <c r="B11" s="616" t="s">
        <v>16</v>
      </c>
      <c r="C11" s="617">
        <f>C4</f>
        <v>-125.77524869462778</v>
      </c>
      <c r="D11" s="617">
        <f>E11/C11*1000</f>
        <v>32.538555807137946</v>
      </c>
      <c r="E11" s="618">
        <f>Box!X5</f>
        <v>-4.0925449488067995</v>
      </c>
      <c r="H11" s="607" t="s">
        <v>552</v>
      </c>
      <c r="I11" s="611">
        <f>Cálculo!C10</f>
        <v>-12.829343372386798</v>
      </c>
    </row>
    <row r="12" spans="2:9">
      <c r="B12" s="616" t="s">
        <v>13</v>
      </c>
      <c r="C12" s="617"/>
      <c r="D12" s="617"/>
      <c r="E12" s="618" t="e">
        <f>Box!#REF!</f>
        <v>#REF!</v>
      </c>
      <c r="H12" s="607" t="s">
        <v>374</v>
      </c>
      <c r="I12" s="610">
        <f>E11</f>
        <v>-4.0925449488067995</v>
      </c>
    </row>
    <row r="13" spans="2:9">
      <c r="B13" s="616" t="s">
        <v>560</v>
      </c>
      <c r="C13" s="617">
        <f>C11</f>
        <v>-125.77524869462778</v>
      </c>
      <c r="D13" s="617">
        <v>-8</v>
      </c>
      <c r="E13" s="618">
        <f>C13*D13/1000</f>
        <v>1.0062019895570222</v>
      </c>
      <c r="H13" s="607" t="s">
        <v>555</v>
      </c>
      <c r="I13" s="625" t="e">
        <f>Box!#REF!</f>
        <v>#REF!</v>
      </c>
    </row>
    <row r="14" spans="2:9">
      <c r="H14" s="607" t="s">
        <v>16</v>
      </c>
      <c r="I14" s="611" t="e">
        <f>I11-I12-I13</f>
        <v>#REF!</v>
      </c>
    </row>
    <row r="15" spans="2:9">
      <c r="B15" s="616" t="s">
        <v>14</v>
      </c>
      <c r="C15" s="617">
        <f>C11</f>
        <v>-125.77524869462778</v>
      </c>
      <c r="D15" s="617" t="e">
        <f>E15/C15*1000</f>
        <v>#REF!</v>
      </c>
      <c r="E15" s="618" t="e">
        <f>SUM(E4,E11:E13)</f>
        <v>#REF!</v>
      </c>
    </row>
    <row r="16" spans="2:9">
      <c r="H16" s="622" t="s">
        <v>553</v>
      </c>
      <c r="I16" s="622"/>
    </row>
    <row r="17" spans="8:10">
      <c r="H17" s="607" t="s">
        <v>552</v>
      </c>
      <c r="I17" s="610">
        <f>Cálculo!C8</f>
        <v>-34.290558515169018</v>
      </c>
    </row>
    <row r="18" spans="8:10">
      <c r="H18" s="607" t="s">
        <v>374</v>
      </c>
      <c r="I18" s="610">
        <f>Box!CG16</f>
        <v>0</v>
      </c>
    </row>
    <row r="19" spans="8:10">
      <c r="H19" s="607" t="s">
        <v>549</v>
      </c>
      <c r="I19" s="610" t="str">
        <f>Box!CD5</f>
        <v>Sales Ind</v>
      </c>
    </row>
    <row r="20" spans="8:10">
      <c r="H20" s="607" t="s">
        <v>608</v>
      </c>
      <c r="I20" s="610" t="e">
        <f>Box!#REF!</f>
        <v>#REF!</v>
      </c>
    </row>
    <row r="21" spans="8:10">
      <c r="H21" s="607" t="s">
        <v>609</v>
      </c>
      <c r="I21" s="610" t="e">
        <f>Box!#REF!</f>
        <v>#REF!</v>
      </c>
    </row>
    <row r="22" spans="8:10">
      <c r="H22" s="607" t="s">
        <v>318</v>
      </c>
      <c r="I22" s="610" t="e">
        <f>Box!#REF!</f>
        <v>#REF!</v>
      </c>
      <c r="J22" s="610" t="e">
        <f>I17-SUM(I18:I22)</f>
        <v>#REF!</v>
      </c>
    </row>
    <row r="23" spans="8:10">
      <c r="I23" s="610"/>
    </row>
    <row r="25" spans="8:10">
      <c r="H25" s="622" t="s">
        <v>554</v>
      </c>
      <c r="I25" s="622"/>
    </row>
    <row r="26" spans="8:10">
      <c r="H26" s="607" t="s">
        <v>552</v>
      </c>
      <c r="I26" s="611">
        <f>Cálculo!C5</f>
        <v>286.54894369344618</v>
      </c>
    </row>
    <row r="27" spans="8:10">
      <c r="H27" s="607" t="s">
        <v>389</v>
      </c>
      <c r="I27" s="610" t="e">
        <f>'Box Book'!G9</f>
        <v>#REF!</v>
      </c>
    </row>
    <row r="28" spans="8:10">
      <c r="H28" s="607" t="s">
        <v>465</v>
      </c>
      <c r="I28" s="610" t="e">
        <f>'Box Book'!G54</f>
        <v>#REF!</v>
      </c>
    </row>
    <row r="29" spans="8:10">
      <c r="H29" s="607" t="s">
        <v>380</v>
      </c>
      <c r="I29" s="610" t="e">
        <f>Box!#REF!</f>
        <v>#REF!</v>
      </c>
    </row>
    <row r="30" spans="8:10">
      <c r="H30" s="607" t="s">
        <v>17</v>
      </c>
      <c r="I30" s="611" t="e">
        <f>I26-I27-I28-I29</f>
        <v>#REF!</v>
      </c>
    </row>
    <row r="32" spans="8:10">
      <c r="H32" s="622" t="s">
        <v>15</v>
      </c>
      <c r="I32" s="622"/>
    </row>
    <row r="33" spans="8:10">
      <c r="H33" s="607" t="s">
        <v>552</v>
      </c>
      <c r="I33" s="611">
        <f>Cálculo!C9</f>
        <v>-177.47194678166522</v>
      </c>
    </row>
    <row r="34" spans="8:10">
      <c r="H34" s="607" t="s">
        <v>389</v>
      </c>
      <c r="I34" s="610">
        <f>'Box Book'!G86</f>
        <v>-158.74420574815466</v>
      </c>
    </row>
    <row r="35" spans="8:10">
      <c r="H35" s="607" t="s">
        <v>371</v>
      </c>
      <c r="I35" s="610" t="str">
        <f>Box!CD6</f>
        <v>Sales Auto</v>
      </c>
    </row>
    <row r="36" spans="8:10">
      <c r="H36" s="607" t="s">
        <v>555</v>
      </c>
      <c r="I36" s="611" t="e">
        <f>I33-I34-I35</f>
        <v>#VALUE!</v>
      </c>
      <c r="J36" s="611" t="e">
        <f>I36-'Box Book'!G102</f>
        <v>#VALUE!</v>
      </c>
    </row>
  </sheetData>
  <mergeCells count="2">
    <mergeCell ref="H3:I3"/>
    <mergeCell ref="H10:I10"/>
  </mergeCells>
  <pageMargins left="0.511811024" right="0.511811024" top="0.78740157499999996" bottom="0.78740157499999996" header="0.31496062000000002" footer="0.31496062000000002"/>
  <customProperties>
    <customPr name="_pios_id" r:id="rId1"/>
  </customPropertie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32B60-6311-47E8-B083-B5B4F2F841CF}">
  <sheetPr codeName="Planilha7"/>
  <dimension ref="B1:O12"/>
  <sheetViews>
    <sheetView showGridLines="0" zoomScale="80" zoomScaleNormal="80" workbookViewId="0">
      <selection activeCell="L4" sqref="L4"/>
    </sheetView>
  </sheetViews>
  <sheetFormatPr defaultColWidth="8.5703125" defaultRowHeight="15"/>
  <cols>
    <col min="1" max="1" width="2.5703125" style="428" customWidth="1"/>
    <col min="2" max="2" width="16" style="428" customWidth="1"/>
    <col min="3" max="3" width="30.42578125" style="428" customWidth="1"/>
    <col min="4" max="4" width="9.42578125" style="428" bestFit="1" customWidth="1"/>
    <col min="5" max="5" width="8.5703125" style="428" bestFit="1" customWidth="1"/>
    <col min="6" max="6" width="9.42578125" style="428" bestFit="1" customWidth="1"/>
    <col min="7" max="7" width="8.5703125" style="428"/>
    <col min="8" max="8" width="9.42578125" style="428" bestFit="1" customWidth="1"/>
    <col min="9" max="9" width="8.5703125" style="428"/>
    <col min="10" max="11" width="9.42578125" style="428" bestFit="1" customWidth="1"/>
    <col min="12" max="12" width="8.5703125" style="428" bestFit="1" customWidth="1"/>
    <col min="13" max="14" width="9.42578125" style="428" bestFit="1" customWidth="1"/>
    <col min="15" max="15" width="9" style="428" bestFit="1" customWidth="1"/>
    <col min="16" max="16384" width="8.5703125" style="428"/>
  </cols>
  <sheetData>
    <row r="1" spans="2:15" ht="15.75" thickBot="1"/>
    <row r="2" spans="2:15" ht="19.5" customHeight="1" thickBot="1">
      <c r="B2" s="1092" t="s">
        <v>436</v>
      </c>
      <c r="C2" s="429" t="s">
        <v>437</v>
      </c>
      <c r="D2" s="430" t="s">
        <v>438</v>
      </c>
      <c r="E2" s="430" t="s">
        <v>439</v>
      </c>
      <c r="F2" s="431" t="s">
        <v>440</v>
      </c>
      <c r="G2" s="430" t="s">
        <v>441</v>
      </c>
      <c r="H2" s="431" t="s">
        <v>442</v>
      </c>
      <c r="I2" s="430" t="s">
        <v>443</v>
      </c>
      <c r="J2" s="430" t="s">
        <v>444</v>
      </c>
      <c r="K2" s="431" t="s">
        <v>445</v>
      </c>
      <c r="L2" s="431" t="s">
        <v>446</v>
      </c>
      <c r="M2" s="430" t="s">
        <v>447</v>
      </c>
      <c r="N2" s="430" t="s">
        <v>448</v>
      </c>
      <c r="O2" s="432" t="s">
        <v>449</v>
      </c>
    </row>
    <row r="3" spans="2:15" ht="19.5" customHeight="1" thickBot="1">
      <c r="B3" s="1093"/>
      <c r="C3" s="433" t="s">
        <v>450</v>
      </c>
      <c r="D3" s="434" t="s">
        <v>440</v>
      </c>
      <c r="E3" s="434" t="s">
        <v>441</v>
      </c>
      <c r="F3" s="435" t="s">
        <v>442</v>
      </c>
      <c r="G3" s="435" t="s">
        <v>443</v>
      </c>
      <c r="H3" s="435" t="s">
        <v>444</v>
      </c>
      <c r="I3" s="435" t="s">
        <v>445</v>
      </c>
      <c r="J3" s="435" t="s">
        <v>446</v>
      </c>
      <c r="K3" s="435" t="s">
        <v>447</v>
      </c>
      <c r="L3" s="435" t="s">
        <v>448</v>
      </c>
      <c r="M3" s="435" t="s">
        <v>449</v>
      </c>
      <c r="N3" s="435" t="s">
        <v>451</v>
      </c>
      <c r="O3" s="436" t="s">
        <v>452</v>
      </c>
    </row>
    <row r="4" spans="2:15" ht="20.25" customHeight="1">
      <c r="B4" s="1094" t="s">
        <v>453</v>
      </c>
      <c r="C4" s="437" t="s">
        <v>454</v>
      </c>
      <c r="D4" s="438">
        <v>115</v>
      </c>
      <c r="E4" s="438">
        <v>115</v>
      </c>
      <c r="F4" s="438">
        <v>110</v>
      </c>
      <c r="G4" s="438">
        <v>110</v>
      </c>
      <c r="H4" s="438">
        <v>110</v>
      </c>
      <c r="I4" s="438">
        <v>100</v>
      </c>
      <c r="J4" s="438">
        <v>100</v>
      </c>
      <c r="K4" s="438">
        <v>100</v>
      </c>
      <c r="L4" s="438">
        <v>95</v>
      </c>
      <c r="M4" s="438">
        <v>95</v>
      </c>
      <c r="N4" s="438">
        <v>95</v>
      </c>
      <c r="O4" s="439">
        <v>95</v>
      </c>
    </row>
    <row r="5" spans="2:15" ht="20.25" customHeight="1">
      <c r="B5" s="1095"/>
      <c r="C5" s="440" t="s">
        <v>455</v>
      </c>
      <c r="D5" s="441">
        <v>156</v>
      </c>
      <c r="E5" s="441">
        <v>156</v>
      </c>
      <c r="F5" s="441">
        <v>170.5</v>
      </c>
      <c r="G5" s="441">
        <v>170.5</v>
      </c>
      <c r="H5" s="441">
        <v>170.5</v>
      </c>
      <c r="I5" s="441">
        <v>158</v>
      </c>
      <c r="J5" s="441">
        <v>158</v>
      </c>
      <c r="K5" s="441">
        <v>158</v>
      </c>
      <c r="L5" s="441">
        <v>148</v>
      </c>
      <c r="M5" s="441">
        <v>148</v>
      </c>
      <c r="N5" s="441">
        <v>148</v>
      </c>
      <c r="O5" s="442">
        <v>156</v>
      </c>
    </row>
    <row r="6" spans="2:15" ht="20.25" customHeight="1">
      <c r="B6" s="1095"/>
      <c r="C6" s="440" t="s">
        <v>456</v>
      </c>
      <c r="D6" s="441">
        <v>311.00909722572385</v>
      </c>
      <c r="E6" s="441">
        <v>311.00909722572385</v>
      </c>
      <c r="F6" s="441">
        <v>331.3</v>
      </c>
      <c r="G6" s="441">
        <v>331.3</v>
      </c>
      <c r="H6" s="441">
        <v>331.3</v>
      </c>
      <c r="I6" s="441">
        <v>322</v>
      </c>
      <c r="J6" s="441">
        <v>322</v>
      </c>
      <c r="K6" s="441">
        <v>322</v>
      </c>
      <c r="L6" s="441">
        <v>319</v>
      </c>
      <c r="M6" s="441">
        <v>319</v>
      </c>
      <c r="N6" s="441">
        <v>319</v>
      </c>
      <c r="O6" s="442">
        <v>324</v>
      </c>
    </row>
    <row r="7" spans="2:15" ht="20.25" customHeight="1">
      <c r="B7" s="1095"/>
      <c r="C7" s="440" t="s">
        <v>453</v>
      </c>
      <c r="D7" s="441">
        <v>324.25136458385862</v>
      </c>
      <c r="E7" s="441">
        <v>324.25136458385862</v>
      </c>
      <c r="F7" s="441">
        <v>327.995</v>
      </c>
      <c r="G7" s="441">
        <v>327.995</v>
      </c>
      <c r="H7" s="441">
        <v>327.995</v>
      </c>
      <c r="I7" s="441">
        <v>303.10000000000002</v>
      </c>
      <c r="J7" s="441">
        <v>303.10000000000002</v>
      </c>
      <c r="K7" s="441">
        <v>303.10000000000002</v>
      </c>
      <c r="L7" s="441">
        <v>288.65000000000003</v>
      </c>
      <c r="M7" s="441">
        <v>288.65000000000003</v>
      </c>
      <c r="N7" s="441">
        <v>288.65000000000003</v>
      </c>
      <c r="O7" s="442">
        <v>294.2</v>
      </c>
    </row>
    <row r="8" spans="2:15" ht="20.25" customHeight="1">
      <c r="B8" s="1095"/>
      <c r="C8" s="440" t="s">
        <v>457</v>
      </c>
      <c r="D8" s="441" t="s">
        <v>458</v>
      </c>
      <c r="E8" s="441" t="s">
        <v>458</v>
      </c>
      <c r="F8" s="441" t="s">
        <v>458</v>
      </c>
      <c r="G8" s="441" t="s">
        <v>458</v>
      </c>
      <c r="H8" s="441" t="s">
        <v>458</v>
      </c>
      <c r="I8" s="441" t="s">
        <v>458</v>
      </c>
      <c r="J8" s="441" t="s">
        <v>458</v>
      </c>
      <c r="K8" s="441" t="s">
        <v>458</v>
      </c>
      <c r="L8" s="441" t="s">
        <v>458</v>
      </c>
      <c r="M8" s="441" t="s">
        <v>458</v>
      </c>
      <c r="N8" s="441" t="s">
        <v>458</v>
      </c>
      <c r="O8" s="442" t="s">
        <v>458</v>
      </c>
    </row>
    <row r="9" spans="2:15" ht="20.25" customHeight="1" thickBot="1">
      <c r="B9" s="1096"/>
      <c r="C9" s="443" t="s">
        <v>459</v>
      </c>
      <c r="D9" s="444">
        <v>172.39999999999998</v>
      </c>
      <c r="E9" s="444">
        <v>172.39999999999998</v>
      </c>
      <c r="F9" s="444">
        <v>161.69999999999999</v>
      </c>
      <c r="G9" s="444">
        <v>161.69999999999999</v>
      </c>
      <c r="H9" s="444">
        <v>161.69999999999999</v>
      </c>
      <c r="I9" s="444">
        <v>171.2</v>
      </c>
      <c r="J9" s="444">
        <v>171.2</v>
      </c>
      <c r="K9" s="444">
        <v>171.2</v>
      </c>
      <c r="L9" s="444">
        <v>172.2</v>
      </c>
      <c r="M9" s="444">
        <v>172.2</v>
      </c>
      <c r="N9" s="444">
        <v>172.2</v>
      </c>
      <c r="O9" s="445">
        <v>167.40000000000003</v>
      </c>
    </row>
    <row r="10" spans="2:15" ht="20.25" customHeight="1">
      <c r="B10" s="1097" t="s">
        <v>94</v>
      </c>
      <c r="C10" s="446" t="s">
        <v>460</v>
      </c>
      <c r="D10" s="447">
        <v>496.65136458385859</v>
      </c>
      <c r="E10" s="447">
        <v>496.65136458385859</v>
      </c>
      <c r="F10" s="447">
        <v>489.69499999999999</v>
      </c>
      <c r="G10" s="447">
        <v>489.69499999999999</v>
      </c>
      <c r="H10" s="447">
        <v>489.69499999999999</v>
      </c>
      <c r="I10" s="447">
        <v>474.3</v>
      </c>
      <c r="J10" s="447">
        <v>474.3</v>
      </c>
      <c r="K10" s="447">
        <v>474.3</v>
      </c>
      <c r="L10" s="447">
        <v>460.85</v>
      </c>
      <c r="M10" s="447">
        <v>460.85</v>
      </c>
      <c r="N10" s="447">
        <v>460.85</v>
      </c>
      <c r="O10" s="448">
        <v>461.6</v>
      </c>
    </row>
    <row r="11" spans="2:15" ht="20.25" customHeight="1" thickBot="1">
      <c r="B11" s="1098"/>
      <c r="C11" s="449" t="s">
        <v>461</v>
      </c>
      <c r="D11" s="450">
        <v>487.34341347066527</v>
      </c>
      <c r="E11" s="450">
        <v>487.34341347066527</v>
      </c>
      <c r="F11" s="450">
        <v>484.76502681783921</v>
      </c>
      <c r="G11" s="450">
        <v>484.76502681783921</v>
      </c>
      <c r="H11" s="450">
        <v>484.76502681783921</v>
      </c>
      <c r="I11" s="450">
        <v>470.17885857906816</v>
      </c>
      <c r="J11" s="450">
        <v>470.17885857906816</v>
      </c>
      <c r="K11" s="450">
        <v>470.17885857906816</v>
      </c>
      <c r="L11" s="450">
        <v>458.80258691415969</v>
      </c>
      <c r="M11" s="450">
        <v>458.80258691415969</v>
      </c>
      <c r="N11" s="450">
        <v>458.80258691415969</v>
      </c>
      <c r="O11" s="451">
        <v>458.06778507731451</v>
      </c>
    </row>
    <row r="12" spans="2:15" ht="20.25" customHeight="1" thickBot="1">
      <c r="B12" s="452" t="s">
        <v>462</v>
      </c>
      <c r="C12" s="453" t="s">
        <v>463</v>
      </c>
      <c r="D12" s="454">
        <v>440.34341347066527</v>
      </c>
      <c r="E12" s="454">
        <v>440.34341347066527</v>
      </c>
      <c r="F12" s="454">
        <v>442.20910230569592</v>
      </c>
      <c r="G12" s="454">
        <v>442.20910230569592</v>
      </c>
      <c r="H12" s="454">
        <v>442.20910230569592</v>
      </c>
      <c r="I12" s="454">
        <v>423.89921186631835</v>
      </c>
      <c r="J12" s="454">
        <v>423.89921186631835</v>
      </c>
      <c r="K12" s="454">
        <v>423.89921186631835</v>
      </c>
      <c r="L12" s="454">
        <v>407.40561471442408</v>
      </c>
      <c r="M12" s="454">
        <v>407.40561471442408</v>
      </c>
      <c r="N12" s="454">
        <v>407.40561471442408</v>
      </c>
      <c r="O12" s="455">
        <v>407.30569071416414</v>
      </c>
    </row>
  </sheetData>
  <mergeCells count="3">
    <mergeCell ref="B2:B3"/>
    <mergeCell ref="B4:B9"/>
    <mergeCell ref="B10:B11"/>
  </mergeCells>
  <pageMargins left="0.511811024" right="0.511811024" top="0.78740157499999996" bottom="0.78740157499999996" header="0.31496062000000002" footer="0.31496062000000002"/>
  <customProperties>
    <customPr name="_pios_id" r:id="rId1"/>
  </customPropertie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7314D-0438-4487-B2FB-7F0588DB12E1}">
  <sheetPr codeName="Planilha1"/>
  <dimension ref="A2:Y4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:M4"/>
    </sheetView>
  </sheetViews>
  <sheetFormatPr defaultColWidth="8.5703125" defaultRowHeight="15"/>
  <cols>
    <col min="1" max="1" width="21.5703125" style="479" customWidth="1"/>
    <col min="2" max="16384" width="8.5703125" style="479"/>
  </cols>
  <sheetData>
    <row r="2" spans="1:25">
      <c r="B2" s="482">
        <v>2019</v>
      </c>
      <c r="C2" s="482">
        <v>2019</v>
      </c>
      <c r="D2" s="482">
        <v>2020</v>
      </c>
      <c r="E2" s="482">
        <v>2020</v>
      </c>
      <c r="F2" s="482">
        <v>2020</v>
      </c>
      <c r="G2" s="482">
        <v>2020</v>
      </c>
      <c r="H2" s="482">
        <v>2020</v>
      </c>
      <c r="I2" s="482">
        <v>2020</v>
      </c>
      <c r="J2" s="482">
        <v>2020</v>
      </c>
      <c r="K2" s="482">
        <v>2020</v>
      </c>
      <c r="L2" s="482">
        <v>2020</v>
      </c>
      <c r="M2" s="482">
        <v>2020</v>
      </c>
      <c r="N2" s="482">
        <v>2020</v>
      </c>
      <c r="O2" s="482">
        <v>2020</v>
      </c>
      <c r="P2" s="482">
        <v>2021</v>
      </c>
      <c r="Q2" s="482">
        <v>2021</v>
      </c>
      <c r="R2" s="482">
        <v>2021</v>
      </c>
      <c r="S2" s="482">
        <v>2021</v>
      </c>
      <c r="T2" s="482">
        <v>2021</v>
      </c>
      <c r="U2" s="482">
        <v>2021</v>
      </c>
      <c r="V2" s="482">
        <v>2021</v>
      </c>
      <c r="W2" s="482">
        <v>2021</v>
      </c>
      <c r="X2" s="482">
        <v>2021</v>
      </c>
      <c r="Y2" s="482">
        <v>2021</v>
      </c>
    </row>
    <row r="3" spans="1:25">
      <c r="B3" s="482" t="s">
        <v>486</v>
      </c>
      <c r="C3" s="482" t="s">
        <v>485</v>
      </c>
      <c r="D3" s="482" t="s">
        <v>484</v>
      </c>
      <c r="E3" s="482" t="s">
        <v>483</v>
      </c>
      <c r="F3" s="482" t="s">
        <v>482</v>
      </c>
      <c r="G3" s="482" t="s">
        <v>481</v>
      </c>
      <c r="H3" s="482" t="s">
        <v>480</v>
      </c>
      <c r="I3" s="482" t="s">
        <v>479</v>
      </c>
      <c r="J3" s="482" t="s">
        <v>478</v>
      </c>
      <c r="K3" s="482" t="s">
        <v>477</v>
      </c>
      <c r="L3" s="482" t="s">
        <v>476</v>
      </c>
      <c r="M3" s="482" t="s">
        <v>475</v>
      </c>
      <c r="N3" s="482" t="s">
        <v>486</v>
      </c>
      <c r="O3" s="482" t="s">
        <v>485</v>
      </c>
      <c r="P3" s="482" t="s">
        <v>484</v>
      </c>
      <c r="Q3" s="482" t="s">
        <v>483</v>
      </c>
      <c r="R3" s="482" t="s">
        <v>482</v>
      </c>
      <c r="S3" s="482" t="s">
        <v>481</v>
      </c>
      <c r="T3" s="482" t="s">
        <v>480</v>
      </c>
      <c r="U3" s="482" t="s">
        <v>479</v>
      </c>
      <c r="V3" s="482" t="s">
        <v>478</v>
      </c>
      <c r="W3" s="482" t="s">
        <v>477</v>
      </c>
      <c r="X3" s="482" t="s">
        <v>476</v>
      </c>
      <c r="Y3" s="482" t="s">
        <v>475</v>
      </c>
    </row>
    <row r="4" spans="1:25">
      <c r="A4" s="481" t="s">
        <v>474</v>
      </c>
      <c r="B4" s="480">
        <v>359.5</v>
      </c>
      <c r="C4" s="480">
        <v>395.63</v>
      </c>
      <c r="D4" s="480">
        <v>433.5</v>
      </c>
      <c r="E4" s="480">
        <v>465.625</v>
      </c>
      <c r="F4" s="480">
        <v>423.13</v>
      </c>
      <c r="G4" s="480">
        <v>333.75</v>
      </c>
      <c r="H4" s="480">
        <v>342</v>
      </c>
      <c r="I4" s="480">
        <v>373.75</v>
      </c>
      <c r="J4" s="480">
        <v>383.5</v>
      </c>
      <c r="K4" s="480">
        <v>421.88</v>
      </c>
      <c r="L4" s="480">
        <v>462.5</v>
      </c>
      <c r="M4" s="480">
        <v>460.34341347066527</v>
      </c>
      <c r="N4" s="480">
        <v>455.34341347066527</v>
      </c>
      <c r="O4" s="480">
        <v>455.34341347066527</v>
      </c>
      <c r="P4" s="480">
        <v>457.20910230569592</v>
      </c>
      <c r="Q4" s="480">
        <v>467.20910230569592</v>
      </c>
      <c r="R4" s="480">
        <v>467.20910230569592</v>
      </c>
      <c r="S4" s="480">
        <v>443.89921186631835</v>
      </c>
      <c r="T4" s="480">
        <v>438.89921186631835</v>
      </c>
      <c r="U4" s="480">
        <v>433.89921186631835</v>
      </c>
      <c r="V4" s="480">
        <v>417.40561471442408</v>
      </c>
      <c r="W4" s="480">
        <v>412.40561471442408</v>
      </c>
      <c r="X4" s="480">
        <v>412.40561471442408</v>
      </c>
      <c r="Y4" s="480">
        <v>422.30569071416414</v>
      </c>
    </row>
  </sheetData>
  <pageMargins left="0.511811024" right="0.511811024" top="0.78740157499999996" bottom="0.78740157499999996" header="0.31496062000000002" footer="0.31496062000000002"/>
  <customProperties>
    <customPr name="_pios_id" r:id="rId1"/>
    <customPr name="CofWorksheetType" r:id="rId2"/>
  </customProperties>
  <drawing r:id="rId3"/>
  <legacyDrawing r:id="rId4"/>
  <controls>
    <mc:AlternateContent xmlns:mc="http://schemas.openxmlformats.org/markup-compatibility/2006">
      <mc:Choice Requires="x14">
        <control shapeId="11265" r:id="rId5" name="FPMExcelClientSheetOptionstb1">
          <controlPr defaultSize="0" autoLine="0" autoPict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304800</xdr:colOff>
                <xdr:row>0</xdr:row>
                <xdr:rowOff>0</xdr:rowOff>
              </to>
            </anchor>
          </controlPr>
        </control>
      </mc:Choice>
      <mc:Fallback>
        <control shapeId="11265" r:id="rId5" name="FPMExcelClientSheetOptionstb1"/>
      </mc:Fallback>
    </mc:AlternateContent>
  </control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7D108-4A14-41A9-AFC1-9A877B8805C4}">
  <sheetPr codeName="Planilha9"/>
  <dimension ref="A2:K35"/>
  <sheetViews>
    <sheetView showGridLines="0" workbookViewId="0">
      <selection activeCell="G10" sqref="G10"/>
    </sheetView>
  </sheetViews>
  <sheetFormatPr defaultRowHeight="12.75"/>
  <cols>
    <col min="1" max="1" width="31.42578125" bestFit="1" customWidth="1"/>
    <col min="2" max="2" width="14.5703125" customWidth="1"/>
    <col min="3" max="3" width="14.42578125" customWidth="1"/>
    <col min="9" max="9" width="33.5703125" customWidth="1"/>
    <col min="10" max="10" width="12.42578125" bestFit="1" customWidth="1"/>
    <col min="11" max="11" width="13.42578125" bestFit="1" customWidth="1"/>
  </cols>
  <sheetData>
    <row r="2" spans="1:11">
      <c r="B2" s="251" t="s">
        <v>353</v>
      </c>
      <c r="C2" s="251" t="s">
        <v>354</v>
      </c>
    </row>
    <row r="3" spans="1:11" ht="15">
      <c r="A3" t="s">
        <v>321</v>
      </c>
      <c r="B3" s="293">
        <v>3500</v>
      </c>
      <c r="C3" s="293">
        <f>B3</f>
        <v>3500</v>
      </c>
    </row>
    <row r="4" spans="1:11" ht="15.75" thickBot="1">
      <c r="A4" t="s">
        <v>322</v>
      </c>
      <c r="B4" s="265">
        <f>'[58]2018 - US$ EUA  '!$M$54</f>
        <v>4</v>
      </c>
      <c r="C4" s="265">
        <f>'[59]2018 - US$ EUA  '!$M$54</f>
        <v>3.8850549999999999</v>
      </c>
      <c r="I4" s="268" t="s">
        <v>338</v>
      </c>
      <c r="J4" s="268"/>
      <c r="K4" s="268"/>
    </row>
    <row r="5" spans="1:11" ht="15">
      <c r="A5" s="261" t="s">
        <v>335</v>
      </c>
      <c r="B5" s="254">
        <f>B3/B4</f>
        <v>875</v>
      </c>
      <c r="C5" s="254">
        <f>C3/C4</f>
        <v>900.88814701464969</v>
      </c>
    </row>
    <row r="6" spans="1:11" ht="15">
      <c r="A6" s="97"/>
      <c r="B6" s="253"/>
      <c r="C6" s="253"/>
      <c r="I6" s="269" t="s">
        <v>339</v>
      </c>
      <c r="J6" s="270" t="s">
        <v>260</v>
      </c>
      <c r="K6" s="271" t="s">
        <v>317</v>
      </c>
    </row>
    <row r="7" spans="1:11" ht="15">
      <c r="A7" s="261" t="s">
        <v>336</v>
      </c>
      <c r="B7" s="252">
        <f>B3</f>
        <v>3500</v>
      </c>
      <c r="C7" s="252">
        <f>C3</f>
        <v>3500</v>
      </c>
      <c r="I7" s="272" t="s">
        <v>340</v>
      </c>
      <c r="J7" s="273">
        <f>'[60]FCF &amp; OWCR - BUDGET'!$Z$15</f>
        <v>6744.7650000000012</v>
      </c>
      <c r="K7" s="273">
        <f>Cálculo!G144</f>
        <v>6970.2856600000005</v>
      </c>
    </row>
    <row r="8" spans="1:11" ht="15">
      <c r="A8" s="97" t="s">
        <v>337</v>
      </c>
      <c r="B8" s="266">
        <v>3.54</v>
      </c>
      <c r="C8" s="265">
        <v>3.85</v>
      </c>
      <c r="I8" s="274" t="s">
        <v>341</v>
      </c>
      <c r="J8" s="273">
        <f>Cálculo!L126</f>
        <v>0</v>
      </c>
      <c r="K8" s="273">
        <f>Cálculo!M126</f>
        <v>0</v>
      </c>
    </row>
    <row r="9" spans="1:11" ht="15">
      <c r="A9" s="261" t="str">
        <f>A7</f>
        <v>Inventory - Actual Q418 (R$m)</v>
      </c>
      <c r="B9" s="255">
        <f>B7/B8</f>
        <v>988.70056497175142</v>
      </c>
      <c r="C9" s="255">
        <f>C7/C8</f>
        <v>909.09090909090912</v>
      </c>
      <c r="I9" s="274" t="s">
        <v>342</v>
      </c>
      <c r="J9" s="273">
        <f>J8/J7</f>
        <v>0</v>
      </c>
      <c r="K9" s="273">
        <f>K8/K7</f>
        <v>0</v>
      </c>
    </row>
    <row r="10" spans="1:11" ht="15">
      <c r="A10" s="97"/>
      <c r="B10" s="253"/>
      <c r="C10" s="253"/>
      <c r="I10" s="275"/>
      <c r="J10" s="276"/>
      <c r="K10" s="276"/>
    </row>
    <row r="11" spans="1:11" ht="15">
      <c r="A11" s="262" t="s">
        <v>310</v>
      </c>
      <c r="B11" s="256">
        <f>B5-B9</f>
        <v>-113.70056497175142</v>
      </c>
      <c r="C11" s="256">
        <f>C5-C9</f>
        <v>-8.2027620762594324</v>
      </c>
      <c r="I11" s="274" t="s">
        <v>343</v>
      </c>
      <c r="J11" s="277">
        <f>Cálculo!C48/1000</f>
        <v>7232.3337353226143</v>
      </c>
      <c r="K11" s="273">
        <f>Cálculo!F48/1000</f>
        <v>7106.5584866279851</v>
      </c>
    </row>
    <row r="12" spans="1:11" ht="15">
      <c r="A12" s="97"/>
      <c r="B12" s="257" t="s">
        <v>323</v>
      </c>
      <c r="C12" s="257" t="s">
        <v>324</v>
      </c>
      <c r="I12" s="272" t="s">
        <v>344</v>
      </c>
      <c r="J12" s="277">
        <f>J9*J11</f>
        <v>0</v>
      </c>
      <c r="K12" s="273">
        <f>K9*K11</f>
        <v>0</v>
      </c>
    </row>
    <row r="13" spans="1:11" ht="15">
      <c r="A13" s="262" t="s">
        <v>328</v>
      </c>
      <c r="B13" s="256">
        <f>C11-B11</f>
        <v>105.49780289549199</v>
      </c>
      <c r="C13" s="258" t="s">
        <v>325</v>
      </c>
      <c r="I13" s="278"/>
      <c r="J13" s="279" t="s">
        <v>323</v>
      </c>
      <c r="K13" s="279" t="s">
        <v>324</v>
      </c>
    </row>
    <row r="14" spans="1:11" ht="15">
      <c r="A14" s="97"/>
      <c r="B14" s="97"/>
      <c r="C14" s="97"/>
      <c r="I14" s="278"/>
      <c r="J14" s="278"/>
      <c r="K14" s="278"/>
    </row>
    <row r="15" spans="1:11" ht="15">
      <c r="A15" s="97"/>
      <c r="B15" s="97"/>
      <c r="C15" s="97"/>
      <c r="I15" s="272" t="s">
        <v>345</v>
      </c>
      <c r="J15" s="280">
        <f>K12-J12</f>
        <v>0</v>
      </c>
      <c r="K15" s="281" t="s">
        <v>325</v>
      </c>
    </row>
    <row r="16" spans="1:11" ht="15">
      <c r="A16" s="263" t="s">
        <v>329</v>
      </c>
      <c r="B16" s="267">
        <f>[61]Q4!$H$89/1000</f>
        <v>-356.45812057715096</v>
      </c>
      <c r="C16" s="97"/>
      <c r="I16" s="272" t="s">
        <v>349</v>
      </c>
      <c r="J16" s="280">
        <f>J15/4</f>
        <v>0</v>
      </c>
      <c r="K16" s="281" t="s">
        <v>326</v>
      </c>
    </row>
    <row r="17" spans="1:11" ht="15">
      <c r="A17" s="264" t="s">
        <v>330</v>
      </c>
      <c r="B17" s="265">
        <f>B4</f>
        <v>4</v>
      </c>
      <c r="C17" s="97"/>
      <c r="I17" s="278"/>
      <c r="J17" s="276"/>
      <c r="K17" s="278"/>
    </row>
    <row r="18" spans="1:11" ht="15">
      <c r="A18" s="264" t="s">
        <v>331</v>
      </c>
      <c r="B18" s="265">
        <f>B8</f>
        <v>3.54</v>
      </c>
      <c r="C18" s="97"/>
      <c r="I18" s="272" t="s">
        <v>346</v>
      </c>
      <c r="J18" s="282">
        <f>SUM(Cálculo!J116:J118)</f>
        <v>-34749.49817526454</v>
      </c>
      <c r="K18" s="281" t="s">
        <v>347</v>
      </c>
    </row>
    <row r="19" spans="1:11" ht="15">
      <c r="A19" s="263" t="s">
        <v>332</v>
      </c>
      <c r="B19" s="259">
        <f>B16*B17/B18</f>
        <v>-402.77753737531179</v>
      </c>
      <c r="C19" s="97"/>
      <c r="I19" s="278"/>
      <c r="J19" s="278"/>
      <c r="K19" s="278"/>
    </row>
    <row r="20" spans="1:11" ht="15">
      <c r="A20" s="262" t="s">
        <v>333</v>
      </c>
      <c r="B20" s="256">
        <f>B16-B19</f>
        <v>46.31941679816083</v>
      </c>
      <c r="C20" s="260" t="s">
        <v>326</v>
      </c>
      <c r="I20" s="269" t="s">
        <v>339</v>
      </c>
      <c r="J20" s="282">
        <f>J16-J18</f>
        <v>34749.49817526454</v>
      </c>
      <c r="K20" s="281" t="s">
        <v>348</v>
      </c>
    </row>
    <row r="21" spans="1:11" ht="15">
      <c r="A21" s="97"/>
      <c r="B21" s="253"/>
      <c r="C21" s="97"/>
    </row>
    <row r="22" spans="1:11" ht="15">
      <c r="A22" s="262" t="s">
        <v>334</v>
      </c>
      <c r="B22" s="256">
        <f>B13-B20</f>
        <v>59.178386097331156</v>
      </c>
      <c r="C22" s="260" t="s">
        <v>327</v>
      </c>
      <c r="J22" s="283"/>
    </row>
    <row r="27" spans="1:11">
      <c r="A27" s="284" t="s">
        <v>18</v>
      </c>
      <c r="B27" s="285"/>
    </row>
    <row r="29" spans="1:11">
      <c r="A29" s="286" t="s">
        <v>350</v>
      </c>
      <c r="B29" s="286" t="s">
        <v>261</v>
      </c>
    </row>
    <row r="30" spans="1:11">
      <c r="A30" s="287" t="s">
        <v>43</v>
      </c>
      <c r="B30" s="288">
        <f>J20/1000</f>
        <v>34.749498175264542</v>
      </c>
    </row>
    <row r="31" spans="1:11">
      <c r="A31" s="287" t="s">
        <v>351</v>
      </c>
      <c r="B31" s="289">
        <f>SV!B22</f>
        <v>59.178386097331156</v>
      </c>
    </row>
    <row r="32" spans="1:11">
      <c r="A32" s="290" t="s">
        <v>352</v>
      </c>
      <c r="B32" s="291">
        <f>SUM(B30:B31)</f>
        <v>93.927884272595691</v>
      </c>
    </row>
    <row r="34" spans="2:2">
      <c r="B34" s="283">
        <f>Bridge!B36</f>
        <v>70.572858606569</v>
      </c>
    </row>
    <row r="35" spans="2:2">
      <c r="B35" s="292">
        <f>B32-B34</f>
        <v>23.355025666026691</v>
      </c>
    </row>
  </sheetData>
  <pageMargins left="0.511811024" right="0.511811024" top="0.78740157499999996" bottom="0.78740157499999996" header="0.31496062000000002" footer="0.31496062000000002"/>
  <pageSetup paperSize="9" orientation="portrait" verticalDpi="598" r:id="rId1"/>
  <customProperties>
    <customPr name="_pios_id" r:id="rId2"/>
  </customProperties>
  <ignoredErrors>
    <ignoredError sqref="B5:C7 C3 B9:C16 B19:C22 C17 C18 B18 B4:C4 A9" unlockedFormula="1"/>
  </ignoredErrors>
  <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D5A1D-25B2-4863-BB00-68933088474D}">
  <sheetPr codeName="Planilha10"/>
  <dimension ref="B3:U36"/>
  <sheetViews>
    <sheetView showGridLines="0" zoomScaleNormal="100" workbookViewId="0">
      <selection activeCell="B5" sqref="B5"/>
    </sheetView>
  </sheetViews>
  <sheetFormatPr defaultColWidth="9.42578125" defaultRowHeight="15"/>
  <cols>
    <col min="1" max="2" width="9.42578125" style="342"/>
    <col min="3" max="3" width="9.5703125" style="342" customWidth="1"/>
    <col min="4" max="4" width="10.42578125" style="342" customWidth="1"/>
    <col min="5" max="5" width="14.5703125" style="342" customWidth="1"/>
    <col min="6" max="6" width="10.5703125" style="342" bestFit="1" customWidth="1"/>
    <col min="7" max="16384" width="9.42578125" style="342"/>
  </cols>
  <sheetData>
    <row r="3" spans="2:21">
      <c r="C3" s="373"/>
      <c r="D3" s="373"/>
      <c r="E3" s="373"/>
      <c r="F3" s="373"/>
      <c r="G3" s="373"/>
      <c r="I3" s="373"/>
      <c r="Q3" s="342">
        <f>SUM(O5:R5)</f>
        <v>73.3</v>
      </c>
    </row>
    <row r="4" spans="2:21">
      <c r="C4" s="342">
        <v>1</v>
      </c>
      <c r="D4" s="342">
        <v>2</v>
      </c>
      <c r="E4" s="342">
        <v>3</v>
      </c>
      <c r="F4" s="342">
        <v>4</v>
      </c>
      <c r="G4" s="342">
        <v>5</v>
      </c>
      <c r="H4" s="342">
        <v>6</v>
      </c>
      <c r="I4" s="342">
        <v>7</v>
      </c>
      <c r="K4" s="342">
        <v>8</v>
      </c>
      <c r="L4" s="342">
        <v>9</v>
      </c>
      <c r="M4" s="342">
        <v>10</v>
      </c>
      <c r="N4" s="342">
        <v>11</v>
      </c>
    </row>
    <row r="5" spans="2:21">
      <c r="B5" s="343">
        <v>467</v>
      </c>
      <c r="C5" s="343">
        <v>-106</v>
      </c>
      <c r="D5" s="343">
        <f>D8*D9/1000</f>
        <v>-18</v>
      </c>
      <c r="E5" s="343">
        <f>SUM(B5:D5)</f>
        <v>343</v>
      </c>
      <c r="F5" s="344">
        <f>J27</f>
        <v>-286.56799999999998</v>
      </c>
      <c r="G5" s="345">
        <f>J33</f>
        <v>376.63000000000005</v>
      </c>
      <c r="H5" s="345">
        <f>K15</f>
        <v>-86.8</v>
      </c>
      <c r="I5" s="343">
        <f>1+4+15-14</f>
        <v>6</v>
      </c>
      <c r="J5" s="346">
        <f>SUM(E5:I5)</f>
        <v>352.26200000000006</v>
      </c>
      <c r="K5" s="343">
        <v>-39</v>
      </c>
      <c r="L5" s="343">
        <v>-35</v>
      </c>
      <c r="M5" s="343">
        <v>-29</v>
      </c>
      <c r="N5" s="343">
        <v>82</v>
      </c>
      <c r="O5" s="347">
        <f>21</f>
        <v>21</v>
      </c>
      <c r="P5" s="347">
        <v>8</v>
      </c>
      <c r="Q5" s="347">
        <f>-Q7*Q8-2</f>
        <v>27.4</v>
      </c>
      <c r="R5" s="347">
        <f>-R7*R8-2</f>
        <v>16.899999999999999</v>
      </c>
      <c r="S5" s="343">
        <v>-14</v>
      </c>
      <c r="T5" s="343">
        <v>-21</v>
      </c>
      <c r="U5" s="345">
        <f>SUM(J5:T5)</f>
        <v>369.56200000000001</v>
      </c>
    </row>
    <row r="6" spans="2:21">
      <c r="B6" s="348">
        <v>2019</v>
      </c>
      <c r="C6" s="348" t="s">
        <v>375</v>
      </c>
      <c r="D6" s="348" t="s">
        <v>376</v>
      </c>
      <c r="E6" s="348" t="s">
        <v>377</v>
      </c>
      <c r="F6" s="349" t="s">
        <v>4</v>
      </c>
      <c r="G6" s="348" t="s">
        <v>378</v>
      </c>
      <c r="H6" s="348" t="s">
        <v>11</v>
      </c>
      <c r="I6" s="348" t="s">
        <v>379</v>
      </c>
      <c r="J6" s="348">
        <v>2020</v>
      </c>
      <c r="K6" s="348" t="s">
        <v>380</v>
      </c>
      <c r="L6" s="348" t="s">
        <v>371</v>
      </c>
      <c r="M6" s="348" t="s">
        <v>16</v>
      </c>
      <c r="N6" s="348" t="s">
        <v>381</v>
      </c>
      <c r="O6" s="348" t="s">
        <v>382</v>
      </c>
      <c r="P6" s="348" t="s">
        <v>383</v>
      </c>
      <c r="Q6" s="348" t="s">
        <v>384</v>
      </c>
      <c r="R6" s="348" t="s">
        <v>385</v>
      </c>
      <c r="S6" s="348" t="s">
        <v>386</v>
      </c>
      <c r="T6" s="348" t="s">
        <v>387</v>
      </c>
      <c r="U6" s="348">
        <v>2020</v>
      </c>
    </row>
    <row r="7" spans="2:21">
      <c r="B7" s="348" t="s">
        <v>355</v>
      </c>
      <c r="C7" s="348"/>
      <c r="D7" s="348"/>
      <c r="E7" s="348" t="s">
        <v>388</v>
      </c>
      <c r="F7" s="349" t="s">
        <v>389</v>
      </c>
      <c r="G7" s="348"/>
      <c r="H7" s="348"/>
      <c r="I7" s="348" t="s">
        <v>390</v>
      </c>
      <c r="J7" s="348" t="s">
        <v>391</v>
      </c>
      <c r="K7" s="348"/>
      <c r="L7" s="348"/>
      <c r="M7" s="348"/>
      <c r="N7" s="348" t="s">
        <v>392</v>
      </c>
      <c r="O7" s="348"/>
      <c r="P7" s="348"/>
      <c r="Q7" s="348">
        <v>-42</v>
      </c>
      <c r="R7" s="348">
        <v>-27</v>
      </c>
      <c r="S7" s="348" t="s">
        <v>393</v>
      </c>
      <c r="T7" s="348"/>
      <c r="U7" s="348" t="s">
        <v>260</v>
      </c>
    </row>
    <row r="8" spans="2:21">
      <c r="B8" s="348" t="s">
        <v>394</v>
      </c>
      <c r="C8" s="348"/>
      <c r="D8" s="348">
        <v>450</v>
      </c>
      <c r="E8" s="348">
        <v>6.7</v>
      </c>
      <c r="F8" s="349">
        <v>6.8</v>
      </c>
      <c r="G8" s="348"/>
      <c r="H8" s="348">
        <v>5.4</v>
      </c>
      <c r="I8" s="348" t="s">
        <v>395</v>
      </c>
      <c r="J8" s="348"/>
      <c r="K8" s="348"/>
      <c r="L8" s="348"/>
      <c r="M8" s="348"/>
      <c r="N8" s="348"/>
      <c r="O8" s="348"/>
      <c r="P8" s="348"/>
      <c r="Q8" s="348">
        <v>0.7</v>
      </c>
      <c r="R8" s="348">
        <v>0.7</v>
      </c>
      <c r="T8" s="348"/>
      <c r="U8" s="348"/>
    </row>
    <row r="9" spans="2:21">
      <c r="D9" s="342">
        <v>-40</v>
      </c>
    </row>
    <row r="10" spans="2:21">
      <c r="M10" s="342" t="s">
        <v>396</v>
      </c>
    </row>
    <row r="11" spans="2:21">
      <c r="H11" s="350" t="s">
        <v>397</v>
      </c>
      <c r="I11" s="350"/>
      <c r="J11" s="350">
        <v>343</v>
      </c>
      <c r="K11" s="350">
        <v>343</v>
      </c>
      <c r="M11" s="342" t="s">
        <v>398</v>
      </c>
    </row>
    <row r="12" spans="2:21">
      <c r="H12" s="350" t="s">
        <v>399</v>
      </c>
      <c r="I12" s="350"/>
      <c r="J12" s="350">
        <v>402</v>
      </c>
      <c r="K12" s="350">
        <v>405</v>
      </c>
      <c r="M12" s="342">
        <f>415-391</f>
        <v>24</v>
      </c>
    </row>
    <row r="13" spans="2:21">
      <c r="H13" s="350" t="s">
        <v>400</v>
      </c>
      <c r="I13" s="350"/>
      <c r="J13" s="350">
        <f>J11-J12</f>
        <v>-59</v>
      </c>
      <c r="K13" s="350">
        <f>K11-K12</f>
        <v>-62</v>
      </c>
    </row>
    <row r="14" spans="2:21">
      <c r="H14" s="350" t="s">
        <v>9</v>
      </c>
      <c r="I14" s="350"/>
      <c r="J14" s="350">
        <v>1.4</v>
      </c>
      <c r="K14" s="350">
        <v>1.4</v>
      </c>
    </row>
    <row r="15" spans="2:21">
      <c r="H15" s="350" t="s">
        <v>401</v>
      </c>
      <c r="I15" s="350"/>
      <c r="J15" s="351">
        <f>J13*J14</f>
        <v>-82.6</v>
      </c>
      <c r="K15" s="351">
        <f>K13*K14</f>
        <v>-86.8</v>
      </c>
    </row>
    <row r="21" spans="4:11">
      <c r="G21" s="342">
        <v>0.7</v>
      </c>
      <c r="H21" s="342">
        <v>0.7</v>
      </c>
      <c r="J21" s="342">
        <v>2020</v>
      </c>
    </row>
    <row r="22" spans="4:11">
      <c r="D22" s="342" t="s">
        <v>402</v>
      </c>
      <c r="E22" s="342">
        <v>6.8</v>
      </c>
      <c r="G22" s="342">
        <v>-27</v>
      </c>
      <c r="H22" s="342">
        <v>-42</v>
      </c>
    </row>
    <row r="23" spans="4:11">
      <c r="G23" s="342">
        <f>G21*G22</f>
        <v>-18.899999999999999</v>
      </c>
      <c r="H23" s="342">
        <f>H21*H22</f>
        <v>-29.4</v>
      </c>
    </row>
    <row r="24" spans="4:11">
      <c r="H24" s="342">
        <f>SUM(G23:H23)</f>
        <v>-48.3</v>
      </c>
    </row>
    <row r="25" spans="4:11">
      <c r="F25" s="342">
        <f>Q8+G24</f>
        <v>0.7</v>
      </c>
    </row>
    <row r="26" spans="4:11">
      <c r="G26" s="342" t="s">
        <v>4</v>
      </c>
      <c r="H26" s="342" t="s">
        <v>99</v>
      </c>
    </row>
    <row r="27" spans="4:11">
      <c r="D27" s="365" t="s">
        <v>407</v>
      </c>
      <c r="E27" s="362" t="s">
        <v>4</v>
      </c>
      <c r="F27" s="371">
        <f>2503+1400</f>
        <v>3903</v>
      </c>
      <c r="G27" s="363">
        <v>-56</v>
      </c>
      <c r="H27" s="364">
        <f>G27*F27/1000</f>
        <v>-218.56800000000001</v>
      </c>
      <c r="I27" s="342">
        <v>-68</v>
      </c>
      <c r="J27" s="366">
        <f>SUM(H27:I27)</f>
        <v>-286.56799999999998</v>
      </c>
      <c r="K27" s="342">
        <v>-211</v>
      </c>
    </row>
    <row r="28" spans="4:11">
      <c r="D28" s="1099" t="s">
        <v>408</v>
      </c>
      <c r="E28" s="353" t="s">
        <v>52</v>
      </c>
      <c r="F28" s="368">
        <v>3538</v>
      </c>
      <c r="G28" s="354">
        <v>-24</v>
      </c>
      <c r="H28" s="355">
        <f>-G28*F28/1000</f>
        <v>84.912000000000006</v>
      </c>
    </row>
    <row r="29" spans="4:11">
      <c r="D29" s="1099"/>
      <c r="E29" s="356" t="s">
        <v>53</v>
      </c>
      <c r="F29" s="369">
        <v>1473</v>
      </c>
      <c r="G29" s="342">
        <v>-11</v>
      </c>
      <c r="H29" s="357">
        <f>-G29*F29/1000</f>
        <v>16.202999999999999</v>
      </c>
    </row>
    <row r="30" spans="4:11">
      <c r="D30" s="1099"/>
      <c r="E30" s="356" t="s">
        <v>403</v>
      </c>
      <c r="F30" s="369">
        <v>10775</v>
      </c>
      <c r="G30" s="342">
        <v>-11</v>
      </c>
      <c r="H30" s="357">
        <f>-G30*F30/1000</f>
        <v>118.52500000000001</v>
      </c>
      <c r="J30" s="352"/>
    </row>
    <row r="31" spans="4:11">
      <c r="D31" s="1099"/>
      <c r="E31" s="356" t="s">
        <v>270</v>
      </c>
      <c r="F31" s="369">
        <v>6572</v>
      </c>
      <c r="G31" s="342">
        <v>-20</v>
      </c>
      <c r="H31" s="357">
        <f>-G31*F31/1000</f>
        <v>131.44</v>
      </c>
    </row>
    <row r="32" spans="4:11">
      <c r="D32" s="1099"/>
      <c r="E32" s="356" t="s">
        <v>404</v>
      </c>
      <c r="F32" s="369"/>
      <c r="H32" s="358">
        <v>4</v>
      </c>
    </row>
    <row r="33" spans="4:11">
      <c r="D33" s="1099"/>
      <c r="E33" s="359" t="s">
        <v>405</v>
      </c>
      <c r="F33" s="370">
        <f>F30</f>
        <v>10775</v>
      </c>
      <c r="G33" s="360">
        <v>-2</v>
      </c>
      <c r="H33" s="361">
        <f>-G33*F33/1000</f>
        <v>21.55</v>
      </c>
      <c r="J33" s="367">
        <f>SUM(H28:H33)</f>
        <v>376.63000000000005</v>
      </c>
      <c r="K33" s="342">
        <f>174+87+4+15</f>
        <v>280</v>
      </c>
    </row>
    <row r="35" spans="4:11">
      <c r="D35" s="372" t="s">
        <v>410</v>
      </c>
      <c r="E35" s="342" t="s">
        <v>409</v>
      </c>
    </row>
    <row r="36" spans="4:11">
      <c r="J36" s="352">
        <f>J27+J33</f>
        <v>90.062000000000069</v>
      </c>
      <c r="K36" s="352">
        <f>K27+K33</f>
        <v>69</v>
      </c>
    </row>
  </sheetData>
  <mergeCells count="1">
    <mergeCell ref="D28:D33"/>
  </mergeCells>
  <pageMargins left="0.511811024" right="0.511811024" top="0.78740157499999996" bottom="0.78740157499999996" header="0.31496062000000002" footer="0.31496062000000002"/>
  <pageSetup paperSize="9" orientation="portrait" verticalDpi="598" r:id="rId1"/>
  <customProperties>
    <customPr name="_pios_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417208E10501479954DE52A5C732DC" ma:contentTypeVersion="19" ma:contentTypeDescription="Create a new document." ma:contentTypeScope="" ma:versionID="78fd1102907da786f4c7aada9309fa80">
  <xsd:schema xmlns:xsd="http://www.w3.org/2001/XMLSchema" xmlns:xs="http://www.w3.org/2001/XMLSchema" xmlns:p="http://schemas.microsoft.com/office/2006/metadata/properties" xmlns:ns2="19f8af0c-9b06-4ad0-b38c-7810a5df8f40" xmlns:ns3="0437a5c4-5798-45b1-baf5-73253aa1de14" xmlns:ns4="09278d32-0650-4b18-af85-79262d978988" targetNamespace="http://schemas.microsoft.com/office/2006/metadata/properties" ma:root="true" ma:fieldsID="55f42828943ada8372064836ef352f84" ns2:_="" ns3:_="" ns4:_="">
    <xsd:import namespace="19f8af0c-9b06-4ad0-b38c-7810a5df8f40"/>
    <xsd:import namespace="0437a5c4-5798-45b1-baf5-73253aa1de14"/>
    <xsd:import namespace="09278d32-0650-4b18-af85-79262d9789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af0c-9b06-4ad0-b38c-7810a5df8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32adc4a-80e2-451e-aed1-639643a83f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37a5c4-5798-45b1-baf5-73253aa1de1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278d32-0650-4b18-af85-79262d978988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84c62924-39f6-416e-bb85-b81f13ebc338}" ma:internalName="TaxCatchAll" ma:showField="CatchAllData" ma:web="0437a5c4-5798-45b1-baf5-73253aa1de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f8af0c-9b06-4ad0-b38c-7810a5df8f40">
      <Terms xmlns="http://schemas.microsoft.com/office/infopath/2007/PartnerControls"/>
    </lcf76f155ced4ddcb4097134ff3c332f>
    <TaxCatchAll xmlns="09278d32-0650-4b18-af85-79262d978988" xsi:nil="true"/>
  </documentManagement>
</p:properties>
</file>

<file path=customXml/itemProps1.xml><?xml version="1.0" encoding="utf-8"?>
<ds:datastoreItem xmlns:ds="http://schemas.openxmlformats.org/officeDocument/2006/customXml" ds:itemID="{E4B8E00C-DEFA-460E-9C7A-88854F83FD8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57601A4-43C5-4788-9BBE-96069455BE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f8af0c-9b06-4ad0-b38c-7810a5df8f40"/>
    <ds:schemaRef ds:uri="0437a5c4-5798-45b1-baf5-73253aa1de14"/>
    <ds:schemaRef ds:uri="09278d32-0650-4b18-af85-79262d9789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D3AC545-C089-46A4-997E-3B0FBAD2D921}">
  <ds:schemaRefs>
    <ds:schemaRef ds:uri="19f8af0c-9b06-4ad0-b38c-7810a5df8f40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09278d32-0650-4b18-af85-79262d978988"/>
    <ds:schemaRef ds:uri="0437a5c4-5798-45b1-baf5-73253aa1de14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37cd273a-1cec-4aae-a297-41480ea54f8d}" enabled="0" method="" siteId="{37cd273a-1cec-4aae-a297-41480ea54f8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24</vt:i4>
      </vt:variant>
      <vt:variant>
        <vt:lpstr>Intervalos Nomeados</vt:lpstr>
      </vt:variant>
      <vt:variant>
        <vt:i4>4</vt:i4>
      </vt:variant>
    </vt:vector>
  </HeadingPairs>
  <TitlesOfParts>
    <vt:vector size="28" baseType="lpstr">
      <vt:lpstr>Cálculo</vt:lpstr>
      <vt:lpstr>Analise mes carvão</vt:lpstr>
      <vt:lpstr>Box</vt:lpstr>
      <vt:lpstr>Box (resumo sem AMD)</vt:lpstr>
      <vt:lpstr>Box (resumo SAIDA)</vt:lpstr>
      <vt:lpstr>Check BPM</vt:lpstr>
      <vt:lpstr>BPM</vt:lpstr>
      <vt:lpstr>Analise mes minério</vt:lpstr>
      <vt:lpstr>jvS</vt:lpstr>
      <vt:lpstr>Bridge</vt:lpstr>
      <vt:lpstr>Box combinado</vt:lpstr>
      <vt:lpstr>Bridge combinada</vt:lpstr>
      <vt:lpstr>Bridge Consolidade modelo n (2)</vt:lpstr>
      <vt:lpstr>Bridge combinada (2)</vt:lpstr>
      <vt:lpstr>Box combinado (modleo novo)</vt:lpstr>
      <vt:lpstr>Invest-ES</vt:lpstr>
      <vt:lpstr>Bridge Book</vt:lpstr>
      <vt:lpstr>Wanick</vt:lpstr>
      <vt:lpstr>Box Book</vt:lpstr>
      <vt:lpstr>Footprint</vt:lpstr>
      <vt:lpstr>Premissas comercial B21</vt:lpstr>
      <vt:lpstr>Slab BR FOB</vt:lpstr>
      <vt:lpstr>SV</vt:lpstr>
      <vt:lpstr>Modelo</vt:lpstr>
      <vt:lpstr>Box!Area_de_impressao</vt:lpstr>
      <vt:lpstr>'Box (resumo SAIDA)'!Area_de_impressao</vt:lpstr>
      <vt:lpstr>'Box (resumo sem AMD)'!Area_de_impressao</vt:lpstr>
      <vt:lpstr>Cálculo!Area_de_impressao</vt:lpstr>
    </vt:vector>
  </TitlesOfParts>
  <Company>ArcelorMittal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Bertoldi</dc:creator>
  <cp:lastModifiedBy>Ronchi, Felipe A</cp:lastModifiedBy>
  <dcterms:created xsi:type="dcterms:W3CDTF">2016-09-21T13:35:07Z</dcterms:created>
  <dcterms:modified xsi:type="dcterms:W3CDTF">2026-08-06T12:26:25Z</dcterms:modified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ExAnalyzer_OldName">
    <vt:lpwstr>EB_FY17_MRF10_vs_FY18_Budget_Versão1.xlsm</vt:lpwstr>
  </property>
  <property fmtid="{D5CDD505-2E9C-101B-9397-08002B2CF9AE}" pid="3" name="ContentTypeId">
    <vt:lpwstr>0x010100B6417208E10501479954DE52A5C732DC</vt:lpwstr>
  </property>
  <property fmtid="{D5CDD505-2E9C-101B-9397-08002B2CF9AE}" pid="4" name="MediaServiceImageTags">
    <vt:lpwstr/>
  </property>
</Properties>
</file>