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5239441\Desktop\Planilhas\"/>
    </mc:Choice>
  </mc:AlternateContent>
  <bookViews>
    <workbookView xWindow="0" yWindow="0" windowWidth="20490" windowHeight="7620" tabRatio="748"/>
  </bookViews>
  <sheets>
    <sheet name="Raça, Nível e Habilidades" sheetId="4" r:id="rId1"/>
    <sheet name="Classes, PV, BBA, Resistências" sheetId="12" r:id="rId2"/>
    <sheet name="Página 1" sheetId="16" r:id="rId3"/>
    <sheet name="Página 2" sheetId="17" r:id="rId4"/>
    <sheet name="Página 3" sheetId="20" r:id="rId5"/>
    <sheet name="Página 4" sheetId="6" r:id="rId6"/>
    <sheet name="SOBRE+FAQ" sheetId="9" state="hidden" r:id="rId7"/>
    <sheet name="O que atualizar " sheetId="21" state="hidden" r:id="rId8"/>
    <sheet name="Engine" sheetId="15" r:id="rId9"/>
    <sheet name="Classes Básicas" sheetId="13" state="hidden" r:id="rId10"/>
    <sheet name="Classes de Prestígio" sheetId="14" state="hidden" r:id="rId11"/>
    <sheet name="Traços Raciais" sheetId="19" state="hidden" r:id="rId12"/>
  </sheets>
  <definedNames>
    <definedName name="_xlnm._FilterDatabase" localSheetId="0" hidden="1">'Raça, Nível e Habilidades'!$C$1:$CP$6</definedName>
    <definedName name="AJUSTE">'Página 2'!$AH$11</definedName>
    <definedName name="armadura">'Página 1'!$B$70</definedName>
    <definedName name="Bárbaro">#REF!</definedName>
    <definedName name="bba.1">Engine!$W$12</definedName>
    <definedName name="bba.2">Engine!$W$14</definedName>
    <definedName name="bba.3">Engine!$W$15</definedName>
    <definedName name="bba.4">Engine!$W$16</definedName>
    <definedName name="bba.5">Engine!$W$17</definedName>
    <definedName name="BBA.total.p">Engine!$W$18</definedName>
    <definedName name="bonus.armadura">'Página 1'!$Q$70</definedName>
    <definedName name="bonus.classe.Fort">Engine!$V$9</definedName>
    <definedName name="bonus.classe.Ref">Engine!$W$9</definedName>
    <definedName name="bonus.classe.Von">Engine!$X$9</definedName>
    <definedName name="bonus.def1">'Página 1'!$Q$76</definedName>
    <definedName name="bonus.def2">'Página 1'!$Q$78</definedName>
    <definedName name="bonus.escudo">'Página 1'!$Q$72</definedName>
    <definedName name="bonus.outros.Fort">'Classes, PV, BBA, Resistências'!$CR$28</definedName>
    <definedName name="bonus.outros.Ref">'Classes, PV, BBA, Resistências'!$CR$30</definedName>
    <definedName name="bonus.outros.Von">'Classes, PV, BBA, Resistências'!$CR$32</definedName>
    <definedName name="bonus.raça.Fort">'Classes, PV, BBA, Resistências'!$CN$28</definedName>
    <definedName name="bonus.raça.Ref">'Classes, PV, BBA, Resistências'!$CN$30</definedName>
    <definedName name="bonus.raça.Von">'Classes, PV, BBA, Resistências'!$CN$32</definedName>
    <definedName name="bonus.tamanho">'Página 1'!$AL$14</definedName>
    <definedName name="box.especial">'Página 1'!$AC$31</definedName>
    <definedName name="CA">'Página 1'!$S$14</definedName>
    <definedName name="CA.Des">'Página 1'!$AC$14</definedName>
    <definedName name="CA.outros">'Página 1'!$AR$14</definedName>
    <definedName name="campo.Atua1">'Página 1'!$BB$24</definedName>
    <definedName name="campo.Atua2">'Página 1'!$BB$26</definedName>
    <definedName name="campo.Conh1">'Página 1'!$BD$30</definedName>
    <definedName name="campo.Conh2">'Página 1'!$BD$32</definedName>
    <definedName name="campo.Conh3">'Página 1'!$BD$34</definedName>
    <definedName name="campo.Ofic1">'Página 1'!$BB$58</definedName>
    <definedName name="campo.Ofic2">'Página 1'!$BB$60</definedName>
    <definedName name="campo.pericia.Cust1">'Página 1'!$AX$66</definedName>
    <definedName name="campo.perícia.Cust2">'Página 1'!$AX$68</definedName>
    <definedName name="carga.atual">'Página 2'!$R$114</definedName>
    <definedName name="carga.base">'Página 2'!$Z$114</definedName>
    <definedName name="carga.max">#REF!</definedName>
    <definedName name="carga.maxima">'Página 2'!$AH$114</definedName>
    <definedName name="CARISMA">'Página 1'!$F$25</definedName>
    <definedName name="CARISMA.p">'Raça, Nível e Habilidades'!$AU$30</definedName>
    <definedName name="CD.magia.base">'Página 3'!$F$14</definedName>
    <definedName name="CLASSE.1">'Classes, PV, BBA, Resistências'!$P$16</definedName>
    <definedName name="CLASSE.2">'Classes, PV, BBA, Resistências'!$P$19</definedName>
    <definedName name="CLASSE.3">'Classes, PV, BBA, Resistências'!$P$22</definedName>
    <definedName name="CLASSE.4">'Classes, PV, BBA, Resistências'!$P$25</definedName>
    <definedName name="CLASSE.5">'Classes, PV, BBA, Resistências'!$P$28</definedName>
    <definedName name="CONJURADOR">'Página 3'!$B$5</definedName>
    <definedName name="CONSTITUIÇÃO">'Página 1'!$F$19</definedName>
    <definedName name="CONSTITUIÇÃO.p">'Raça, Nível e Habilidades'!$AU$21</definedName>
    <definedName name="controle.cdp">Engine!$V$43</definedName>
    <definedName name="controle.epico">Engine!$V$38</definedName>
    <definedName name="controle.niveis">Engine!$V$37</definedName>
    <definedName name="controle2">Engine!$V$39</definedName>
    <definedName name="controle3">Engine!$V$40</definedName>
    <definedName name="controle4">Engine!$V$41</definedName>
    <definedName name="controle5">Engine!$V$42</definedName>
    <definedName name="coringa1">'Raça, Nível e Habilidades'!$BU$2</definedName>
    <definedName name="coringa2">'Raça, Nível e Habilidades'!$CB$2</definedName>
    <definedName name="DESLOCAMENTO">'Página 1'!$AV$13</definedName>
    <definedName name="DESTREZA">'Página 1'!$F$17</definedName>
    <definedName name="DESTREZA.p">'Raça, Nível e Habilidades'!$AU$18</definedName>
    <definedName name="DIVINDADES">'Página 1'!$AX$6</definedName>
    <definedName name="Elite1">'Raça, Nível e Habilidades'!$L$15</definedName>
    <definedName name="Elite2">'Raça, Nível e Habilidades'!$L$18</definedName>
    <definedName name="Elite3">'Raça, Nível e Habilidades'!$L$21</definedName>
    <definedName name="Elite4">'Raça, Nível e Habilidades'!$L$24</definedName>
    <definedName name="Elite5">'Raça, Nível e Habilidades'!$L$27</definedName>
    <definedName name="Elite6">'Raça, Nível e Habilidades'!$L$30</definedName>
    <definedName name="escudo">'Página 1'!$B$72</definedName>
    <definedName name="Estilo.pontos">Engine!$G$52:$G$53</definedName>
    <definedName name="F.Car">#REF!</definedName>
    <definedName name="F.Con">#REF!</definedName>
    <definedName name="F.Des">#REF!</definedName>
    <definedName name="F.For">#REF!</definedName>
    <definedName name="F.Int">#REF!</definedName>
    <definedName name="F.modCar">#REF!</definedName>
    <definedName name="F.modCon">#REF!</definedName>
    <definedName name="F.modDes">#REF!</definedName>
    <definedName name="F.modFor">#REF!</definedName>
    <definedName name="F.modInt">#REF!</definedName>
    <definedName name="F.modSab">#REF!</definedName>
    <definedName name="F.nível">#REF!</definedName>
    <definedName name="F.Sab">#REF!</definedName>
    <definedName name="F.tamanho">#REF!</definedName>
    <definedName name="FORÇA">'Página 1'!$F$15</definedName>
    <definedName name="FORÇA.p">'Raça, Nível e Habilidades'!$AU$15</definedName>
    <definedName name="FORTITUDE">'Página 1'!$AH$20</definedName>
    <definedName name="H.10">'Raça, Nível e Habilidades'!$BK$22</definedName>
    <definedName name="H.12">'Raça, Nível e Habilidades'!$BK$24</definedName>
    <definedName name="H.14">'Raça, Nível e Habilidades'!$BK$26</definedName>
    <definedName name="H.16">'Raça, Nível e Habilidades'!$BK$28</definedName>
    <definedName name="H.18">'Raça, Nível e Habilidades'!$BK$30</definedName>
    <definedName name="H.2">'Raça, Nível e Habilidades'!$BK$14</definedName>
    <definedName name="H.20">'Raça, Nível e Habilidades'!$BK$32</definedName>
    <definedName name="H.22">'Raça, Nível e Habilidades'!$BR$14</definedName>
    <definedName name="H.24">'Raça, Nível e Habilidades'!$BR$16</definedName>
    <definedName name="H.26">'Raça, Nível e Habilidades'!$BR$18</definedName>
    <definedName name="H.28">'Raça, Nível e Habilidades'!$BR$20</definedName>
    <definedName name="H.30">'Raça, Nível e Habilidades'!$BR$22</definedName>
    <definedName name="H.32">'Raça, Nível e Habilidades'!$BR$24</definedName>
    <definedName name="H.34">'Raça, Nível e Habilidades'!$BR$26</definedName>
    <definedName name="H.36">'Raça, Nível e Habilidades'!$BR$28</definedName>
    <definedName name="H.38">'Raça, Nível e Habilidades'!$BR$30</definedName>
    <definedName name="H.4">'Raça, Nível e Habilidades'!$BK$16</definedName>
    <definedName name="H.40">'Raça, Nível e Habilidades'!$BR$32</definedName>
    <definedName name="H.6">'Raça, Nível e Habilidades'!$BK$18</definedName>
    <definedName name="H.8">'Raça, Nível e Habilidades'!$BK$20</definedName>
    <definedName name="habclasse.1">'Página 2'!$AU$7</definedName>
    <definedName name="habclasse.10">'Página 2'!$AU$34</definedName>
    <definedName name="habclasse.11">'Página 2'!$AU$37</definedName>
    <definedName name="habclasse.12">'Página 2'!$AU$40</definedName>
    <definedName name="habclasse.13">'Página 2'!$AU$43</definedName>
    <definedName name="habclasse.14">'Página 2'!$AU$46</definedName>
    <definedName name="habclasse.15">'Página 2'!$AU$49</definedName>
    <definedName name="habclasse.16">'Página 2'!$AU$52</definedName>
    <definedName name="habclasse.17">'Página 2'!$AU$55</definedName>
    <definedName name="habclasse.18">'Página 2'!$AU$58</definedName>
    <definedName name="habclasse.19">'Página 2'!$AU$61</definedName>
    <definedName name="habclasse.2">'Página 2'!$AU$10</definedName>
    <definedName name="habclasse.20">'Página 2'!$AU$64</definedName>
    <definedName name="habclasse.21">'Página 2'!$AU$67</definedName>
    <definedName name="habclasse.22">'Página 2'!$AU$70</definedName>
    <definedName name="habclasse.23">'Página 2'!$AU$73</definedName>
    <definedName name="habclasse.24">'Página 2'!$AU$76</definedName>
    <definedName name="habclasse.25">'Página 2'!$AU$79</definedName>
    <definedName name="habclasse.3">'Página 2'!$AU$13</definedName>
    <definedName name="habclasse.4">'Página 2'!$AU$16</definedName>
    <definedName name="habclasse.5">'Página 2'!$AU$19</definedName>
    <definedName name="habclasse.6">'Página 2'!$AU$22</definedName>
    <definedName name="habclasse.7">'Página 2'!$AU$25</definedName>
    <definedName name="habclasse.8">'Página 2'!$AU$28</definedName>
    <definedName name="habclasse.9">'Página 2'!$AU$31</definedName>
    <definedName name="Habilidade">Engine!$N$4:$N$9</definedName>
    <definedName name="habilidades.chave">Engine!$AI$4:$AI$10</definedName>
    <definedName name="IDADE.p">'Raça, Nível e Habilidades'!$AI$5</definedName>
    <definedName name="INTELIGÊNCIA">'Página 1'!$F$21</definedName>
    <definedName name="INTELIGÊNCIA.p">'Raça, Nível e Habilidades'!$AU$24</definedName>
    <definedName name="item.1">'Página 2'!$B$30</definedName>
    <definedName name="item.2">'Página 2'!$B$33</definedName>
    <definedName name="item.3">'Página 2'!$B$36</definedName>
    <definedName name="item.4">'Página 2'!$B$39</definedName>
    <definedName name="item.def.1">'Página 1'!$B$76</definedName>
    <definedName name="item.def.2">'Página 1'!$B$78</definedName>
    <definedName name="kg.itens">'Página 2'!$AM$106</definedName>
    <definedName name="kg.moedas">Engine!$AN$7</definedName>
    <definedName name="LISTA.aliado">Engine!$AT$13:$AT$16</definedName>
    <definedName name="LISTA.cdps">'Classes de Prestígio'!$B$3:$B$104</definedName>
    <definedName name="LISTA.classes">'Classes Básicas'!$A$12:$A$83</definedName>
    <definedName name="LISTA.conjuradores">Engine!$AR$4:$AR$44</definedName>
    <definedName name="LISTA.coringa1">Engine!$L$4:$L$9</definedName>
    <definedName name="LISTA.coringa2">Engine!$M$4:$M$9</definedName>
    <definedName name="LISTA.criaturas">'Classes Básicas'!$A$3:$A$8</definedName>
    <definedName name="Lista.Elite1">Engine!$C$66:$C$71</definedName>
    <definedName name="Lista.Elite2">Engine!$D$66:$D$71</definedName>
    <definedName name="Lista.Elite3">Engine!$E$66:$E$71</definedName>
    <definedName name="Lista.Elite4">Engine!$F$66:$F$71</definedName>
    <definedName name="Lista.Elite5">Engine!$G$66:$G$71</definedName>
    <definedName name="Lista.Elite6">Engine!$H$66:$H$71</definedName>
    <definedName name="Lista.Elite7">Engine!$I$66:$I$71</definedName>
    <definedName name="LISTA.idades">Engine!$L$27:$L$30</definedName>
    <definedName name="LISTA.moreau">Engine!$L$41:$L$54</definedName>
    <definedName name="LISTA.raças">Engine!$C$4:$C$45</definedName>
    <definedName name="LISTA.sexo">Engine!$AI$31:$AI$33</definedName>
    <definedName name="LISTA.talentos.classe2">Engine!$R$11:$R$15</definedName>
    <definedName name="LISTA.talentos.classe3">Engine!$R$17:$R$21</definedName>
    <definedName name="LISTA.talentos.classe4">Engine!$R$23:$R$27</definedName>
    <definedName name="LISTA.talentos.classe5">Engine!$R$29:$R$33</definedName>
    <definedName name="LISTA.tam_tocados">Engine!$AD$34:$AD$35</definedName>
    <definedName name="LISTA.tamanho">Engine!$AD$31:$AD$39</definedName>
    <definedName name="LISTA.tendência">Engine!$AD$43:$AD$52</definedName>
    <definedName name="LISTA.tipos.classe">Engine!$R$7:$R$8</definedName>
    <definedName name="LISTA.tipos.classe1">Engine!$R$4:$R$5</definedName>
    <definedName name="magia.0">'Página 3'!$N$23</definedName>
    <definedName name="magia.1">'Página 3'!$N$50</definedName>
    <definedName name="magia.2">'Página 3'!$N$95</definedName>
    <definedName name="magia.3">'Página 3'!$AB$26</definedName>
    <definedName name="magia.4">'Página 3'!$AB$53</definedName>
    <definedName name="magia.5">'Página 3'!$AB$80</definedName>
    <definedName name="magia.6">'Página 3'!$AB$107</definedName>
    <definedName name="magia.7">'Página 3'!$AP$38</definedName>
    <definedName name="magia.8">'Página 3'!$AP$65</definedName>
    <definedName name="magia.9">'Página 3'!$AP$92</definedName>
    <definedName name="Magia.Hab.Chav">#REF!</definedName>
    <definedName name="Magia.Hab.Chav.Tab">#REF!</definedName>
    <definedName name="máx.Des">Engine!$AI$13</definedName>
    <definedName name="máx.Des.armadura">'Página 1'!$U$70</definedName>
    <definedName name="máx.Des.escudo">'Página 1'!$U$72</definedName>
    <definedName name="Médio">Engine!$AE$4:$AE$6</definedName>
    <definedName name="MEIO.NÍVEL">'Página 1'!$Z$14</definedName>
    <definedName name="MEIO.NÍVEL.p">Engine!$U$21</definedName>
    <definedName name="mensagem1">Engine!$U$45</definedName>
    <definedName name="mensagem2">Engine!$U$46</definedName>
    <definedName name="mensagem3">Engine!$U$47</definedName>
    <definedName name="mensagem4">Engine!$U$48</definedName>
    <definedName name="mensagem5">Engine!$U$49</definedName>
    <definedName name="mensagem6">Engine!$U$50</definedName>
    <definedName name="meta.1">'Página 3'!$D$123</definedName>
    <definedName name="meta.10">'Página 3'!$Y$135</definedName>
    <definedName name="meta.2">'Página 3'!$D$126</definedName>
    <definedName name="meta.3">'Página 3'!$D$129</definedName>
    <definedName name="meta.4">'Página 3'!$D$132</definedName>
    <definedName name="meta.5">'Página 3'!$D$135</definedName>
    <definedName name="meta.6">'Página 3'!$Y$123</definedName>
    <definedName name="meta.7">'Página 3'!$Y$126</definedName>
    <definedName name="meta.8">'Página 3'!$Y$129</definedName>
    <definedName name="meta.9">'Página 3'!$Y$132</definedName>
    <definedName name="microficha.classes">Engine!$R$41</definedName>
    <definedName name="microficha.classes.sub20">Engine!$R$48</definedName>
    <definedName name="mod.Car">'Página 1'!$J$25</definedName>
    <definedName name="mod.Car.p">'Raça, Nível e Habilidades'!$AZ$30</definedName>
    <definedName name="mod.Con">'Página 1'!$J$19</definedName>
    <definedName name="mod.Con.p">'Raça, Nível e Habilidades'!$AZ$21</definedName>
    <definedName name="mod.Des">'Página 1'!$J$17</definedName>
    <definedName name="mod.Des.p">'Raça, Nível e Habilidades'!$AZ$18</definedName>
    <definedName name="mod.For">'Página 1'!$J$15</definedName>
    <definedName name="mod.For.p">'Raça, Nível e Habilidades'!$AZ$15</definedName>
    <definedName name="mod.Furtividade">Engine!$AI$16</definedName>
    <definedName name="mod.Int">'Página 1'!$J$21</definedName>
    <definedName name="mod.Int.p">'Raça, Nível e Habilidades'!$AZ$24</definedName>
    <definedName name="mod.Sab">'Página 1'!$J$23</definedName>
    <definedName name="mod.Sab.p">'Raça, Nível e Habilidades'!$AZ$27</definedName>
    <definedName name="NÍVEL">'Página 1'!$B$6</definedName>
    <definedName name="Nível.Bárbaro">#REF!</definedName>
    <definedName name="NÍVEL.classes">Engine!$V$33</definedName>
    <definedName name="NÍVEL.conjurador">'Página 3'!$R$5</definedName>
    <definedName name="NÍVEL.épico">Engine!$V$34</definedName>
    <definedName name="NIVEL.P">'Classes, PV, BBA, Resistências'!$CI$17</definedName>
    <definedName name="NÍVEL.p">'Raça, Nível e Habilidades'!$BU$5</definedName>
    <definedName name="NÍVEL.total">Engine!$V$32</definedName>
    <definedName name="NOME">'Página 1'!$B$2</definedName>
    <definedName name="nova.raça.1">'Traços Raciais'!$AI$1</definedName>
    <definedName name="nova.raça.2">'Traços Raciais'!$AJ$1</definedName>
    <definedName name="nova.raça.3">'Traços Raciais'!$AK$1</definedName>
    <definedName name="nova.raça.4">'Traços Raciais'!$AL$1</definedName>
    <definedName name="nova.raça.5">'Traços Raciais'!$AM$1</definedName>
    <definedName name="nova.raça.6">'Traços Raciais'!$AN$1</definedName>
    <definedName name="nova.raça.7">'Traços Raciais'!$AO$1</definedName>
    <definedName name="nova.raça.8">'Traços Raciais'!$AP$1</definedName>
    <definedName name="nv.Classe.1">'Classes, PV, BBA, Resistências'!$AG$16</definedName>
    <definedName name="nv.Classe.1.épico">'Classes, PV, BBA, Resistências'!$BA$17</definedName>
    <definedName name="nv.Classe.1.t">Engine!$V$27</definedName>
    <definedName name="nv.Classe.2">'Classes, PV, BBA, Resistências'!$AG$19</definedName>
    <definedName name="nv.Classe.2.épico">'Classes, PV, BBA, Resistências'!$BA$20</definedName>
    <definedName name="nv.Classe.2.t">Engine!$V$28</definedName>
    <definedName name="nv.Classe.3">'Classes, PV, BBA, Resistências'!$AG$22</definedName>
    <definedName name="nv.Classe.3.épico">'Classes, PV, BBA, Resistências'!$BA$23</definedName>
    <definedName name="nv.Classe.3.t">Engine!$V$29</definedName>
    <definedName name="nv.Classe.4">'Classes, PV, BBA, Resistências'!$AG$25</definedName>
    <definedName name="nv.Classe.4.épico">'Classes, PV, BBA, Resistências'!$BA$26</definedName>
    <definedName name="nv.Classe.4.t">Engine!$V$30</definedName>
    <definedName name="nv.Classe.5">'Classes, PV, BBA, Resistências'!$AG$28</definedName>
    <definedName name="nv.Classe.5.épico">'Classes, PV, BBA, Resistências'!$BA$29</definedName>
    <definedName name="nv.Classe.5.t">Engine!$V$31</definedName>
    <definedName name="nv.meta.1">'Página 3'!$B$123</definedName>
    <definedName name="nv.meta.10">'Página 3'!$W$135</definedName>
    <definedName name="nv.meta.2">'Página 3'!$B$126</definedName>
    <definedName name="nv.meta.3">'Página 3'!$B$129</definedName>
    <definedName name="nv.meta.4">'Página 3'!$B$132</definedName>
    <definedName name="nv.meta.5">'Página 3'!$B$135</definedName>
    <definedName name="nv.meta.6">'Página 3'!$W$123</definedName>
    <definedName name="nv.meta.7">'Página 3'!$W$126</definedName>
    <definedName name="nv.meta.8">'Página 3'!$W$129</definedName>
    <definedName name="nv.meta.9">'Página 3'!$W$132</definedName>
    <definedName name="penalidade.armadura">'Página 1'!$Y$70</definedName>
    <definedName name="penalidade.carga">Engine!$AN$4</definedName>
    <definedName name="penalidade.escudo">'Página 1'!$Y$72</definedName>
    <definedName name="pericia.1.multiclasse">Engine!$W$58</definedName>
    <definedName name="pericia.Acro">'Página 1'!$BN$18</definedName>
    <definedName name="pericia.Ades">'Página 1'!$BN$20</definedName>
    <definedName name="pericia.Atle">'Página 1'!$BN$22</definedName>
    <definedName name="pericia.Atua1">'Página 1'!$BN$24</definedName>
    <definedName name="pericia.Atua2">'Página 1'!$BN$26</definedName>
    <definedName name="pericia.Cav">'Página 1'!$BN$28</definedName>
    <definedName name="pericia.Conh1">'Página 1'!$BN$30</definedName>
    <definedName name="pericia.Conh2">'Página 1'!$BN$32</definedName>
    <definedName name="pericia.Conh3">'Página 1'!$BN$34</definedName>
    <definedName name="pericia.Cura">'Página 1'!$BN$36</definedName>
    <definedName name="pericia.Cust1">'Página 1'!$BN$66</definedName>
    <definedName name="pericia.Cust2">'Página 1'!$BN$68</definedName>
    <definedName name="pericia.Dipl">'Página 1'!$BN$38</definedName>
    <definedName name="pericia.Eng">'Página 1'!$BN$40</definedName>
    <definedName name="pericia.Furt">'Página 1'!$BN$42</definedName>
    <definedName name="pericia.IdM">'Página 1'!$BN$44</definedName>
    <definedName name="pericia.Inic">'Página 1'!$BN$46</definedName>
    <definedName name="pericia.Inti">'Página 1'!$BN$48</definedName>
    <definedName name="pericia.Intu">'Página 1'!$BN$50</definedName>
    <definedName name="pericia.Lad">'Página 1'!$BN$54</definedName>
    <definedName name="pericia.multiclasse.total">Engine!$V$58</definedName>
    <definedName name="pericia.Obt">'Página 1'!$BN$56</definedName>
    <definedName name="pericia.Ofic1">'Página 1'!$BN$58</definedName>
    <definedName name="pericia.Ofic2">'Página 1'!$BN$60</definedName>
    <definedName name="perícia.Perc">'Página 1'!$BN$62</definedName>
    <definedName name="pericia.Sobr">'Página 1'!$BN$64</definedName>
    <definedName name="pericias.de.classe">'Classes, PV, BBA, Resistências'!$AV$16</definedName>
    <definedName name="PM.soma.metamagico">'Página 3'!$AR$138</definedName>
    <definedName name="PM.total">'Página 3'!$W$14</definedName>
    <definedName name="PMs.soma">'Página 3'!$AR$16</definedName>
    <definedName name="prep.meta.1">'Página 3'!$U$123</definedName>
    <definedName name="prep.meta.10">'Página 3'!$AP$135</definedName>
    <definedName name="prep.meta.2">'Página 3'!$U$126</definedName>
    <definedName name="prep.meta.3">'Página 3'!$U$129</definedName>
    <definedName name="prep.meta.4">'Página 3'!$U$132</definedName>
    <definedName name="prep.meta.5">'Página 3'!$U$135</definedName>
    <definedName name="prep.meta.6">'Página 3'!$AP$123</definedName>
    <definedName name="prep.meta.7">'Página 3'!$AP$126</definedName>
    <definedName name="prep.meta.8">'Página 3'!$AP$129</definedName>
    <definedName name="prep.meta.9">'Página 3'!$AP$132</definedName>
    <definedName name="presença.Con">Engine!$M$35</definedName>
    <definedName name="presença.Int">Engine!$M$36</definedName>
    <definedName name="pv.1">Engine!$Z$12</definedName>
    <definedName name="pv.2">Engine!$Z$14</definedName>
    <definedName name="pv.3">Engine!$Z$15</definedName>
    <definedName name="pv.4">Engine!$Z$16</definedName>
    <definedName name="pv.5">Engine!$Z$17</definedName>
    <definedName name="PV.classes">Engine!$Z$18</definedName>
    <definedName name="pv.epico">Engine!$W$24</definedName>
    <definedName name="PV.outros.p">'Classes, PV, BBA, Resistências'!$CM$17</definedName>
    <definedName name="PV.total.p">'Classes, PV, BBA, Resistências'!$BZ$17</definedName>
    <definedName name="QUADRO.niveis_pares">Engine!$M$57:$M$76</definedName>
    <definedName name="RAÇA">'Página 1'!$U$2</definedName>
    <definedName name="raça.nova.1">Engine!$C$38</definedName>
    <definedName name="raça.nova.2">Engine!$C$39</definedName>
    <definedName name="raça.nova.3">Engine!$C$40</definedName>
    <definedName name="raça.nova.4">Engine!$C$41</definedName>
    <definedName name="raça.nova.5">Engine!$C$42</definedName>
    <definedName name="raça.nova.6">Engine!$C$43</definedName>
    <definedName name="raça.nova.7">Engine!$C$44</definedName>
    <definedName name="raça.nova.8">Engine!$C$45</definedName>
    <definedName name="raça.nova.controle">Engine!$N$41</definedName>
    <definedName name="RAÇA.p">'Raça, Nível e Habilidades'!$AJ$2</definedName>
    <definedName name="REFLEXOS">'Página 1'!$AH$22</definedName>
    <definedName name="SABEDORIA">'Página 1'!$F$23</definedName>
    <definedName name="SABEDORIA.p">'Raça, Nível e Habilidades'!$AU$27</definedName>
    <definedName name="SENTIDOS">'Página 1'!$BM$13</definedName>
    <definedName name="TABELA.cdps">'Classes de Prestígio'!$B$2:$F$105</definedName>
    <definedName name="TABELA.classes">'Classes Básicas'!$A$2:$AU$82</definedName>
    <definedName name="TABELA.hab.chave">Engine!$AI$3:$AJ$10</definedName>
    <definedName name="TABELA.hab.magia">Engine!$AT$3:$AU$10</definedName>
    <definedName name="TABELA.idades">Engine!$L$26:$N$30</definedName>
    <definedName name="TABELA.pericias">Engine!$AD$3:$AF$28</definedName>
    <definedName name="TABELA.pontos">Engine!$H$52:$I$63</definedName>
    <definedName name="TABELA.raças">Engine!$C$3:$J$42</definedName>
    <definedName name="TABELA.tamanho">Engine!$AD$30:$AF$40</definedName>
    <definedName name="TABELA.traços">'Traços Raciais'!$A$1:$BA$13</definedName>
    <definedName name="talento.1">'Página 2'!$BO$7</definedName>
    <definedName name="talento.10">'Página 2'!$BO$34</definedName>
    <definedName name="talento.11">'Página 2'!$BO$37</definedName>
    <definedName name="talento.12">'Página 2'!$BO$40</definedName>
    <definedName name="talento.13">'Página 2'!$BO$43</definedName>
    <definedName name="talento.14">'Página 2'!$BO$46</definedName>
    <definedName name="talento.15">'Página 2'!$BO$49</definedName>
    <definedName name="talento.16">'Página 2'!$BO$52</definedName>
    <definedName name="talento.17">'Página 2'!$BO$55</definedName>
    <definedName name="talento.18">'Página 2'!$BO$58</definedName>
    <definedName name="talento.19">'Página 2'!$BO$61</definedName>
    <definedName name="talento.2">'Página 2'!$BO$10</definedName>
    <definedName name="talento.20">'Página 2'!$BO$64</definedName>
    <definedName name="talento.21">'Página 2'!$BO$67</definedName>
    <definedName name="talento.22">'Página 2'!$BO$70</definedName>
    <definedName name="talento.23">'Página 2'!$BO$73</definedName>
    <definedName name="talento.24">'Página 2'!$BO$76</definedName>
    <definedName name="talento.25">'Página 2'!$BO$79</definedName>
    <definedName name="talento.26">'Página 2'!$BO$82</definedName>
    <definedName name="talento.27">'Página 2'!$BO$85</definedName>
    <definedName name="talento.28">'Página 2'!$BO$88</definedName>
    <definedName name="talento.29">'Página 2'!$BO$91</definedName>
    <definedName name="talento.3">'Página 2'!$BO$13</definedName>
    <definedName name="talento.30">'Página 2'!$BO$94</definedName>
    <definedName name="talento.31">'Página 2'!$BO$97</definedName>
    <definedName name="talento.32">'Página 2'!$BO$100</definedName>
    <definedName name="talento.4">'Página 2'!$BO$16</definedName>
    <definedName name="talento.5">'Página 2'!$BO$19</definedName>
    <definedName name="talento.6">'Página 2'!$BO$22</definedName>
    <definedName name="talento.7">'Página 2'!$BO$25</definedName>
    <definedName name="talento.8">'Página 2'!$BO$28</definedName>
    <definedName name="talento.9">'Página 2'!$BO$31</definedName>
    <definedName name="talento.classe.2">'Classes, PV, BBA, Resistências'!$AQ$19</definedName>
    <definedName name="talento.classe.3">'Classes, PV, BBA, Resistências'!$AQ$22</definedName>
    <definedName name="talento.classe.4">'Classes, PV, BBA, Resistências'!$AQ$25</definedName>
    <definedName name="talento.classe.5">'Classes, PV, BBA, Resistências'!$AQ$28</definedName>
    <definedName name="TAMANHO">'Página 1'!$AX$2</definedName>
    <definedName name="tamanho.cust">'Raça, Nível e Habilidades'!$CQ$5</definedName>
    <definedName name="TC">'Página 2'!$D$114</definedName>
    <definedName name="TENDÊNCIA">'Página 1'!$AD$2</definedName>
    <definedName name="tendência.table">Engine!$AD$43:$AE$52</definedName>
    <definedName name="tipo.classe.1">'Classes, PV, BBA, Resistências'!$F$16</definedName>
    <definedName name="tipo.classe.2">'Classes, PV, BBA, Resistências'!$F$19</definedName>
    <definedName name="tipo.classe.3">'Classes, PV, BBA, Resistências'!$F$22</definedName>
    <definedName name="tipo.classe.4">'Classes, PV, BBA, Resistências'!$F$25</definedName>
    <definedName name="tipo.classe.5">'Classes, PV, BBA, Resistências'!$F$28</definedName>
    <definedName name="tipo.magia">'Página 3'!$AD$5</definedName>
    <definedName name="TL">'Página 2'!$I$118</definedName>
    <definedName name="TO">'Página 2'!$D$118</definedName>
    <definedName name="TP">'Página 2'!$I$114</definedName>
    <definedName name="Treinada?">Engine!$AF$4:$AF$28</definedName>
    <definedName name="VONTADE">'Página 1'!$AH$24</definedName>
    <definedName name="XP.atual">'Página 2'!$N$11</definedName>
    <definedName name="XP.prox.nível">'Página 2'!$X$11</definedName>
    <definedName name="Z_84F5B866_ED6A_4540_94B2_D474D840083E_.wvu.Cols" localSheetId="0" hidden="1">'Raça, Nível e Habilidades'!$O:$O,'Raça, Nível e Habilidades'!$CD:$CK</definedName>
  </definedNames>
  <calcPr calcId="162913"/>
  <customWorkbookViews>
    <customWorkbookView name="1" guid="{3ACA014C-A832-4751-B219-867B152CCF6B}" includeHiddenRowCol="0" maximized="1" xWindow="1" yWindow="1" windowWidth="1276" windowHeight="582" activeSheetId="1"/>
    <customWorkbookView name="e" guid="{84F5B866-ED6A-4540-94B2-D474D840083E}" maximized="1" xWindow="1" yWindow="1" windowWidth="1276" windowHeight="582" activeSheetId="1"/>
  </customWorkbookViews>
</workbook>
</file>

<file path=xl/calcChain.xml><?xml version="1.0" encoding="utf-8"?>
<calcChain xmlns="http://schemas.openxmlformats.org/spreadsheetml/2006/main">
  <c r="C45" i="15" l="1"/>
  <c r="C44" i="15"/>
  <c r="C21" i="15"/>
  <c r="C11" i="15"/>
  <c r="CN32" i="12"/>
  <c r="CN30" i="12"/>
  <c r="CN28" i="12"/>
  <c r="BN68" i="16" l="1"/>
  <c r="AG29" i="15"/>
  <c r="D62" i="15" l="1"/>
  <c r="D61" i="15"/>
  <c r="J9" i="4" s="1"/>
  <c r="BR2" i="4"/>
  <c r="Q9" i="4" l="1"/>
  <c r="V5" i="20"/>
  <c r="H24" i="15" l="1"/>
  <c r="H22" i="15"/>
  <c r="G24" i="15"/>
  <c r="G22" i="15"/>
  <c r="F24" i="15"/>
  <c r="F22" i="15"/>
  <c r="E24" i="15"/>
  <c r="E22" i="15"/>
  <c r="D24" i="15"/>
  <c r="D22" i="15"/>
  <c r="BZ5" i="4" l="1"/>
  <c r="C39" i="15"/>
  <c r="C30" i="15"/>
  <c r="C23" i="15"/>
  <c r="C14" i="15"/>
  <c r="N41" i="15" l="1"/>
  <c r="J41" i="15"/>
  <c r="AY4" i="6" l="1"/>
  <c r="BT28" i="20" l="1"/>
  <c r="AL2" i="6" l="1"/>
  <c r="V56" i="15" l="1"/>
  <c r="V57" i="15"/>
  <c r="V55" i="15"/>
  <c r="V54" i="15"/>
  <c r="W57" i="15" l="1"/>
  <c r="W56" i="15"/>
  <c r="W55" i="15"/>
  <c r="W54" i="15"/>
  <c r="S13" i="15"/>
  <c r="BE17" i="16"/>
  <c r="V58" i="15" l="1"/>
  <c r="W58" i="15" l="1"/>
  <c r="BE16" i="16" s="1"/>
  <c r="Q2" i="6"/>
  <c r="AD5" i="20"/>
  <c r="AU1" i="4" l="1"/>
  <c r="F28" i="15"/>
  <c r="D28" i="15"/>
  <c r="L7" i="15"/>
  <c r="L5" i="15"/>
  <c r="L6" i="15"/>
  <c r="I28" i="15"/>
  <c r="H28" i="15"/>
  <c r="BA28" i="20" l="1"/>
  <c r="BI39" i="12"/>
  <c r="S31" i="15"/>
  <c r="S30" i="15"/>
  <c r="S29" i="15"/>
  <c r="S25" i="15"/>
  <c r="S24" i="15"/>
  <c r="S23" i="15"/>
  <c r="S19" i="15"/>
  <c r="S18" i="15"/>
  <c r="S17" i="15"/>
  <c r="S11" i="15"/>
  <c r="S12" i="15"/>
  <c r="V31" i="15" l="1"/>
  <c r="V30" i="15"/>
  <c r="V29" i="15"/>
  <c r="V27" i="15"/>
  <c r="V28" i="15"/>
  <c r="BB19" i="12"/>
  <c r="V33" i="15"/>
  <c r="V34" i="15"/>
  <c r="BI36" i="12"/>
  <c r="BB28" i="12"/>
  <c r="BB25" i="12"/>
  <c r="BB22" i="12"/>
  <c r="BB16" i="12"/>
  <c r="U24" i="15" l="1"/>
  <c r="V38" i="15" s="1"/>
  <c r="BB30" i="12" l="1"/>
  <c r="AG30" i="12"/>
  <c r="AL28" i="12"/>
  <c r="AL25" i="12"/>
  <c r="AL22" i="12"/>
  <c r="AL19" i="12"/>
  <c r="AV16" i="12" l="1"/>
  <c r="M76" i="15" l="1"/>
  <c r="M75" i="15"/>
  <c r="M74" i="15"/>
  <c r="M73" i="15"/>
  <c r="M72" i="15"/>
  <c r="M71" i="15"/>
  <c r="M70" i="15"/>
  <c r="M69" i="15"/>
  <c r="M68" i="15"/>
  <c r="M67" i="15"/>
  <c r="M66" i="15"/>
  <c r="M65" i="15"/>
  <c r="M64" i="15"/>
  <c r="M63" i="15"/>
  <c r="M62" i="15"/>
  <c r="M61" i="15"/>
  <c r="M60" i="15"/>
  <c r="M59" i="15"/>
  <c r="M58" i="15"/>
  <c r="M57" i="15"/>
  <c r="T6" i="12"/>
  <c r="AA24" i="4" l="1"/>
  <c r="J4" i="15"/>
  <c r="AX2" i="16" s="1"/>
  <c r="L9" i="15"/>
  <c r="H31" i="15"/>
  <c r="G31" i="15"/>
  <c r="F31" i="15"/>
  <c r="F29" i="15"/>
  <c r="E31" i="15"/>
  <c r="E29" i="15"/>
  <c r="I33" i="15"/>
  <c r="H33" i="15"/>
  <c r="G33" i="15"/>
  <c r="D33" i="15"/>
  <c r="E33" i="15"/>
  <c r="F33" i="15"/>
  <c r="BY2" i="4"/>
  <c r="BN28" i="20"/>
  <c r="AR16" i="20"/>
  <c r="AR126" i="20"/>
  <c r="AR129" i="20"/>
  <c r="AR132" i="20"/>
  <c r="AR135" i="20"/>
  <c r="AR123" i="20"/>
  <c r="A129" i="20"/>
  <c r="A126" i="20"/>
  <c r="A132" i="20"/>
  <c r="A135" i="20"/>
  <c r="A123" i="20"/>
  <c r="AL14" i="16" l="1"/>
  <c r="AR138" i="20"/>
  <c r="BL43" i="20"/>
  <c r="BH43" i="20" s="1"/>
  <c r="BL40" i="20"/>
  <c r="BL37" i="20"/>
  <c r="BA40" i="20"/>
  <c r="BO43" i="20" s="1"/>
  <c r="BA31" i="20"/>
  <c r="BO40" i="20" s="1"/>
  <c r="BA34" i="20"/>
  <c r="BO37" i="20" s="1"/>
  <c r="BH37" i="20" s="1"/>
  <c r="BA37" i="20"/>
  <c r="BA43" i="20"/>
  <c r="AG4" i="15"/>
  <c r="AP92" i="20"/>
  <c r="AP65" i="20"/>
  <c r="AP38" i="20"/>
  <c r="AB107" i="20"/>
  <c r="AB80" i="20"/>
  <c r="AB53" i="20"/>
  <c r="AB26" i="20"/>
  <c r="N95" i="20"/>
  <c r="N50" i="20"/>
  <c r="N23" i="20"/>
  <c r="AB14" i="20"/>
  <c r="AB20" i="20"/>
  <c r="AR4" i="15"/>
  <c r="AR15" i="15"/>
  <c r="AR17" i="15"/>
  <c r="AR18" i="15"/>
  <c r="AG12" i="13"/>
  <c r="AG28" i="15"/>
  <c r="AG27" i="15"/>
  <c r="AG26" i="15"/>
  <c r="AG25" i="15"/>
  <c r="AG24" i="15"/>
  <c r="AG23" i="15"/>
  <c r="AG22" i="15"/>
  <c r="AG21" i="15"/>
  <c r="AG20" i="15"/>
  <c r="AG19" i="15"/>
  <c r="AG18" i="15"/>
  <c r="AG17" i="15"/>
  <c r="AG16" i="15"/>
  <c r="AG15" i="15"/>
  <c r="AG14" i="15"/>
  <c r="AG13" i="15"/>
  <c r="AG12" i="15"/>
  <c r="AG11" i="15"/>
  <c r="AG10" i="15"/>
  <c r="AG8" i="15"/>
  <c r="AG9" i="15"/>
  <c r="AG7" i="15"/>
  <c r="AG6" i="15"/>
  <c r="AG5" i="15"/>
  <c r="AM103" i="17"/>
  <c r="AN70" i="17"/>
  <c r="AN49" i="17"/>
  <c r="AN52" i="17"/>
  <c r="AN55" i="17"/>
  <c r="AN58" i="17"/>
  <c r="AN61" i="17"/>
  <c r="AN64" i="17"/>
  <c r="AN67" i="17"/>
  <c r="AN73" i="17"/>
  <c r="AN76" i="17"/>
  <c r="AN79" i="17"/>
  <c r="AN82" i="17"/>
  <c r="AN85" i="17"/>
  <c r="AN88" i="17"/>
  <c r="AN91" i="17"/>
  <c r="AN94" i="17"/>
  <c r="AN97" i="17"/>
  <c r="AN100" i="17"/>
  <c r="AN103" i="17"/>
  <c r="AN46" i="17"/>
  <c r="AM100" i="17"/>
  <c r="AM52" i="17"/>
  <c r="AM49" i="17"/>
  <c r="AM55" i="17"/>
  <c r="AM58" i="17"/>
  <c r="AM61" i="17"/>
  <c r="AM64" i="17"/>
  <c r="AM67" i="17"/>
  <c r="AM70" i="17"/>
  <c r="AM73" i="17"/>
  <c r="AM76" i="17"/>
  <c r="AM79" i="17"/>
  <c r="AM82" i="17"/>
  <c r="AM85" i="17"/>
  <c r="AM88" i="17"/>
  <c r="AM91" i="17"/>
  <c r="AM94" i="17"/>
  <c r="AM97" i="17"/>
  <c r="AM46" i="17"/>
  <c r="AM106" i="17" s="1"/>
  <c r="AN7" i="15"/>
  <c r="BH40" i="20" l="1"/>
  <c r="R114" i="17"/>
  <c r="BQ28" i="20"/>
  <c r="N20" i="20"/>
  <c r="AP120" i="20"/>
  <c r="U120" i="20"/>
  <c r="AP20" i="20"/>
  <c r="U2" i="16"/>
  <c r="AO14" i="16"/>
  <c r="AF14" i="16"/>
  <c r="AI14" i="16"/>
  <c r="AI13" i="15"/>
  <c r="AQ142" i="17" l="1"/>
  <c r="AQ139" i="17"/>
  <c r="AQ133" i="17"/>
  <c r="AQ136" i="17"/>
  <c r="AQ118" i="17"/>
  <c r="AQ130" i="17"/>
  <c r="AQ124" i="17"/>
  <c r="AQ115" i="17"/>
  <c r="AQ109" i="17"/>
  <c r="AQ127" i="17"/>
  <c r="AQ112" i="17"/>
  <c r="AQ121" i="17"/>
  <c r="B6" i="16"/>
  <c r="U21" i="15"/>
  <c r="R47" i="15"/>
  <c r="R46" i="15"/>
  <c r="R45" i="15"/>
  <c r="R44" i="15"/>
  <c r="R43" i="15"/>
  <c r="R48" i="15" l="1"/>
  <c r="Z14" i="16"/>
  <c r="BH28" i="20"/>
  <c r="V33" i="16"/>
  <c r="V31" i="16"/>
  <c r="X11" i="17"/>
  <c r="Y17" i="15"/>
  <c r="Z17" i="15" s="1"/>
  <c r="Y16" i="15"/>
  <c r="Z16" i="15" s="1"/>
  <c r="Y15" i="15"/>
  <c r="Z15" i="15" s="1"/>
  <c r="X17" i="15"/>
  <c r="X16" i="15"/>
  <c r="X15" i="15"/>
  <c r="V17" i="15"/>
  <c r="W17" i="15" s="1"/>
  <c r="V16" i="15"/>
  <c r="W16" i="15" s="1"/>
  <c r="V15" i="15"/>
  <c r="W15" i="15" s="1"/>
  <c r="V14" i="15"/>
  <c r="W14" i="15" s="1"/>
  <c r="X14" i="15"/>
  <c r="Y14" i="15"/>
  <c r="Z14" i="15" s="1"/>
  <c r="V12" i="15"/>
  <c r="W12" i="15" s="1"/>
  <c r="R39" i="15"/>
  <c r="Y12" i="15"/>
  <c r="CB28" i="12"/>
  <c r="X4" i="15"/>
  <c r="V4" i="15"/>
  <c r="W4" i="15"/>
  <c r="R31" i="15"/>
  <c r="R30" i="15"/>
  <c r="R29" i="15"/>
  <c r="R25" i="15"/>
  <c r="R24" i="15"/>
  <c r="R23" i="15"/>
  <c r="R19" i="15"/>
  <c r="R18" i="15"/>
  <c r="R17" i="15"/>
  <c r="R13" i="15"/>
  <c r="R12" i="15"/>
  <c r="R11" i="15"/>
  <c r="U18" i="4"/>
  <c r="U21" i="4"/>
  <c r="I22" i="15"/>
  <c r="D27" i="15"/>
  <c r="U15" i="4" s="1"/>
  <c r="G27" i="15"/>
  <c r="U24" i="4" s="1"/>
  <c r="H27" i="15"/>
  <c r="U27" i="4" s="1"/>
  <c r="I27" i="15"/>
  <c r="H29" i="15"/>
  <c r="M9" i="15"/>
  <c r="L4" i="15"/>
  <c r="M4" i="15"/>
  <c r="M5" i="15"/>
  <c r="M6" i="15"/>
  <c r="M7" i="15"/>
  <c r="M8" i="15"/>
  <c r="AA15" i="4"/>
  <c r="AA18" i="4"/>
  <c r="U30" i="4" l="1"/>
  <c r="BR52" i="16"/>
  <c r="BR66" i="16"/>
  <c r="BR68" i="16"/>
  <c r="BR18" i="16"/>
  <c r="X12" i="15"/>
  <c r="Z12" i="15" s="1"/>
  <c r="Z18" i="15" s="1"/>
  <c r="BR32" i="16"/>
  <c r="V32" i="15"/>
  <c r="R37" i="15"/>
  <c r="R36" i="15"/>
  <c r="BR58" i="16"/>
  <c r="BR34" i="16"/>
  <c r="AL24" i="16"/>
  <c r="BR24" i="16"/>
  <c r="BR60" i="16"/>
  <c r="BR26" i="16"/>
  <c r="BR40" i="16"/>
  <c r="BR42" i="16"/>
  <c r="BR48" i="16"/>
  <c r="BR50" i="16"/>
  <c r="BR62" i="16"/>
  <c r="BR54" i="16"/>
  <c r="BR44" i="16"/>
  <c r="BR36" i="16"/>
  <c r="BR28" i="16"/>
  <c r="BR20" i="16"/>
  <c r="BR64" i="16"/>
  <c r="BR56" i="16"/>
  <c r="BR46" i="16"/>
  <c r="BR38" i="16"/>
  <c r="BR30" i="16"/>
  <c r="BR22" i="16"/>
  <c r="AL22" i="16"/>
  <c r="AL20" i="16"/>
  <c r="V42" i="15"/>
  <c r="R40" i="15"/>
  <c r="V40" i="15"/>
  <c r="R38" i="15"/>
  <c r="CB32" i="12"/>
  <c r="W24" i="15"/>
  <c r="CQ17" i="12" s="1"/>
  <c r="V41" i="15"/>
  <c r="V39" i="15"/>
  <c r="V24" i="15"/>
  <c r="W18" i="15" s="1"/>
  <c r="V8" i="15"/>
  <c r="X7" i="15"/>
  <c r="W7" i="15"/>
  <c r="W5" i="15"/>
  <c r="V5" i="15"/>
  <c r="V7" i="15"/>
  <c r="X5" i="15"/>
  <c r="X8" i="15"/>
  <c r="W8" i="15"/>
  <c r="V6" i="15"/>
  <c r="X6" i="15"/>
  <c r="W6" i="15"/>
  <c r="CB30" i="12"/>
  <c r="B33" i="12" l="1"/>
  <c r="V37" i="15"/>
  <c r="CE17" i="12"/>
  <c r="CH22" i="12"/>
  <c r="P33" i="16"/>
  <c r="P31" i="16"/>
  <c r="R41" i="15"/>
  <c r="F6" i="16" s="1"/>
  <c r="V43" i="15"/>
  <c r="B35" i="12" s="1"/>
  <c r="V9" i="15"/>
  <c r="AR20" i="16" s="1"/>
  <c r="X9" i="15"/>
  <c r="AR24" i="16" s="1"/>
  <c r="W9" i="15"/>
  <c r="AR22" i="16" s="1"/>
  <c r="CJ30" i="12" l="1"/>
  <c r="CJ28" i="12"/>
  <c r="CJ32" i="12"/>
  <c r="AG30" i="4" l="1"/>
  <c r="AG27" i="4"/>
  <c r="AG24" i="4"/>
  <c r="AU24" i="4" s="1"/>
  <c r="AZ24" i="4" s="1"/>
  <c r="AG21" i="4"/>
  <c r="AG18" i="4"/>
  <c r="AU18" i="4" s="1"/>
  <c r="F17" i="16" s="1"/>
  <c r="AG15" i="4"/>
  <c r="AU15" i="4" s="1"/>
  <c r="J15" i="16" s="1"/>
  <c r="S31" i="16" s="1"/>
  <c r="L31" i="16" s="1"/>
  <c r="J17" i="16" l="1"/>
  <c r="F15" i="16"/>
  <c r="AZ15" i="4"/>
  <c r="AC14" i="16" l="1"/>
  <c r="AU5" i="15"/>
  <c r="AJ5" i="15"/>
  <c r="AH114" i="17"/>
  <c r="Z114" i="17"/>
  <c r="AN4" i="15" s="1"/>
  <c r="BU54" i="16"/>
  <c r="BU28" i="16"/>
  <c r="BN28" i="16" s="1"/>
  <c r="BU46" i="16"/>
  <c r="BN46" i="16" s="1"/>
  <c r="BU42" i="16"/>
  <c r="BU18" i="16"/>
  <c r="S33" i="16"/>
  <c r="L33" i="16" s="1"/>
  <c r="AO22" i="16"/>
  <c r="AH22" i="16" s="1"/>
  <c r="AI16" i="15" l="1"/>
  <c r="CA42" i="16" s="1"/>
  <c r="BN42" i="16" s="1"/>
  <c r="CA52" i="16"/>
  <c r="AU4" i="15"/>
  <c r="BU48" i="16"/>
  <c r="S14" i="16"/>
  <c r="AJ4" i="15"/>
  <c r="CA22" i="16"/>
  <c r="CA54" i="16"/>
  <c r="BN54" i="16" s="1"/>
  <c r="CA18" i="16"/>
  <c r="BN18" i="16" s="1"/>
  <c r="BU22" i="16"/>
  <c r="N118" i="17"/>
  <c r="BN22" i="16" l="1"/>
  <c r="AA30" i="4"/>
  <c r="AU30" i="4" s="1"/>
  <c r="F25" i="16" s="1"/>
  <c r="AA27" i="4"/>
  <c r="AU27" i="4" s="1"/>
  <c r="F23" i="16" s="1"/>
  <c r="AA21" i="4"/>
  <c r="J25" i="16" l="1"/>
  <c r="J23" i="16"/>
  <c r="AU8" i="15" s="1"/>
  <c r="AU21" i="4"/>
  <c r="AZ21" i="4" s="1"/>
  <c r="F21" i="16"/>
  <c r="AU9" i="15" l="1"/>
  <c r="BU52" i="16"/>
  <c r="BN52" i="16" s="1"/>
  <c r="BU20" i="16"/>
  <c r="BN20" i="16" s="1"/>
  <c r="AJ9" i="15"/>
  <c r="BU38" i="16"/>
  <c r="BN38" i="16" s="1"/>
  <c r="BU40" i="16"/>
  <c r="BN40" i="16" s="1"/>
  <c r="AO24" i="16"/>
  <c r="AH24" i="16" s="1"/>
  <c r="AJ8" i="15"/>
  <c r="BU50" i="16"/>
  <c r="BN50" i="16" s="1"/>
  <c r="BU36" i="16"/>
  <c r="BN36" i="16" s="1"/>
  <c r="J21" i="16"/>
  <c r="AU7" i="15" s="1"/>
  <c r="BU26" i="16"/>
  <c r="BN26" i="16" s="1"/>
  <c r="BU56" i="16"/>
  <c r="BN56" i="16" s="1"/>
  <c r="BU24" i="16"/>
  <c r="BN24" i="16" s="1"/>
  <c r="BN48" i="16"/>
  <c r="BU64" i="16"/>
  <c r="BN64" i="16" s="1"/>
  <c r="BU62" i="16"/>
  <c r="BN62" i="16" s="1"/>
  <c r="F19" i="16"/>
  <c r="BY9" i="12"/>
  <c r="CF28" i="12"/>
  <c r="BW28" i="12" s="1"/>
  <c r="BU34" i="16" l="1"/>
  <c r="BN34" i="16" s="1"/>
  <c r="AV16" i="16"/>
  <c r="BU30" i="16"/>
  <c r="BN30" i="16" s="1"/>
  <c r="BU44" i="16"/>
  <c r="BN44" i="16" s="1"/>
  <c r="AJ7" i="15"/>
  <c r="BU66" i="16" s="1"/>
  <c r="BN66" i="16" s="1"/>
  <c r="J19" i="16"/>
  <c r="AU6" i="15" s="1"/>
  <c r="BU60" i="16"/>
  <c r="BN60" i="16" s="1"/>
  <c r="BU32" i="16"/>
  <c r="BN32" i="16" s="1"/>
  <c r="BU58" i="16"/>
  <c r="BN58" i="16" s="1"/>
  <c r="AO20" i="16" l="1"/>
  <c r="AH20" i="16" s="1"/>
  <c r="CI17" i="12"/>
  <c r="BZ17" i="12" s="1"/>
  <c r="BU68" i="16"/>
  <c r="AJ6" i="15"/>
  <c r="BM9" i="12"/>
  <c r="BJ9" i="12" l="1"/>
  <c r="AZ18" i="4" l="1"/>
  <c r="CF30" i="12" l="1"/>
  <c r="BW30" i="12" s="1"/>
  <c r="BS9" i="12"/>
  <c r="BP9" i="12"/>
  <c r="AZ30" i="4" l="1"/>
  <c r="CQ9" i="12" s="1"/>
  <c r="CN9" i="12"/>
  <c r="AZ27" i="4"/>
  <c r="CH9" i="12"/>
  <c r="CE9" i="12"/>
  <c r="CB9" i="12"/>
  <c r="BV9" i="12"/>
  <c r="O20" i="16" l="1"/>
  <c r="CF32" i="12"/>
  <c r="BW32" i="12" s="1"/>
  <c r="CK9" i="12"/>
  <c r="L14" i="20" l="1"/>
  <c r="F14" i="20" s="1"/>
  <c r="AK92" i="20" s="1"/>
  <c r="AE14" i="20"/>
  <c r="W14" i="20" s="1"/>
  <c r="AK14" i="20" s="1"/>
  <c r="AK38" i="20" l="1"/>
  <c r="W26" i="20"/>
  <c r="W80" i="20"/>
  <c r="W53" i="20"/>
  <c r="I50" i="20"/>
  <c r="I23" i="20"/>
  <c r="AK65" i="20"/>
  <c r="W107" i="20"/>
  <c r="I95" i="20"/>
</calcChain>
</file>

<file path=xl/comments1.xml><?xml version="1.0" encoding="utf-8"?>
<comments xmlns="http://schemas.openxmlformats.org/spreadsheetml/2006/main">
  <authors>
    <author>Eduardo G. Dupim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>Lista de habilidades para receber modificadores raciais (humano, lefou, meio-elfo, meio-orc)</t>
        </r>
      </text>
    </comment>
    <comment ref="M3" authorId="0" shapeId="0">
      <text>
        <r>
          <rPr>
            <sz val="8"/>
            <color indexed="81"/>
            <rFont val="Tahoma"/>
            <family val="2"/>
          </rPr>
          <t>Lista de habilidades para receber modificadores raciais (humano)</t>
        </r>
      </text>
    </comment>
  </commentList>
</comments>
</file>

<file path=xl/sharedStrings.xml><?xml version="1.0" encoding="utf-8"?>
<sst xmlns="http://schemas.openxmlformats.org/spreadsheetml/2006/main" count="2793" uniqueCount="1157">
  <si>
    <t>NOME DO PERSONAGEM</t>
  </si>
  <si>
    <t>NÍVEL</t>
  </si>
  <si>
    <t>RAÇA</t>
  </si>
  <si>
    <t>TENDÊNCIA</t>
  </si>
  <si>
    <t>TAMANHO</t>
  </si>
  <si>
    <t>IDADE</t>
  </si>
  <si>
    <t>SEXO</t>
  </si>
  <si>
    <t>DIVINDADES</t>
  </si>
  <si>
    <t>♂</t>
  </si>
  <si>
    <t>♀</t>
  </si>
  <si>
    <t>FOR</t>
  </si>
  <si>
    <t>DES</t>
  </si>
  <si>
    <t>CON</t>
  </si>
  <si>
    <t>INT</t>
  </si>
  <si>
    <t>SAB</t>
  </si>
  <si>
    <t>CAR</t>
  </si>
  <si>
    <t>valor</t>
  </si>
  <si>
    <t>mod.</t>
  </si>
  <si>
    <t>HABILIDADES</t>
  </si>
  <si>
    <t>CA</t>
  </si>
  <si>
    <t>=</t>
  </si>
  <si>
    <t>+</t>
  </si>
  <si>
    <t>hab.</t>
  </si>
  <si>
    <t>arm.</t>
  </si>
  <si>
    <t>esc.</t>
  </si>
  <si>
    <t>tam.</t>
  </si>
  <si>
    <t>Fort</t>
  </si>
  <si>
    <t>CLASSE DE ARMADURA</t>
  </si>
  <si>
    <t>RESISTÊNCIAS</t>
  </si>
  <si>
    <t>CORPO-A-CORPO</t>
  </si>
  <si>
    <t>À DISTÂNCIA</t>
  </si>
  <si>
    <t>BBA</t>
  </si>
  <si>
    <t>atual</t>
  </si>
  <si>
    <t>PONTOS DE AÇÃO</t>
  </si>
  <si>
    <t>DESLOCAMENTO</t>
  </si>
  <si>
    <t>Ref</t>
  </si>
  <si>
    <t>Von</t>
  </si>
  <si>
    <t>PERÍCIAS</t>
  </si>
  <si>
    <t>TOTAL</t>
  </si>
  <si>
    <t>grad.</t>
  </si>
  <si>
    <t>Acrobacia* (Des)</t>
  </si>
  <si>
    <t>Atletismo* (For)</t>
  </si>
  <si>
    <t>(Car)</t>
  </si>
  <si>
    <t>Cavalgar (Des)</t>
  </si>
  <si>
    <t>(Int)</t>
  </si>
  <si>
    <t>Diplomacia (Car)</t>
  </si>
  <si>
    <t>Cura (Sab)</t>
  </si>
  <si>
    <t>Enganação (Car)</t>
  </si>
  <si>
    <t>Furtividade* (Des)</t>
  </si>
  <si>
    <t>Iniciativa (Des)</t>
  </si>
  <si>
    <t>Intuição (Sab)</t>
  </si>
  <si>
    <t>Obter Informação (Car)</t>
  </si>
  <si>
    <t>Percepção (Sab)</t>
  </si>
  <si>
    <t>Sobrevivência (Sab)</t>
  </si>
  <si>
    <t>ATAQUES BÁSICOS</t>
  </si>
  <si>
    <t>bônus</t>
  </si>
  <si>
    <t>dano</t>
  </si>
  <si>
    <t>crít.</t>
  </si>
  <si>
    <t>dist.</t>
  </si>
  <si>
    <t>observações</t>
  </si>
  <si>
    <t>RD, imunidades, resistências, etc.</t>
  </si>
  <si>
    <t>Des</t>
  </si>
  <si>
    <t>ITENS DE DEFESA</t>
  </si>
  <si>
    <t>outros</t>
  </si>
  <si>
    <t>Médio</t>
  </si>
  <si>
    <t>Pequeno</t>
  </si>
  <si>
    <t>Grande</t>
  </si>
  <si>
    <t>Diminuto</t>
  </si>
  <si>
    <t>Mínimo</t>
  </si>
  <si>
    <t>SENTIDOS</t>
  </si>
  <si>
    <t>Ofício [1]</t>
  </si>
  <si>
    <t>Ofício [2]</t>
  </si>
  <si>
    <t>Ínfimo</t>
  </si>
  <si>
    <t>Enorme</t>
  </si>
  <si>
    <t>Descomunal</t>
  </si>
  <si>
    <t>Colossal</t>
  </si>
  <si>
    <t>item</t>
  </si>
  <si>
    <t>(For)</t>
  </si>
  <si>
    <t>(Des)</t>
  </si>
  <si>
    <t>(Con)</t>
  </si>
  <si>
    <t>(Sab)</t>
  </si>
  <si>
    <t>HABILIDADES DE CLASSE</t>
  </si>
  <si>
    <t>CAMPANHA</t>
  </si>
  <si>
    <t>XP ATUAL</t>
  </si>
  <si>
    <t>TALENTOS</t>
  </si>
  <si>
    <t>http://www.areadetormenta.com.br</t>
  </si>
  <si>
    <t>EQUIPAMENTOS</t>
  </si>
  <si>
    <t>T$:</t>
  </si>
  <si>
    <t>TP:</t>
  </si>
  <si>
    <t>TO:</t>
  </si>
  <si>
    <t>TL:</t>
  </si>
  <si>
    <t>ATUAL:</t>
  </si>
  <si>
    <t>BASE:</t>
  </si>
  <si>
    <t>Poderes</t>
  </si>
  <si>
    <t>Kg.</t>
  </si>
  <si>
    <t>CD BASE</t>
  </si>
  <si>
    <t>CLASSE CONJURADORA</t>
  </si>
  <si>
    <t>CD:</t>
  </si>
  <si>
    <t>Inteligência</t>
  </si>
  <si>
    <t>Sabedoria</t>
  </si>
  <si>
    <t>Carisma</t>
  </si>
  <si>
    <t>Constituição</t>
  </si>
  <si>
    <t>CD</t>
  </si>
  <si>
    <t>NOME</t>
  </si>
  <si>
    <t>HAB.</t>
  </si>
  <si>
    <t>½ nv</t>
  </si>
  <si>
    <t>nat.</t>
  </si>
  <si>
    <t>CONCEITO BÁSICO</t>
  </si>
  <si>
    <t>REGIÃO DE ORIGEM</t>
  </si>
  <si>
    <t>DIVINDADES QUE DEVOTA</t>
  </si>
  <si>
    <t>Gostos</t>
  </si>
  <si>
    <t>HISTÓRICO</t>
  </si>
  <si>
    <t>APARÊNCIA /ESTÉTICA</t>
  </si>
  <si>
    <t>INTERPRETANDO</t>
  </si>
  <si>
    <t>Força</t>
  </si>
  <si>
    <t>Destreza</t>
  </si>
  <si>
    <t>Valores finais</t>
  </si>
  <si>
    <t>Nível</t>
  </si>
  <si>
    <t>Hab.</t>
  </si>
  <si>
    <t>Escolha a habilidade que recebe +1 nos níveis pares</t>
  </si>
  <si>
    <t>2º</t>
  </si>
  <si>
    <t>4º</t>
  </si>
  <si>
    <t>6º</t>
  </si>
  <si>
    <t>8º</t>
  </si>
  <si>
    <t>10º</t>
  </si>
  <si>
    <t>12º</t>
  </si>
  <si>
    <t>14º</t>
  </si>
  <si>
    <t>16º</t>
  </si>
  <si>
    <t>18º</t>
  </si>
  <si>
    <t>20º</t>
  </si>
  <si>
    <t>22º</t>
  </si>
  <si>
    <t>24º</t>
  </si>
  <si>
    <t>26º</t>
  </si>
  <si>
    <t>28º</t>
  </si>
  <si>
    <t>30º</t>
  </si>
  <si>
    <t>32º</t>
  </si>
  <si>
    <t>34º</t>
  </si>
  <si>
    <t>36º</t>
  </si>
  <si>
    <t>38º</t>
  </si>
  <si>
    <t>40º</t>
  </si>
  <si>
    <t>For</t>
  </si>
  <si>
    <t>Con</t>
  </si>
  <si>
    <t>Int</t>
  </si>
  <si>
    <t>Sab</t>
  </si>
  <si>
    <t>Car</t>
  </si>
  <si>
    <t>Elfo</t>
  </si>
  <si>
    <t>Humano</t>
  </si>
  <si>
    <t>Anão</t>
  </si>
  <si>
    <t>Goblin</t>
  </si>
  <si>
    <t>Halfling</t>
  </si>
  <si>
    <t>Minotauro</t>
  </si>
  <si>
    <t>Lefou</t>
  </si>
  <si>
    <t>Qareen</t>
  </si>
  <si>
    <t>Sprite</t>
  </si>
  <si>
    <t>Hobgoblin</t>
  </si>
  <si>
    <t>Meio-elfo</t>
  </si>
  <si>
    <t>Meio-orc</t>
  </si>
  <si>
    <t>Gnomo</t>
  </si>
  <si>
    <t>Centauro</t>
  </si>
  <si>
    <t>Elfo-do-mar</t>
  </si>
  <si>
    <t>Gnoll</t>
  </si>
  <si>
    <t>Orc</t>
  </si>
  <si>
    <t>Troglodita</t>
  </si>
  <si>
    <t>ESCOLHA UMA RAÇA:</t>
  </si>
  <si>
    <t>Nagah ♂</t>
  </si>
  <si>
    <t>Nagah ♀</t>
  </si>
  <si>
    <t>outros modificadores</t>
  </si>
  <si>
    <t>modificadores de níveis</t>
  </si>
  <si>
    <t>modificadores raciais</t>
  </si>
  <si>
    <t>modificadores de idade</t>
  </si>
  <si>
    <t>Jovem /Adulto</t>
  </si>
  <si>
    <t>Maturidade</t>
  </si>
  <si>
    <t>Meia-idade</t>
  </si>
  <si>
    <t>Velhice</t>
  </si>
  <si>
    <t>Físico</t>
  </si>
  <si>
    <t>Mental</t>
  </si>
  <si>
    <t>DEFINA SUA IDADE:</t>
  </si>
  <si>
    <t>TRAÇOS RACIAIS</t>
  </si>
  <si>
    <t>Nível 0:</t>
  </si>
  <si>
    <t>Tipo de Magia</t>
  </si>
  <si>
    <t>+PM</t>
  </si>
  <si>
    <t>ANOTAÇÕES</t>
  </si>
  <si>
    <t>CRÉDITOS</t>
  </si>
  <si>
    <t>tipo /observações</t>
  </si>
  <si>
    <t>Imagem do perrsonagem</t>
  </si>
  <si>
    <t>Guerreiro</t>
  </si>
  <si>
    <t>Bárbaro</t>
  </si>
  <si>
    <t>Bardo</t>
  </si>
  <si>
    <t>Clérigo</t>
  </si>
  <si>
    <t>Druida</t>
  </si>
  <si>
    <t>Feiticeiro</t>
  </si>
  <si>
    <t>Paladino</t>
  </si>
  <si>
    <t>Ranger</t>
  </si>
  <si>
    <t>Monge</t>
  </si>
  <si>
    <t>Mago</t>
  </si>
  <si>
    <t>Samurai</t>
  </si>
  <si>
    <t>Swashbuckler</t>
  </si>
  <si>
    <t>Ladino</t>
  </si>
  <si>
    <t>LB</t>
  </si>
  <si>
    <t>NB</t>
  </si>
  <si>
    <t>CB</t>
  </si>
  <si>
    <t>LN</t>
  </si>
  <si>
    <t>N</t>
  </si>
  <si>
    <t>CN</t>
  </si>
  <si>
    <t>LM</t>
  </si>
  <si>
    <t>NM</t>
  </si>
  <si>
    <t>CM</t>
  </si>
  <si>
    <t>Alto</t>
  </si>
  <si>
    <t>Baixo</t>
  </si>
  <si>
    <t>PVs</t>
  </si>
  <si>
    <t>pen*</t>
  </si>
  <si>
    <t>Tend.</t>
  </si>
  <si>
    <t>Sexo</t>
  </si>
  <si>
    <t>Tamanho</t>
  </si>
  <si>
    <t>Mod</t>
  </si>
  <si>
    <t>Raças</t>
  </si>
  <si>
    <t>Perícias</t>
  </si>
  <si>
    <t>Treinada?</t>
  </si>
  <si>
    <t>Futividade</t>
  </si>
  <si>
    <t>Idade</t>
  </si>
  <si>
    <t>Valor Hab</t>
  </si>
  <si>
    <t>Custo</t>
  </si>
  <si>
    <t>Valores Iniciais</t>
  </si>
  <si>
    <t>PONTOS:</t>
  </si>
  <si>
    <t>Conhecimento [1]</t>
  </si>
  <si>
    <t>Conhecimento [2]</t>
  </si>
  <si>
    <t>Conhecimento [3]</t>
  </si>
  <si>
    <t>Companheiro Animal</t>
  </si>
  <si>
    <t>Familiar</t>
  </si>
  <si>
    <t>Parceiro</t>
  </si>
  <si>
    <t>Nobre</t>
  </si>
  <si>
    <t>Samaritano</t>
  </si>
  <si>
    <t>Abençoado</t>
  </si>
  <si>
    <t>PMs</t>
  </si>
  <si>
    <t>Fortitude</t>
  </si>
  <si>
    <t>Reflexos</t>
  </si>
  <si>
    <t>Vontade</t>
  </si>
  <si>
    <t>Péricias treinadas:</t>
  </si>
  <si>
    <t>PV /nível</t>
  </si>
  <si>
    <t>Fortitude Maior</t>
  </si>
  <si>
    <t>Reflexos Rápidos</t>
  </si>
  <si>
    <t>Vontade de Ferro</t>
  </si>
  <si>
    <t>Conjuradora?</t>
  </si>
  <si>
    <t>Habilidade-chave</t>
  </si>
  <si>
    <t>PMs Base 1º nível</t>
  </si>
  <si>
    <t>PMs /nível</t>
  </si>
  <si>
    <t>Perícias treinadas</t>
  </si>
  <si>
    <t>sim</t>
  </si>
  <si>
    <t>não</t>
  </si>
  <si>
    <t>talvez</t>
  </si>
  <si>
    <t>Básica</t>
  </si>
  <si>
    <t>Criatura</t>
  </si>
  <si>
    <t>Prestígio</t>
  </si>
  <si>
    <t>Nome da Classe de Criatura</t>
  </si>
  <si>
    <t>Nome da Classe Básica</t>
  </si>
  <si>
    <t>Humanóide</t>
  </si>
  <si>
    <t>Animal</t>
  </si>
  <si>
    <t>Construto</t>
  </si>
  <si>
    <t>Monstro</t>
  </si>
  <si>
    <t>Morto-Vivo</t>
  </si>
  <si>
    <t>Espírito</t>
  </si>
  <si>
    <t>Nome da Classe de Prestígio</t>
  </si>
  <si>
    <t>Fonte</t>
  </si>
  <si>
    <t>Arqueiro Arcano</t>
  </si>
  <si>
    <t>Algoz</t>
  </si>
  <si>
    <t>Anão Protetor</t>
  </si>
  <si>
    <t>Pré-requisitos</t>
  </si>
  <si>
    <t>BBA +5, treinado em Conhecimento (religião), Ataque Poderoso, Trespassar, tendência Maligna.</t>
  </si>
  <si>
    <t>raça anão, BBA +5, Vitalidade, tendência Leal.</t>
  </si>
  <si>
    <t>raça elfo ou meio-elfo, BBA +4, Tiro Certeiro, capacidade de lançar magias arcanas de 1º nível.</t>
  </si>
  <si>
    <t>Arquimago</t>
  </si>
  <si>
    <t>Assassino</t>
  </si>
  <si>
    <t>Dançarino das Sombras</t>
  </si>
  <si>
    <t>Atuação (dança) 8 grad, Furtividade 8 grad, Mobilidade, Sorrateiro.</t>
  </si>
  <si>
    <t>Conhecimento (arcano) 8 grad, Vitalidade, capacidade de lançar magias arcanas de 1º nível sem preparação.</t>
  </si>
  <si>
    <t>Discípulo do Dragão (Poder Marcial)</t>
  </si>
  <si>
    <t>Discípulo do Dragão (Poder Mágico)</t>
  </si>
  <si>
    <t>Hierofante</t>
  </si>
  <si>
    <t>treinado em Conhecimento (religião) e Identificar Magia, Foco em Perícia (Conhecimento [religião]), capacidade de lançar magias divinas de 7º nível.</t>
  </si>
  <si>
    <t>Mestre do Conhecimento</t>
  </si>
  <si>
    <t>treinado em duas perícias de Conhecimento, Foco em Perícia (qualque Conhecimento), conhecer cinco magias de adivinhação, sendo que pelo menos uma deve ser de 3º nível.</t>
  </si>
  <si>
    <t>Taumaturgista</t>
  </si>
  <si>
    <r>
      <t xml:space="preserve">Potencializar Invocação, capacidade de lançar a magia </t>
    </r>
    <r>
      <rPr>
        <i/>
        <sz val="10"/>
        <color theme="1"/>
        <rFont val="Times New Roman"/>
        <family val="1"/>
      </rPr>
      <t>aliado extraplanar menor</t>
    </r>
    <r>
      <rPr>
        <sz val="10"/>
        <color theme="1"/>
        <rFont val="Times New Roman"/>
        <family val="1"/>
      </rPr>
      <t>.</t>
    </r>
  </si>
  <si>
    <t>Teurgista Místico</t>
  </si>
  <si>
    <t>treinado em Conhecimento (arcano) e Conhecimento (religião), capacidade de lançar magias arcanas e divinas de 2º nível.</t>
  </si>
  <si>
    <t>Trapaceiro Arcano</t>
  </si>
  <si>
    <t>treinado em Enganação e Ladinagem, capacidade de lançar magias arcanas de 2º nível, tendência não-Leal, ataque furtivo +2d6.</t>
  </si>
  <si>
    <t>GT</t>
  </si>
  <si>
    <t>PV 1º nível</t>
  </si>
  <si>
    <t>Lista de Talentos de Classe</t>
  </si>
  <si>
    <t>Fortitude Maior, Reflexos Rápidos.</t>
  </si>
  <si>
    <t>Vontade de Ferro.</t>
  </si>
  <si>
    <t>Fortitude Maior, Reflexos Rápidos, Vontade de Ferro.</t>
  </si>
  <si>
    <t>Usar Armaduras (leves e médias), Usar Armas (simples e marciais), Usar Escudos, Fortitude Maior.</t>
  </si>
  <si>
    <t>Usar Armaduras (leves, médias e pesadas), Usar Armas (simples), Usar Escudos, Fortitude Maior, Vontade de Ferro.</t>
  </si>
  <si>
    <t>Usar Armaduras (leves e médias), Usar Armas (simples), Usar Escudos, Fortitude Maior, Vontade de Ferro, Senso da Natureza.</t>
  </si>
  <si>
    <t>Usar Armas (simples), Vontade de Ferro.</t>
  </si>
  <si>
    <t>Usar Armaduras (leves e médias), Usar Armas (simples), Usar Escudos, Fortitude Maior, Vontade de Ferro.</t>
  </si>
  <si>
    <t>Usar Armaduras (leves, médias e pesadas), Usar Armas (simples e marciais), Usar Escudos, Fortitude Maior.</t>
  </si>
  <si>
    <t>Usar Armaduras (leves), Usar Armas (simples e marciais), Usar Escudos, Reflexos Rápidos, Vontade de Ferro.</t>
  </si>
  <si>
    <t>Usar Armaduras (leves),  Usar Armas (simples e marciais), Usar Escudos, Reflexos Rápidos.</t>
  </si>
  <si>
    <t>Usar Armas (simples), Usar Arma Exótica (nunchaku, sai, shuriken), Fortitude Maior, Reflexos Rápidos, Vontade de Ferro, Ataque Desarmado Aprimorado.</t>
  </si>
  <si>
    <t>Usar Armaduras (leves e médias), Usar Armas (simples e marciais), Usar Escudos, Fortitude Maior, Reflexos Rápidos, Rastrear.</t>
  </si>
  <si>
    <t>Usar Armaduras (leves, médias e pesadas), Usar Armas (simples e marciais), Fortitude Maior, Vontade de Ferro.</t>
  </si>
  <si>
    <t>Usar Armaduras (leves), Usar Armas (simples e marciais), Reflexos Rápidos.</t>
  </si>
  <si>
    <t>Usar Armaduras (leves, médias e pesadas), Usar Armas (simples e marciais), Usar Escudos, Fortitude Maior, Vontade de Ferro.</t>
  </si>
  <si>
    <t>–</t>
  </si>
  <si>
    <t>Outro talento</t>
  </si>
  <si>
    <t>classes</t>
  </si>
  <si>
    <t>DEFINA SEU NÍVEL DE PERSONAGEM:</t>
  </si>
  <si>
    <t>NÍVEL DE PERSONAGEM:</t>
  </si>
  <si>
    <t>Níveis</t>
  </si>
  <si>
    <t>Talentos 2ª Classe</t>
  </si>
  <si>
    <t>Talentos 3ª Classe</t>
  </si>
  <si>
    <t>Talentos 4ª Classe</t>
  </si>
  <si>
    <t>Talentos 5ª Classe</t>
  </si>
  <si>
    <r>
      <t xml:space="preserve">Fortitude </t>
    </r>
    <r>
      <rPr>
        <b/>
        <sz val="8"/>
        <color theme="0"/>
        <rFont val="Times New Roman"/>
        <family val="1"/>
      </rPr>
      <t>(Con)</t>
    </r>
  </si>
  <si>
    <r>
      <t xml:space="preserve">Reflexos </t>
    </r>
    <r>
      <rPr>
        <b/>
        <sz val="8"/>
        <color theme="0"/>
        <rFont val="Times New Roman"/>
        <family val="1"/>
      </rPr>
      <t>(Des)</t>
    </r>
  </si>
  <si>
    <r>
      <t xml:space="preserve">Vontade </t>
    </r>
    <r>
      <rPr>
        <b/>
        <sz val="8"/>
        <color theme="0"/>
        <rFont val="Times New Roman"/>
        <family val="1"/>
      </rPr>
      <t>(Sab)</t>
    </r>
  </si>
  <si>
    <t>1ª Classe</t>
  </si>
  <si>
    <t>2ª Classe</t>
  </si>
  <si>
    <t>3ª Classe</t>
  </si>
  <si>
    <t>4ª Classe</t>
  </si>
  <si>
    <t>5ª Classe</t>
  </si>
  <si>
    <t>Cav</t>
  </si>
  <si>
    <t>Eng</t>
  </si>
  <si>
    <t>IdM</t>
  </si>
  <si>
    <t>Intu</t>
  </si>
  <si>
    <t>Inti</t>
  </si>
  <si>
    <t>Lad</t>
  </si>
  <si>
    <t>Obt</t>
  </si>
  <si>
    <t>Acro</t>
  </si>
  <si>
    <t>Atle</t>
  </si>
  <si>
    <t>Cura</t>
  </si>
  <si>
    <t>Dipl</t>
  </si>
  <si>
    <t>Furt</t>
  </si>
  <si>
    <t>Inic</t>
  </si>
  <si>
    <t>Sobr</t>
  </si>
  <si>
    <t>Perc</t>
  </si>
  <si>
    <t>Coringa1</t>
  </si>
  <si>
    <t>Coringa2</t>
  </si>
  <si>
    <t>Finntroll</t>
  </si>
  <si>
    <t>x</t>
  </si>
  <si>
    <t>Conh</t>
  </si>
  <si>
    <t>Ofic</t>
  </si>
  <si>
    <t>Atua</t>
  </si>
  <si>
    <t>Raça, Nível e Habilidade</t>
  </si>
  <si>
    <t>DEFINA SEUS NÍVEIS DE CLASSE:</t>
  </si>
  <si>
    <t>Tipos de 1ª Classe</t>
  </si>
  <si>
    <t>Tipos de 2ª-5ª Classe</t>
  </si>
  <si>
    <t>Níveis Épicos</t>
  </si>
  <si>
    <t>PVs Épicos</t>
  </si>
  <si>
    <t>BBA Épico</t>
  </si>
  <si>
    <t>Níveis totais 1ª Classe</t>
  </si>
  <si>
    <t>Níveis totais 2ª Classe</t>
  </si>
  <si>
    <t>Níveis totais 3ª Classe</t>
  </si>
  <si>
    <t>Níveis totais 4ª Classe</t>
  </si>
  <si>
    <t>Níveis totais 5ª Classe</t>
  </si>
  <si>
    <t>NÍVEIS DE CLASSES TOTAIS</t>
  </si>
  <si>
    <t>ILEGAL! A soma dos seus níveis de classe excedem seu nível de personagem!</t>
  </si>
  <si>
    <t>ILEGAL! Você excedeu o nível máximo de uma Classe de Prestígio.</t>
  </si>
  <si>
    <t>Você deve distribuir seus níveis de personagem em uma ou mais classes. Ainda faltam níveis para distribuir!</t>
  </si>
  <si>
    <t>Controle de formatação</t>
  </si>
  <si>
    <t>Relação NC/NP</t>
  </si>
  <si>
    <t>Nível Máx CdP 2</t>
  </si>
  <si>
    <t>Nível Máx CdP 3</t>
  </si>
  <si>
    <t>Nível Máx CdP 4</t>
  </si>
  <si>
    <t>Nível Máx CdP 5</t>
  </si>
  <si>
    <t>Nível máx.</t>
  </si>
  <si>
    <t>½ Nível</t>
  </si>
  <si>
    <t>Arqueiro Escravo</t>
  </si>
  <si>
    <r>
      <t xml:space="preserve">Enganação 8 grad, Furtividade 8 grad, Usar Venenos, tendência não-Bondosa, </t>
    </r>
    <r>
      <rPr>
        <i/>
        <sz val="10"/>
        <color theme="1"/>
        <rFont val="Times New Roman"/>
        <family val="1"/>
      </rPr>
      <t>Especial: deve matar alguém com o único propósito de tornar-se um assassino.</t>
    </r>
  </si>
  <si>
    <t>treinado em Conhecimento (arcano) e Identificar Magia,  Foco em Perícia (Conhecimento [arcano]), capacidade de lançar magias de 7º nível.</t>
  </si>
  <si>
    <r>
      <t xml:space="preserve">raça elfo, Foco em Arma (arco longo), Tiro Preciso, BBA +5, </t>
    </r>
    <r>
      <rPr>
        <i/>
        <sz val="10"/>
        <color theme="1"/>
        <rFont val="Times New Roman"/>
        <family val="1"/>
      </rPr>
      <t>Especial: deve ser um escravo</t>
    </r>
    <r>
      <rPr>
        <sz val="10"/>
        <color theme="1"/>
        <rFont val="Times New Roman"/>
        <family val="1"/>
      </rPr>
      <t>.</t>
    </r>
  </si>
  <si>
    <t>Centurião</t>
  </si>
  <si>
    <r>
      <t xml:space="preserve">raça minotauro, treinado em Intimidação e Ofício (soldado), Comandar, Tolerância, Usar Armaduras Pesadas, Usar Escudos, BBA +5, tendência Leal, </t>
    </r>
    <r>
      <rPr>
        <i/>
        <sz val="10"/>
        <color theme="1"/>
        <rFont val="Times New Roman"/>
        <family val="1"/>
      </rPr>
      <t>Especial: treinado pelas legiões de Tapista</t>
    </r>
    <r>
      <rPr>
        <sz val="10"/>
        <color theme="1"/>
        <rFont val="Times New Roman"/>
        <family val="1"/>
      </rPr>
      <t>.</t>
    </r>
  </si>
  <si>
    <t>Clérigo Clandestino</t>
  </si>
  <si>
    <r>
      <t xml:space="preserve">treinado em Enganação, capacidade de lançar magias divinas de 3º nível, </t>
    </r>
    <r>
      <rPr>
        <i/>
        <sz val="10"/>
        <color theme="1"/>
        <rFont val="Times New Roman"/>
        <family val="1"/>
      </rPr>
      <t>Especial: devoto de Khalmyr, Lena, Marah ou Valkária.</t>
    </r>
  </si>
  <si>
    <t>MCP</t>
  </si>
  <si>
    <t>Engenheiro de Gerra</t>
  </si>
  <si>
    <t>Conhecimento (engenharia) 8 grad, Ofício (carpintaria) 8 grad, Criar Obra-Prima.</t>
  </si>
  <si>
    <t>Filósofo de Tauron</t>
  </si>
  <si>
    <r>
      <t xml:space="preserve">raça minotauro, Conhecimento (religião), tendência Leal e Neutro, capacidade de lançar magias de 3º nível, </t>
    </r>
    <r>
      <rPr>
        <i/>
        <sz val="10"/>
        <color theme="1"/>
        <rFont val="Times New Roman"/>
        <family val="1"/>
      </rPr>
      <t>Especial: devoto de Tauron.</t>
    </r>
  </si>
  <si>
    <t>Guerrilheiro</t>
  </si>
  <si>
    <t>Furtividade 8 grad, Sobrevivência 8 grad, Ataque em Movimento, BBA +4.</t>
  </si>
  <si>
    <t>Legio Auxilia Magica</t>
  </si>
  <si>
    <r>
      <t xml:space="preserve">Magias em Combate, Usar Armaduras Médias, Usar Escudos, BBA +3, capacidade de lançar magias arcanas de 3º nível, </t>
    </r>
    <r>
      <rPr>
        <i/>
        <sz val="10"/>
        <color theme="1"/>
        <rFont val="Times New Roman"/>
        <family val="1"/>
      </rPr>
      <t>Especial: treinado pelas legiões de Tapista.</t>
    </r>
  </si>
  <si>
    <t>Sabotador Arcano</t>
  </si>
  <si>
    <t>treinado em Identificar Magia e Ladinagem, capacidade de lançar magias arcanas de 3º nível.</t>
  </si>
  <si>
    <t>Senador</t>
  </si>
  <si>
    <r>
      <t xml:space="preserve">raça minotauro, treinado em Diplomacia e Enganação, Fraudulento, 5º nível de personagem, </t>
    </r>
    <r>
      <rPr>
        <i/>
        <sz val="10"/>
        <color theme="1"/>
        <rFont val="Times New Roman"/>
        <family val="1"/>
      </rPr>
      <t>Especial: deve pertencer a uma família tradicional de Tapista e se envolver na política do Império de Tauron.</t>
    </r>
  </si>
  <si>
    <t>Valkária</t>
  </si>
  <si>
    <t>valor BBA</t>
  </si>
  <si>
    <t>tipo BBA</t>
  </si>
  <si>
    <t>Capitão das Irmandades</t>
  </si>
  <si>
    <t>Detetive de Tanna-Toh</t>
  </si>
  <si>
    <t>treinado em Intuição, Obter Informação e Percepção, BBA +5, deve possuir a habilidade de classe canalizar energia positiva e ser devoto de Tanna-Toh.</t>
  </si>
  <si>
    <t>Druida da Favela</t>
  </si>
  <si>
    <r>
      <t xml:space="preserve">raça goblin (ou criado na Favela dos Goblins), capacidade de lançar magias divinas de 4º nível, </t>
    </r>
    <r>
      <rPr>
        <i/>
        <sz val="10"/>
        <color theme="1"/>
        <rFont val="Times New Roman"/>
        <family val="1"/>
      </rPr>
      <t>Especial: deve possuir a habilidade de classe Forma Selvagem.</t>
    </r>
  </si>
  <si>
    <t>Espírito da Cidade</t>
  </si>
  <si>
    <t>treinado em Intimidação, Intuição e Obter Informação, Membro de Irmandade, BBA +4.</t>
  </si>
  <si>
    <r>
      <t xml:space="preserve">treinado em Conhecimento (local: uma cidade) e Obter Informação; Terreno Familiar (uma cidade); capacidade de lançar magias arcanas de 4º nível sem necessidade de preparação, </t>
    </r>
    <r>
      <rPr>
        <i/>
        <sz val="10"/>
        <color theme="1"/>
        <rFont val="Times New Roman"/>
        <family val="1"/>
      </rPr>
      <t>Especial: ter vivido 1 ano numa metrópole.</t>
    </r>
  </si>
  <si>
    <t>Gladiador Imperial</t>
  </si>
  <si>
    <t>treinado em Acrobacia, Atuação e Iniciativa; Torcida, Usar Arma Exótica; BBA +5.</t>
  </si>
  <si>
    <t>Lenda Urbana</t>
  </si>
  <si>
    <r>
      <t xml:space="preserve">treinado em Furtividade e Intimidação; BBA +5; </t>
    </r>
    <r>
      <rPr>
        <i/>
        <sz val="10"/>
        <color theme="1"/>
        <rFont val="Times New Roman"/>
        <family val="1"/>
      </rPr>
      <t>Especial: deve possuir um uniforme e uma identidade secreta.</t>
    </r>
  </si>
  <si>
    <t>Nobre de Valkária</t>
  </si>
  <si>
    <r>
      <t xml:space="preserve">Enganação 10 grad, Diplomacia 10 grad; </t>
    </r>
    <r>
      <rPr>
        <i/>
        <sz val="10"/>
        <color theme="1"/>
        <rFont val="Times New Roman"/>
        <family val="1"/>
      </rPr>
      <t>Especial: deve possuir um título de nobreza ou recursos econômicos suficiente (a critério do mestre).</t>
    </r>
  </si>
  <si>
    <t>Pastor de Valkária</t>
  </si>
  <si>
    <t>Rei do Crime</t>
  </si>
  <si>
    <t>Trilogia</t>
  </si>
  <si>
    <t>Bestiário</t>
  </si>
  <si>
    <t>Cultista do Mal</t>
  </si>
  <si>
    <t>treinado em Blefar e Conhecimento (religião) com 8 grad; capacidade de lançar magias divinas; tendência Maligna.</t>
  </si>
  <si>
    <t>Algoz da Tormenta</t>
  </si>
  <si>
    <t>Bruxo da Tormenta</t>
  </si>
  <si>
    <t>Cavaleiro da Luz</t>
  </si>
  <si>
    <t>Cavaleiro do Corvo</t>
  </si>
  <si>
    <t>Escapista</t>
  </si>
  <si>
    <t>Ginete de Namalkah</t>
  </si>
  <si>
    <t>Mago de Combate</t>
  </si>
  <si>
    <t>Médico de Salistick</t>
  </si>
  <si>
    <t>Mestre Armeiro</t>
  </si>
  <si>
    <t>Oficial de Yuden</t>
  </si>
  <si>
    <t>Pregador</t>
  </si>
  <si>
    <t>Samurai Executor</t>
  </si>
  <si>
    <t>Sedutor</t>
  </si>
  <si>
    <t>Arcano</t>
  </si>
  <si>
    <t>Amador Farsante</t>
  </si>
  <si>
    <t>Arcano da Torre</t>
  </si>
  <si>
    <t>Gênio do Mal</t>
  </si>
  <si>
    <t>Guerreiro Mágico</t>
  </si>
  <si>
    <t>Inquisidor de Wynna</t>
  </si>
  <si>
    <t>Magi-Ranger</t>
  </si>
  <si>
    <t>Professor de Magia</t>
  </si>
  <si>
    <t>Racionalista</t>
  </si>
  <si>
    <t>Renegado Tribal</t>
  </si>
  <si>
    <t>Mundo</t>
  </si>
  <si>
    <t>Armadilheiro</t>
  </si>
  <si>
    <t>treinado em Conhecimento (local: uma cidade), Enganação e Ladinagem; tendência não-Leal; habilidade de classe ataque furtivo (+3d6).</t>
  </si>
  <si>
    <t>treinado em Ofício (armadilhas) e Ladinagem com 8 grad; Foco em Perícia (Ofício [armadilhas]); habilidade de classe encontrar armadilhas.</t>
  </si>
  <si>
    <r>
      <t>treinado em Conhecimento (local: Valkária); capacidade de lançar magias divinas de 3º nível, habilidade de classe canalizar energia positiva,</t>
    </r>
    <r>
      <rPr>
        <i/>
        <sz val="10"/>
        <color theme="1"/>
        <rFont val="Times New Roman"/>
        <family val="1"/>
      </rPr>
      <t xml:space="preserve"> Especial: ao adquirir o 1º nível nesta CdP, deve fixar residência em Valkária.</t>
    </r>
  </si>
  <si>
    <t>Níveis totais</t>
  </si>
  <si>
    <t>Mensagens de controle</t>
  </si>
  <si>
    <t>OK. Todos os seus níveis de personagem foram distribuidos entre classes.</t>
  </si>
  <si>
    <t>mensagem4</t>
  </si>
  <si>
    <t>mensagem5</t>
  </si>
  <si>
    <t>mensagem1</t>
  </si>
  <si>
    <t>mensagem2</t>
  </si>
  <si>
    <t>mensagem3</t>
  </si>
  <si>
    <t>NÍVEIS DE CLASSE NORMAIS</t>
  </si>
  <si>
    <t>Controle epico</t>
  </si>
  <si>
    <t>Controle CdPs</t>
  </si>
  <si>
    <t>ILEGAL! Você tem mais de 20 níveis normais distribuidos em classes, distribua os níveis excedentes como níveis épicos.</t>
  </si>
  <si>
    <t>Pontos de Vida (PVs)</t>
  </si>
  <si>
    <t>Gerador de microficha TOTAL</t>
  </si>
  <si>
    <t>Gerador de microficha PARCIAL (sub20)</t>
  </si>
  <si>
    <t>mensagem6</t>
  </si>
  <si>
    <r>
      <t xml:space="preserve">treinado em Enganação; talento Impostor; capacidade de lançar magias arcanas de 1º nível; tendência Caótica; </t>
    </r>
    <r>
      <rPr>
        <i/>
        <sz val="10"/>
        <color theme="1"/>
        <rFont val="Times New Roman"/>
        <family val="1"/>
      </rPr>
      <t>Especial: não ser capaz de lançar magias arcanas de 2º nível ou superior.</t>
    </r>
  </si>
  <si>
    <t>treinado em Conhecimento (engenharia, geografia ou nobreza) e Ofício (administração ou castelão); Terreno Familiar (terreno onde se localiza o domínio); capacidade de lançar magias arcanas de 4º nível.</t>
  </si>
  <si>
    <t>treinado em Intimidação; Duro de Matar; capacidade de lançar magias arcanas de 4º nível; tendência Maligna.</t>
  </si>
  <si>
    <t>BBA +4; Magias em Combate, Usar Armaduras Leves, Usar Armas Marciais; capacidade de lançar magias arcanas de 2º nível.</t>
  </si>
  <si>
    <t>treinado em Identificar Magia; habilidade de classe benção da justiça (magia de paladino).</t>
  </si>
  <si>
    <t>treinado em Conhecimento (natureza), Identificar Magia e Sobrevivência; capacidade de lançar magias arcanas de 2º nível; habilidade de classe inimigo predileto.</t>
  </si>
  <si>
    <t>treinado em Conhecimento (arcano) e Identificar Magia; Foco em Perícia (Conhecimento [arcano]); Tese Arcana de Graduação; capacidade de lançar magias arcanas de 4º nível.</t>
  </si>
  <si>
    <r>
      <t xml:space="preserve">tendência Leal; treinado em Conhecimento (qualquer) e Identificar Magia; Diligente; capacidade de lançar magias arcanas de 3º nível; </t>
    </r>
    <r>
      <rPr>
        <i/>
        <sz val="10"/>
        <color theme="1"/>
        <rFont val="Times New Roman"/>
        <family val="1"/>
      </rPr>
      <t>Especial: não pode ser devoto de nenhum deus.</t>
    </r>
  </si>
  <si>
    <r>
      <t xml:space="preserve">Vontade de Ferro; tendência Caótica; habilidade de classe fúria 2/dia; </t>
    </r>
    <r>
      <rPr>
        <i/>
        <sz val="10"/>
        <color theme="1"/>
        <rFont val="Times New Roman"/>
        <family val="1"/>
      </rPr>
      <t>Especial: não pode ter capacidade de lançar magias arcanas, deve ter sido criado numa comunidade primitiva.</t>
    </r>
  </si>
  <si>
    <r>
      <t xml:space="preserve">BBA +5; treinado em Conhecimento (Tormenta); deve possuir algum talento de Tormenta; tendência Maligna; </t>
    </r>
    <r>
      <rPr>
        <i/>
        <sz val="10"/>
        <color theme="1"/>
        <rFont val="Times New Roman"/>
        <family val="1"/>
      </rPr>
      <t>Especial: deve fazer contato pacífico com um Lorde da Tormenta ou outro lefeu de alta casta.</t>
    </r>
  </si>
  <si>
    <r>
      <t xml:space="preserve">treinado em Conhecimento (arcano e Tormenta); pelo menos 2 talentos de Tormenta; capacidade de lançar magias arcanas de 4º nível; </t>
    </r>
    <r>
      <rPr>
        <i/>
        <sz val="10"/>
        <color theme="1"/>
        <rFont val="Times New Roman"/>
        <family val="1"/>
      </rPr>
      <t>Especial: deve ter contato com lefeu poderosos ou outro tipo de corrupção da Tormenta.</t>
    </r>
  </si>
  <si>
    <r>
      <t xml:space="preserve">BBA +5; treinado em Cavalgar, Conhecimento (nobreza) e Diplomacia; Combate Montado, Foco em Armadura (pesada); tendência Leal; </t>
    </r>
    <r>
      <rPr>
        <i/>
        <sz val="10"/>
        <color theme="1"/>
        <rFont val="Times New Roman"/>
        <family val="1"/>
      </rPr>
      <t>Especial: deve integrar a Ordem da Luz e seguir as obrigações e restrições de Khalmyr.</t>
    </r>
  </si>
  <si>
    <t>tendência não-Leal; treinado em Conhecimento (qualquer) e Enganação, 4 grad em Diplomacia e Intuição.</t>
  </si>
  <si>
    <t>tendência não-Caótica e não-Bondosa; BBA +6; treinado em Conhecimento (estratégia), Iniciativa e Furtividade; Tolerância, Usar Armaduras Pesadas, Vontade de Ferro.</t>
  </si>
  <si>
    <r>
      <t xml:space="preserve">Enganação e Furtividade 9 grad; Aparência Inofensiva; tendência não-Leal; </t>
    </r>
    <r>
      <rPr>
        <i/>
        <sz val="10"/>
        <color theme="1"/>
        <rFont val="Times New Roman"/>
        <family val="1"/>
      </rPr>
      <t>Especial: deve ser escolhido por um grupo de instrutores e passar pelo treinamento.</t>
    </r>
  </si>
  <si>
    <t>treinado em Adestrar Animais e Sobrevivência, Cavalgar 8 grad; Foco em Perícia (Cavalgar); BBA +4.</t>
  </si>
  <si>
    <t>treinado em Identificar Magia e Iniciativa; BBA +4; capacidade de lançar magias arcanas de 2º nível.</t>
  </si>
  <si>
    <r>
      <t xml:space="preserve">treinado em Conhecimento (qualquer), Cura 6 grad; Diligente; </t>
    </r>
    <r>
      <rPr>
        <i/>
        <sz val="10"/>
        <color theme="1"/>
        <rFont val="Times New Roman"/>
        <family val="1"/>
      </rPr>
      <t>Especial: não pode ser devoto de nenhum deus.</t>
    </r>
  </si>
  <si>
    <t>BBA +4; Ofício (armeiro) 8 grad; Criar Obra-Prima, Foco em Arma (qualquer).</t>
  </si>
  <si>
    <r>
      <t xml:space="preserve">treinado em Conhecimento (estratégia) e Intuição; Comandar, Liderança, Vontade de Ferro; tendência Leal não-Bondoso; </t>
    </r>
    <r>
      <rPr>
        <i/>
        <sz val="10"/>
        <color theme="1"/>
        <rFont val="Times New Roman"/>
        <family val="1"/>
      </rPr>
      <t>Especial: deve ter participado de um combate em massa e vencido.</t>
    </r>
  </si>
  <si>
    <r>
      <t xml:space="preserve">treinado em Conhecimento (religião) e Enganação; capacidade de lançar magias divinas de 3º nível; </t>
    </r>
    <r>
      <rPr>
        <i/>
        <sz val="10"/>
        <color theme="1"/>
        <rFont val="Times New Roman"/>
        <family val="1"/>
      </rPr>
      <t>Especial: devoto de um deus maior do Panteão.</t>
    </r>
  </si>
  <si>
    <t>treinado em Diplomacia, Intimidação 8 grad; BBA +5; Diligente, Foco em Arma (katana), Trespassar.</t>
  </si>
  <si>
    <t>Bônus Base de Ataque (BBA)</t>
  </si>
  <si>
    <t>PVs, BBA e Resistências</t>
  </si>
  <si>
    <t>Classes, PVs, BBA e Resistências</t>
  </si>
  <si>
    <t>MODELOS</t>
  </si>
  <si>
    <t>CLASSES</t>
  </si>
  <si>
    <r>
      <t>Adestrar Animais</t>
    </r>
    <r>
      <rPr>
        <sz val="9"/>
        <color theme="1"/>
        <rFont val="Wingdings"/>
        <charset val="2"/>
      </rPr>
      <t>w</t>
    </r>
    <r>
      <rPr>
        <sz val="9"/>
        <color theme="1"/>
        <rFont val="Times New Roman"/>
        <family val="1"/>
      </rPr>
      <t xml:space="preserve"> (Car)</t>
    </r>
  </si>
  <si>
    <t>Atuação</t>
  </si>
  <si>
    <t>Conhecimento</t>
  </si>
  <si>
    <r>
      <rPr>
        <sz val="9"/>
        <color theme="1"/>
        <rFont val="Wingdings"/>
        <charset val="2"/>
      </rPr>
      <t>w</t>
    </r>
    <r>
      <rPr>
        <sz val="9"/>
        <color theme="1"/>
        <rFont val="Times New Roman"/>
        <family val="1"/>
      </rPr>
      <t>(Int)</t>
    </r>
  </si>
  <si>
    <r>
      <t>Identificar Magia</t>
    </r>
    <r>
      <rPr>
        <sz val="9"/>
        <color theme="1"/>
        <rFont val="Wingdings"/>
        <charset val="2"/>
      </rPr>
      <t>w</t>
    </r>
    <r>
      <rPr>
        <sz val="9"/>
        <color theme="1"/>
        <rFont val="Times New Roman"/>
        <family val="1"/>
      </rPr>
      <t xml:space="preserve"> (Int)</t>
    </r>
  </si>
  <si>
    <r>
      <t>Ladinagem*</t>
    </r>
    <r>
      <rPr>
        <sz val="9"/>
        <color theme="1"/>
        <rFont val="Wingdings"/>
        <charset val="2"/>
      </rPr>
      <t>w</t>
    </r>
    <r>
      <rPr>
        <sz val="9"/>
        <color theme="1"/>
        <rFont val="Times New Roman"/>
        <family val="1"/>
      </rPr>
      <t xml:space="preserve"> (Des)</t>
    </r>
  </si>
  <si>
    <t>Ofício</t>
  </si>
  <si>
    <t>(???)</t>
  </si>
  <si>
    <t>=10 +</t>
  </si>
  <si>
    <t>Habilidades (Definidas na planilha anterior)</t>
  </si>
  <si>
    <t>tam</t>
  </si>
  <si>
    <t>PONTOS DE VIDA (PVs)</t>
  </si>
  <si>
    <t>não-letal</t>
  </si>
  <si>
    <t>ARMAS /ATAQUES</t>
  </si>
  <si>
    <t>máx.Des</t>
  </si>
  <si>
    <t>pen.</t>
  </si>
  <si>
    <t>Atletismo</t>
  </si>
  <si>
    <t>Acrobacia</t>
  </si>
  <si>
    <t>Adestrar Animais</t>
  </si>
  <si>
    <t>Atuação [1]</t>
  </si>
  <si>
    <t>Atuação [2]</t>
  </si>
  <si>
    <t>Cavalgar</t>
  </si>
  <si>
    <t>Diplomacia</t>
  </si>
  <si>
    <t>Enganação</t>
  </si>
  <si>
    <t>Furtividade</t>
  </si>
  <si>
    <t>Identificar Magia</t>
  </si>
  <si>
    <t>Iniciativa</t>
  </si>
  <si>
    <t>Intimidação</t>
  </si>
  <si>
    <t>Intuição</t>
  </si>
  <si>
    <t>Ladinagem</t>
  </si>
  <si>
    <t>Obter Informação</t>
  </si>
  <si>
    <t>Percepção</t>
  </si>
  <si>
    <t>Sobrevivência</t>
  </si>
  <si>
    <t>[ _______________ ]</t>
  </si>
  <si>
    <t>Máxima Des</t>
  </si>
  <si>
    <r>
      <t xml:space="preserve">PVs podem ser aumentados por diversas fontes, especialmente com talentos. O mais comum é o talento Vitalidade (+1 PV /nível, se quiser, escreva na célula "outros" a seguinte fórmula </t>
    </r>
    <r>
      <rPr>
        <sz val="8"/>
        <color rgb="FF002060"/>
        <rFont val="Times New Roman"/>
        <family val="1"/>
      </rPr>
      <t>"=NÍVEL.p*[nº de talentos Vitalidade]"</t>
    </r>
    <r>
      <rPr>
        <sz val="8"/>
        <color theme="1"/>
        <rFont val="Times New Roman"/>
        <family val="1"/>
      </rPr>
      <t>)</t>
    </r>
  </si>
  <si>
    <t>HABILIDADES-CHAVE</t>
  </si>
  <si>
    <t>Habilidade Presente</t>
  </si>
  <si>
    <t>Customizada [2]</t>
  </si>
  <si>
    <t>Classe?</t>
  </si>
  <si>
    <t>Cust1</t>
  </si>
  <si>
    <t>Cust2</t>
  </si>
  <si>
    <t>IDIOMAS</t>
  </si>
  <si>
    <t>JOGADOR</t>
  </si>
  <si>
    <t>AJUSTE</t>
  </si>
  <si>
    <t>Item</t>
  </si>
  <si>
    <t>qt.</t>
  </si>
  <si>
    <t>CARGA (Kg.)</t>
  </si>
  <si>
    <t>MÁX:</t>
  </si>
  <si>
    <t>Kg.*</t>
  </si>
  <si>
    <t>NOTAS:</t>
  </si>
  <si>
    <t>* Peso da unidade. ** O peso das moedas também é incluido na carga atual (0,01 Kg /peça).</t>
  </si>
  <si>
    <t>Mod. de Furtividade FINAL</t>
  </si>
  <si>
    <t>Abreviação</t>
  </si>
  <si>
    <t>Peso das moedas</t>
  </si>
  <si>
    <t>Página 1</t>
  </si>
  <si>
    <t>Ades</t>
  </si>
  <si>
    <t>Página 2</t>
  </si>
  <si>
    <t>PRÓXIMO NÍVEL</t>
  </si>
  <si>
    <t>Visão no escuro 18m.</t>
  </si>
  <si>
    <t>+4 em testes de resistência contra venenos e magia.</t>
  </si>
  <si>
    <t>+4 em testes de Sobrevivência.</t>
  </si>
  <si>
    <t>+4 em testes de Identificar Magia e Percepção.</t>
  </si>
  <si>
    <t>+4 em testes de Percepção e Sobrevivência.</t>
  </si>
  <si>
    <t>Visão na penumbra.</t>
  </si>
  <si>
    <t>2 talentos adicionais à sua escolha.</t>
  </si>
  <si>
    <t>2 perícias treinadas extras, que não precisam ser escolhidas dentre as perícias de classe.</t>
  </si>
  <si>
    <r>
      <t>DINHEIRO</t>
    </r>
    <r>
      <rPr>
        <b/>
        <sz val="8"/>
        <color theme="0"/>
        <rFont val="Times New Roman"/>
        <family val="1"/>
      </rPr>
      <t>**</t>
    </r>
  </si>
  <si>
    <t>MAGIA:</t>
  </si>
  <si>
    <t>NÍVEL*</t>
  </si>
  <si>
    <t>HAB. CHAVE</t>
  </si>
  <si>
    <t>TIPO DE MAGIA</t>
  </si>
  <si>
    <t>classe</t>
  </si>
  <si>
    <t>PMs ATUAIS</t>
  </si>
  <si>
    <t>Nível 1:</t>
  </si>
  <si>
    <t>Nível 2:</t>
  </si>
  <si>
    <t>Nível 3:</t>
  </si>
  <si>
    <t>Nível 4:</t>
  </si>
  <si>
    <t>Nível 5:</t>
  </si>
  <si>
    <t>Nível 6:</t>
  </si>
  <si>
    <t>Nível 7:</t>
  </si>
  <si>
    <t>Nível 8:</t>
  </si>
  <si>
    <t>Nível 9:</t>
  </si>
  <si>
    <t>magias conhecidas</t>
  </si>
  <si>
    <t>Nv.</t>
  </si>
  <si>
    <t>magia alterada por metamagia</t>
  </si>
  <si>
    <t>*Diversas CdPs aumentam o nível na classe conjuradora para efeitos de magias conhecidas e PMs.</t>
  </si>
  <si>
    <t>Penalidade /excesso de carga</t>
  </si>
  <si>
    <t>divina espontânea</t>
  </si>
  <si>
    <t>arcana e divina espontânea</t>
  </si>
  <si>
    <t>divina preparada</t>
  </si>
  <si>
    <t>arcana espontânea</t>
  </si>
  <si>
    <t>arcana preparada</t>
  </si>
  <si>
    <t>truques conhecidos</t>
  </si>
  <si>
    <t>conhecidas 1º nível</t>
  </si>
  <si>
    <t>conhecidas /nível</t>
  </si>
  <si>
    <t>1º</t>
  </si>
  <si>
    <t>3º</t>
  </si>
  <si>
    <t>5º</t>
  </si>
  <si>
    <t>7º</t>
  </si>
  <si>
    <t>9º</t>
  </si>
  <si>
    <t>Classes conjuradoras</t>
  </si>
  <si>
    <t>HAB-CHAVE (MAGIA)</t>
  </si>
  <si>
    <t>CRIATURA ALIADA</t>
  </si>
  <si>
    <t>NÍVEIS DE CRIATURA /CLASSE</t>
  </si>
  <si>
    <t>total</t>
  </si>
  <si>
    <t>ATAQUES</t>
  </si>
  <si>
    <t>HABILIDADE ESPECIAL 1:</t>
  </si>
  <si>
    <t>PERÍCIAS:</t>
  </si>
  <si>
    <t>TALENTOS:</t>
  </si>
  <si>
    <t>HABILIDADE ESPECIAL 2:</t>
  </si>
  <si>
    <t>HABILIDADE ESPECIAL 3:</t>
  </si>
  <si>
    <t>EQUIPAMENTOS:</t>
  </si>
  <si>
    <t>Montaria Aliada</t>
  </si>
  <si>
    <t>CRIATURA ALIADA:</t>
  </si>
  <si>
    <t>Página 3</t>
  </si>
  <si>
    <t>Habilidades</t>
  </si>
  <si>
    <t>Notas:</t>
  </si>
  <si>
    <t>crítico</t>
  </si>
  <si>
    <t>Munição:</t>
  </si>
  <si>
    <t>ARMADURA /ESCUDO</t>
  </si>
  <si>
    <t>ACESSÓRIOS MÁGICOS</t>
  </si>
  <si>
    <t>Lutador</t>
  </si>
  <si>
    <t>Cavaleiro</t>
  </si>
  <si>
    <t>Usar Armaduras (leves), Usar Armas (simples), Fortitude Maior, Reflexos Rápidos, Ataque Desarmado Aprimorado, Casca Grossa.</t>
  </si>
  <si>
    <t>Aggelus</t>
  </si>
  <si>
    <t>Bugbear</t>
  </si>
  <si>
    <t>Medusa</t>
  </si>
  <si>
    <t>Meio-dríade</t>
  </si>
  <si>
    <t>Dragoa-caçadora</t>
  </si>
  <si>
    <t>Ptero</t>
  </si>
  <si>
    <t>Ceratop</t>
  </si>
  <si>
    <t>Veloci</t>
  </si>
  <si>
    <t>Sulfure</t>
  </si>
  <si>
    <t>Moreau</t>
  </si>
  <si>
    <t>Búfalo (For)</t>
  </si>
  <si>
    <t>Coelho (Des)</t>
  </si>
  <si>
    <t>Coruja (Sab)</t>
  </si>
  <si>
    <t>Crocodilo (Con)</t>
  </si>
  <si>
    <t>Gato (Car)</t>
  </si>
  <si>
    <t>Hiena (Sab)</t>
  </si>
  <si>
    <t>Leão (For)</t>
  </si>
  <si>
    <t>Lobo (Car)</t>
  </si>
  <si>
    <t>Morcego (Des)</t>
  </si>
  <si>
    <t>Raposa (Int)</t>
  </si>
  <si>
    <t>Serpente (Int)</t>
  </si>
  <si>
    <t>Urso (Con)</t>
  </si>
  <si>
    <t>Minauro</t>
  </si>
  <si>
    <t>Espírito. Não é considerado humanoide, sendo imune a efeitos que afetam apenas estas criaturas.</t>
  </si>
  <si>
    <t>Ao contrário da maioria dos espíritos, podem ser ressussitados normalmente.</t>
  </si>
  <si>
    <r>
      <rPr>
        <i/>
        <sz val="9"/>
        <color theme="1"/>
        <rFont val="Times New Roman"/>
        <family val="1"/>
      </rPr>
      <t>Luz do dia</t>
    </r>
    <r>
      <rPr>
        <sz val="9"/>
        <color theme="1"/>
        <rFont val="Times New Roman"/>
        <family val="1"/>
      </rPr>
      <t>. Aggelus podem lançar esta magia 1x por dia.</t>
    </r>
  </si>
  <si>
    <t xml:space="preserve">  São afetados normalmente por magias e efeitos que afetam espírito. Não são extraplanares.</t>
  </si>
  <si>
    <t>Resistência a ácido, frio e eletricidade 5.</t>
  </si>
  <si>
    <t>Tamanho médio. Deslocamento 6m.</t>
  </si>
  <si>
    <t>Para anões, todos os tipos de machados e martelos são considerados armas simples.</t>
  </si>
  <si>
    <t>+4 na CA contra adversários de tamanho Grande ou maior.</t>
  </si>
  <si>
    <t>+2 em testes de perícias para assuntos relacionados a pedra e metal, apenas para perícias cuja</t>
  </si>
  <si>
    <t xml:space="preserve">  habilidade-chave seja Inteligência ou Sabedoria.</t>
  </si>
  <si>
    <t>Bugbears</t>
  </si>
  <si>
    <t>Recebe Grandão como talento adicional, sem precisar satisfazer pré-requisitos.</t>
  </si>
  <si>
    <t>Faro. Detectam automaticamente criaturas até 9m e recebem +4 em Sobrevivência para rastrear.</t>
  </si>
  <si>
    <t>+4 em testes de Furtividade e Intimidação.</t>
  </si>
  <si>
    <t>Tamanho Médio. Deslocamento 9m.</t>
  </si>
  <si>
    <t>Tamanho Médio ou Pequeno, com respectivamente, deslocamento de 9m ou 6m.</t>
  </si>
  <si>
    <t>Tamanho Grande. Deslocamento 12m.</t>
  </si>
  <si>
    <t>Arma natural: cascos (dano 1d6, esmagamento).</t>
  </si>
  <si>
    <t>Medo de Altura. Caso tenha que subir qualquer altura superior a 3m (ou se estiver a até 3m de uma</t>
  </si>
  <si>
    <t xml:space="preserve">  que dependa de concentração, como lançar magias.</t>
  </si>
  <si>
    <t xml:space="preserve">  queda desta altura), sofre –4 em suas jogadas e testes. Ele também não pode realizar nenhuma ação</t>
  </si>
  <si>
    <t>Sabem usar espadas curtas, espadas longas, floretes e arcos (curtos, longos e compostos). Também</t>
  </si>
  <si>
    <t xml:space="preserve">  recebem Foco em Arma para uma destas armas, como um talento adicional.</t>
  </si>
  <si>
    <r>
      <t xml:space="preserve">+4 em testes de Vontade contra encantamentos. São imunes a magia </t>
    </r>
    <r>
      <rPr>
        <i/>
        <sz val="9"/>
        <color theme="1"/>
        <rFont val="Times New Roman"/>
        <family val="1"/>
      </rPr>
      <t>Sono</t>
    </r>
    <r>
      <rPr>
        <sz val="9"/>
        <color theme="1"/>
        <rFont val="Times New Roman"/>
        <family val="1"/>
      </rPr>
      <t>.</t>
    </r>
  </si>
  <si>
    <t>Elfo-do-céu</t>
  </si>
  <si>
    <t>Tamanho Médio. Deslocamento 9m. Voo 18m.</t>
  </si>
  <si>
    <t>Sabem usar espadas curtas, espadas longas, floretes e arcos (curtos, longos e compostos).</t>
  </si>
  <si>
    <t>Qualquer magia arcana lançada por um elfo tem classe de dificuldade +2 para resistir</t>
  </si>
  <si>
    <t>+4 em testes de Percepção.</t>
  </si>
  <si>
    <t>Tamanho Médio. Deslocamento 9m. Natação 9m.</t>
  </si>
  <si>
    <t>Percepção às cegas 18m, apenas embaixo d’água.</t>
  </si>
  <si>
    <t xml:space="preserve">  um talento adicional.</t>
  </si>
  <si>
    <t>Sabem usar arpão, tridente e rede. Também recebem Foco em Arma para uma destas armas, como</t>
  </si>
  <si>
    <t>Recebem +2 na CA e em testes de Acrobacia, Atletismo, Furtividade, Percepção e Sobrevivência</t>
  </si>
  <si>
    <t xml:space="preserve">  embaixo d'água.</t>
  </si>
  <si>
    <t>Pode respirar fora d’água durante um nº de horas igual a seu valor de Constituição (ou igual ao tempo</t>
  </si>
  <si>
    <t xml:space="preserve">  de sua última imersão em água, o que for menor). Esgotado esse prazo, começa a sufocar.</t>
  </si>
  <si>
    <t>Respeito dos Trolls. Trolls de todos os tipos reconhecem os finntroll como seus mestres, e não os</t>
  </si>
  <si>
    <t xml:space="preserve">  atacam em circunstâncias normais. Trolls devem ser bem-sucedidos em um teste de Vontade para</t>
  </si>
  <si>
    <t xml:space="preserve">  atacar um finntroll (CD 10 + 1/2 do nível do finntroll + mod. Car).</t>
  </si>
  <si>
    <t>Recebem +4 em testes de resistência contra magia.</t>
  </si>
  <si>
    <r>
      <t xml:space="preserve">  não funciona enquanto estão expostos à luz do sol ou similar (como </t>
    </r>
    <r>
      <rPr>
        <i/>
        <sz val="9"/>
        <color theme="1"/>
        <rFont val="Times New Roman"/>
        <family val="1"/>
      </rPr>
      <t>Luz do dia</t>
    </r>
    <r>
      <rPr>
        <sz val="9"/>
        <color theme="1"/>
        <rFont val="Times New Roman"/>
        <family val="1"/>
      </rPr>
      <t>).</t>
    </r>
  </si>
  <si>
    <t xml:space="preserve">  causam dano normal a eles. Um membro decepado cresce novamente em 2d6 dias. Sua regeneração</t>
  </si>
  <si>
    <t>Sensibilidade a luz. Fica ofuscado (-1 em ataques) quando exposto a luz do sol ou similares.</t>
  </si>
  <si>
    <t>São imunes a atordoamento e metamorfose, mas são afetados por magias que afetam plantas.</t>
  </si>
  <si>
    <t>Regeneração. Qualquer dano causado a um finntroll é considerado não letal. Apenas fogo e ácido</t>
  </si>
  <si>
    <t>Tamanho Médio. Deslocamento 9m</t>
  </si>
  <si>
    <t>CA +1.</t>
  </si>
  <si>
    <t>Arma natural: mordida (dano 1d6, perfuração).</t>
  </si>
  <si>
    <t>Tamanho Pequeno. Deslocamento 6m.</t>
  </si>
  <si>
    <t>+4 em testes de Intuição e Ofício (alquimia)</t>
  </si>
  <si>
    <r>
      <t xml:space="preserve">Podem falar com animais livremente. Como a magia </t>
    </r>
    <r>
      <rPr>
        <i/>
        <sz val="9"/>
        <color theme="1"/>
        <rFont val="Times New Roman"/>
        <family val="1"/>
      </rPr>
      <t>Falar com animais</t>
    </r>
    <r>
      <rPr>
        <sz val="9"/>
        <color theme="1"/>
        <rFont val="Times New Roman"/>
        <family val="1"/>
      </rPr>
      <t>.</t>
    </r>
  </si>
  <si>
    <r>
      <t xml:space="preserve">Gnomos com Carisma 10 ou mais podem lançar as seguintes magias livremente: </t>
    </r>
    <r>
      <rPr>
        <i/>
        <sz val="9"/>
        <color theme="1"/>
        <rFont val="Times New Roman"/>
        <family val="1"/>
      </rPr>
      <t>Globos de luz</t>
    </r>
    <r>
      <rPr>
        <sz val="9"/>
        <color theme="1"/>
        <rFont val="Times New Roman"/>
        <family val="1"/>
      </rPr>
      <t>,</t>
    </r>
  </si>
  <si>
    <r>
      <rPr>
        <i/>
        <sz val="9"/>
        <color theme="1"/>
        <rFont val="Times New Roman"/>
        <family val="1"/>
      </rPr>
      <t xml:space="preserve">  Prestidigitação </t>
    </r>
    <r>
      <rPr>
        <sz val="9"/>
        <color theme="1"/>
        <rFont val="Times New Roman"/>
        <family val="1"/>
      </rPr>
      <t xml:space="preserve">e </t>
    </r>
    <r>
      <rPr>
        <i/>
        <sz val="9"/>
        <color theme="1"/>
        <rFont val="Times New Roman"/>
        <family val="1"/>
      </rPr>
      <t>Som fantasma</t>
    </r>
    <r>
      <rPr>
        <sz val="9"/>
        <color theme="1"/>
        <rFont val="Times New Roman"/>
        <family val="1"/>
      </rPr>
      <t>.</t>
    </r>
  </si>
  <si>
    <t>Tamanho Pequeno. Deslocamento 9m.</t>
  </si>
  <si>
    <t>+4 em testes de Fortitude contra doenças e venenos. Não precisam fazer testes de Fortitude para</t>
  </si>
  <si>
    <t xml:space="preserve">  ingerir comida estragada.</t>
  </si>
  <si>
    <t>+4 em testes de Ladinagem e num Ofício qualquer.</t>
  </si>
  <si>
    <t>+2 em todos os testes de resistência.</t>
  </si>
  <si>
    <t>+1 em testes de ataque com armas de arremesso e fundas.</t>
  </si>
  <si>
    <t>Para halflings, a perícia Atletismo é baseado em Destreza, não em Força.</t>
  </si>
  <si>
    <t>+4 em testes de Enganação.</t>
  </si>
  <si>
    <t>+4 em testes de Furtividade e Ofício (metalurgia).</t>
  </si>
  <si>
    <t>Recebe 1 talento de combate à sua escolha, como talento adicional.</t>
  </si>
  <si>
    <t>Monstro. Não é considerado humanoide, sendo imune a efeitos que afetam apenas estas criaturas.</t>
  </si>
  <si>
    <t>Deformidade. Escolha uma das características a seguir: (1) Articulações flexíveis: +4 em Acrobacia;</t>
  </si>
  <si>
    <t xml:space="preserve">  (2) Dedos rígidos: deslocamento de escalada 4,5m; (3)  Dentes afiados: +4 em Intimidação; (4) </t>
  </si>
  <si>
    <t xml:space="preserve">  (6) Pele rígida: CA +1.</t>
  </si>
  <si>
    <t xml:space="preserve">Afinidade com a Tormenta. Lefou não recebem níveis negativos devido a efeitos causados pela </t>
  </si>
  <si>
    <t xml:space="preserve">  Tormenta ou seus habitantes.</t>
  </si>
  <si>
    <t xml:space="preserve">2 talentos da Tormenta adicionais. Lefou não perdem pontos de Carisma por estes dois talentos </t>
  </si>
  <si>
    <t xml:space="preserve">  (mas perdem se adquirirem outros).</t>
  </si>
  <si>
    <t xml:space="preserve">  Mãos membranosas: deslocamento de natação 4,5m; (5) Olhos vermelhos: +4 em Percepção; ou</t>
  </si>
  <si>
    <t>Recebem Foco em Arma (arco curto) como talento adicional.</t>
  </si>
  <si>
    <t xml:space="preserve">Veneno. Um ataque bem-sucedido da medusa com suas serpentes exige da vítima um teste de </t>
  </si>
  <si>
    <t xml:space="preserve">  a vítima sofre dano de 1d4 pontos de Força.</t>
  </si>
  <si>
    <t xml:space="preserve">  Fortitude (CD 10 + 1/2 do nível da medusa + mod. de Constituição da medusa). Em caso de falha, </t>
  </si>
  <si>
    <t>Olhar Atordoante. 1x /dia, como ação livre, a medusa pode tentar atordoar uma criatura a até 9m</t>
  </si>
  <si>
    <t xml:space="preserve">  olhando diretamente em seus olhos. A vítima deve ser passar num teste de Fortitude (CD 10 +1/2</t>
  </si>
  <si>
    <t xml:space="preserve">  do nível da medusa + mod. Car) para evitar o efeito. Se falhar, fica atordoada durante a rodada.</t>
  </si>
  <si>
    <t>Recebem a habilidade Empatia Selvagem. Caso sejam rangers ou druidas recebem +4 em testes de</t>
  </si>
  <si>
    <t xml:space="preserve">  diplomacia com animais.</t>
  </si>
  <si>
    <t>Podem lançar as magias Constrição, Torcer madeira, Moldar madeira, Forma em árvora e Pele em</t>
  </si>
  <si>
    <t xml:space="preserve">  árvore (apenas em si mesmos) livremente, sem gastar PM. No entanto, lançar ou manter estas</t>
  </si>
  <si>
    <t xml:space="preserve">  magias em áreas estéreis ou malditas exige teste de Vontade (CD 15) por rodada.</t>
  </si>
  <si>
    <t>1 talento bônus à escolha do jogador.</t>
  </si>
  <si>
    <t>1 perícia treinada extra, que não precisam ser escolhidas dentre as perícias de classe.</t>
  </si>
  <si>
    <t>+2 em testes de Vontade contra encantamentos.</t>
  </si>
  <si>
    <t>+2 em testes de Identificar Magia e Percepção.</t>
  </si>
  <si>
    <t>Recebe Duro de Matar como talento adicional.</t>
  </si>
  <si>
    <t>+4 em testes de Intimidação.</t>
  </si>
  <si>
    <t>Sangue orc. Para todos os efeitos relacionados a raça, meio-orcs são considerados orcs.</t>
  </si>
  <si>
    <t>Minauros podem escolher 3 dentre os seguintes traços raciais:</t>
  </si>
  <si>
    <t xml:space="preserve">  (1) +2 em uma habilidade a escolha do jogador.</t>
  </si>
  <si>
    <t xml:space="preserve">  (2) 1 talento adicional à escolha do jogador.</t>
  </si>
  <si>
    <t xml:space="preserve">  (3) 1 perícia treinada extra, que não precisam ser escolhidas dentre as perícias de classe.</t>
  </si>
  <si>
    <t xml:space="preserve">  (4) +4 em testes de Diplomacia e Obter Informação.</t>
  </si>
  <si>
    <t>Arma natural: serpentes (dano 1d4 sem mod. For, perfuração).</t>
  </si>
  <si>
    <t>Arma natural: chifres (dano 1d6, perfuração).</t>
  </si>
  <si>
    <t>Lógica labiríntica. +8 em testes de Sobrevivência para não se perder.</t>
  </si>
  <si>
    <t>2 talentos adicionais à sua escolha. Um deles pode ser um talento moreau.</t>
  </si>
  <si>
    <t>Tamanho Grande. Deslocamento 9m.</t>
  </si>
  <si>
    <t>Arma natural: cauda (dano 1d6, esmagamento).</t>
  </si>
  <si>
    <t>CA +2.</t>
  </si>
  <si>
    <t>+4 em testes de Fortitude contra venenos.</t>
  </si>
  <si>
    <t>-2 em testes de Percepção (apenas para ouvir).</t>
  </si>
  <si>
    <t>-4 em testes de resistência contra música de bardo ou magias lançadas por bardos.</t>
  </si>
  <si>
    <t>Nagahs sofrem -4 de penalidade em testes de resistência contra frio e gelo.</t>
  </si>
  <si>
    <t>Brutalidade. Recebe +1 em jogadas de dano para ataques corpo-a-corpo.</t>
  </si>
  <si>
    <t>+4 em testes de Intimidação e Ofício (minerador).</t>
  </si>
  <si>
    <t>Dragoa-caçadora.</t>
  </si>
  <si>
    <t>Tamanho Médio. Deslocamento 9m. Escalada 6m.</t>
  </si>
  <si>
    <t>Armas naturais: 2 garras (dano 1d4 cada, corte) e mordida (dano 1d6, perfuração).</t>
  </si>
  <si>
    <t>Recuperação rápida. Recuperam 1 PV /nível com 1h de descanso, ao invés de 1 dia.</t>
  </si>
  <si>
    <t>+4 em testes de Atletismo e Sobrevivência.</t>
  </si>
  <si>
    <t>+4 em testes de Destreza para usar cordas.</t>
  </si>
  <si>
    <t>Fêmeas: recebem +2 em duas das seguintes perícias: Cura, Ofício, Profissão ou Sobrevivência.</t>
  </si>
  <si>
    <t>Machos: a perícia Intimidação é baseada em Força, e não em Carisma. Além disso recebem +2 em</t>
  </si>
  <si>
    <t xml:space="preserve">  testes nesta perícia.</t>
  </si>
  <si>
    <t>Tamanho Médio. Deslocamento 9m. Voo 15m. Pteros não conseguem voar usando armaduras.</t>
  </si>
  <si>
    <t>Arma natural: 2 garras dos pés (dano 1d4, corte, só podem ser usadas quando estiver voando).</t>
  </si>
  <si>
    <t>Ligação natural. Podem se comunicar mentalmente com seu parceiro(a) quando dentro do alcance</t>
  </si>
  <si>
    <t xml:space="preserve">  visual, e sempre sabe em que direção e distância ele(a) está. Pteros sem parceiro recebem um</t>
  </si>
  <si>
    <t xml:space="preserve">  Suave, Rastrear, Reflexos Rapidos ou Vitalidade.</t>
  </si>
  <si>
    <t xml:space="preserve">  talento adicional dentre estes: Asas de Aço, Esquiva, Iniciativa Aprimorada, Prontidão, Queda</t>
  </si>
  <si>
    <t>+2 em testes de Atletismo e Sobrevivência. +2 em testes de Percepção para observar.</t>
  </si>
  <si>
    <t>Mãos rudimentares. Suas duas mãos são consideradas inábeis. Além disso, sofre um redutor de –2</t>
  </si>
  <si>
    <t xml:space="preserve">  em testes de Destreza e perícias que envolvem habilidade manual.</t>
  </si>
  <si>
    <t>Tamanho Médio. Deslocamento 12m.</t>
  </si>
  <si>
    <t>Ganham 2 talentos adicionais escolhidos dentre os seguintes: Corredor Veloz, Faro Aprimorado,</t>
  </si>
  <si>
    <t xml:space="preserve">  Prontidão, Tolerância.</t>
  </si>
  <si>
    <t>+2 em testes de Sobrevivência.</t>
  </si>
  <si>
    <t>+8 em testes de Atletismo para saltar.</t>
  </si>
  <si>
    <t>+4 em testes de Indentificar Magia.</t>
  </si>
  <si>
    <t xml:space="preserve">Desejos. Uma vez por dia, o qareen pode lançar uma magia que conheça sem pagar PM (ou sem </t>
  </si>
  <si>
    <t xml:space="preserve">  esquecê-la), mas apenas se fizer isso na mesma rodada em que alguém tenha lhe pedido.</t>
  </si>
  <si>
    <t>Pequenos desejos. Pode lançar todos os truques como um feiticeiro, mas apenas se alguém pedir.</t>
  </si>
  <si>
    <r>
      <t xml:space="preserve">Pode conjurar a magia </t>
    </r>
    <r>
      <rPr>
        <i/>
        <sz val="9"/>
        <color theme="1"/>
        <rFont val="Times New Roman"/>
        <family val="1"/>
      </rPr>
      <t xml:space="preserve">Voo </t>
    </r>
    <r>
      <rPr>
        <sz val="9"/>
        <color theme="1"/>
        <rFont val="Times New Roman"/>
        <family val="1"/>
      </rPr>
      <t>1x /dia.</t>
    </r>
  </si>
  <si>
    <t>Conforme sua descendência, um qareen recebe resistência a certos tipos de dao: Água (frio e ácido 5);</t>
  </si>
  <si>
    <t xml:space="preserve">   Ar (eletricidade e sônico 5); Fogo (fogo 5); Terra (RD 3/cortante ou perfurante); Luz (eletricidade</t>
  </si>
  <si>
    <t xml:space="preserve">  10); Trevas (ácido e energia negativa 5).</t>
  </si>
  <si>
    <t>Tamanho Mínimo. Deslocamento 3m. Voo 12m.</t>
  </si>
  <si>
    <r>
      <t xml:space="preserve">Sprites com Carisma 10 ou mais podem lançar as seguintes magias livremente: </t>
    </r>
    <r>
      <rPr>
        <i/>
        <sz val="9"/>
        <color theme="1"/>
        <rFont val="Times New Roman"/>
        <family val="1"/>
      </rPr>
      <t>Globos de luz</t>
    </r>
    <r>
      <rPr>
        <sz val="9"/>
        <color theme="1"/>
        <rFont val="Times New Roman"/>
        <family val="1"/>
      </rPr>
      <t>,</t>
    </r>
  </si>
  <si>
    <t>+2 em testes de Enganação e Furtividade.</t>
  </si>
  <si>
    <r>
      <rPr>
        <i/>
        <sz val="9"/>
        <color theme="1"/>
        <rFont val="Times New Roman"/>
        <family val="1"/>
      </rPr>
      <t xml:space="preserve">Escuridão. </t>
    </r>
    <r>
      <rPr>
        <sz val="9"/>
        <color theme="1"/>
        <rFont val="Times New Roman"/>
        <family val="1"/>
      </rPr>
      <t>Sulfures podem lançar esta magia 1x por dia.</t>
    </r>
  </si>
  <si>
    <t>Resistência a fogo, frio e eletricidade 5.</t>
  </si>
  <si>
    <t>+4 em testes de Furtividade (+8 em áreas rochosas).</t>
  </si>
  <si>
    <t xml:space="preserve">  nauseante. Todos os humanoides a até 9m devem passar num teste de Fortitude (CD 10 + 1/2 do</t>
  </si>
  <si>
    <t xml:space="preserve">  nível + mod. Con) ou ficam enjoados por 1d6 rodadas. Falhando ou não, a vítima não pode ser </t>
  </si>
  <si>
    <t xml:space="preserve">  afetada novamente por 24h. Criaturas com Faro falham automaticamente no teste de resistência.</t>
  </si>
  <si>
    <t>-4 de penalidade em testes de resistência contra frio e gelo.</t>
  </si>
  <si>
    <t>Mau cheiro. 1x /dia, com uma ação de movimento, o trog pode expelir uma secreção oleosa de odor</t>
  </si>
  <si>
    <t>Combate</t>
  </si>
  <si>
    <t>Amazona</t>
  </si>
  <si>
    <r>
      <t xml:space="preserve">BBA +5; treinado em Sobrevivência; Devoto (qualquer divindade feminina); </t>
    </r>
    <r>
      <rPr>
        <i/>
        <sz val="10"/>
        <color theme="1"/>
        <rFont val="Times New Roman"/>
        <family val="1"/>
      </rPr>
      <t>Especial: sexo feminino</t>
    </r>
    <r>
      <rPr>
        <sz val="10"/>
        <color theme="1"/>
        <rFont val="Times New Roman"/>
        <family val="1"/>
      </rPr>
      <t>.</t>
    </r>
  </si>
  <si>
    <t>Capitão do Reinado</t>
  </si>
  <si>
    <r>
      <t xml:space="preserve">BBA +5; treinado em Conhecimento (estratégia) e Diplomacia; Comandar, Liderança (opção seguidores); </t>
    </r>
    <r>
      <rPr>
        <i/>
        <sz val="10"/>
        <color theme="1"/>
        <rFont val="Times New Roman"/>
        <family val="1"/>
      </rPr>
      <t>Especial: deve ter um posto de comando em um exército ou organização semelhante.</t>
    </r>
  </si>
  <si>
    <t>Franco Atirador</t>
  </si>
  <si>
    <t>BBA +5; treinado em Furtividade e Percepção; Foco em Arma (qualquer de ataque à distância); Mira Apurada; Tiro Certeiro; Tiro Longo.</t>
  </si>
  <si>
    <t>Guerreiro Pobre</t>
  </si>
  <si>
    <t>BBA +4; 8 graduações em Ofício (qualquer); Ao Sabor do Destino; Autossuficiente.</t>
  </si>
  <si>
    <t>Gigante Furioso</t>
  </si>
  <si>
    <t>Con 17; BBA +6; habilidade de classe fúria.</t>
  </si>
  <si>
    <t>Mestre Bêbado</t>
  </si>
  <si>
    <t>BBA +4; Acrobacia 8 graduações, treinado em Enganação; Tolerância; habilidade de classe dano desarmado.</t>
  </si>
  <si>
    <t>Caçador de Gigantes</t>
  </si>
  <si>
    <r>
      <t xml:space="preserve">BBA +5; treinado em Cavalgar; Ataque Poderoso; </t>
    </r>
    <r>
      <rPr>
        <i/>
        <sz val="10"/>
        <color theme="1"/>
        <rFont val="Times New Roman"/>
        <family val="1"/>
      </rPr>
      <t>Especial: tamanho Pequeno ou menor.</t>
    </r>
  </si>
  <si>
    <t>Samurai do Vulcão</t>
  </si>
  <si>
    <t>BBA +7; Tendência não Bondosa; habilidade de classe espadas ancestrais.</t>
  </si>
  <si>
    <t>Saqueador Selvagem</t>
  </si>
  <si>
    <t>BBA +5; treinado em Atletismo; Iniciativa Aprimorada; Tendência Caótica.</t>
  </si>
  <si>
    <t>Soldado Veterano</t>
  </si>
  <si>
    <t>BBA +5; Tendência Leal; Foco em Arma (qualquer); Especial: não pode ter os talentos Comandar e Liderança, não pode ser um oficial ou nobre.</t>
  </si>
  <si>
    <t>Aeronauta Goblin</t>
  </si>
  <si>
    <r>
      <t xml:space="preserve">Raça goblin; 6 graduações em Conhecimento (geografia) e Ofício (baloeiro ou piloto); </t>
    </r>
    <r>
      <rPr>
        <i/>
        <sz val="10"/>
        <color theme="1"/>
        <rFont val="Times New Roman"/>
        <family val="1"/>
      </rPr>
      <t>Especial: deve possuir um balão goblin ou outra aeronave.</t>
    </r>
  </si>
  <si>
    <t>Campeão das Guildas</t>
  </si>
  <si>
    <t>Raça anão; treinado em 4 Ofícios (armeiro, cervejeiro, ferreiro e minerador); 5º nível de personagem.</t>
  </si>
  <si>
    <t>Cavaleiro Feérico</t>
  </si>
  <si>
    <t>Raça elfo; treinado em Atuação, Cavalgar e Diplomacia; Especialização em Arma (espada longa ou arco longo); capacidade de lançar magias arcanas de 2º nível; habilidade de classe música de bardo.</t>
  </si>
  <si>
    <t>Drogadora</t>
  </si>
  <si>
    <r>
      <t xml:space="preserve">8 graduações em Conhecimento (natureza) e Cura; Fortitude Maior; </t>
    </r>
    <r>
      <rPr>
        <i/>
        <sz val="10"/>
        <color theme="1"/>
        <rFont val="Times New Roman"/>
        <family val="1"/>
      </rPr>
      <t>Especial: sexo feminino.</t>
    </r>
  </si>
  <si>
    <t>Engenhoqueiro Goblin</t>
  </si>
  <si>
    <t>Raça goblin; 6 graduações em Conhecimento (engenharia) e Ofício (engenhoqueiro); Foco em Perícia (Ofício [engenhoqueiro]).</t>
  </si>
  <si>
    <t>Feitor de Trolls</t>
  </si>
  <si>
    <t>Raça finntroll; treinado em Intimidação; Dominar Trolls; capacidade de lançar magias de 3º nível; Tendência Leal.</t>
  </si>
  <si>
    <t>Galhofeiro Halfling</t>
  </si>
  <si>
    <t>Raça halfling; treinado em Atuação e Enganação; Tendência não Leal.</t>
  </si>
  <si>
    <t>Guarda-Costas de Tauron</t>
  </si>
  <si>
    <t>Raça minotauro; BBA +5; treinado em Iniciativa e Percepção; Tendência Leal.</t>
  </si>
  <si>
    <t>Improvisador de Lena</t>
  </si>
  <si>
    <t>Raça humano; 8 graduações em Conhecimento (qualquer) e Ofício (qualquer); Diligente, Faz Tudo.</t>
  </si>
  <si>
    <t>Mestre dis Desejos</t>
  </si>
  <si>
    <t>Raça qareen; treinado em Intuição; capacidade de lançar magias arcanas de 3º nível.</t>
  </si>
  <si>
    <t>Predador Primal</t>
  </si>
  <si>
    <t>BBA +5; treinado em Sobrevivência; Rastrear, Vitalidade; habilidade de classe fúria.</t>
  </si>
  <si>
    <t>Terror Vivo</t>
  </si>
  <si>
    <t>Raça lefou; 8 graduações em Intimidação; 3 talentos de Tormenta quaisquer; Carisma 8 ou menos.</t>
  </si>
  <si>
    <t>Bônus em Hab.</t>
  </si>
  <si>
    <t>Tipo de Classe</t>
  </si>
  <si>
    <t>Nome da Classe</t>
  </si>
  <si>
    <t>Total de níveis:</t>
  </si>
  <si>
    <t>Nv Épico</t>
  </si>
  <si>
    <t>CLASSES:</t>
  </si>
  <si>
    <t>épico</t>
  </si>
  <si>
    <t>Resumo:</t>
  </si>
  <si>
    <t>NÍVEIS DE CLASSE ÉPICOS</t>
  </si>
  <si>
    <t>Nv</t>
  </si>
  <si>
    <t>ILEGAL! Você deve ter 20 níveis normais em classes antes de distribuir níveis épicos.</t>
  </si>
  <si>
    <r>
      <t xml:space="preserve">* penalidade de armadura   </t>
    </r>
    <r>
      <rPr>
        <sz val="8"/>
        <color theme="1"/>
        <rFont val="Wingdings"/>
        <charset val="2"/>
      </rPr>
      <t>w</t>
    </r>
    <r>
      <rPr>
        <sz val="8"/>
        <color theme="1"/>
        <rFont val="Times New Roman"/>
        <family val="1"/>
      </rPr>
      <t xml:space="preserve"> somente treinado    </t>
    </r>
    <r>
      <rPr>
        <sz val="8"/>
        <color rgb="FF800000"/>
        <rFont val="Times New Roman"/>
        <family val="1"/>
      </rPr>
      <t>perícia de classe</t>
    </r>
  </si>
  <si>
    <t>Meio-elfo-do-mar</t>
  </si>
  <si>
    <t>+2 em testes de Percepção e Sobrevivência.</t>
  </si>
  <si>
    <t>Respirar na água: podem respirar n água normalmente.</t>
  </si>
  <si>
    <t>Um meio-elfo satisfaz requisitos como se fosse um elfo-do-mar.</t>
  </si>
  <si>
    <t xml:space="preserve">ESCREVA ACIMA AS CARACTERÍSTICAS DA SUA RAÇA </t>
  </si>
  <si>
    <t>(PODE RENOMEAR ESTE SLOT)</t>
  </si>
  <si>
    <t xml:space="preserve"> REGIÃO DE ORIGEM (DETALHES)</t>
  </si>
  <si>
    <r>
      <rPr>
        <b/>
        <sz val="11"/>
        <color theme="1"/>
        <rFont val="Calibri"/>
        <family val="2"/>
        <scheme val="minor"/>
      </rPr>
      <t xml:space="preserve">Página 1. </t>
    </r>
    <r>
      <rPr>
        <sz val="11"/>
        <color theme="1"/>
        <rFont val="Calibri"/>
        <family val="2"/>
        <scheme val="minor"/>
      </rPr>
      <t>Principais atributos do personagem</t>
    </r>
  </si>
  <si>
    <r>
      <rPr>
        <b/>
        <sz val="11"/>
        <color theme="1"/>
        <rFont val="Calibri"/>
        <family val="2"/>
        <scheme val="minor"/>
      </rPr>
      <t>Página 2.</t>
    </r>
    <r>
      <rPr>
        <sz val="11"/>
        <color theme="1"/>
        <rFont val="Calibri"/>
        <family val="2"/>
        <scheme val="minor"/>
      </rPr>
      <t xml:space="preserve"> Habilidades de classe, Talentos, Traços Raciais, XP, Dinheiro e Equipamentos .</t>
    </r>
  </si>
  <si>
    <t>A ficha é dividida em várias planilhas:</t>
  </si>
  <si>
    <r>
      <rPr>
        <b/>
        <sz val="11"/>
        <color theme="1"/>
        <rFont val="Calibri"/>
        <family val="2"/>
        <scheme val="minor"/>
      </rPr>
      <t>Página 3.</t>
    </r>
    <r>
      <rPr>
        <sz val="11"/>
        <color theme="1"/>
        <rFont val="Calibri"/>
        <family val="2"/>
        <scheme val="minor"/>
      </rPr>
      <t xml:space="preserve"> Magia (com cálculo automático de PM por classe) e Ficha de Parceiro /Companheiro Animal /Familiar (se você tiver mais de uma classe conjuradora, faça cópias desta planilha).</t>
    </r>
  </si>
  <si>
    <t>1º Parte: Geradores semi-automatizados</t>
  </si>
  <si>
    <t>2ª Parte: Ficha</t>
  </si>
  <si>
    <t>3ª Parte: Informações para a 1º parte.</t>
  </si>
  <si>
    <r>
      <rPr>
        <b/>
        <sz val="11"/>
        <color rgb="FFC00000"/>
        <rFont val="Calibri"/>
        <family val="2"/>
        <scheme val="minor"/>
      </rPr>
      <t>R.</t>
    </r>
    <r>
      <rPr>
        <sz val="11"/>
        <color rgb="FFC00000"/>
        <rFont val="Calibri"/>
        <family val="2"/>
        <scheme val="minor"/>
      </rPr>
      <t xml:space="preserve"> Clique com o botão direito do mouse onde estão as abas das planilhas. Selecione "mover ou copiar". Selecione "Página 3" e marque o campo de "criar uma cópia".</t>
    </r>
  </si>
  <si>
    <r>
      <rPr>
        <b/>
        <sz val="11"/>
        <color rgb="FFC00000"/>
        <rFont val="Calibri"/>
        <family val="2"/>
        <scheme val="minor"/>
      </rPr>
      <t>R.</t>
    </r>
    <r>
      <rPr>
        <sz val="11"/>
        <color rgb="FFC00000"/>
        <rFont val="Calibri"/>
        <family val="2"/>
        <scheme val="minor"/>
      </rPr>
      <t xml:space="preserve"> Nada. Apenas defina seus valores de habilidade segundo seu método escolhido. A planiha irá avisar que o personagem excedeu /não excedeu o limite de pontos, mas os valores serão usados nas demais planilhas normalmente.</t>
    </r>
  </si>
  <si>
    <r>
      <rPr>
        <b/>
        <sz val="11"/>
        <color rgb="FFC00000"/>
        <rFont val="Calibri"/>
        <family val="2"/>
        <scheme val="minor"/>
      </rPr>
      <t>R.</t>
    </r>
    <r>
      <rPr>
        <sz val="11"/>
        <color rgb="FFC00000"/>
        <rFont val="Calibri"/>
        <family val="2"/>
        <scheme val="minor"/>
      </rPr>
      <t xml:space="preserve"> Na planilha de classes, é possível colocar mais níveis em classes do que seu nível de personagem, mas geralmente haverá um aviso na planilha dizendo que há algo ilegal para orientá-lo. No mais, assumimos que os jogadores saibam preencher a ficha corretamente.</t>
    </r>
  </si>
  <si>
    <r>
      <rPr>
        <b/>
        <sz val="11"/>
        <color rgb="FFC00000"/>
        <rFont val="Calibri"/>
        <family val="2"/>
        <scheme val="minor"/>
      </rPr>
      <t>R.</t>
    </r>
    <r>
      <rPr>
        <sz val="11"/>
        <color rgb="FFC00000"/>
        <rFont val="Calibri"/>
        <family val="2"/>
        <scheme val="minor"/>
      </rPr>
      <t xml:space="preserve"> É possível (existem planilhas americanas para D&amp;D que fazem), mas isso exige conhecimento em programação em Visual Basic, algo que exige MUITO tempo e está além das minhas capacidades atuais (e disposição de aprender). Na verdade, se fosse para aprender mais sobre progamação para fazer um Character Builder eu não usaria o Excel, pois ele não é muito apropriado para isso. </t>
    </r>
  </si>
  <si>
    <r>
      <rPr>
        <b/>
        <sz val="11"/>
        <color rgb="FFC00000"/>
        <rFont val="Calibri"/>
        <family val="2"/>
        <scheme val="minor"/>
      </rPr>
      <t>R.</t>
    </r>
    <r>
      <rPr>
        <sz val="11"/>
        <color rgb="FFC00000"/>
        <rFont val="Calibri"/>
        <family val="2"/>
        <scheme val="minor"/>
      </rPr>
      <t xml:space="preserve"> Todas as planilhas precisam ser desbloqueadas para alterção (Revisão &gt; Desbloquear planilha). Além disso há uma planilha oculta onde a maior parte da mágica acontece. Para exibí-la clique com o botão direito na barra inferior (onde estão as abas das planilhas) e selecione "Re-exibir".</t>
    </r>
  </si>
  <si>
    <r>
      <rPr>
        <b/>
        <sz val="11"/>
        <color rgb="FF002060"/>
        <rFont val="Calibri"/>
        <family val="2"/>
        <scheme val="minor"/>
      </rPr>
      <t>Q.</t>
    </r>
    <r>
      <rPr>
        <sz val="11"/>
        <color rgb="FF002060"/>
        <rFont val="Calibri"/>
        <family val="2"/>
        <scheme val="minor"/>
      </rPr>
      <t xml:space="preserve"> Não uso o método de pontos para geração de valores de habilidades, o que eu faço?</t>
    </r>
  </si>
  <si>
    <r>
      <rPr>
        <b/>
        <sz val="11"/>
        <color rgb="FF002060"/>
        <rFont val="Calibri"/>
        <family val="2"/>
        <scheme val="minor"/>
      </rPr>
      <t>Q.</t>
    </r>
    <r>
      <rPr>
        <sz val="11"/>
        <color rgb="FF002060"/>
        <rFont val="Calibri"/>
        <family val="2"/>
        <scheme val="minor"/>
      </rPr>
      <t xml:space="preserve"> A planilha permite que eu faça coisas absurdas como colocar mais níveis em classes do que eu realmente possuo!</t>
    </r>
  </si>
  <si>
    <r>
      <rPr>
        <b/>
        <sz val="11"/>
        <color rgb="FF002060"/>
        <rFont val="Calibri"/>
        <family val="2"/>
        <scheme val="minor"/>
      </rPr>
      <t>Q.</t>
    </r>
    <r>
      <rPr>
        <sz val="11"/>
        <color rgb="FF002060"/>
        <rFont val="Calibri"/>
        <family val="2"/>
        <scheme val="minor"/>
      </rPr>
      <t xml:space="preserve"> Como eu posso alterar as planilhas?</t>
    </r>
  </si>
  <si>
    <t>Alguns talentos concedem bônus a testes de resistências. Os principais são Fortitude Maior (Fort +2), Reflexos Rápidos (Ref +2) e Vontade de Ferro (Von +2). Preencha os bônus adequados no campo "outros".</t>
  </si>
  <si>
    <t>EM TODOS OS CASOS A SEGUIR, VOCÊ DEVE USAR O CAMPO "OUTROS MODIFICADORES" PARA ADICIONAR OS MODIFICADORES RACIAIS DE SUAS NOVAS RAÇAS. Você pode mexer na planilha "Engine" (que está oculta) também.</t>
  </si>
  <si>
    <r>
      <t xml:space="preserve">Criada por Edu Guimarães, do fã-blog </t>
    </r>
    <r>
      <rPr>
        <b/>
        <sz val="11"/>
        <color theme="1"/>
        <rFont val="Calibri"/>
        <family val="2"/>
        <scheme val="minor"/>
      </rPr>
      <t>Área de Tormenta (www.areadetormenta.com.br)</t>
    </r>
    <r>
      <rPr>
        <sz val="11"/>
        <color theme="1"/>
        <rFont val="Calibri"/>
        <family val="2"/>
        <scheme val="minor"/>
      </rPr>
      <t>. É uma criação de fã para fã. Use, altere e compartilhe o quanto quiser, mas dê os créditos.</t>
    </r>
  </si>
  <si>
    <t>SOBRE A FICHA:</t>
  </si>
  <si>
    <t>QUESTÕES FREQUENTES (FAQ):</t>
  </si>
  <si>
    <r>
      <rPr>
        <b/>
        <sz val="11"/>
        <color rgb="FF002060"/>
        <rFont val="Calibri"/>
        <family val="2"/>
        <scheme val="minor"/>
      </rPr>
      <t>Q.</t>
    </r>
    <r>
      <rPr>
        <sz val="11"/>
        <color rgb="FF002060"/>
        <rFont val="Calibri"/>
        <family val="2"/>
        <scheme val="minor"/>
      </rPr>
      <t xml:space="preserve"> Poderia se adicionar listas e cálculo automático de talentos, armas, magias, etc?</t>
    </r>
  </si>
  <si>
    <t>Perícia de classe</t>
  </si>
  <si>
    <t>2ª classe</t>
  </si>
  <si>
    <t>3ª classe</t>
  </si>
  <si>
    <t>4ª classe</t>
  </si>
  <si>
    <t>5ª classe</t>
  </si>
  <si>
    <t>Perícia multiclasse</t>
  </si>
  <si>
    <t>Leal e Bondosa</t>
  </si>
  <si>
    <t>Neutra e Bondosa</t>
  </si>
  <si>
    <t>Caótica e Bondosa</t>
  </si>
  <si>
    <t>Leal e Neutra</t>
  </si>
  <si>
    <t>Caótica e Neutra</t>
  </si>
  <si>
    <t>Leal e Maligna</t>
  </si>
  <si>
    <t>Neutra e Maligna</t>
  </si>
  <si>
    <t>Caótica e Maligna</t>
  </si>
  <si>
    <t>Neutra</t>
  </si>
  <si>
    <t>Versão 2.0</t>
  </si>
  <si>
    <t>● Raças atualizadas segundo o Manual das Raças.</t>
  </si>
  <si>
    <t>● Indicação de perícias de classe.</t>
  </si>
  <si>
    <t>● Contadores de munição.</t>
  </si>
  <si>
    <t>● Traços raciais preenchidos automaticamente.</t>
  </si>
  <si>
    <t>● Calculo automatizado de PM com base na sua classe conjuradora.</t>
  </si>
  <si>
    <t>● Possibilidade de adicionar informações de novas classes e CdPs.</t>
  </si>
  <si>
    <t>● Nova planilha para calculo automatizado de PV, BBA e bônus de resistência com base em suas classes, CdPs e níveis épicos.</t>
  </si>
  <si>
    <r>
      <rPr>
        <sz val="10"/>
        <color rgb="FF222222"/>
        <rFont val="Calibri"/>
        <family val="2"/>
      </rPr>
      <t xml:space="preserve">● </t>
    </r>
    <r>
      <rPr>
        <sz val="10"/>
        <color rgb="FF222222"/>
        <rFont val="Arial"/>
        <family val="2"/>
      </rPr>
      <t>Antigos bugs concertados (em especial o da planilha de cálculo de habilidades).</t>
    </r>
  </si>
  <si>
    <t>● Planilha de controle de itens mágicos retirada (projeto precisa ser revisto).</t>
  </si>
  <si>
    <t>Aqui ficam os dados usados para cálcular PVs, BBA, bônus de resistências, perícias de classe, PMs... Todas estas planilhas são editáveis.</t>
  </si>
  <si>
    <t>Planilha oculta</t>
  </si>
  <si>
    <r>
      <rPr>
        <b/>
        <sz val="11"/>
        <color theme="1"/>
        <rFont val="Calibri"/>
        <family val="2"/>
        <scheme val="minor"/>
      </rPr>
      <t xml:space="preserve">Engine. </t>
    </r>
    <r>
      <rPr>
        <sz val="11"/>
        <color theme="1"/>
        <rFont val="Calibri"/>
        <family val="2"/>
        <scheme val="minor"/>
      </rPr>
      <t>Essa planilha contém a maioria dos dados para preenchimento e cálculo automático, incluindo os ajustes raciais. Pode ser um pouco complicada de se entender.</t>
    </r>
  </si>
  <si>
    <r>
      <rPr>
        <b/>
        <sz val="11"/>
        <color rgb="FFFF0000"/>
        <rFont val="Calibri"/>
        <family val="2"/>
        <scheme val="minor"/>
      </rPr>
      <t>Classes, PVs, BBA, Resistências.</t>
    </r>
    <r>
      <rPr>
        <sz val="11"/>
        <rFont val="Calibri"/>
        <family val="2"/>
        <scheme val="minor"/>
      </rPr>
      <t xml:space="preserve"> Distribua seus níveis em classes básicas e de prestígio e cálcula automaticamente seus PVs, BBA e bônus de resistência (fora talentos extras).</t>
    </r>
  </si>
  <si>
    <r>
      <rPr>
        <b/>
        <sz val="11"/>
        <color rgb="FFFF0000"/>
        <rFont val="Calibri"/>
        <family val="2"/>
        <scheme val="minor"/>
      </rPr>
      <t>Raça, Nível e Habilidades.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Determine sua raça, nível e valores de habilidades usando o método de pontos.</t>
    </r>
  </si>
  <si>
    <r>
      <rPr>
        <b/>
        <sz val="11"/>
        <color rgb="FF00B0F0"/>
        <rFont val="Calibri"/>
        <family val="2"/>
        <scheme val="minor"/>
      </rPr>
      <t>Traços Raciais.</t>
    </r>
    <r>
      <rPr>
        <sz val="11"/>
        <color theme="1"/>
        <rFont val="Calibri"/>
        <family val="2"/>
        <scheme val="minor"/>
      </rPr>
      <t xml:space="preserve"> Campos para preenchimento automatizado dos traços raciais na página 2. Você pode adicionar traços para outras 5 novas raças.</t>
    </r>
  </si>
  <si>
    <t>Não há campo para ajustes raciais nos valores de habilidade (estes dados são delicados e estão na engine).</t>
  </si>
  <si>
    <r>
      <rPr>
        <b/>
        <sz val="11"/>
        <color rgb="FF002060"/>
        <rFont val="Calibri"/>
        <family val="2"/>
        <scheme val="minor"/>
      </rPr>
      <t>Q.</t>
    </r>
    <r>
      <rPr>
        <sz val="11"/>
        <color rgb="FF002060"/>
        <rFont val="Calibri"/>
        <family val="2"/>
        <scheme val="minor"/>
      </rPr>
      <t xml:space="preserve"> Tenho duas (ou mais) classes conjuradoras, como faço para duplicar a página 3?</t>
    </r>
  </si>
  <si>
    <t>Agradecimentos ao leitor e colaborador Bruno Carvalho, por todo trabalho, incentivo e ideias para esta nova planilha; e ao amigo Douglas "Zeratul", pelas dicas em Excel.</t>
  </si>
  <si>
    <r>
      <rPr>
        <b/>
        <sz val="11"/>
        <color rgb="FF002060"/>
        <rFont val="Calibri"/>
        <family val="2"/>
        <scheme val="minor"/>
      </rPr>
      <t>Q.</t>
    </r>
    <r>
      <rPr>
        <sz val="11"/>
        <color rgb="FF002060"/>
        <rFont val="Calibri"/>
        <family val="2"/>
        <scheme val="minor"/>
      </rPr>
      <t xml:space="preserve"> Como faço para inserir uma imagem na Página 4?</t>
    </r>
  </si>
  <si>
    <r>
      <rPr>
        <b/>
        <sz val="11"/>
        <color rgb="FFC00000"/>
        <rFont val="Calibri"/>
        <family val="2"/>
        <scheme val="minor"/>
      </rPr>
      <t>R.</t>
    </r>
    <r>
      <rPr>
        <sz val="11"/>
        <color rgb="FFC00000"/>
        <rFont val="Calibri"/>
        <family val="2"/>
        <scheme val="minor"/>
      </rPr>
      <t xml:space="preserve"> Vá na aba "Inserir" &gt;&gt; "Figura", e escolha a imagem.</t>
    </r>
  </si>
  <si>
    <t>● Possibilidade de anular a Constituição, para jogar com personagens mortos-vivos ou construtos.</t>
  </si>
  <si>
    <r>
      <rPr>
        <b/>
        <sz val="11"/>
        <color rgb="FF002060"/>
        <rFont val="Calibri"/>
        <family val="2"/>
        <scheme val="minor"/>
      </rPr>
      <t>Q.</t>
    </r>
    <r>
      <rPr>
        <sz val="11"/>
        <color rgb="FF002060"/>
        <rFont val="Calibri"/>
        <family val="2"/>
        <scheme val="minor"/>
      </rPr>
      <t xml:space="preserve"> O campo de "Classes" da página 1 está colocando mais níveis em classes do que indiquei na planilha "Classes, PV, BBA, Resistências".</t>
    </r>
  </si>
  <si>
    <r>
      <rPr>
        <b/>
        <sz val="11"/>
        <color rgb="FFC00000"/>
        <rFont val="Calibri"/>
        <family val="2"/>
        <scheme val="minor"/>
      </rPr>
      <t>R.</t>
    </r>
    <r>
      <rPr>
        <sz val="11"/>
        <color rgb="FFC00000"/>
        <rFont val="Calibri"/>
        <family val="2"/>
        <scheme val="minor"/>
      </rPr>
      <t xml:space="preserve"> Você provavelmente mexeu nos botões e níveis épicos da planilha "Classes, PV, BBA, Resistências". Para exibir estes campos, coloque nível acima de 21 e confira se você não colocou níveis épicos sem querer.</t>
    </r>
  </si>
  <si>
    <t>[nova raça]</t>
  </si>
  <si>
    <t>Raça nova?</t>
  </si>
  <si>
    <t>Versão 2.1</t>
  </si>
  <si>
    <t>● Concertado o bug na definição de tamanho de novas raças.</t>
  </si>
  <si>
    <t>● Correção de alguns erros de digitação.</t>
  </si>
  <si>
    <r>
      <t xml:space="preserve">● Concertado o bug no 2º ajuste de habilidade dos lefeu </t>
    </r>
    <r>
      <rPr>
        <i/>
        <sz val="10"/>
        <color rgb="FF222222"/>
        <rFont val="Arial"/>
        <family val="2"/>
      </rPr>
      <t>(detectado pelo leitor Louco Furioso).</t>
    </r>
  </si>
  <si>
    <r>
      <t>● Correção nos ajustes de habilidade dos Nagah, agora devidamente atualizados segundo o Manual das Raças</t>
    </r>
    <r>
      <rPr>
        <i/>
        <sz val="10"/>
        <color rgb="FF222222"/>
        <rFont val="Arial"/>
        <family val="2"/>
      </rPr>
      <t xml:space="preserve"> (detectado pelo leitor Lorenzo Cardoso)</t>
    </r>
    <r>
      <rPr>
        <sz val="10"/>
        <color rgb="FF222222"/>
        <rFont val="Arial"/>
        <family val="2"/>
      </rPr>
      <t>.</t>
    </r>
  </si>
  <si>
    <t>Agradecimentos aos leitores e amigos que deram feedback e ajudaram a "debugar" essa bagaça: Matheus Ziderich, Moreau do Bode e Daniel Rocha.</t>
  </si>
  <si>
    <t>Devoto</t>
  </si>
  <si>
    <t>Cavaleiro de Khalmyr</t>
  </si>
  <si>
    <t>Cenobita</t>
  </si>
  <si>
    <t xml:space="preserve">Sab 15; Tendência Leal; treinado em Ofício (qualquer); capacidade de lançar magias divinas de 3º nível. </t>
  </si>
  <si>
    <t>Conselheiro</t>
  </si>
  <si>
    <r>
      <t xml:space="preserve">treinado em Diplomacia e Ofício (administração); Persuasivo; capacidade de lançar magias divinas de 3º nível; </t>
    </r>
    <r>
      <rPr>
        <i/>
        <sz val="10"/>
        <color theme="1"/>
        <rFont val="Times New Roman"/>
        <family val="1"/>
      </rPr>
      <t>Especial: deve ter conquistado influência numa comunidade pequena ou em seu governante (a critério do mestre).</t>
    </r>
  </si>
  <si>
    <t>Guardião da Realidade</t>
  </si>
  <si>
    <t>Profeta</t>
  </si>
  <si>
    <r>
      <t>Tendência idêntica a da divindade; treinado em Atuação (oratória) e Conhecimento (religião); Fundamentalista; capacidade de lançar magias divinas de 4º nível;</t>
    </r>
    <r>
      <rPr>
        <i/>
        <sz val="10"/>
        <color theme="1"/>
        <rFont val="Times New Roman"/>
        <family val="1"/>
      </rPr>
      <t xml:space="preserve"> Especial: deve ser escolhido pelo deus (decisão do mestre).</t>
    </r>
  </si>
  <si>
    <t>Protetor da Podridão</t>
  </si>
  <si>
    <r>
      <t xml:space="preserve">BBA +5; Tendência LB ou LN; treinado em Cavalgar e Conhecimento (religião); Combate Montado, Vontade de Ferro; </t>
    </r>
    <r>
      <rPr>
        <i/>
        <sz val="10"/>
        <color theme="1"/>
        <rFont val="Times New Roman"/>
        <family val="1"/>
      </rPr>
      <t>Especial: deve ser devoto de Khalmyr, seguir obrigações e restrições e ser aceito na ordem.</t>
    </r>
  </si>
  <si>
    <t>BBA +8; Tendência LB; treinado em Conhecimento (Tormenta); Trespassar, Vontade de Ferro; habilidade de classe destruir o mal.</t>
  </si>
  <si>
    <t>Con 15, Sab 15; capacidade de lançar magias divinas de 4º nível; habilidade de classe Forma Selvagem, devoto de Allihanna.</t>
  </si>
  <si>
    <t>Renascido</t>
  </si>
  <si>
    <t>Tirano do Terceiro</t>
  </si>
  <si>
    <r>
      <t xml:space="preserve">BBA +6; Dedicado, Vitalidade;  habilidade de classe benção da justiça; </t>
    </r>
    <r>
      <rPr>
        <i/>
        <sz val="10"/>
        <color theme="1"/>
        <rFont val="Times New Roman"/>
        <family val="1"/>
      </rPr>
      <t>Especial: deve ter morrido em nome do deus e sido ressussitado.</t>
    </r>
  </si>
  <si>
    <r>
      <t xml:space="preserve">BBA +8; Tendência LM; treinado em Cavalgar e Intimidar; Ataque Poderoso, Combate Montado, Trespassar, Vitalidade; capacidade de lançar magias divinas de 3º nível; idioma dracônico; </t>
    </r>
    <r>
      <rPr>
        <i/>
        <sz val="10"/>
        <color theme="1"/>
        <rFont val="Times New Roman"/>
        <family val="1"/>
      </rPr>
      <t>Especial: negociado com um dragão.</t>
    </r>
  </si>
  <si>
    <t>Útil para aqueles que possuem o talento Tradição Perdida.</t>
  </si>
  <si>
    <t xml:space="preserve">● Novidade na Planilha "Classes Básicas": agora é possível alterar/criar classes para serem capazes de usar habilidade físicas como habilidade-chave para magias (na versão 2.0 só eram permitidas habilidades mentais). </t>
  </si>
  <si>
    <t>Ninja</t>
  </si>
  <si>
    <t>● Adição da classe básica Ninja (prévia do Manual do Malandro), e das CdPs do Manual do Devoto.</t>
  </si>
  <si>
    <r>
      <rPr>
        <b/>
        <sz val="11"/>
        <color rgb="FF00B0F0"/>
        <rFont val="Calibri"/>
        <family val="2"/>
        <scheme val="minor"/>
      </rPr>
      <t>Classes de Prestigio.</t>
    </r>
    <r>
      <rPr>
        <sz val="11"/>
        <rFont val="Calibri"/>
        <family val="2"/>
        <scheme val="minor"/>
      </rPr>
      <t xml:space="preserve"> D</t>
    </r>
    <r>
      <rPr>
        <sz val="11"/>
        <color theme="1"/>
        <rFont val="Calibri"/>
        <family val="2"/>
        <scheme val="minor"/>
      </rPr>
      <t>ados gerais de todas as classes de prestígio de todos os livros lançados até agosto de 2015. Há espaço para você adicionar mais 13 novas CdPs, se quiser.</t>
    </r>
  </si>
  <si>
    <r>
      <rPr>
        <b/>
        <sz val="11"/>
        <color rgb="FF00B0F0"/>
        <rFont val="Calibri"/>
        <family val="2"/>
        <scheme val="minor"/>
      </rPr>
      <t xml:space="preserve">Classes Básicas. </t>
    </r>
    <r>
      <rPr>
        <sz val="1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ados gerais de todas as classes básicas de Tormenta RPG. Você pode adicionar dados de até 10 novas classes, se desejar.</t>
    </r>
  </si>
  <si>
    <r>
      <rPr>
        <b/>
        <sz val="11"/>
        <color rgb="FF002060"/>
        <rFont val="Calibri"/>
        <family val="2"/>
        <scheme val="minor"/>
      </rPr>
      <t>Q.</t>
    </r>
    <r>
      <rPr>
        <sz val="11"/>
        <color rgb="FF002060"/>
        <rFont val="Calibri"/>
        <family val="2"/>
        <scheme val="minor"/>
      </rPr>
      <t xml:space="preserve"> Porque vocês não adicianaram as variantes de classes básicas?</t>
    </r>
  </si>
  <si>
    <r>
      <rPr>
        <b/>
        <sz val="11"/>
        <color rgb="FF002060"/>
        <rFont val="Calibri"/>
        <family val="2"/>
        <scheme val="minor"/>
      </rPr>
      <t>Q.</t>
    </r>
    <r>
      <rPr>
        <sz val="11"/>
        <color rgb="FF002060"/>
        <rFont val="Calibri"/>
        <family val="2"/>
        <scheme val="minor"/>
      </rPr>
      <t xml:space="preserve"> Possuo o talento Tradição Perdida, como faço para alterar a habilidade-chave para conjuração de magias?</t>
    </r>
  </si>
  <si>
    <r>
      <rPr>
        <b/>
        <sz val="11"/>
        <color rgb="FFC00000"/>
        <rFont val="Calibri"/>
        <family val="2"/>
        <scheme val="minor"/>
      </rPr>
      <t>R.</t>
    </r>
    <r>
      <rPr>
        <sz val="11"/>
        <color rgb="FFC00000"/>
        <rFont val="Calibri"/>
        <family val="2"/>
        <scheme val="minor"/>
      </rPr>
      <t xml:space="preserve"> Porque são muitas variantes e iam tumultuar a planilha. Além disso, você pode resolver esse problema sozinho editando a planilha "Classes Básicas". Por exemplo, se você quiser jogar com um Guerreiro do Estilo Colosso (Manual do Combate, pg.19), basta  ir na planilha "Classes Básicas" e alterar os PV de 5 para 6 e desmarcar Adestrar Animais e Cavalgar como perícias de classe. (se quiser, adicione na caixa de talentos um texto com os pré-requisitos da variante).</t>
    </r>
  </si>
  <si>
    <t>Usar Armaduras (leves, médias e pesadas), Usar Armas (simples e marciais), Usar Escudos, Fortitude Maior, Vontade de Ferro, Foco em Perícia (Cura).</t>
  </si>
  <si>
    <r>
      <rPr>
        <b/>
        <sz val="11"/>
        <color rgb="FFC00000"/>
        <rFont val="Calibri"/>
        <family val="2"/>
        <scheme val="minor"/>
      </rPr>
      <t>R.</t>
    </r>
    <r>
      <rPr>
        <sz val="11"/>
        <color rgb="FFC00000"/>
        <rFont val="Calibri"/>
        <family val="2"/>
        <scheme val="minor"/>
      </rPr>
      <t xml:space="preserve"> Muito simples, basta ir na planilha "Classes Básicas" e alterar a habilidade-chave da classe básica. Atenção na hora de escrever o nome da habilidade!</t>
    </r>
  </si>
  <si>
    <r>
      <t xml:space="preserve">Curta nossa página no facebook e siga-nos também no twitter </t>
    </r>
    <r>
      <rPr>
        <b/>
        <sz val="11"/>
        <color rgb="FFC00000"/>
        <rFont val="Calibri"/>
        <family val="2"/>
        <scheme val="minor"/>
      </rPr>
      <t xml:space="preserve">@areadetormenta </t>
    </r>
    <r>
      <rPr>
        <sz val="11"/>
        <color theme="1"/>
        <rFont val="Calibri"/>
        <family val="2"/>
        <scheme val="minor"/>
      </rPr>
      <t>para saber de novas atualizações e novidades!</t>
    </r>
  </si>
  <si>
    <r>
      <rPr>
        <b/>
        <sz val="11"/>
        <color rgb="FFC00000"/>
        <rFont val="Calibri"/>
        <family val="2"/>
        <scheme val="minor"/>
      </rPr>
      <t xml:space="preserve">R. </t>
    </r>
    <r>
      <rPr>
        <sz val="11"/>
        <color rgb="FFC00000"/>
        <rFont val="Calibri"/>
        <family val="2"/>
        <scheme val="minor"/>
      </rPr>
      <t>Podemos divulgá-la se desejar, ou dar dicas. Mande-nos um e-mail ou nos cace no facebook ou twitter oras!</t>
    </r>
  </si>
  <si>
    <t xml:space="preserve">Se encontrar algum bug ou tiver alguma dúvida, contate-me pelo blog, facebook, twitter ou e-mail (areadetormenta@gmail.com)! </t>
  </si>
  <si>
    <r>
      <t>A</t>
    </r>
    <r>
      <rPr>
        <b/>
        <sz val="11"/>
        <color theme="1"/>
        <rFont val="Calibri"/>
        <family val="2"/>
        <scheme val="minor"/>
      </rPr>
      <t xml:space="preserve"> Ficha T </t>
    </r>
    <r>
      <rPr>
        <sz val="11"/>
        <color theme="1"/>
        <rFont val="Calibri"/>
        <family val="2"/>
        <scheme val="minor"/>
      </rPr>
      <t>é uma ficha de personagem semi-automatizada para o sistema Tormenta RPG (Jambô Editora), feita com o programa Office Excel 2013.</t>
    </r>
  </si>
  <si>
    <t>Laços</t>
  </si>
  <si>
    <t>Falhas e Defeitos</t>
  </si>
  <si>
    <t>&lt;</t>
  </si>
  <si>
    <t>Crenças e Ideais</t>
  </si>
  <si>
    <t>Traços de Personalidade</t>
  </si>
  <si>
    <t>Inimigos Jurados</t>
  </si>
  <si>
    <r>
      <rPr>
        <b/>
        <sz val="11"/>
        <color theme="1"/>
        <rFont val="Calibri"/>
        <family val="2"/>
        <scheme val="minor"/>
      </rPr>
      <t>Página 4.</t>
    </r>
    <r>
      <rPr>
        <sz val="11"/>
        <color theme="1"/>
        <rFont val="Calibri"/>
        <family val="2"/>
        <scheme val="minor"/>
      </rPr>
      <t xml:space="preserve"> Detalhes para interpretação (inspirados no D&amp;D 5ª edição) e imagem do personagem (copie, cole e redimensione para caber no espaço).</t>
    </r>
  </si>
  <si>
    <t>FICHA T, versão 2.1</t>
  </si>
  <si>
    <t>● Concertado o bug na página 3 nos símbolos de "x" ou "v" para magias das classes bardo, ranger e paladino.</t>
  </si>
  <si>
    <t>● Página 4 (Interpretação) remodelada, inspirada no D&amp;D 5ª edição.</t>
  </si>
  <si>
    <r>
      <t xml:space="preserve">http://www.areadetormenta.com.br - </t>
    </r>
    <r>
      <rPr>
        <b/>
        <sz val="8"/>
        <color rgb="FF800000"/>
        <rFont val="Calibri"/>
        <family val="2"/>
        <scheme val="minor"/>
      </rPr>
      <t>FICHA T v.2.1</t>
    </r>
  </si>
  <si>
    <r>
      <t>http://www.areadetormenta.com.br -</t>
    </r>
    <r>
      <rPr>
        <b/>
        <sz val="8"/>
        <color rgb="FF800000"/>
        <rFont val="Calibri"/>
        <family val="2"/>
        <scheme val="minor"/>
      </rPr>
      <t xml:space="preserve"> FICHA T v.2.1</t>
    </r>
  </si>
  <si>
    <r>
      <rPr>
        <b/>
        <sz val="8"/>
        <color rgb="FF800000"/>
        <rFont val="Calibri"/>
        <family val="2"/>
        <scheme val="minor"/>
      </rPr>
      <t>FICHA T - v.2.1</t>
    </r>
    <r>
      <rPr>
        <sz val="8"/>
        <color rgb="FF800000"/>
        <rFont val="Calibri"/>
        <family val="2"/>
        <scheme val="minor"/>
      </rPr>
      <t xml:space="preserve"> http://www.areadetormenta.com.br</t>
    </r>
  </si>
  <si>
    <t>FICHA T v.2.1</t>
  </si>
  <si>
    <r>
      <t xml:space="preserve">Em primeiro lugar, vamos esclarescer que a Ficha-T é uma FICHA e não um </t>
    </r>
    <r>
      <rPr>
        <i/>
        <sz val="11"/>
        <color rgb="FF002060"/>
        <rFont val="Calibri"/>
        <family val="2"/>
        <scheme val="minor"/>
      </rPr>
      <t xml:space="preserve">character builder </t>
    </r>
    <r>
      <rPr>
        <sz val="11"/>
        <color rgb="FF002060"/>
        <rFont val="Calibri"/>
        <family val="2"/>
        <scheme val="minor"/>
      </rPr>
      <t>(programa de criação de personagens). Como qualquer ficha, você precisa dos livros para preenchê-la, e pode errar. A diferença é que esta ficha faz alguns cálculos e preenche alguns campos de forma automatizada. Eu tentei bolar textos de controle que irão avisá-lo que algumas coisas estão erradas, mas isto não o impede de cometer estes erros. Portanto, fique atento ;-)</t>
    </r>
  </si>
  <si>
    <r>
      <rPr>
        <b/>
        <sz val="11"/>
        <color rgb="FF002060"/>
        <rFont val="Calibri"/>
        <family val="2"/>
        <scheme val="minor"/>
      </rPr>
      <t>Q.</t>
    </r>
    <r>
      <rPr>
        <sz val="11"/>
        <color rgb="FF002060"/>
        <rFont val="Calibri"/>
        <family val="2"/>
        <scheme val="minor"/>
      </rPr>
      <t xml:space="preserve"> Fiz uma nova versão da ficha, com melhorias e/ou modificações...</t>
    </r>
  </si>
  <si>
    <t>Usar Armaduras (leves, médias), Usar Armas (simples e marciais), Usar Escudos, Fortitude Maior.</t>
  </si>
  <si>
    <t>Usar Armaduras (leves, médias e pesadas), Usar Armas (simples e marciais), Treino em Perícia (Acrobacia), Usar Escudos, Fortitude Maior.</t>
  </si>
  <si>
    <t>Guerreiro Escolástico</t>
  </si>
  <si>
    <t>Guerreiro Inovador</t>
  </si>
  <si>
    <t>Guerreiro Colosso</t>
  </si>
  <si>
    <t>Monge Arte Espiritual</t>
  </si>
  <si>
    <t>Usar Armas (simples), Fortitude Maior, Reflexos Rápidos, Vontade de Ferro, Ataque Desarmado Aprimorado.</t>
  </si>
  <si>
    <t>Monge Arte Suave</t>
  </si>
  <si>
    <t>Usar Armas (simples), Agarrar Aprimorado, Fortitude Maior, Reflexos Rápidos, Vontade de Ferro, Ataque Desarmado Aprimorado.</t>
  </si>
  <si>
    <t>Monge Arte das Armas</t>
  </si>
  <si>
    <t>Usar Armas (simples), Usar Arma Exótica (nunchaku, sai, shuriken), Fortitude Maior, Reflexos Rápidos, Vontade de Ferro.</t>
  </si>
  <si>
    <t>Samurai Clã das Montanhas</t>
  </si>
  <si>
    <t>Samurai Clã das Nuvens</t>
  </si>
  <si>
    <t>Samurai Clã dos Rios</t>
  </si>
  <si>
    <t>Usar Armaduras (leves, médias e pesadas), Usar Armas (simples e marciais), Fortitude Maior.</t>
  </si>
  <si>
    <t>Usar Armaduras (leves e médias), Usar Armas (simples e marciais), Vontade de Ferro.</t>
  </si>
  <si>
    <t>Usar Armaduras (leves e médias), Usar Armas (simples e marciais), Reflexos Rápidos.</t>
  </si>
  <si>
    <t>Bárbaro Tribo do Machado de Pedra</t>
  </si>
  <si>
    <t>Bárbaro Tribo do Totem</t>
  </si>
  <si>
    <t>Bárbaro Tribo da Savana</t>
  </si>
  <si>
    <t>Fortitude Maior, Treino em Perícia (Sobrevivência) e Vitalidade.</t>
  </si>
  <si>
    <t>Usar Armaduras (leves), Usar Armas (simples e marciais), Usar Escudos, Reflexos Rápidos, Mobilidade.</t>
  </si>
  <si>
    <t>Usar Armaduras (leves), Usar Armas (bo (cajado), fukiya (zarabatana), hankyu
(arco curto), kusari-gama, neko-te, ninja-to (espada curta),
nunchaku, sai, shuriken, tanto (adaga), tonfa, yari (lança)), Reflexos Rápidos, Vontade de Ferro, Ataque Desarmado Aprimorado.</t>
  </si>
  <si>
    <t>Bardo Colégio dos Menestréis</t>
  </si>
  <si>
    <t>Bardo Colégio dos Arcanista</t>
  </si>
  <si>
    <t>Ladino Guilda dos Capangas</t>
  </si>
  <si>
    <t>Ladino Guilda dos Gatunos</t>
  </si>
  <si>
    <t>Ranger Patrula dos Arqueiros</t>
  </si>
  <si>
    <t>Ranger Patrulha dos Caçadores</t>
  </si>
  <si>
    <t>Swashbucklers Clube dos Duelistas</t>
  </si>
  <si>
    <t>Swashbucklers Clube dos Exploradores</t>
  </si>
  <si>
    <t>Usar Armaduras (leves),  Usar Armas (simples e marciais), Usar Escudos, Reflexos Rápidos, Usar Venenos.</t>
  </si>
  <si>
    <t>Usar Armas (simples e marciais), Fortitude Maior, Reflexos Rápidos, Rastrear.</t>
  </si>
  <si>
    <t>Clérigo Congregação dos Cruzados</t>
  </si>
  <si>
    <t>Clérigo Congregação dos Enclausurados</t>
  </si>
  <si>
    <t>Clérigo Congregação dos Usurpadores</t>
  </si>
  <si>
    <t>Druida Tradição dos Ermitões</t>
  </si>
  <si>
    <t>Druida Tradição dos Metamorfos</t>
  </si>
  <si>
    <t>Druida Tradição dos Senhores das Feras</t>
  </si>
  <si>
    <t>Paladino Ordem dos Caçadores de Hor.</t>
  </si>
  <si>
    <t>Paladino Ordem dos Santos</t>
  </si>
  <si>
    <t>Paladino Ordem dos Vassalos</t>
  </si>
  <si>
    <t>Usar Armaduras (leves, médias e pesadas), Usar Armas (simples e Marciais), Usar Escudos, Fortitude Maior, Vontade de Ferro.</t>
  </si>
  <si>
    <t>Usar Armas (simples), Usar Escudos, Fortitude Maior, Vontade de Ferro.</t>
  </si>
  <si>
    <t>Usar Armaduras (leves), Usar Armas (simples), Usar Escudos, Fortitude Maior, Vontade de Ferro.</t>
  </si>
  <si>
    <t>Usar Armas (simples), Usar Escudos, Fortitude Maior, Vontade de Ferro, Senso da Natureza.</t>
  </si>
  <si>
    <t>Usar Armaduras (leves), Usar Armas (simples e marciais), Usar Escudos, Fortitude Maior, Reflexos Rápidos.</t>
  </si>
  <si>
    <t>Mago Abjurador</t>
  </si>
  <si>
    <t>Mago Adivinho</t>
  </si>
  <si>
    <t>Bruxo</t>
  </si>
  <si>
    <t>Mago Cronomante</t>
  </si>
  <si>
    <t>Mago Encantador</t>
  </si>
  <si>
    <t>Mago Evocador</t>
  </si>
  <si>
    <t>Mago Geomante</t>
  </si>
  <si>
    <t>Mago Ilusionista</t>
  </si>
  <si>
    <t>Mago Invocador</t>
  </si>
  <si>
    <t>Mago Necromante</t>
  </si>
  <si>
    <t>Mago Trasmutador</t>
  </si>
  <si>
    <t>Feiticeiro Linhagem Caótica</t>
  </si>
  <si>
    <t>Feiticeiro Linhagem Celestial</t>
  </si>
  <si>
    <t>Feiticeiro Linhagem Demoníaca</t>
  </si>
  <si>
    <t>Feiticeiro Linhagem Diabólica</t>
  </si>
  <si>
    <t>Feiticeiro Linhagem Feérica</t>
  </si>
  <si>
    <t>Feiticeiro Linhagem Ofídica</t>
  </si>
  <si>
    <t>Feiticeiro Linhagem Ordeira</t>
  </si>
  <si>
    <t>Feiticeiro Linhagem Primordial</t>
  </si>
  <si>
    <t>Intimidação (For)</t>
  </si>
  <si>
    <t>DEFINA ESTILO DE PONTOS</t>
  </si>
  <si>
    <t>Estilo Pontos</t>
  </si>
  <si>
    <t>Normal</t>
  </si>
  <si>
    <t>Elite</t>
  </si>
  <si>
    <t>Plebeu</t>
  </si>
  <si>
    <t>Estilo de Pontos</t>
  </si>
  <si>
    <t xml:space="preserve">Elite </t>
  </si>
  <si>
    <t>Elite2</t>
  </si>
  <si>
    <t>Elite3</t>
  </si>
  <si>
    <t>Elite4</t>
  </si>
  <si>
    <t>Elite5</t>
  </si>
  <si>
    <t>Elite6</t>
  </si>
  <si>
    <t>Usar Armas Simples, Usar Armaduras Leves, Usar Escudos.</t>
  </si>
  <si>
    <t>Jogatina (Car)</t>
  </si>
  <si>
    <t>Joga</t>
  </si>
  <si>
    <t>Jogatina</t>
  </si>
  <si>
    <t>Malandro</t>
  </si>
  <si>
    <t>Bufão de Hyninn</t>
  </si>
  <si>
    <t xml:space="preserve">Perícias: Acrobacia 8 graduações, treinado em Atuação (dramaturgia); Tendência: qualquer não Leal; Especial: deve possuir a habilidade de classe música de bardo (canção apavorante) e ser devoto de Hynnin. </t>
  </si>
  <si>
    <t>Carteador</t>
  </si>
  <si>
    <t>Habilidades: Carisma 13; Tendência: qualquer Caótica; Perícias: Jogatina 10 graduações, treinado em Enganação, Ladinagem e Intuição; Talentos: Foco em Perícia (Jogatina).</t>
  </si>
  <si>
    <t>Chapéu-Preto</t>
  </si>
  <si>
    <t>BBA +5; Tendência: qualquer não Leal e não Bondosa; Perícias: treinado em Intimidação; Talentos: Foco em Perícia (Intimidação), Iniciativa Aprimorada.</t>
  </si>
  <si>
    <t>Doutor de Thyatis</t>
  </si>
  <si>
    <t>Tendência: Neutro e Bondoso ou Caótico e Bondoso; Perícias: Diplomacia 8 graduações, treinado em Conhecimento (História), Cura e Percepção; Especial: devoto de Thyatis.</t>
  </si>
  <si>
    <t>Espiaõ de Elite</t>
  </si>
  <si>
    <t xml:space="preserve">BBA +6; Perícias: treinado em Diplomacia, Enganação e  Ladinagem; Talentos: Atraente; Especial: deve ter como reino, uma coalização (o Reinado, o Imp´´erio de Tapista ou a Liga Independente) ou uma organização muito poderosa (como a Academia Arcana). </t>
  </si>
  <si>
    <t>Lobo do Mar</t>
  </si>
  <si>
    <t>BBA +5; Perícias: treinado em Acrobacia, Atletismo e Oficio (marinheiro); Talentos: Esquiva, Liderança (seguidores); Especial: deve possuir e comandar um navio no valor de pelo menos 10.000 TO.</t>
  </si>
  <si>
    <t>Mestre dos Disfarces</t>
  </si>
  <si>
    <t>Perícias: Enganação 8 graduações; Talentos: Foco em Perícia (Enganação), Impostor; Tendência: qualquer não Leal.</t>
  </si>
  <si>
    <t>Mosqueteiro Imperial</t>
  </si>
  <si>
    <t>BBA +7; Perícias: treinado em Acrobacia, Diplomacia e Iniciativa; Talentos: Iniciativa Aprimorada e Torcida; Tendência: qualquer Leal; Especial: deve possuir a habilidade evasão e ter sido aceito pelos Mosqueteiros Imperiais de Deheon.</t>
  </si>
  <si>
    <t>Ninja Infiltrado</t>
  </si>
  <si>
    <t>BBA +5; Perícias: treinado em Enganação; Talentos: Diligente, Foco em Perícia (Enganação), Fraudulento, Impostor, um talento da lista de talentos adicionais da classe simulada (veja a seguir); Especial: 5º nível de ninja, não pode ser um humano tamuraninano. Ao adquirir o 1º nível desta CdP, deve se estabelecer em um local novo, onde ninguém (exceto o círculo de confiança) conheça sua identidade.</t>
  </si>
  <si>
    <t>Customizada [1]</t>
  </si>
  <si>
    <t>raça</t>
  </si>
  <si>
    <t>outros+raça</t>
  </si>
  <si>
    <t>Tamanho Médio. Deslocamento 6m em terra/ 18m voo.</t>
  </si>
  <si>
    <t xml:space="preserve">Visão na Penumbra. Um feithnari ignora camufl agem (mas não camufl agem total) por escuridão. </t>
  </si>
  <si>
    <t xml:space="preserve"> +4 em testes de Percepção. Feithnari podem enxergar muito longe. </t>
  </si>
  <si>
    <t xml:space="preserve"> Resistência a fogo 5. Feithnari ignoram os primeiros 5 pontos provocados por ataques flamejantes.</t>
  </si>
  <si>
    <t>Feithnari</t>
  </si>
  <si>
    <t>Kobolds</t>
  </si>
  <si>
    <t xml:space="preserve">Classe de Armadura +1. Kobolds têm escamas duras sobre o corpo. </t>
  </si>
  <si>
    <t>Feithnari podem fazer testes de Conhecimento mesmo sem treinamento, por seus aprendizados</t>
  </si>
  <si>
    <t xml:space="preserve"> longos e intensos sobre os detalhes de Arton e outros mundos. </t>
  </si>
  <si>
    <t xml:space="preserve">Potência Dracônica. Os descritores ácido, eletricidade, fogo ou frio conjuradas por um kobold </t>
  </si>
  <si>
    <t>recebem um bônus de +1 em cada dado de dano. Um toque chocante, por exemplo, causaria 2d8+2 pontos de dano.</t>
  </si>
  <si>
    <t xml:space="preserve">Deslocamento 9m. Mesmo sendo criaturas Pequenas, kobolds são bastante ágeis, possuindo o  </t>
  </si>
  <si>
    <t>mesmo deslocamento de criaturas Médias.</t>
  </si>
  <si>
    <t>Sensibilidade a luz. Kobolds ficam ofuscados (–1 em ataques) sob luz solar ou a magia luz do dia.</t>
  </si>
  <si>
    <t xml:space="preserve">Horda. Quando + de um kobold ataca o msm alvo ao mesmo tempo, todos eles recebem um bônus </t>
  </si>
  <si>
    <t xml:space="preserve">em qlqr jogada de ataque, seja corpo-a-corpo ou à distância, igual ao número de kobolds atacando </t>
  </si>
  <si>
    <t xml:space="preserve">—Ex. +5 se forem 5 kobolds. O bônus máximo que um kobold pode receber com esta habilidade </t>
  </si>
  <si>
    <t>kobold ignora camuflagem (incluindo camufl agem total) por escuridão.</t>
  </si>
  <si>
    <t xml:space="preserve">Visão no Escuro. Kobolds podem enxergar no escuro a até 18m, mas apenas em preto e branco. Um </t>
  </si>
  <si>
    <t>Minaques</t>
  </si>
  <si>
    <t>Recebe Grandão como talento adicional , sem precisar satisfazer seus pré-requisitos.</t>
  </si>
  <si>
    <t xml:space="preserve">Classe de Armadura +1. Minaques têm pêlos espessos e um couro rígido. Além disso, eles nunca </t>
  </si>
  <si>
    <t xml:space="preserve">precisam fazer testes de Fortitude para evitar dano por ambientes frios (mas recebem dano normal </t>
  </si>
  <si>
    <t>por magias e efeitos de frio).</t>
  </si>
  <si>
    <t xml:space="preserve">+4 em testes de Atletismo e Sobrevivência. Desde muito cedo, minaques aprendem a escalar </t>
  </si>
  <si>
    <t xml:space="preserve">paredões, saltar precipícios, caçar e sobreviver nas montanhas geladas. </t>
  </si>
  <si>
    <t>Visão na Penumbra. Um skliryne ignora camuflagem (mas não camuflagem total) por escuridão.</t>
  </si>
  <si>
    <t>1 perícia treinada extra, que não precisa ser entre suas perícias de classe. Sklirynei são versáteis.</t>
  </si>
  <si>
    <t xml:space="preserve"> Para os sklirynei, pistolas e mosquetes são considerados armas simples, e eles não precisam ser </t>
  </si>
  <si>
    <t xml:space="preserve">treinados em perícias para usar armas ou armaduras tecnológicas (como o escafandro ou algumas </t>
  </si>
  <si>
    <t>armas descritas no Manual do Combate e no Manual do Malandro).</t>
  </si>
  <si>
    <t>Sklirynei com Carisma 10 ou mais podem lançar livremente as magias globos de luz, mãos mágicas</t>
  </si>
  <si>
    <t xml:space="preserve"> ou prestidigitação.</t>
  </si>
  <si>
    <t xml:space="preserve">Por seus ossos frágeis, sklirynei sofrem um ponto de dano adicional por dado de dano de </t>
  </si>
  <si>
    <t xml:space="preserve">esmagamento. Por exemplo, um golpe normal de clava (dano 1d6) causa 1d6+1 pontos de dano em </t>
  </si>
  <si>
    <t>um skliryne. Já um tiro de tai-tai (dano 2d4) causa 2d4+2 pontos de dano.</t>
  </si>
  <si>
    <t>Sklirynei</t>
  </si>
  <si>
    <t>Elfo Sombrio</t>
  </si>
  <si>
    <t>Vião no escuro.</t>
  </si>
  <si>
    <t xml:space="preserve">Elfos sombrios sabem usar espadas curtas, fl oretes e bestas de mão, e recebem Foco em Arma com  </t>
  </si>
  <si>
    <t>uma destas armas (à escolha do jogador) como talento adicional.</t>
  </si>
  <si>
    <t xml:space="preserve"> +4 em testes de resistência contra magias ou habilidades similares a magia. </t>
  </si>
  <si>
    <t xml:space="preserve"> +4 em testes de Identifi car Magia e Percepção.</t>
  </si>
  <si>
    <t>Magias arcanas lançada por um elfo sombrio tem CD +2 para resistir.</t>
  </si>
  <si>
    <t xml:space="preserve">Sensibilidade à luz. Um elfo sombrio fica ofuscado (–1 nas jogadas de ataque) quando exposto à luz </t>
  </si>
  <si>
    <t>do sol ou similares, como a magia luz do dia.</t>
  </si>
  <si>
    <t>Homen-Lagarto</t>
  </si>
  <si>
    <t>Tamanho Médio. Deslocamento 9m, natação 9m.</t>
  </si>
  <si>
    <t>Visão no escuro.</t>
  </si>
  <si>
    <t xml:space="preserve"> +4 em testes de Atletismo; recebem Casca Grossa como um talento adicional.</t>
  </si>
  <si>
    <t>Armas naturais. Um homem-lagarto pode atacar com duas garras (dano 1d3, corte) e uma mordida</t>
  </si>
  <si>
    <t>penalidade de –4 em todas as jogadas de ataque.</t>
  </si>
  <si>
    <t xml:space="preserve">(dano 1d4, perfuração). Ele pode atacar com a mordida e armas na mesma rodada, mas sofre uma  </t>
  </si>
  <si>
    <t>Prender a respiração. Um homem-lagarto pode respirar embaixo d’água durante um número de horas</t>
  </si>
  <si>
    <t xml:space="preserve"> igual a seu modifi cador de Constituição (mínimo 1 hora). Depois disso, começa a sufocar. </t>
  </si>
  <si>
    <t xml:space="preserve"> Vulnerabilidade ao frio. Membros do povo-lagarto recebem +50% de dano por magias ou efeitos </t>
  </si>
  <si>
    <t>de frio.</t>
  </si>
  <si>
    <t>Velocis</t>
  </si>
  <si>
    <t>Os traços raciais acima NÃO são preenchidos automaticamente (exceto tamanho e resistência dos Halflings).</t>
  </si>
  <si>
    <t>é igual a metade do seu nível de personagem, arredondado para baixo (por exemplo, +3 no 6º nível).</t>
  </si>
  <si>
    <t>Numeromante</t>
  </si>
  <si>
    <t>Pistoleiro Arcano</t>
  </si>
  <si>
    <t>Feiticeiro Linhagem Elemental</t>
  </si>
  <si>
    <t>Feiticeiro Linhagem Selvagem</t>
  </si>
  <si>
    <t xml:space="preserve">Andarilho do Horizonte </t>
  </si>
  <si>
    <t>Deuses</t>
  </si>
  <si>
    <t>Perícias: Conhecimento (geografi a) 8 graduações, treinado em Sobrevivência; Talentos: Rastrear, Tolerância; Especial: deve ter viajado uma distância equivalente a cruzar o continente de Arton no sentido leste-oeste (10.000km)</t>
  </si>
  <si>
    <t>Campeão do Aleatório</t>
  </si>
  <si>
    <t>BBA +4; Tendencia: qualquer Caótica; Perícias: treinado em Conhecimento (religião); Talentos: Foco em Arma (qualquer), Foco em Perícia (qualquer), Domínio do Caos; Magias: capacidade de lançar magias divinas de 2º nível; Especial: ser devoto de Nimb e fazer contato solitário (pacífi co ou não) com um nativo de Al-Gazara.</t>
  </si>
  <si>
    <t>Exorcista da Última Baixa</t>
  </si>
  <si>
    <t>Perícias: treinado em Conhecimento (religião); Talentos: Expulsar Mortos-Vivos; Magias: capacidade de lançar magias divinas de 3º nível; Especial: habilidade de classe canalizar energia positiva; deve ser treinado por outro exorcista da última baixa.</t>
  </si>
  <si>
    <t xml:space="preserve">Guerreiro do Poder Supremo </t>
  </si>
  <si>
    <t>BBA +7; Talentos: Ataque Poderoso, Duro de Matar, Poder Latente, Refl exos de Combate; Especial: deve ser treinado por outro guerreiro do poder supremo.</t>
  </si>
  <si>
    <t xml:space="preserve">Monge do Fluxo Divino </t>
  </si>
  <si>
    <t>BBA+5; Perícias: treinado em Meditação; Talentos: Iniciativa Aprimorada, Prontidão; Especial: habilidade de classe ataque chi; não pode ser devoto de nenhuma divindade; deve ser aceito e treinado pelos monges de Shambhalid.</t>
  </si>
  <si>
    <t>Pacificador</t>
  </si>
  <si>
    <t>BBA+5; Perícias: treinado em Intuição; Talentos: Foco em Arma (qualquer).</t>
  </si>
  <si>
    <t xml:space="preserve">Portador dos Segredos </t>
  </si>
  <si>
    <t>Tendência: qualquer não Leal; Perícias: Conhecimento (planar), Furtividade e Ladinagem 8 graduações; Talentos: Acrobacia Audaz, Ágil e Sorrateiro; Especial: deve ser aceito como discípulo por Liao-Nyaa Kando ou outro portador dos segredos.</t>
  </si>
  <si>
    <t>Senhor das Chamas</t>
  </si>
  <si>
    <t>BBA+7; Talentos: Fortitude Maior, Tolerância, Vontade de Ferro; Especial: não pode possuir deslocamento de natação.</t>
  </si>
  <si>
    <t>Pré-Requisitos Variantes - Colocar um aviso com os requisitos na pág de Classe</t>
  </si>
  <si>
    <t>Pré-Requisitos CDPS - Informar os pré-requisitos na aba de Classe</t>
  </si>
  <si>
    <t>Natureza</t>
  </si>
  <si>
    <t>Geografia</t>
  </si>
  <si>
    <t>Magia</t>
  </si>
  <si>
    <t>Conhecimento História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</si>
</sst>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\+0_);\-0"/>
    <numFmt numFmtId="165" formatCode="\+0_);\-0;"/>
    <numFmt numFmtId="166" formatCode="\(\+0\)_);\(\-0\)"/>
    <numFmt numFmtId="167" formatCode="\(\+0\)_);\(\-0\);\(\+0\);\(@\)"/>
  </numFmts>
  <fonts count="14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8"/>
      <color rgb="FF800000"/>
      <name val="Times New Roman"/>
      <family val="1"/>
    </font>
    <font>
      <b/>
      <sz val="8"/>
      <color rgb="FF800000"/>
      <name val="Times New Roman"/>
      <family val="1"/>
    </font>
    <font>
      <b/>
      <sz val="14"/>
      <color theme="1"/>
      <name val="Times New Roman"/>
      <family val="1"/>
    </font>
    <font>
      <b/>
      <sz val="12"/>
      <color theme="0"/>
      <name val="Maiandra GD"/>
      <family val="2"/>
    </font>
    <font>
      <b/>
      <i/>
      <sz val="9"/>
      <color rgb="FF800000"/>
      <name val="Times New Roman"/>
      <family val="1"/>
    </font>
    <font>
      <b/>
      <i/>
      <sz val="10"/>
      <color rgb="FF80000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color rgb="FF800000"/>
      <name val="Times New Roman"/>
      <family val="1"/>
    </font>
    <font>
      <b/>
      <sz val="8"/>
      <name val="Times New Roman"/>
      <family val="1"/>
    </font>
    <font>
      <sz val="8"/>
      <color theme="1"/>
      <name val="Wingdings"/>
      <charset val="2"/>
    </font>
    <font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rgb="FF800000"/>
      <name val="Times New Roman"/>
      <family val="1"/>
    </font>
    <font>
      <b/>
      <sz val="9"/>
      <color rgb="FF800000"/>
      <name val="Maiandra GD"/>
      <family val="2"/>
    </font>
    <font>
      <b/>
      <sz val="11"/>
      <color rgb="FF800000"/>
      <name val="Times New Roman"/>
      <family val="1"/>
    </font>
    <font>
      <u/>
      <sz val="11"/>
      <color theme="10"/>
      <name val="Calibri"/>
      <family val="2"/>
    </font>
    <font>
      <sz val="9"/>
      <color rgb="FF800000"/>
      <name val="Times New Roman"/>
      <family val="1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0"/>
      <name val="Maiandra GD"/>
      <family val="2"/>
    </font>
    <font>
      <sz val="10"/>
      <color theme="1" tint="0.249977111117893"/>
      <name val="Times New Roman"/>
      <family val="1"/>
    </font>
    <font>
      <sz val="6"/>
      <name val="Times New Roman"/>
      <family val="1"/>
    </font>
    <font>
      <sz val="16"/>
      <name val="Times New Roman"/>
      <family val="1"/>
    </font>
    <font>
      <sz val="8"/>
      <color theme="0"/>
      <name val="Times New Roman"/>
      <family val="1"/>
    </font>
    <font>
      <b/>
      <sz val="18"/>
      <color theme="0"/>
      <name val="Times New Roman"/>
      <family val="1"/>
    </font>
    <font>
      <b/>
      <sz val="10"/>
      <name val="Times New Roman"/>
      <family val="1"/>
    </font>
    <font>
      <b/>
      <sz val="12"/>
      <color rgb="FFC00000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b/>
      <sz val="18"/>
      <name val="Times New Roman"/>
      <family val="1"/>
    </font>
    <font>
      <sz val="12"/>
      <color rgb="FF002060"/>
      <name val="Monotype Corsiva"/>
      <family val="4"/>
    </font>
    <font>
      <sz val="8"/>
      <color rgb="FF002060"/>
      <name val="Times New Roman"/>
      <family val="1"/>
    </font>
    <font>
      <sz val="9"/>
      <color rgb="FF002060"/>
      <name val="Times New Roman"/>
      <family val="1"/>
    </font>
    <font>
      <sz val="12"/>
      <color theme="1"/>
      <name val="Times New Roman"/>
      <family val="1"/>
    </font>
    <font>
      <sz val="10"/>
      <color rgb="FF002060"/>
      <name val="Times New Roman"/>
      <family val="1"/>
    </font>
    <font>
      <b/>
      <sz val="12"/>
      <color theme="0"/>
      <name val="Times New Roman"/>
      <family val="1"/>
    </font>
    <font>
      <i/>
      <sz val="10"/>
      <color theme="1"/>
      <name val="Times New Roman"/>
      <family val="1"/>
    </font>
    <font>
      <sz val="12"/>
      <color theme="1"/>
      <name val="Monotype Corsiva"/>
      <family val="4"/>
    </font>
    <font>
      <b/>
      <i/>
      <sz val="12"/>
      <color rgb="FF800000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u/>
      <sz val="14"/>
      <color rgb="FFC00000"/>
      <name val="Calibri"/>
      <family val="2"/>
      <scheme val="minor"/>
    </font>
    <font>
      <sz val="1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00"/>
      <name val="Times New Roman"/>
      <family val="1"/>
    </font>
    <font>
      <b/>
      <sz val="8"/>
      <color theme="0"/>
      <name val="Times New Roman"/>
      <family val="1"/>
    </font>
    <font>
      <b/>
      <sz val="14"/>
      <color theme="0"/>
      <name val="Times New Roman"/>
      <family val="1"/>
    </font>
    <font>
      <b/>
      <sz val="11"/>
      <color theme="0" tint="-0.499984740745262"/>
      <name val="Times New Roman"/>
      <family val="1"/>
    </font>
    <font>
      <sz val="11"/>
      <color theme="0" tint="-0.499984740745262"/>
      <name val="Times New Roman"/>
      <family val="1"/>
    </font>
    <font>
      <i/>
      <sz val="10"/>
      <color theme="1" tint="0.249977111117893"/>
      <name val="Times New Roman"/>
      <family val="1"/>
    </font>
    <font>
      <i/>
      <sz val="8"/>
      <color theme="1"/>
      <name val="Calibri"/>
      <family val="2"/>
      <scheme val="minor"/>
    </font>
    <font>
      <b/>
      <u/>
      <sz val="11"/>
      <color rgb="FF800000"/>
      <name val="Times New Roman"/>
      <family val="1"/>
    </font>
    <font>
      <sz val="8"/>
      <color indexed="81"/>
      <name val="Tahoma"/>
      <family val="2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name val="Times New Roman"/>
      <family val="1"/>
    </font>
    <font>
      <sz val="8"/>
      <color theme="0"/>
      <name val="Calibri"/>
      <family val="2"/>
      <scheme val="minor"/>
    </font>
    <font>
      <b/>
      <sz val="12"/>
      <color rgb="FF00B050"/>
      <name val="Times New Roman"/>
      <family val="1"/>
    </font>
    <font>
      <b/>
      <sz val="11"/>
      <color rgb="FF663300"/>
      <name val="Times New Roman"/>
      <family val="1"/>
    </font>
    <font>
      <sz val="11"/>
      <color rgb="FF663300"/>
      <name val="Times New Roman"/>
      <family val="1"/>
    </font>
    <font>
      <i/>
      <sz val="10"/>
      <color rgb="FF0070C0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Wingdings"/>
      <charset val="2"/>
    </font>
    <font>
      <b/>
      <sz val="10"/>
      <color rgb="FF663300"/>
      <name val="Times New Roman"/>
      <family val="1"/>
    </font>
    <font>
      <sz val="11"/>
      <color rgb="FFA50021"/>
      <name val="Times New Roman"/>
      <family val="1"/>
    </font>
    <font>
      <b/>
      <sz val="9"/>
      <color theme="0"/>
      <name val="Maiandra GD"/>
      <family val="2"/>
    </font>
    <font>
      <sz val="11"/>
      <color rgb="FF800000"/>
      <name val="Times New Roman"/>
      <family val="1"/>
    </font>
    <font>
      <b/>
      <sz val="12"/>
      <color rgb="FF002060"/>
      <name val="Times New Roman"/>
      <family val="1"/>
    </font>
    <font>
      <sz val="10"/>
      <color rgb="FF800000"/>
      <name val="Calibri"/>
      <family val="2"/>
      <scheme val="minor"/>
    </font>
    <font>
      <sz val="12"/>
      <color rgb="FF002060"/>
      <name val="Times New Roman"/>
      <family val="1"/>
    </font>
    <font>
      <b/>
      <sz val="14"/>
      <color rgb="FF002060"/>
      <name val="Times New Roman"/>
      <family val="1"/>
    </font>
    <font>
      <b/>
      <sz val="10"/>
      <color rgb="FF002060"/>
      <name val="Times New Roman"/>
      <family val="1"/>
    </font>
    <font>
      <sz val="8"/>
      <color rgb="FFC00000"/>
      <name val="Times New Roman"/>
      <family val="1"/>
    </font>
    <font>
      <b/>
      <u/>
      <sz val="12"/>
      <color rgb="FF008000"/>
      <name val="Times New Roman"/>
      <family val="1"/>
    </font>
    <font>
      <b/>
      <sz val="18"/>
      <color rgb="FF008000"/>
      <name val="Times New Roman"/>
      <family val="1"/>
    </font>
    <font>
      <sz val="10"/>
      <color theme="1" tint="0.499984740745262"/>
      <name val="Times New Roman"/>
      <family val="1"/>
    </font>
    <font>
      <sz val="8"/>
      <color rgb="FF800000"/>
      <name val="Calibri"/>
      <family val="2"/>
      <scheme val="minor"/>
    </font>
    <font>
      <b/>
      <sz val="9"/>
      <color theme="1"/>
      <name val="Times New Roman"/>
      <family val="1"/>
    </font>
    <font>
      <b/>
      <i/>
      <sz val="8"/>
      <color rgb="FF800000"/>
      <name val="Times New Roman"/>
      <family val="1"/>
    </font>
    <font>
      <b/>
      <i/>
      <sz val="11"/>
      <color rgb="FF800000"/>
      <name val="Times New Roman"/>
      <family val="1"/>
    </font>
    <font>
      <sz val="8"/>
      <color theme="0" tint="-0.499984740745262"/>
      <name val="Times New Roman"/>
      <family val="1"/>
    </font>
    <font>
      <b/>
      <sz val="8"/>
      <color rgb="FF00B050"/>
      <name val="Times New Roman"/>
      <family val="1"/>
    </font>
    <font>
      <b/>
      <sz val="9"/>
      <color theme="0"/>
      <name val="Times New Roman"/>
      <family val="1"/>
    </font>
    <font>
      <sz val="10"/>
      <color rgb="FF800000"/>
      <name val="Times New Roman"/>
      <family val="1"/>
    </font>
    <font>
      <sz val="14"/>
      <color theme="1"/>
      <name val="Wingdings"/>
      <charset val="2"/>
    </font>
    <font>
      <sz val="14"/>
      <name val="Wingdings"/>
      <charset val="2"/>
    </font>
    <font>
      <sz val="11"/>
      <color rgb="FF002060"/>
      <name val="Calibri"/>
      <family val="2"/>
      <scheme val="minor"/>
    </font>
    <font>
      <sz val="10"/>
      <color theme="0" tint="-0.249977111117893"/>
      <name val="Times New Roman"/>
      <family val="1"/>
    </font>
    <font>
      <sz val="10"/>
      <color rgb="FFFFFFCC"/>
      <name val="Times New Roman"/>
      <family val="1"/>
    </font>
    <font>
      <b/>
      <sz val="10"/>
      <color rgb="FFC00000"/>
      <name val="Times New Roman"/>
      <family val="1"/>
    </font>
    <font>
      <i/>
      <sz val="9"/>
      <color theme="1"/>
      <name val="Times New Roman"/>
      <family val="1"/>
    </font>
    <font>
      <sz val="10"/>
      <color rgb="FF00B050"/>
      <name val="Times New Roman"/>
      <family val="1"/>
    </font>
    <font>
      <b/>
      <sz val="12"/>
      <color theme="1" tint="0.14999847407452621"/>
      <name val="Times New Roman"/>
      <family val="1"/>
    </font>
    <font>
      <i/>
      <sz val="10"/>
      <name val="Times New Roman"/>
      <family val="1"/>
    </font>
    <font>
      <i/>
      <sz val="10"/>
      <color theme="1" tint="0.14999847407452621"/>
      <name val="Times New Roman"/>
      <family val="1"/>
    </font>
    <font>
      <i/>
      <sz val="10"/>
      <color theme="0" tint="-0.499984740745262"/>
      <name val="Times New Roman"/>
      <family val="1"/>
    </font>
    <font>
      <sz val="11"/>
      <color theme="0"/>
      <name val="Times New Roman"/>
      <family val="1"/>
    </font>
    <font>
      <b/>
      <sz val="12"/>
      <color theme="0" tint="-0.14999847407452621"/>
      <name val="Times New Roman"/>
      <family val="1"/>
    </font>
    <font>
      <sz val="11"/>
      <color theme="0" tint="-0.14999847407452621"/>
      <name val="Times New Roman"/>
      <family val="1"/>
    </font>
    <font>
      <i/>
      <sz val="10"/>
      <color theme="0"/>
      <name val="Times New Roman"/>
      <family val="1"/>
    </font>
    <font>
      <b/>
      <sz val="14"/>
      <name val="Times New Roman"/>
      <family val="1"/>
    </font>
    <font>
      <b/>
      <u/>
      <sz val="12"/>
      <name val="Times New Roman"/>
      <family val="1"/>
    </font>
    <font>
      <b/>
      <sz val="14"/>
      <color rgb="FF663300"/>
      <name val="Times New Roman"/>
      <family val="1"/>
    </font>
    <font>
      <sz val="10"/>
      <color rgb="FF663300"/>
      <name val="Times New Roman"/>
      <family val="1"/>
    </font>
    <font>
      <b/>
      <sz val="12"/>
      <color rgb="FF663300"/>
      <name val="Times New Roman"/>
      <family val="1"/>
    </font>
    <font>
      <sz val="10"/>
      <color theme="0" tint="-0.14999847407452621"/>
      <name val="Times New Roman"/>
      <family val="1"/>
    </font>
    <font>
      <i/>
      <sz val="11"/>
      <color theme="0" tint="-0.499984740745262"/>
      <name val="Times New Roman"/>
      <family val="1"/>
    </font>
    <font>
      <i/>
      <sz val="11"/>
      <color theme="0"/>
      <name val="Times New Roman"/>
      <family val="1"/>
    </font>
    <font>
      <i/>
      <sz val="12"/>
      <color rgb="FFC00000"/>
      <name val="Times New Roman"/>
      <family val="1"/>
    </font>
    <font>
      <i/>
      <sz val="12"/>
      <color rgb="FFFF9900"/>
      <name val="Times New Roman"/>
      <family val="1"/>
    </font>
    <font>
      <i/>
      <sz val="9"/>
      <color rgb="FF002060"/>
      <name val="Times New Roman"/>
      <family val="1"/>
    </font>
    <font>
      <i/>
      <sz val="9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color theme="0" tint="-0.14999847407452621"/>
      <name val="Times New Roman"/>
      <family val="1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6"/>
      <color rgb="FF800000"/>
      <name val="Times New Roman"/>
      <family val="1"/>
    </font>
    <font>
      <b/>
      <sz val="8"/>
      <color rgb="FF800000"/>
      <name val="Calibri"/>
      <family val="2"/>
      <scheme val="minor"/>
    </font>
    <font>
      <sz val="10"/>
      <color rgb="FF222222"/>
      <name val="Arial"/>
      <family val="2"/>
    </font>
    <font>
      <sz val="10"/>
      <color rgb="FF222222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0"/>
      <color rgb="FF222222"/>
      <name val="Arial"/>
      <family val="2"/>
    </font>
    <font>
      <sz val="16"/>
      <color theme="1"/>
      <name val="Wingdings 2"/>
      <family val="1"/>
      <charset val="2"/>
    </font>
  </fonts>
  <fills count="1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0000"/>
        <bgColor indexed="64"/>
      </patternFill>
    </fill>
  </fills>
  <borders count="2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thin">
        <color rgb="FF8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ck">
        <color rgb="FF800000"/>
      </left>
      <right/>
      <top style="thick">
        <color rgb="FF800000"/>
      </top>
      <bottom/>
      <diagonal/>
    </border>
    <border>
      <left/>
      <right/>
      <top style="thick">
        <color rgb="FF800000"/>
      </top>
      <bottom/>
      <diagonal/>
    </border>
    <border>
      <left/>
      <right style="thick">
        <color rgb="FF800000"/>
      </right>
      <top style="thick">
        <color rgb="FF800000"/>
      </top>
      <bottom/>
      <diagonal/>
    </border>
    <border>
      <left style="thick">
        <color rgb="FF800000"/>
      </left>
      <right/>
      <top/>
      <bottom/>
      <diagonal/>
    </border>
    <border>
      <left/>
      <right style="thick">
        <color rgb="FF800000"/>
      </right>
      <top/>
      <bottom/>
      <diagonal/>
    </border>
    <border>
      <left style="thick">
        <color rgb="FF800000"/>
      </left>
      <right/>
      <top/>
      <bottom style="thick">
        <color rgb="FF800000"/>
      </bottom>
      <diagonal/>
    </border>
    <border>
      <left/>
      <right/>
      <top/>
      <bottom style="thick">
        <color rgb="FF800000"/>
      </bottom>
      <diagonal/>
    </border>
    <border>
      <left/>
      <right style="thick">
        <color rgb="FF800000"/>
      </right>
      <top/>
      <bottom style="thick">
        <color rgb="FF800000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auto="1"/>
      </top>
      <bottom style="dotted">
        <color auto="1"/>
      </bottom>
      <diagonal/>
    </border>
    <border>
      <left style="dotted">
        <color theme="0" tint="-0.34998626667073579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theme="0" tint="-0.34998626667073579"/>
      </right>
      <top style="dotted">
        <color auto="1"/>
      </top>
      <bottom style="dotted">
        <color auto="1"/>
      </bottom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auto="1"/>
      </top>
      <bottom style="dotted">
        <color auto="1"/>
      </bottom>
      <diagonal/>
    </border>
    <border>
      <left style="dotted">
        <color theme="0" tint="-0.34998626667073579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theme="0" tint="-0.34998626667073579"/>
      </right>
      <top style="dotted">
        <color auto="1"/>
      </top>
      <bottom style="thin">
        <color auto="1"/>
      </bottom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auto="1"/>
      </top>
      <bottom style="thin">
        <color auto="1"/>
      </bottom>
      <diagonal/>
    </border>
    <border>
      <left style="dotted">
        <color theme="0" tint="-0.34998626667073579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rgb="FFC00000"/>
      </left>
      <right/>
      <top style="hair">
        <color rgb="FFC00000"/>
      </top>
      <bottom/>
      <diagonal/>
    </border>
    <border>
      <left/>
      <right/>
      <top style="hair">
        <color rgb="FFC00000"/>
      </top>
      <bottom/>
      <diagonal/>
    </border>
    <border>
      <left/>
      <right style="hair">
        <color rgb="FFC00000"/>
      </right>
      <top style="hair">
        <color rgb="FFC00000"/>
      </top>
      <bottom/>
      <diagonal/>
    </border>
    <border>
      <left style="hair">
        <color rgb="FFC00000"/>
      </left>
      <right/>
      <top/>
      <bottom/>
      <diagonal/>
    </border>
    <border>
      <left/>
      <right style="hair">
        <color rgb="FFC00000"/>
      </right>
      <top/>
      <bottom/>
      <diagonal/>
    </border>
    <border>
      <left style="hair">
        <color rgb="FFC00000"/>
      </left>
      <right/>
      <top/>
      <bottom style="hair">
        <color rgb="FFC00000"/>
      </bottom>
      <diagonal/>
    </border>
    <border>
      <left/>
      <right/>
      <top/>
      <bottom style="hair">
        <color rgb="FFC00000"/>
      </bottom>
      <diagonal/>
    </border>
    <border>
      <left/>
      <right style="hair">
        <color rgb="FFC00000"/>
      </right>
      <top/>
      <bottom style="hair">
        <color rgb="FFC00000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rgb="FF800000"/>
      </left>
      <right/>
      <top style="thin">
        <color rgb="FF800000"/>
      </top>
      <bottom/>
      <diagonal/>
    </border>
    <border>
      <left/>
      <right style="thin">
        <color rgb="FF800000"/>
      </right>
      <top style="thin">
        <color rgb="FF800000"/>
      </top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thin">
        <color rgb="FF800000"/>
      </left>
      <right/>
      <top/>
      <bottom/>
      <diagonal/>
    </border>
    <border>
      <left style="thin">
        <color rgb="FF663300"/>
      </left>
      <right style="hair">
        <color indexed="64"/>
      </right>
      <top style="thin">
        <color rgb="FF663300"/>
      </top>
      <bottom/>
      <diagonal/>
    </border>
    <border>
      <left style="hair">
        <color indexed="64"/>
      </left>
      <right style="hair">
        <color indexed="64"/>
      </right>
      <top style="thin">
        <color rgb="FF663300"/>
      </top>
      <bottom/>
      <diagonal/>
    </border>
    <border>
      <left style="hair">
        <color indexed="64"/>
      </left>
      <right style="thin">
        <color rgb="FF663300"/>
      </right>
      <top style="thin">
        <color rgb="FF663300"/>
      </top>
      <bottom/>
      <diagonal/>
    </border>
    <border>
      <left style="thin">
        <color rgb="FF663300"/>
      </left>
      <right style="hair">
        <color indexed="64"/>
      </right>
      <top/>
      <bottom/>
      <diagonal/>
    </border>
    <border>
      <left style="hair">
        <color indexed="64"/>
      </left>
      <right style="thin">
        <color rgb="FF663300"/>
      </right>
      <top/>
      <bottom/>
      <diagonal/>
    </border>
    <border>
      <left style="thin">
        <color rgb="FF663300"/>
      </left>
      <right/>
      <top/>
      <bottom/>
      <diagonal/>
    </border>
    <border>
      <left/>
      <right style="thin">
        <color rgb="FF663300"/>
      </right>
      <top/>
      <bottom/>
      <diagonal/>
    </border>
    <border>
      <left style="thin">
        <color rgb="FF663300"/>
      </left>
      <right/>
      <top/>
      <bottom style="thin">
        <color rgb="FF663300"/>
      </bottom>
      <diagonal/>
    </border>
    <border>
      <left/>
      <right/>
      <top/>
      <bottom style="thin">
        <color rgb="FF663300"/>
      </bottom>
      <diagonal/>
    </border>
    <border>
      <left/>
      <right style="hair">
        <color indexed="64"/>
      </right>
      <top/>
      <bottom style="thin">
        <color rgb="FF663300"/>
      </bottom>
      <diagonal/>
    </border>
    <border>
      <left style="hair">
        <color indexed="64"/>
      </left>
      <right/>
      <top/>
      <bottom style="thin">
        <color rgb="FF663300"/>
      </bottom>
      <diagonal/>
    </border>
    <border>
      <left/>
      <right style="thin">
        <color rgb="FF663300"/>
      </right>
      <top/>
      <bottom style="thin">
        <color rgb="FF663300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rgb="FF008000"/>
      </left>
      <right/>
      <top style="medium">
        <color rgb="FF008000"/>
      </top>
      <bottom/>
      <diagonal/>
    </border>
    <border>
      <left/>
      <right/>
      <top style="medium">
        <color rgb="FF008000"/>
      </top>
      <bottom/>
      <diagonal/>
    </border>
    <border>
      <left/>
      <right style="medium">
        <color rgb="FF008000"/>
      </right>
      <top style="medium">
        <color rgb="FF008000"/>
      </top>
      <bottom/>
      <diagonal/>
    </border>
    <border>
      <left style="medium">
        <color rgb="FF008000"/>
      </left>
      <right/>
      <top/>
      <bottom style="medium">
        <color rgb="FF008000"/>
      </bottom>
      <diagonal/>
    </border>
    <border>
      <left/>
      <right/>
      <top/>
      <bottom style="medium">
        <color rgb="FF008000"/>
      </bottom>
      <diagonal/>
    </border>
    <border>
      <left/>
      <right style="medium">
        <color rgb="FF008000"/>
      </right>
      <top/>
      <bottom style="medium">
        <color rgb="FF008000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dotted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 style="dotted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theme="0" tint="-0.34998626667073579"/>
      </right>
      <top style="dotted">
        <color indexed="64"/>
      </top>
      <bottom style="dotted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dotted">
        <color indexed="64"/>
      </top>
      <bottom style="dotted">
        <color indexed="64"/>
      </bottom>
      <diagonal/>
    </border>
    <border>
      <left style="hair">
        <color theme="0" tint="-0.34998626667073579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theme="0" tint="-0.34998626667073579"/>
      </right>
      <top style="dotted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dotted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 style="hair">
        <color theme="0" tint="-0.34998626667073579"/>
      </right>
      <top/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/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/>
      <right style="hair">
        <color theme="0" tint="-0.34998626667073579"/>
      </right>
      <top style="thin">
        <color indexed="64"/>
      </top>
      <bottom style="dotted">
        <color indexed="64"/>
      </bottom>
      <diagonal/>
    </border>
    <border>
      <left/>
      <right style="hair">
        <color theme="0" tint="-0.34998626667073579"/>
      </right>
      <top style="dotted">
        <color indexed="64"/>
      </top>
      <bottom style="dotted">
        <color indexed="64"/>
      </bottom>
      <diagonal/>
    </border>
    <border>
      <left/>
      <right style="hair">
        <color theme="0" tint="-0.34998626667073579"/>
      </right>
      <top style="dotted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dashed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 style="dashed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theme="0" tint="-0.34998626667073579"/>
      </right>
      <top style="dashed">
        <color indexed="64"/>
      </top>
      <bottom style="dashed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dashed">
        <color indexed="64"/>
      </top>
      <bottom style="dashed">
        <color indexed="64"/>
      </bottom>
      <diagonal/>
    </border>
    <border>
      <left style="hair">
        <color theme="0" tint="-0.34998626667073579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hair">
        <color theme="0" tint="-0.34998626667073579"/>
      </right>
      <top style="dashed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dashed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thin">
        <color theme="0" tint="-0.14996795556505021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theme="0" tint="-0.14996795556505021"/>
      </right>
      <top style="dotted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indexed="64"/>
      </top>
      <bottom style="dotted">
        <color indexed="64"/>
      </bottom>
      <diagonal/>
    </border>
    <border>
      <left/>
      <right style="thin">
        <color theme="0" tint="-0.14996795556505021"/>
      </right>
      <top style="dotted">
        <color indexed="64"/>
      </top>
      <bottom style="dotted">
        <color indexed="64"/>
      </bottom>
      <diagonal/>
    </border>
    <border>
      <left/>
      <right style="thin">
        <color theme="0" tint="-0.14996795556505021"/>
      </right>
      <top style="dotted">
        <color indexed="64"/>
      </top>
      <bottom style="thin">
        <color auto="1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dotted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theme="0" tint="-0.14996795556505021"/>
      </right>
      <top style="dotted">
        <color indexed="64"/>
      </top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dotted">
        <color indexed="64"/>
      </top>
      <bottom style="dotted">
        <color indexed="64"/>
      </bottom>
      <diagonal/>
    </border>
    <border>
      <left style="thin">
        <color theme="0" tint="-0.14996795556505021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theme="0" tint="-0.14996795556505021"/>
      </right>
      <top style="dotted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dotted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indexed="64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thin">
        <color theme="0" tint="-0.14996795556505021"/>
      </right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theme="0" tint="-0.14996795556505021"/>
      </right>
      <top style="dotted">
        <color indexed="64"/>
      </top>
      <bottom/>
      <diagonal/>
    </border>
    <border>
      <left style="thin">
        <color theme="0" tint="-0.14996795556505021"/>
      </left>
      <right/>
      <top style="thin">
        <color indexed="64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dotted">
        <color indexed="64"/>
      </bottom>
      <diagonal/>
    </border>
    <border>
      <left style="thin">
        <color theme="0" tint="-0.14996795556505021"/>
      </left>
      <right/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ash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hair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/>
      <diagonal/>
    </border>
    <border>
      <left/>
      <right style="dotted">
        <color theme="0" tint="-0.34998626667073579"/>
      </right>
      <top style="thin">
        <color auto="1"/>
      </top>
      <bottom/>
      <diagonal/>
    </border>
    <border>
      <left/>
      <right style="dotted">
        <color theme="0" tint="-0.34998626667073579"/>
      </right>
      <top/>
      <bottom/>
      <diagonal/>
    </border>
    <border>
      <left/>
      <right style="dotted">
        <color theme="0" tint="-0.34998626667073579"/>
      </right>
      <top/>
      <bottom style="dotted">
        <color auto="1"/>
      </bottom>
      <diagonal/>
    </border>
    <border>
      <left style="hair">
        <color indexed="64"/>
      </left>
      <right/>
      <top style="dotted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hair">
        <color theme="0" tint="-0.34998626667073579"/>
      </left>
      <right/>
      <top style="dotted">
        <color indexed="64"/>
      </top>
      <bottom/>
      <diagonal/>
    </border>
    <border>
      <left style="hair">
        <color theme="0" tint="-0.34998626667073579"/>
      </left>
      <right/>
      <top/>
      <bottom/>
      <diagonal/>
    </border>
    <border>
      <left style="hair">
        <color theme="0" tint="-0.34998626667073579"/>
      </left>
      <right/>
      <top/>
      <bottom style="dotted">
        <color indexed="64"/>
      </bottom>
      <diagonal/>
    </border>
    <border>
      <left/>
      <right style="hair">
        <color theme="0" tint="-0.34998626667073579"/>
      </right>
      <top style="dotted">
        <color indexed="64"/>
      </top>
      <bottom/>
      <diagonal/>
    </border>
    <border>
      <left/>
      <right style="hair">
        <color theme="0" tint="-0.34998626667073579"/>
      </right>
      <top/>
      <bottom/>
      <diagonal/>
    </border>
    <border>
      <left/>
      <right style="hair">
        <color theme="0" tint="-0.34998626667073579"/>
      </right>
      <top/>
      <bottom style="dotted">
        <color indexed="64"/>
      </bottom>
      <diagonal/>
    </border>
    <border>
      <left style="hair">
        <color theme="0" tint="-0.34998626667073579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medium">
        <color auto="1"/>
      </bottom>
      <diagonal/>
    </border>
    <border>
      <left style="hair">
        <color indexed="64"/>
      </left>
      <right style="hair">
        <color indexed="64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/>
      <bottom style="dotted">
        <color auto="1"/>
      </bottom>
      <diagonal/>
    </border>
    <border>
      <left style="hair">
        <color auto="1"/>
      </left>
      <right style="medium">
        <color auto="1"/>
      </right>
      <top/>
      <bottom style="dotted">
        <color auto="1"/>
      </bottom>
      <diagonal/>
    </border>
    <border>
      <left/>
      <right style="thin">
        <color rgb="FF800000"/>
      </right>
      <top style="thin">
        <color auto="1"/>
      </top>
      <bottom style="dotted">
        <color auto="1"/>
      </bottom>
      <diagonal/>
    </border>
    <border>
      <left style="thin">
        <color rgb="FF800000"/>
      </left>
      <right/>
      <top style="thin">
        <color auto="1"/>
      </top>
      <bottom style="dotted">
        <color auto="1"/>
      </bottom>
      <diagonal/>
    </border>
    <border>
      <left/>
      <right style="thin">
        <color rgb="FF800000"/>
      </right>
      <top style="dotted">
        <color auto="1"/>
      </top>
      <bottom style="thin">
        <color auto="1"/>
      </bottom>
      <diagonal/>
    </border>
    <border>
      <left style="thin">
        <color rgb="FF800000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1633">
    <xf numFmtId="0" fontId="0" fillId="0" borderId="0" xfId="0"/>
    <xf numFmtId="0" fontId="38" fillId="0" borderId="0" xfId="0" applyFont="1"/>
    <xf numFmtId="0" fontId="52" fillId="0" borderId="0" xfId="0" applyFont="1"/>
    <xf numFmtId="0" fontId="21" fillId="0" borderId="0" xfId="0" applyFont="1" applyBorder="1" applyAlignment="1" applyProtection="1">
      <alignment vertical="center"/>
    </xf>
    <xf numFmtId="0" fontId="38" fillId="0" borderId="24" xfId="0" applyFont="1" applyBorder="1"/>
    <xf numFmtId="0" fontId="38" fillId="0" borderId="35" xfId="0" applyFont="1" applyBorder="1"/>
    <xf numFmtId="0" fontId="38" fillId="0" borderId="61" xfId="0" applyFont="1" applyBorder="1"/>
    <xf numFmtId="0" fontId="38" fillId="0" borderId="62" xfId="0" applyFont="1" applyBorder="1"/>
    <xf numFmtId="0" fontId="67" fillId="2" borderId="61" xfId="0" applyFont="1" applyFill="1" applyBorder="1" applyAlignment="1">
      <alignment horizontal="center" vertical="center"/>
    </xf>
    <xf numFmtId="0" fontId="67" fillId="2" borderId="62" xfId="0" applyFont="1" applyFill="1" applyBorder="1" applyAlignment="1">
      <alignment horizontal="center" vertical="center"/>
    </xf>
    <xf numFmtId="0" fontId="68" fillId="0" borderId="0" xfId="0" applyFont="1"/>
    <xf numFmtId="0" fontId="38" fillId="0" borderId="3" xfId="0" applyFont="1" applyBorder="1"/>
    <xf numFmtId="0" fontId="38" fillId="0" borderId="4" xfId="0" applyFont="1" applyBorder="1"/>
    <xf numFmtId="0" fontId="38" fillId="0" borderId="5" xfId="0" applyFont="1" applyBorder="1"/>
    <xf numFmtId="0" fontId="38" fillId="0" borderId="0" xfId="0" applyFont="1" applyBorder="1"/>
    <xf numFmtId="0" fontId="38" fillId="0" borderId="6" xfId="0" applyFont="1" applyBorder="1"/>
    <xf numFmtId="0" fontId="69" fillId="10" borderId="31" xfId="0" applyFont="1" applyFill="1" applyBorder="1" applyAlignment="1">
      <alignment horizontal="center" vertical="center"/>
    </xf>
    <xf numFmtId="0" fontId="69" fillId="10" borderId="23" xfId="0" applyFont="1" applyFill="1" applyBorder="1" applyAlignment="1">
      <alignment horizontal="center" vertical="center"/>
    </xf>
    <xf numFmtId="0" fontId="69" fillId="10" borderId="77" xfId="0" applyFont="1" applyFill="1" applyBorder="1" applyAlignment="1">
      <alignment horizontal="center" vertical="center"/>
    </xf>
    <xf numFmtId="0" fontId="38" fillId="0" borderId="7" xfId="0" applyFont="1" applyBorder="1"/>
    <xf numFmtId="0" fontId="69" fillId="10" borderId="77" xfId="0" applyFont="1" applyFill="1" applyBorder="1"/>
    <xf numFmtId="0" fontId="67" fillId="2" borderId="61" xfId="0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38" fillId="2" borderId="61" xfId="0" applyFont="1" applyFill="1" applyBorder="1" applyAlignment="1">
      <alignment vertical="center"/>
    </xf>
    <xf numFmtId="0" fontId="38" fillId="2" borderId="62" xfId="0" applyFont="1" applyFill="1" applyBorder="1" applyAlignment="1">
      <alignment vertical="center"/>
    </xf>
    <xf numFmtId="0" fontId="38" fillId="0" borderId="36" xfId="0" applyFont="1" applyFill="1" applyBorder="1" applyAlignment="1">
      <alignment horizontal="center" vertical="center"/>
    </xf>
    <xf numFmtId="0" fontId="38" fillId="0" borderId="34" xfId="0" applyFont="1" applyFill="1" applyBorder="1" applyAlignment="1">
      <alignment horizontal="center" vertical="center"/>
    </xf>
    <xf numFmtId="0" fontId="38" fillId="0" borderId="35" xfId="0" applyFont="1" applyFill="1" applyBorder="1" applyAlignment="1">
      <alignment horizontal="center" vertical="center"/>
    </xf>
    <xf numFmtId="0" fontId="38" fillId="2" borderId="61" xfId="0" applyFont="1" applyFill="1" applyBorder="1"/>
    <xf numFmtId="0" fontId="38" fillId="0" borderId="0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8" fillId="0" borderId="35" xfId="0" applyFont="1" applyBorder="1" applyAlignment="1">
      <alignment horizontal="center" vertical="center"/>
    </xf>
    <xf numFmtId="0" fontId="38" fillId="2" borderId="62" xfId="0" applyFont="1" applyFill="1" applyBorder="1"/>
    <xf numFmtId="0" fontId="38" fillId="0" borderId="8" xfId="0" applyFont="1" applyBorder="1"/>
    <xf numFmtId="0" fontId="38" fillId="0" borderId="9" xfId="0" applyFont="1" applyBorder="1"/>
    <xf numFmtId="0" fontId="38" fillId="0" borderId="10" xfId="0" applyFont="1" applyBorder="1"/>
    <xf numFmtId="0" fontId="38" fillId="0" borderId="0" xfId="0" applyFont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24" xfId="0" applyFont="1" applyBorder="1" applyAlignment="1">
      <alignment horizontal="center"/>
    </xf>
    <xf numFmtId="0" fontId="38" fillId="0" borderId="35" xfId="0" applyFont="1" applyBorder="1" applyAlignment="1">
      <alignment horizontal="center"/>
    </xf>
    <xf numFmtId="0" fontId="69" fillId="10" borderId="77" xfId="0" applyFont="1" applyFill="1" applyBorder="1" applyAlignment="1">
      <alignment vertical="center"/>
    </xf>
    <xf numFmtId="0" fontId="38" fillId="0" borderId="1" xfId="0" applyFont="1" applyBorder="1" applyAlignment="1">
      <alignment horizontal="center"/>
    </xf>
    <xf numFmtId="0" fontId="70" fillId="0" borderId="31" xfId="0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9" fillId="10" borderId="22" xfId="0" applyFont="1" applyFill="1" applyBorder="1" applyAlignment="1">
      <alignment horizontal="center"/>
    </xf>
    <xf numFmtId="0" fontId="69" fillId="10" borderId="31" xfId="0" applyFont="1" applyFill="1" applyBorder="1" applyAlignment="1">
      <alignment horizontal="center"/>
    </xf>
    <xf numFmtId="0" fontId="69" fillId="10" borderId="23" xfId="0" applyFont="1" applyFill="1" applyBorder="1" applyAlignment="1">
      <alignment horizontal="center"/>
    </xf>
    <xf numFmtId="0" fontId="70" fillId="0" borderId="77" xfId="0" applyFont="1" applyBorder="1"/>
    <xf numFmtId="0" fontId="69" fillId="10" borderId="22" xfId="0" applyFont="1" applyFill="1" applyBorder="1" applyAlignment="1">
      <alignment horizontal="center" vertical="center"/>
    </xf>
    <xf numFmtId="0" fontId="38" fillId="0" borderId="62" xfId="0" applyFont="1" applyBorder="1" applyAlignment="1">
      <alignment horizontal="center"/>
    </xf>
    <xf numFmtId="0" fontId="69" fillId="10" borderId="77" xfId="0" applyFont="1" applyFill="1" applyBorder="1" applyAlignment="1">
      <alignment horizontal="center"/>
    </xf>
    <xf numFmtId="0" fontId="67" fillId="0" borderId="0" xfId="0" applyFont="1" applyFill="1" applyBorder="1" applyAlignment="1">
      <alignment horizontal="center" vertical="center"/>
    </xf>
    <xf numFmtId="0" fontId="38" fillId="0" borderId="89" xfId="0" applyFont="1" applyBorder="1"/>
    <xf numFmtId="0" fontId="38" fillId="10" borderId="77" xfId="0" applyFont="1" applyFill="1" applyBorder="1"/>
    <xf numFmtId="0" fontId="72" fillId="10" borderId="23" xfId="0" applyFont="1" applyFill="1" applyBorder="1" applyAlignment="1">
      <alignment horizontal="center"/>
    </xf>
    <xf numFmtId="0" fontId="69" fillId="10" borderId="23" xfId="0" applyFont="1" applyFill="1" applyBorder="1"/>
    <xf numFmtId="0" fontId="38" fillId="0" borderId="61" xfId="0" applyFont="1" applyBorder="1" applyAlignment="1">
      <alignment vertical="center"/>
    </xf>
    <xf numFmtId="0" fontId="38" fillId="0" borderId="62" xfId="0" applyFont="1" applyBorder="1" applyAlignment="1">
      <alignment vertical="center"/>
    </xf>
    <xf numFmtId="0" fontId="70" fillId="0" borderId="77" xfId="0" applyFont="1" applyBorder="1" applyAlignment="1">
      <alignment horizontal="center"/>
    </xf>
    <xf numFmtId="0" fontId="38" fillId="0" borderId="33" xfId="0" applyFont="1" applyBorder="1"/>
    <xf numFmtId="0" fontId="38" fillId="5" borderId="62" xfId="0" applyFont="1" applyFill="1" applyBorder="1"/>
    <xf numFmtId="0" fontId="38" fillId="5" borderId="35" xfId="0" applyFont="1" applyFill="1" applyBorder="1"/>
    <xf numFmtId="0" fontId="69" fillId="10" borderId="22" xfId="0" applyFont="1" applyFill="1" applyBorder="1"/>
    <xf numFmtId="0" fontId="38" fillId="0" borderId="4" xfId="0" applyFont="1" applyBorder="1" applyAlignment="1">
      <alignment horizontal="center"/>
    </xf>
    <xf numFmtId="0" fontId="38" fillId="2" borderId="89" xfId="0" applyFont="1" applyFill="1" applyBorder="1" applyAlignment="1">
      <alignment horizontal="center" vertical="center"/>
    </xf>
    <xf numFmtId="0" fontId="38" fillId="2" borderId="61" xfId="0" applyFont="1" applyFill="1" applyBorder="1" applyAlignment="1">
      <alignment horizontal="center" vertical="center"/>
    </xf>
    <xf numFmtId="0" fontId="38" fillId="2" borderId="62" xfId="0" applyFont="1" applyFill="1" applyBorder="1" applyAlignment="1">
      <alignment horizontal="center" vertical="center"/>
    </xf>
    <xf numFmtId="0" fontId="38" fillId="0" borderId="61" xfId="0" applyFont="1" applyBorder="1" applyAlignment="1">
      <alignment horizontal="center"/>
    </xf>
    <xf numFmtId="0" fontId="38" fillId="2" borderId="61" xfId="0" applyFont="1" applyFill="1" applyBorder="1" applyAlignment="1">
      <alignment horizontal="center"/>
    </xf>
    <xf numFmtId="0" fontId="38" fillId="2" borderId="62" xfId="0" applyFont="1" applyFill="1" applyBorder="1" applyAlignment="1">
      <alignment horizontal="center"/>
    </xf>
    <xf numFmtId="0" fontId="38" fillId="0" borderId="36" xfId="0" applyFont="1" applyBorder="1" applyAlignment="1">
      <alignment horizontal="center"/>
    </xf>
    <xf numFmtId="0" fontId="38" fillId="10" borderId="23" xfId="0" applyFont="1" applyFill="1" applyBorder="1"/>
    <xf numFmtId="0" fontId="38" fillId="12" borderId="36" xfId="0" applyFont="1" applyFill="1" applyBorder="1" applyAlignment="1">
      <alignment horizontal="center"/>
    </xf>
    <xf numFmtId="0" fontId="38" fillId="12" borderId="24" xfId="0" applyFont="1" applyFill="1" applyBorder="1" applyAlignment="1">
      <alignment horizontal="center"/>
    </xf>
    <xf numFmtId="0" fontId="38" fillId="12" borderId="34" xfId="0" applyFont="1" applyFill="1" applyBorder="1" applyAlignment="1">
      <alignment horizontal="center"/>
    </xf>
    <xf numFmtId="0" fontId="38" fillId="12" borderId="35" xfId="0" applyFont="1" applyFill="1" applyBorder="1" applyAlignment="1">
      <alignment horizontal="center"/>
    </xf>
    <xf numFmtId="0" fontId="38" fillId="0" borderId="89" xfId="0" applyFont="1" applyBorder="1" applyAlignment="1">
      <alignment horizontal="center"/>
    </xf>
    <xf numFmtId="0" fontId="38" fillId="0" borderId="34" xfId="0" applyFont="1" applyBorder="1" applyAlignment="1">
      <alignment horizontal="center"/>
    </xf>
    <xf numFmtId="0" fontId="38" fillId="0" borderId="1" xfId="0" applyFont="1" applyFill="1" applyBorder="1" applyAlignment="1">
      <alignment horizontal="center" vertical="center"/>
    </xf>
    <xf numFmtId="49" fontId="17" fillId="0" borderId="0" xfId="0" applyNumberFormat="1" applyFont="1"/>
    <xf numFmtId="49" fontId="98" fillId="4" borderId="0" xfId="0" applyNumberFormat="1" applyFont="1" applyFill="1" applyAlignment="1">
      <alignment horizontal="center"/>
    </xf>
    <xf numFmtId="0" fontId="69" fillId="10" borderId="89" xfId="0" applyFont="1" applyFill="1" applyBorder="1" applyAlignment="1">
      <alignment horizontal="center" vertical="center"/>
    </xf>
    <xf numFmtId="0" fontId="38" fillId="0" borderId="61" xfId="0" applyFont="1" applyFill="1" applyBorder="1" applyAlignment="1">
      <alignment horizontal="center" vertical="center"/>
    </xf>
    <xf numFmtId="0" fontId="38" fillId="5" borderId="77" xfId="0" applyFont="1" applyFill="1" applyBorder="1" applyAlignment="1">
      <alignment horizontal="center"/>
    </xf>
    <xf numFmtId="0" fontId="38" fillId="5" borderId="31" xfId="0" applyFont="1" applyFill="1" applyBorder="1" applyAlignment="1">
      <alignment horizontal="center"/>
    </xf>
    <xf numFmtId="0" fontId="38" fillId="5" borderId="23" xfId="0" applyFont="1" applyFill="1" applyBorder="1" applyAlignment="1">
      <alignment horizontal="center"/>
    </xf>
    <xf numFmtId="0" fontId="69" fillId="10" borderId="89" xfId="0" applyFont="1" applyFill="1" applyBorder="1" applyAlignment="1">
      <alignment horizontal="center"/>
    </xf>
    <xf numFmtId="0" fontId="69" fillId="10" borderId="22" xfId="0" applyFont="1" applyFill="1" applyBorder="1" applyAlignment="1">
      <alignment horizontal="left"/>
    </xf>
    <xf numFmtId="0" fontId="69" fillId="10" borderId="23" xfId="0" applyFont="1" applyFill="1" applyBorder="1" applyAlignment="1">
      <alignment horizontal="left"/>
    </xf>
    <xf numFmtId="0" fontId="69" fillId="10" borderId="77" xfId="0" applyFont="1" applyFill="1" applyBorder="1" applyAlignment="1">
      <alignment horizontal="left"/>
    </xf>
    <xf numFmtId="0" fontId="38" fillId="2" borderId="61" xfId="0" applyFont="1" applyFill="1" applyBorder="1" applyAlignment="1">
      <alignment horizontal="left"/>
    </xf>
    <xf numFmtId="0" fontId="38" fillId="2" borderId="62" xfId="0" applyFont="1" applyFill="1" applyBorder="1" applyAlignment="1">
      <alignment horizontal="left"/>
    </xf>
    <xf numFmtId="0" fontId="38" fillId="0" borderId="0" xfId="0" applyFont="1" applyFill="1" applyBorder="1"/>
    <xf numFmtId="0" fontId="38" fillId="0" borderId="9" xfId="0" applyFont="1" applyBorder="1" applyAlignment="1">
      <alignment horizontal="center"/>
    </xf>
    <xf numFmtId="0" fontId="72" fillId="0" borderId="0" xfId="0" applyFont="1" applyBorder="1"/>
    <xf numFmtId="0" fontId="38" fillId="0" borderId="0" xfId="0" applyFont="1" applyBorder="1"/>
    <xf numFmtId="0" fontId="0" fillId="0" borderId="0" xfId="0"/>
    <xf numFmtId="0" fontId="38" fillId="0" borderId="0" xfId="0" applyFont="1" applyBorder="1" applyAlignment="1">
      <alignment horizontal="center"/>
    </xf>
    <xf numFmtId="0" fontId="38" fillId="0" borderId="0" xfId="0" applyFont="1" applyBorder="1"/>
    <xf numFmtId="0" fontId="0" fillId="9" borderId="0" xfId="0" applyFill="1"/>
    <xf numFmtId="0" fontId="38" fillId="2" borderId="89" xfId="0" applyFont="1" applyFill="1" applyBorder="1" applyAlignment="1">
      <alignment horizontal="center"/>
    </xf>
    <xf numFmtId="49" fontId="17" fillId="0" borderId="1" xfId="0" applyNumberFormat="1" applyFont="1" applyBorder="1"/>
    <xf numFmtId="49" fontId="17" fillId="0" borderId="0" xfId="0" applyNumberFormat="1" applyFont="1" applyBorder="1"/>
    <xf numFmtId="0" fontId="38" fillId="0" borderId="33" xfId="0" applyFont="1" applyBorder="1" applyAlignment="1">
      <alignment horizontal="center"/>
    </xf>
    <xf numFmtId="0" fontId="4" fillId="0" borderId="0" xfId="0" applyFont="1" applyAlignment="1" applyProtection="1">
      <alignment vertical="center"/>
    </xf>
    <xf numFmtId="0" fontId="58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58" fillId="0" borderId="0" xfId="0" applyFont="1" applyBorder="1" applyAlignment="1" applyProtection="1">
      <alignment vertical="center"/>
    </xf>
    <xf numFmtId="0" fontId="12" fillId="0" borderId="0" xfId="0" applyFont="1" applyAlignment="1" applyProtection="1">
      <alignment vertical="center"/>
    </xf>
    <xf numFmtId="0" fontId="4" fillId="0" borderId="3" xfId="0" applyFont="1" applyBorder="1" applyAlignment="1" applyProtection="1">
      <alignment vertical="center"/>
    </xf>
    <xf numFmtId="0" fontId="4" fillId="0" borderId="4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vertical="center"/>
    </xf>
    <xf numFmtId="0" fontId="4" fillId="0" borderId="6" xfId="0" applyFont="1" applyBorder="1" applyAlignment="1" applyProtection="1">
      <alignment vertical="center"/>
    </xf>
    <xf numFmtId="0" fontId="37" fillId="0" borderId="0" xfId="0" applyFont="1" applyBorder="1" applyAlignment="1" applyProtection="1">
      <alignment vertical="center"/>
    </xf>
    <xf numFmtId="0" fontId="4" fillId="0" borderId="7" xfId="0" applyFont="1" applyBorder="1" applyAlignment="1" applyProtection="1">
      <alignment vertical="center"/>
    </xf>
    <xf numFmtId="0" fontId="5" fillId="0" borderId="6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4" fillId="0" borderId="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3" fillId="0" borderId="6" xfId="0" applyFont="1" applyBorder="1" applyAlignment="1" applyProtection="1">
      <alignment wrapText="1"/>
    </xf>
    <xf numFmtId="0" fontId="4" fillId="0" borderId="0" xfId="0" applyFont="1" applyBorder="1" applyAlignment="1" applyProtection="1">
      <alignment horizontal="left" vertical="center"/>
    </xf>
    <xf numFmtId="0" fontId="4" fillId="7" borderId="0" xfId="0" applyFont="1" applyFill="1" applyBorder="1" applyAlignment="1" applyProtection="1">
      <alignment horizontal="left" vertical="center"/>
    </xf>
    <xf numFmtId="0" fontId="4" fillId="7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4" fillId="0" borderId="24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 shrinkToFit="1"/>
    </xf>
    <xf numFmtId="0" fontId="88" fillId="0" borderId="0" xfId="0" applyFont="1" applyBorder="1" applyAlignment="1" applyProtection="1">
      <alignment vertical="center"/>
    </xf>
    <xf numFmtId="0" fontId="31" fillId="0" borderId="0" xfId="0" applyFont="1" applyFill="1" applyBorder="1" applyProtection="1"/>
    <xf numFmtId="0" fontId="4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vertical="center" shrinkToFit="1"/>
    </xf>
    <xf numFmtId="0" fontId="4" fillId="0" borderId="24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 shrinkToFit="1"/>
    </xf>
    <xf numFmtId="0" fontId="3" fillId="0" borderId="0" xfId="0" applyFont="1" applyBorder="1" applyAlignment="1" applyProtection="1"/>
    <xf numFmtId="0" fontId="4" fillId="0" borderId="8" xfId="0" applyFont="1" applyBorder="1" applyAlignment="1" applyProtection="1">
      <alignment vertical="center"/>
    </xf>
    <xf numFmtId="0" fontId="4" fillId="0" borderId="9" xfId="0" applyFont="1" applyBorder="1" applyAlignment="1" applyProtection="1">
      <alignment vertical="center"/>
    </xf>
    <xf numFmtId="0" fontId="4" fillId="0" borderId="10" xfId="0" applyFont="1" applyBorder="1" applyAlignment="1" applyProtection="1">
      <alignment vertical="center"/>
    </xf>
    <xf numFmtId="0" fontId="38" fillId="0" borderId="0" xfId="0" applyFont="1" applyBorder="1"/>
    <xf numFmtId="0" fontId="5" fillId="0" borderId="0" xfId="0" applyFont="1" applyFill="1" applyAlignment="1" applyProtection="1">
      <alignment vertical="center"/>
    </xf>
    <xf numFmtId="0" fontId="35" fillId="0" borderId="0" xfId="0" applyFont="1" applyFill="1" applyBorder="1" applyAlignment="1" applyProtection="1">
      <alignment vertical="center"/>
    </xf>
    <xf numFmtId="0" fontId="109" fillId="0" borderId="0" xfId="0" applyFont="1" applyFill="1" applyBorder="1" applyAlignment="1" applyProtection="1">
      <alignment vertical="center" wrapText="1"/>
    </xf>
    <xf numFmtId="0" fontId="37" fillId="0" borderId="0" xfId="0" applyFont="1" applyFill="1" applyBorder="1" applyAlignment="1" applyProtection="1">
      <alignment vertical="center" wrapText="1"/>
    </xf>
    <xf numFmtId="0" fontId="71" fillId="0" borderId="0" xfId="0" applyFont="1" applyFill="1" applyAlignment="1" applyProtection="1">
      <alignment horizontal="left" vertical="center"/>
    </xf>
    <xf numFmtId="0" fontId="21" fillId="0" borderId="96" xfId="0" applyFont="1" applyFill="1" applyBorder="1" applyAlignment="1" applyProtection="1">
      <alignment vertical="center"/>
    </xf>
    <xf numFmtId="0" fontId="21" fillId="0" borderId="97" xfId="0" applyFont="1" applyFill="1" applyBorder="1" applyAlignment="1" applyProtection="1">
      <alignment vertical="center"/>
    </xf>
    <xf numFmtId="0" fontId="37" fillId="0" borderId="0" xfId="0" applyFont="1" applyFill="1" applyBorder="1" applyAlignment="1" applyProtection="1">
      <alignment vertical="top" wrapText="1"/>
    </xf>
    <xf numFmtId="0" fontId="116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21" fillId="0" borderId="0" xfId="0" applyFont="1" applyFill="1" applyBorder="1" applyAlignment="1" applyProtection="1">
      <alignment vertical="center"/>
    </xf>
    <xf numFmtId="0" fontId="21" fillId="0" borderId="99" xfId="0" applyFont="1" applyFill="1" applyBorder="1" applyAlignment="1" applyProtection="1">
      <alignment vertical="center"/>
    </xf>
    <xf numFmtId="0" fontId="21" fillId="0" borderId="98" xfId="0" applyFont="1" applyFill="1" applyBorder="1" applyAlignment="1" applyProtection="1">
      <alignment vertical="center"/>
    </xf>
    <xf numFmtId="0" fontId="117" fillId="0" borderId="0" xfId="0" applyFont="1" applyAlignment="1" applyProtection="1">
      <alignment horizontal="center" vertical="center"/>
    </xf>
    <xf numFmtId="0" fontId="116" fillId="0" borderId="0" xfId="0" applyFont="1" applyBorder="1" applyAlignment="1" applyProtection="1">
      <alignment horizontal="center" vertical="center"/>
    </xf>
    <xf numFmtId="0" fontId="109" fillId="0" borderId="0" xfId="0" applyFont="1" applyFill="1" applyBorder="1" applyAlignment="1" applyProtection="1">
      <alignment vertical="center"/>
    </xf>
    <xf numFmtId="0" fontId="21" fillId="0" borderId="0" xfId="0" applyFont="1" applyAlignment="1" applyProtection="1">
      <alignment vertical="center"/>
    </xf>
    <xf numFmtId="0" fontId="73" fillId="0" borderId="0" xfId="0" applyFont="1" applyFill="1" applyBorder="1" applyAlignment="1" applyProtection="1">
      <alignment vertical="center" wrapText="1"/>
    </xf>
    <xf numFmtId="0" fontId="63" fillId="0" borderId="0" xfId="0" applyFont="1" applyFill="1" applyBorder="1" applyAlignment="1" applyProtection="1">
      <alignment horizontal="left" vertical="center" indent="1"/>
    </xf>
    <xf numFmtId="0" fontId="21" fillId="0" borderId="63" xfId="0" applyFont="1" applyBorder="1" applyAlignment="1" applyProtection="1">
      <alignment vertical="center"/>
    </xf>
    <xf numFmtId="0" fontId="21" fillId="0" borderId="64" xfId="0" applyFont="1" applyBorder="1" applyAlignment="1" applyProtection="1">
      <alignment vertical="center"/>
    </xf>
    <xf numFmtId="0" fontId="3" fillId="0" borderId="64" xfId="0" applyFont="1" applyBorder="1" applyAlignment="1" applyProtection="1">
      <alignment vertical="center"/>
    </xf>
    <xf numFmtId="0" fontId="73" fillId="0" borderId="64" xfId="0" applyFont="1" applyFill="1" applyBorder="1" applyAlignment="1" applyProtection="1">
      <alignment vertical="center" wrapText="1"/>
    </xf>
    <xf numFmtId="0" fontId="21" fillId="0" borderId="64" xfId="0" applyFont="1" applyFill="1" applyBorder="1" applyAlignment="1" applyProtection="1">
      <alignment vertical="center"/>
    </xf>
    <xf numFmtId="0" fontId="63" fillId="0" borderId="64" xfId="0" applyFont="1" applyFill="1" applyBorder="1" applyAlignment="1" applyProtection="1">
      <alignment horizontal="left" vertical="center"/>
    </xf>
    <xf numFmtId="0" fontId="63" fillId="0" borderId="65" xfId="0" applyFont="1" applyFill="1" applyBorder="1" applyAlignment="1" applyProtection="1">
      <alignment horizontal="left" vertical="center"/>
    </xf>
    <xf numFmtId="0" fontId="63" fillId="0" borderId="0" xfId="0" applyFont="1" applyFill="1" applyBorder="1" applyAlignment="1" applyProtection="1">
      <alignment horizontal="left" vertical="center"/>
    </xf>
    <xf numFmtId="0" fontId="21" fillId="0" borderId="93" xfId="0" applyFont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left" vertical="center"/>
    </xf>
    <xf numFmtId="0" fontId="17" fillId="0" borderId="0" xfId="0" applyFont="1" applyFill="1" applyBorder="1" applyAlignment="1" applyProtection="1">
      <alignment horizontal="left" vertical="center"/>
    </xf>
    <xf numFmtId="0" fontId="107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/>
    </xf>
    <xf numFmtId="0" fontId="73" fillId="0" borderId="94" xfId="0" applyFont="1" applyFill="1" applyBorder="1" applyAlignment="1" applyProtection="1">
      <alignment vertical="center" wrapText="1"/>
    </xf>
    <xf numFmtId="0" fontId="63" fillId="0" borderId="0" xfId="0" applyFont="1" applyFill="1" applyBorder="1" applyAlignment="1" applyProtection="1">
      <alignment vertical="center"/>
    </xf>
    <xf numFmtId="0" fontId="21" fillId="0" borderId="94" xfId="0" applyFont="1" applyBorder="1" applyAlignment="1" applyProtection="1">
      <alignment vertical="center"/>
    </xf>
    <xf numFmtId="0" fontId="21" fillId="0" borderId="0" xfId="0" applyFont="1" applyFill="1" applyBorder="1" applyAlignment="1" applyProtection="1"/>
    <xf numFmtId="0" fontId="21" fillId="9" borderId="93" xfId="0" applyFont="1" applyFill="1" applyBorder="1" applyAlignment="1" applyProtection="1">
      <alignment vertical="center"/>
    </xf>
    <xf numFmtId="0" fontId="27" fillId="9" borderId="0" xfId="0" applyFont="1" applyFill="1" applyBorder="1" applyAlignment="1" applyProtection="1">
      <alignment vertical="center"/>
    </xf>
    <xf numFmtId="0" fontId="21" fillId="9" borderId="0" xfId="0" applyFont="1" applyFill="1" applyBorder="1" applyAlignment="1" applyProtection="1">
      <alignment vertical="center"/>
    </xf>
    <xf numFmtId="0" fontId="3" fillId="9" borderId="0" xfId="0" applyFont="1" applyFill="1" applyBorder="1" applyAlignment="1" applyProtection="1">
      <alignment vertical="center" wrapText="1"/>
    </xf>
    <xf numFmtId="0" fontId="73" fillId="9" borderId="0" xfId="0" applyFont="1" applyFill="1" applyBorder="1" applyAlignment="1" applyProtection="1">
      <alignment vertical="center" wrapText="1"/>
    </xf>
    <xf numFmtId="0" fontId="21" fillId="9" borderId="94" xfId="0" applyFont="1" applyFill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114" fillId="0" borderId="0" xfId="0" applyFont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113" fillId="0" borderId="0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/>
    <xf numFmtId="0" fontId="21" fillId="0" borderId="66" xfId="0" applyFont="1" applyBorder="1" applyAlignment="1" applyProtection="1">
      <alignment vertical="center"/>
    </xf>
    <xf numFmtId="0" fontId="21" fillId="0" borderId="67" xfId="0" applyFont="1" applyBorder="1" applyAlignment="1" applyProtection="1">
      <alignment vertical="center"/>
    </xf>
    <xf numFmtId="0" fontId="63" fillId="0" borderId="67" xfId="0" applyFont="1" applyFill="1" applyBorder="1" applyAlignment="1" applyProtection="1">
      <alignment vertical="center"/>
    </xf>
    <xf numFmtId="0" fontId="21" fillId="0" borderId="68" xfId="0" applyFont="1" applyBorder="1" applyAlignment="1" applyProtection="1">
      <alignment vertical="center"/>
    </xf>
    <xf numFmtId="0" fontId="21" fillId="0" borderId="100" xfId="0" applyFont="1" applyFill="1" applyBorder="1" applyAlignment="1" applyProtection="1">
      <alignment vertical="center"/>
    </xf>
    <xf numFmtId="0" fontId="21" fillId="0" borderId="101" xfId="0" applyFont="1" applyFill="1" applyBorder="1" applyAlignment="1" applyProtection="1">
      <alignment vertical="center"/>
    </xf>
    <xf numFmtId="0" fontId="2" fillId="0" borderId="101" xfId="0" applyFont="1" applyFill="1" applyBorder="1" applyAlignment="1" applyProtection="1">
      <alignment vertical="center"/>
    </xf>
    <xf numFmtId="0" fontId="21" fillId="0" borderId="102" xfId="0" applyFont="1" applyFill="1" applyBorder="1" applyAlignment="1" applyProtection="1">
      <alignment vertical="center"/>
    </xf>
    <xf numFmtId="0" fontId="112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21" fillId="0" borderId="0" xfId="0" applyFont="1" applyProtection="1"/>
    <xf numFmtId="0" fontId="44" fillId="0" borderId="0" xfId="0" applyFont="1" applyProtection="1"/>
    <xf numFmtId="0" fontId="44" fillId="0" borderId="0" xfId="0" applyFont="1" applyBorder="1" applyAlignment="1" applyProtection="1"/>
    <xf numFmtId="0" fontId="2" fillId="0" borderId="0" xfId="0" applyFont="1" applyBorder="1" applyAlignment="1" applyProtection="1">
      <alignment vertical="center"/>
    </xf>
    <xf numFmtId="0" fontId="21" fillId="2" borderId="0" xfId="0" applyFont="1" applyFill="1" applyProtection="1"/>
    <xf numFmtId="0" fontId="82" fillId="0" borderId="0" xfId="0" applyFont="1" applyProtection="1"/>
    <xf numFmtId="0" fontId="6" fillId="2" borderId="0" xfId="0" applyFont="1" applyFill="1" applyProtection="1"/>
    <xf numFmtId="0" fontId="82" fillId="2" borderId="0" xfId="0" applyFont="1" applyFill="1" applyAlignment="1" applyProtection="1"/>
    <xf numFmtId="0" fontId="21" fillId="2" borderId="0" xfId="0" applyFont="1" applyFill="1" applyAlignment="1" applyProtection="1">
      <alignment vertical="center"/>
    </xf>
    <xf numFmtId="0" fontId="6" fillId="3" borderId="0" xfId="0" applyFont="1" applyFill="1" applyProtection="1"/>
    <xf numFmtId="0" fontId="82" fillId="2" borderId="0" xfId="0" applyFont="1" applyFill="1" applyProtection="1"/>
    <xf numFmtId="0" fontId="2" fillId="2" borderId="0" xfId="0" applyFont="1" applyFill="1" applyAlignment="1" applyProtection="1"/>
    <xf numFmtId="0" fontId="21" fillId="2" borderId="0" xfId="0" applyFont="1" applyFill="1" applyAlignment="1" applyProtection="1"/>
    <xf numFmtId="0" fontId="6" fillId="2" borderId="0" xfId="0" applyFont="1" applyFill="1" applyAlignment="1" applyProtection="1">
      <alignment vertical="top"/>
    </xf>
    <xf numFmtId="0" fontId="21" fillId="0" borderId="0" xfId="0" applyFont="1" applyFill="1" applyProtection="1"/>
    <xf numFmtId="49" fontId="21" fillId="0" borderId="0" xfId="0" applyNumberFormat="1" applyFont="1" applyFill="1" applyProtection="1"/>
    <xf numFmtId="0" fontId="82" fillId="0" borderId="0" xfId="0" applyFont="1" applyFill="1" applyProtection="1"/>
    <xf numFmtId="0" fontId="21" fillId="0" borderId="0" xfId="0" applyFont="1" applyAlignment="1" applyProtection="1"/>
    <xf numFmtId="0" fontId="21" fillId="0" borderId="0" xfId="0" applyFont="1" applyFill="1" applyAlignment="1" applyProtection="1"/>
    <xf numFmtId="0" fontId="42" fillId="0" borderId="0" xfId="0" applyFont="1" applyBorder="1" applyAlignment="1" applyProtection="1">
      <alignment vertical="top"/>
    </xf>
    <xf numFmtId="0" fontId="80" fillId="2" borderId="0" xfId="0" applyFont="1" applyFill="1" applyAlignment="1" applyProtection="1">
      <alignment vertical="center"/>
    </xf>
    <xf numFmtId="0" fontId="35" fillId="0" borderId="0" xfId="0" applyFont="1" applyAlignment="1" applyProtection="1"/>
    <xf numFmtId="0" fontId="94" fillId="2" borderId="0" xfId="0" applyFont="1" applyFill="1" applyAlignment="1" applyProtection="1"/>
    <xf numFmtId="0" fontId="2" fillId="0" borderId="130" xfId="0" applyFont="1" applyBorder="1" applyAlignment="1" applyProtection="1">
      <protection locked="0"/>
    </xf>
    <xf numFmtId="0" fontId="2" fillId="0" borderId="10" xfId="0" applyFont="1" applyBorder="1" applyAlignment="1" applyProtection="1">
      <protection locked="0"/>
    </xf>
    <xf numFmtId="0" fontId="1" fillId="0" borderId="0" xfId="0" applyFont="1" applyFill="1" applyAlignment="1" applyProtection="1">
      <alignment vertical="center"/>
    </xf>
    <xf numFmtId="0" fontId="1" fillId="5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</xf>
    <xf numFmtId="0" fontId="1" fillId="5" borderId="0" xfId="0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27" fillId="2" borderId="0" xfId="0" applyFont="1" applyFill="1" applyAlignment="1" applyProtection="1">
      <alignment vertical="center"/>
    </xf>
    <xf numFmtId="0" fontId="27" fillId="2" borderId="0" xfId="0" applyFont="1" applyFill="1" applyAlignment="1" applyProtection="1"/>
    <xf numFmtId="0" fontId="97" fillId="2" borderId="0" xfId="0" applyFont="1" applyFill="1" applyAlignment="1" applyProtection="1">
      <alignment vertical="center"/>
    </xf>
    <xf numFmtId="0" fontId="0" fillId="0" borderId="0" xfId="0" applyFill="1" applyAlignment="1" applyProtection="1"/>
    <xf numFmtId="0" fontId="0" fillId="5" borderId="0" xfId="0" applyFill="1" applyAlignment="1" applyProtection="1"/>
    <xf numFmtId="0" fontId="1" fillId="5" borderId="0" xfId="0" applyFont="1" applyFill="1" applyBorder="1" applyAlignment="1" applyProtection="1">
      <alignment vertical="center"/>
    </xf>
    <xf numFmtId="0" fontId="99" fillId="2" borderId="0" xfId="0" applyFont="1" applyFill="1" applyAlignment="1" applyProtection="1">
      <alignment horizontal="center" vertical="center"/>
    </xf>
    <xf numFmtId="0" fontId="99" fillId="2" borderId="0" xfId="0" applyFont="1" applyFill="1" applyAlignment="1" applyProtection="1">
      <alignment vertical="center"/>
    </xf>
    <xf numFmtId="0" fontId="28" fillId="4" borderId="2" xfId="0" applyFont="1" applyFill="1" applyBorder="1" applyAlignment="1" applyProtection="1">
      <alignment vertical="center"/>
    </xf>
    <xf numFmtId="0" fontId="1" fillId="4" borderId="33" xfId="0" applyFont="1" applyFill="1" applyBorder="1" applyAlignment="1" applyProtection="1">
      <alignment vertical="center"/>
    </xf>
    <xf numFmtId="0" fontId="28" fillId="4" borderId="1" xfId="0" applyFont="1" applyFill="1" applyBorder="1" applyAlignment="1" applyProtection="1">
      <alignment vertical="center"/>
    </xf>
    <xf numFmtId="0" fontId="1" fillId="4" borderId="35" xfId="0" applyFont="1" applyFill="1" applyBorder="1" applyAlignment="1" applyProtection="1">
      <alignment vertical="center"/>
    </xf>
    <xf numFmtId="0" fontId="6" fillId="2" borderId="0" xfId="0" applyFont="1" applyFill="1" applyAlignment="1" applyProtection="1"/>
    <xf numFmtId="0" fontId="1" fillId="2" borderId="0" xfId="0" applyFont="1" applyFill="1" applyBorder="1" applyAlignment="1" applyProtection="1">
      <alignment vertical="center"/>
    </xf>
    <xf numFmtId="0" fontId="1" fillId="2" borderId="32" xfId="0" applyFont="1" applyFill="1" applyBorder="1" applyAlignment="1" applyProtection="1">
      <alignment vertical="center"/>
    </xf>
    <xf numFmtId="0" fontId="1" fillId="2" borderId="2" xfId="0" applyFont="1" applyFill="1" applyBorder="1" applyAlignment="1" applyProtection="1">
      <alignment vertical="center"/>
    </xf>
    <xf numFmtId="0" fontId="7" fillId="2" borderId="2" xfId="0" applyFont="1" applyFill="1" applyBorder="1" applyAlignment="1" applyProtection="1"/>
    <xf numFmtId="0" fontId="1" fillId="2" borderId="33" xfId="0" applyFont="1" applyFill="1" applyBorder="1" applyAlignment="1" applyProtection="1">
      <alignment vertical="center"/>
    </xf>
    <xf numFmtId="0" fontId="6" fillId="2" borderId="36" xfId="0" applyFont="1" applyFill="1" applyBorder="1" applyAlignment="1" applyProtection="1">
      <alignment vertical="center"/>
    </xf>
    <xf numFmtId="0" fontId="7" fillId="2" borderId="0" xfId="0" applyFont="1" applyFill="1" applyBorder="1" applyAlignment="1" applyProtection="1"/>
    <xf numFmtId="0" fontId="6" fillId="2" borderId="0" xfId="0" applyFont="1" applyFill="1" applyBorder="1" applyAlignment="1" applyProtection="1">
      <alignment vertical="center"/>
    </xf>
    <xf numFmtId="0" fontId="1" fillId="2" borderId="36" xfId="0" applyFont="1" applyFill="1" applyBorder="1" applyAlignment="1" applyProtection="1">
      <alignment vertical="center"/>
    </xf>
    <xf numFmtId="0" fontId="1" fillId="2" borderId="24" xfId="0" applyFont="1" applyFill="1" applyBorder="1" applyAlignment="1" applyProtection="1">
      <alignment vertical="center"/>
    </xf>
    <xf numFmtId="0" fontId="1" fillId="2" borderId="34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vertical="center"/>
    </xf>
    <xf numFmtId="0" fontId="6" fillId="2" borderId="1" xfId="0" applyFont="1" applyFill="1" applyBorder="1" applyAlignment="1" applyProtection="1">
      <alignment vertical="center"/>
    </xf>
    <xf numFmtId="0" fontId="1" fillId="2" borderId="35" xfId="0" applyFont="1" applyFill="1" applyBorder="1" applyAlignment="1" applyProtection="1">
      <alignment vertical="center"/>
    </xf>
    <xf numFmtId="0" fontId="1" fillId="0" borderId="0" xfId="0" applyFont="1" applyBorder="1" applyAlignment="1" applyProtection="1">
      <alignment vertical="top"/>
    </xf>
    <xf numFmtId="0" fontId="6" fillId="0" borderId="0" xfId="0" applyFont="1" applyBorder="1" applyAlignment="1" applyProtection="1">
      <alignment vertical="top"/>
    </xf>
    <xf numFmtId="0" fontId="1" fillId="0" borderId="0" xfId="0" applyFont="1" applyProtection="1"/>
    <xf numFmtId="0" fontId="47" fillId="0" borderId="0" xfId="0" applyFont="1" applyProtection="1"/>
    <xf numFmtId="0" fontId="1" fillId="0" borderId="0" xfId="0" applyFont="1" applyFill="1" applyProtection="1"/>
    <xf numFmtId="0" fontId="1" fillId="2" borderId="0" xfId="0" applyFont="1" applyFill="1" applyProtection="1"/>
    <xf numFmtId="0" fontId="22" fillId="2" borderId="0" xfId="0" applyFont="1" applyFill="1" applyProtection="1"/>
    <xf numFmtId="0" fontId="1" fillId="0" borderId="0" xfId="0" applyFont="1" applyFill="1" applyAlignment="1" applyProtection="1">
      <alignment vertical="top" wrapText="1"/>
    </xf>
    <xf numFmtId="0" fontId="0" fillId="0" borderId="0" xfId="0" applyProtection="1"/>
    <xf numFmtId="0" fontId="56" fillId="0" borderId="0" xfId="0" applyFont="1" applyAlignment="1" applyProtection="1"/>
    <xf numFmtId="0" fontId="0" fillId="0" borderId="0" xfId="0" applyAlignment="1" applyProtection="1"/>
    <xf numFmtId="0" fontId="0" fillId="0" borderId="0" xfId="0" applyAlignment="1">
      <alignment horizontal="center"/>
    </xf>
    <xf numFmtId="49" fontId="17" fillId="0" borderId="0" xfId="0" applyNumberFormat="1" applyFont="1" applyAlignment="1">
      <alignment horizontal="center"/>
    </xf>
    <xf numFmtId="0" fontId="102" fillId="0" borderId="0" xfId="0" applyFont="1"/>
    <xf numFmtId="0" fontId="131" fillId="9" borderId="0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0" fontId="54" fillId="0" borderId="0" xfId="0" applyFont="1"/>
    <xf numFmtId="0" fontId="129" fillId="18" borderId="0" xfId="0" applyFont="1" applyFill="1"/>
    <xf numFmtId="0" fontId="128" fillId="18" borderId="0" xfId="0" applyFont="1" applyFill="1"/>
    <xf numFmtId="0" fontId="54" fillId="0" borderId="0" xfId="0" applyFont="1" applyFill="1"/>
    <xf numFmtId="0" fontId="0" fillId="2" borderId="0" xfId="0" applyFill="1"/>
    <xf numFmtId="0" fontId="50" fillId="2" borderId="0" xfId="0" applyFont="1" applyFill="1"/>
    <xf numFmtId="0" fontId="53" fillId="0" borderId="0" xfId="0" applyFont="1"/>
    <xf numFmtId="0" fontId="133" fillId="0" borderId="0" xfId="0" applyFont="1"/>
    <xf numFmtId="0" fontId="54" fillId="17" borderId="0" xfId="0" applyFont="1" applyFill="1"/>
    <xf numFmtId="0" fontId="132" fillId="17" borderId="0" xfId="0" applyFont="1" applyFill="1"/>
    <xf numFmtId="0" fontId="130" fillId="0" borderId="0" xfId="0" applyFont="1"/>
    <xf numFmtId="0" fontId="130" fillId="0" borderId="0" xfId="0" applyFont="1" applyAlignment="1">
      <alignment horizontal="left" wrapText="1"/>
    </xf>
    <xf numFmtId="0" fontId="38" fillId="0" borderId="77" xfId="0" applyFont="1" applyBorder="1"/>
    <xf numFmtId="0" fontId="72" fillId="10" borderId="22" xfId="0" applyFont="1" applyFill="1" applyBorder="1"/>
    <xf numFmtId="0" fontId="53" fillId="0" borderId="0" xfId="0" applyFont="1" applyAlignment="1">
      <alignment horizontal="left"/>
    </xf>
    <xf numFmtId="0" fontId="130" fillId="0" borderId="0" xfId="0" applyFont="1" applyAlignment="1">
      <alignment horizontal="left" wrapText="1"/>
    </xf>
    <xf numFmtId="0" fontId="132" fillId="0" borderId="0" xfId="0" applyFont="1"/>
    <xf numFmtId="49" fontId="138" fillId="0" borderId="0" xfId="0" applyNumberFormat="1" applyFont="1"/>
    <xf numFmtId="49" fontId="138" fillId="0" borderId="0" xfId="0" applyNumberFormat="1" applyFont="1" applyAlignment="1">
      <alignment vertical="center"/>
    </xf>
    <xf numFmtId="0" fontId="140" fillId="0" borderId="0" xfId="0" applyFont="1" applyFill="1"/>
    <xf numFmtId="0" fontId="50" fillId="9" borderId="0" xfId="0" applyFont="1" applyFill="1"/>
    <xf numFmtId="0" fontId="130" fillId="0" borderId="0" xfId="0" applyFont="1" applyAlignment="1">
      <alignment horizontal="left" wrapText="1"/>
    </xf>
    <xf numFmtId="165" fontId="38" fillId="2" borderId="61" xfId="0" applyNumberFormat="1" applyFont="1" applyFill="1" applyBorder="1" applyAlignment="1">
      <alignment vertical="center"/>
    </xf>
    <xf numFmtId="165" fontId="38" fillId="2" borderId="61" xfId="0" applyNumberFormat="1" applyFont="1" applyFill="1" applyBorder="1" applyAlignment="1"/>
    <xf numFmtId="165" fontId="38" fillId="2" borderId="62" xfId="0" applyNumberFormat="1" applyFont="1" applyFill="1" applyBorder="1" applyAlignment="1"/>
    <xf numFmtId="0" fontId="38" fillId="0" borderId="77" xfId="0" applyFont="1" applyBorder="1" applyAlignment="1">
      <alignment horizontal="center"/>
    </xf>
    <xf numFmtId="0" fontId="130" fillId="0" borderId="0" xfId="0" applyFont="1" applyAlignment="1">
      <alignment horizontal="left" wrapText="1"/>
    </xf>
    <xf numFmtId="0" fontId="102" fillId="0" borderId="0" xfId="0" applyFont="1" applyAlignment="1">
      <alignment horizontal="left" vertical="top" wrapText="1"/>
    </xf>
    <xf numFmtId="0" fontId="38" fillId="0" borderId="32" xfId="0" applyFont="1" applyBorder="1" applyAlignment="1"/>
    <xf numFmtId="0" fontId="38" fillId="0" borderId="36" xfId="0" applyFont="1" applyBorder="1" applyAlignment="1"/>
    <xf numFmtId="0" fontId="38" fillId="0" borderId="24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49" fontId="138" fillId="0" borderId="0" xfId="0" applyNumberFormat="1" applyFont="1" applyAlignment="1">
      <alignment horizontal="left" vertical="center" indent="2"/>
    </xf>
    <xf numFmtId="0" fontId="18" fillId="2" borderId="88" xfId="0" applyFont="1" applyFill="1" applyBorder="1" applyProtection="1">
      <protection locked="0"/>
    </xf>
    <xf numFmtId="0" fontId="18" fillId="0" borderId="88" xfId="0" applyFont="1" applyBorder="1" applyAlignment="1" applyProtection="1">
      <alignment horizontal="center"/>
      <protection locked="0"/>
    </xf>
    <xf numFmtId="0" fontId="18" fillId="0" borderId="88" xfId="0" applyFont="1" applyBorder="1" applyAlignment="1" applyProtection="1">
      <alignment horizontal="left"/>
      <protection locked="0"/>
    </xf>
    <xf numFmtId="0" fontId="18" fillId="0" borderId="88" xfId="0" applyFont="1" applyBorder="1" applyProtection="1">
      <protection locked="0"/>
    </xf>
    <xf numFmtId="0" fontId="18" fillId="9" borderId="88" xfId="0" applyFont="1" applyFill="1" applyBorder="1" applyAlignment="1" applyProtection="1">
      <alignment horizontal="center"/>
      <protection locked="0"/>
    </xf>
    <xf numFmtId="0" fontId="18" fillId="0" borderId="90" xfId="0" applyFont="1" applyBorder="1" applyAlignment="1" applyProtection="1">
      <alignment horizontal="center"/>
      <protection locked="0"/>
    </xf>
    <xf numFmtId="0" fontId="18" fillId="0" borderId="90" xfId="0" applyFont="1" applyBorder="1" applyAlignment="1" applyProtection="1">
      <alignment horizontal="left"/>
      <protection locked="0"/>
    </xf>
    <xf numFmtId="0" fontId="18" fillId="0" borderId="90" xfId="0" applyFont="1" applyBorder="1" applyProtection="1">
      <protection locked="0"/>
    </xf>
    <xf numFmtId="0" fontId="18" fillId="0" borderId="92" xfId="0" applyFont="1" applyBorder="1" applyProtection="1">
      <protection locked="0"/>
    </xf>
    <xf numFmtId="0" fontId="64" fillId="0" borderId="87" xfId="0" applyFont="1" applyBorder="1" applyAlignment="1" applyProtection="1">
      <alignment horizontal="center"/>
    </xf>
    <xf numFmtId="0" fontId="64" fillId="0" borderId="87" xfId="0" applyFont="1" applyBorder="1" applyProtection="1"/>
    <xf numFmtId="0" fontId="19" fillId="9" borderId="88" xfId="0" applyFont="1" applyFill="1" applyBorder="1" applyProtection="1"/>
    <xf numFmtId="0" fontId="19" fillId="9" borderId="88" xfId="0" applyFont="1" applyFill="1" applyBorder="1" applyAlignment="1" applyProtection="1">
      <alignment horizontal="center"/>
    </xf>
    <xf numFmtId="0" fontId="19" fillId="9" borderId="88" xfId="0" applyFont="1" applyFill="1" applyBorder="1" applyAlignment="1" applyProtection="1">
      <alignment horizontal="left"/>
    </xf>
    <xf numFmtId="0" fontId="18" fillId="5" borderId="88" xfId="0" applyFont="1" applyFill="1" applyBorder="1" applyAlignment="1" applyProtection="1">
      <alignment horizontal="left"/>
    </xf>
    <xf numFmtId="0" fontId="18" fillId="5" borderId="88" xfId="0" applyFont="1" applyFill="1" applyBorder="1" applyAlignment="1" applyProtection="1">
      <alignment horizontal="center"/>
    </xf>
    <xf numFmtId="0" fontId="18" fillId="5" borderId="88" xfId="0" applyFont="1" applyFill="1" applyBorder="1" applyProtection="1"/>
    <xf numFmtId="17" fontId="19" fillId="9" borderId="88" xfId="0" applyNumberFormat="1" applyFont="1" applyFill="1" applyBorder="1" applyAlignment="1" applyProtection="1">
      <alignment horizontal="center"/>
    </xf>
    <xf numFmtId="17" fontId="18" fillId="5" borderId="88" xfId="0" applyNumberFormat="1" applyFont="1" applyFill="1" applyBorder="1" applyAlignment="1" applyProtection="1">
      <alignment horizontal="center"/>
    </xf>
    <xf numFmtId="0" fontId="1" fillId="0" borderId="88" xfId="0" applyFont="1" applyBorder="1" applyProtection="1">
      <protection locked="0"/>
    </xf>
    <xf numFmtId="0" fontId="1" fillId="2" borderId="88" xfId="0" applyFont="1" applyFill="1" applyBorder="1" applyProtection="1">
      <protection locked="0"/>
    </xf>
    <xf numFmtId="0" fontId="1" fillId="0" borderId="88" xfId="0" applyFont="1" applyBorder="1" applyAlignment="1" applyProtection="1">
      <alignment horizontal="center"/>
      <protection locked="0"/>
    </xf>
    <xf numFmtId="0" fontId="1" fillId="2" borderId="91" xfId="0" applyFont="1" applyFill="1" applyBorder="1" applyProtection="1">
      <protection locked="0"/>
    </xf>
    <xf numFmtId="0" fontId="1" fillId="0" borderId="91" xfId="0" applyFont="1" applyBorder="1" applyAlignment="1" applyProtection="1">
      <alignment horizontal="center"/>
      <protection locked="0"/>
    </xf>
    <xf numFmtId="0" fontId="1" fillId="0" borderId="91" xfId="0" applyFont="1" applyBorder="1" applyProtection="1">
      <protection locked="0"/>
    </xf>
    <xf numFmtId="0" fontId="1" fillId="0" borderId="87" xfId="0" applyFont="1" applyFill="1" applyBorder="1" applyProtection="1">
      <protection locked="0"/>
    </xf>
    <xf numFmtId="0" fontId="1" fillId="0" borderId="87" xfId="0" applyFont="1" applyBorder="1" applyAlignment="1" applyProtection="1">
      <alignment horizontal="center"/>
      <protection locked="0"/>
    </xf>
    <xf numFmtId="0" fontId="1" fillId="0" borderId="87" xfId="0" applyFont="1" applyBorder="1" applyProtection="1">
      <protection locked="0"/>
    </xf>
    <xf numFmtId="0" fontId="1" fillId="0" borderId="88" xfId="0" applyFont="1" applyFill="1" applyBorder="1" applyProtection="1">
      <protection locked="0"/>
    </xf>
    <xf numFmtId="0" fontId="20" fillId="9" borderId="87" xfId="0" applyFont="1" applyFill="1" applyBorder="1" applyProtection="1"/>
    <xf numFmtId="0" fontId="20" fillId="9" borderId="87" xfId="0" applyFont="1" applyFill="1" applyBorder="1" applyAlignment="1" applyProtection="1">
      <alignment horizontal="center"/>
    </xf>
    <xf numFmtId="0" fontId="1" fillId="9" borderId="87" xfId="0" applyFont="1" applyFill="1" applyBorder="1" applyProtection="1"/>
    <xf numFmtId="0" fontId="1" fillId="5" borderId="88" xfId="0" applyFont="1" applyFill="1" applyBorder="1" applyAlignment="1" applyProtection="1">
      <alignment horizontal="center"/>
    </xf>
    <xf numFmtId="0" fontId="54" fillId="18" borderId="0" xfId="0" applyFont="1" applyFill="1"/>
    <xf numFmtId="0" fontId="17" fillId="2" borderId="0" xfId="0" applyFont="1" applyFill="1" applyBorder="1" applyAlignment="1" applyProtection="1"/>
    <xf numFmtId="0" fontId="42" fillId="2" borderId="0" xfId="0" applyFont="1" applyFill="1" applyBorder="1" applyAlignment="1" applyProtection="1">
      <alignment shrinkToFit="1"/>
      <protection locked="0"/>
    </xf>
    <xf numFmtId="0" fontId="1" fillId="3" borderId="0" xfId="0" applyFont="1" applyFill="1" applyProtection="1"/>
    <xf numFmtId="0" fontId="48" fillId="2" borderId="0" xfId="0" applyFont="1" applyFill="1" applyBorder="1" applyAlignment="1" applyProtection="1"/>
    <xf numFmtId="0" fontId="1" fillId="2" borderId="0" xfId="0" applyFont="1" applyFill="1" applyBorder="1" applyProtection="1"/>
    <xf numFmtId="49" fontId="17" fillId="0" borderId="0" xfId="0" applyNumberFormat="1" applyFont="1" applyAlignment="1">
      <alignment vertical="top" wrapText="1"/>
    </xf>
    <xf numFmtId="49" fontId="17" fillId="0" borderId="0" xfId="0" applyNumberFormat="1" applyFont="1" applyAlignment="1">
      <alignment wrapText="1"/>
    </xf>
    <xf numFmtId="49" fontId="17" fillId="0" borderId="0" xfId="0" applyNumberFormat="1" applyFont="1" applyBorder="1" applyAlignment="1">
      <alignment vertical="top" wrapText="1"/>
    </xf>
    <xf numFmtId="49" fontId="17" fillId="0" borderId="1" xfId="0" applyNumberFormat="1" applyFont="1" applyBorder="1" applyAlignment="1">
      <alignment vertical="top" wrapText="1"/>
    </xf>
    <xf numFmtId="0" fontId="69" fillId="10" borderId="2" xfId="0" applyFont="1" applyFill="1" applyBorder="1" applyAlignment="1">
      <alignment horizontal="center" vertical="center"/>
    </xf>
    <xf numFmtId="0" fontId="38" fillId="0" borderId="1" xfId="0" applyFont="1" applyBorder="1"/>
    <xf numFmtId="0" fontId="69" fillId="10" borderId="89" xfId="0" applyFont="1" applyFill="1" applyBorder="1" applyAlignment="1">
      <alignment horizontal="left" vertical="center"/>
    </xf>
    <xf numFmtId="0" fontId="1" fillId="0" borderId="90" xfId="0" applyFont="1" applyBorder="1" applyProtection="1">
      <protection locked="0"/>
    </xf>
    <xf numFmtId="0" fontId="1" fillId="2" borderId="90" xfId="0" applyFont="1" applyFill="1" applyBorder="1" applyProtection="1">
      <protection locked="0"/>
    </xf>
    <xf numFmtId="0" fontId="1" fillId="0" borderId="90" xfId="0" applyFont="1" applyBorder="1" applyAlignment="1" applyProtection="1">
      <alignment horizontal="center"/>
      <protection locked="0"/>
    </xf>
    <xf numFmtId="0" fontId="61" fillId="5" borderId="82" xfId="0" applyFont="1" applyFill="1" applyBorder="1" applyAlignment="1" applyProtection="1">
      <alignment horizontal="center" vertical="center"/>
    </xf>
    <xf numFmtId="0" fontId="61" fillId="5" borderId="78" xfId="0" applyFont="1" applyFill="1" applyBorder="1" applyAlignment="1" applyProtection="1">
      <alignment horizontal="center" vertical="center"/>
    </xf>
    <xf numFmtId="0" fontId="61" fillId="5" borderId="84" xfId="0" applyFont="1" applyFill="1" applyBorder="1" applyAlignment="1" applyProtection="1">
      <alignment horizontal="center" vertical="center"/>
    </xf>
    <xf numFmtId="0" fontId="61" fillId="5" borderId="85" xfId="0" applyFont="1" applyFill="1" applyBorder="1" applyAlignment="1" applyProtection="1">
      <alignment horizontal="center" vertical="center"/>
    </xf>
    <xf numFmtId="0" fontId="62" fillId="5" borderId="78" xfId="0" applyFont="1" applyFill="1" applyBorder="1" applyAlignment="1" applyProtection="1">
      <alignment horizontal="center" vertical="center"/>
      <protection locked="0"/>
    </xf>
    <xf numFmtId="0" fontId="62" fillId="5" borderId="83" xfId="0" applyFont="1" applyFill="1" applyBorder="1" applyAlignment="1" applyProtection="1">
      <alignment horizontal="center" vertical="center"/>
      <protection locked="0"/>
    </xf>
    <xf numFmtId="0" fontId="62" fillId="5" borderId="85" xfId="0" applyFont="1" applyFill="1" applyBorder="1" applyAlignment="1" applyProtection="1">
      <alignment horizontal="center" vertical="center"/>
      <protection locked="0"/>
    </xf>
    <xf numFmtId="0" fontId="62" fillId="5" borderId="86" xfId="0" applyFont="1" applyFill="1" applyBorder="1" applyAlignment="1" applyProtection="1">
      <alignment horizontal="center" vertical="center"/>
      <protection locked="0"/>
    </xf>
    <xf numFmtId="0" fontId="27" fillId="0" borderId="0" xfId="0" applyFont="1" applyBorder="1" applyAlignment="1" applyProtection="1">
      <alignment horizontal="center" vertical="center"/>
      <protection locked="0"/>
    </xf>
    <xf numFmtId="0" fontId="105" fillId="0" borderId="0" xfId="0" applyFont="1" applyFill="1" applyBorder="1" applyAlignment="1" applyProtection="1">
      <alignment horizontal="center" vertical="center" wrapText="1" shrinkToFit="1"/>
    </xf>
    <xf numFmtId="0" fontId="27" fillId="0" borderId="0" xfId="0" applyFont="1" applyFill="1" applyBorder="1" applyAlignment="1" applyProtection="1">
      <alignment horizontal="left" vertical="center" indent="1"/>
      <protection locked="0"/>
    </xf>
    <xf numFmtId="164" fontId="32" fillId="8" borderId="40" xfId="0" applyNumberFormat="1" applyFont="1" applyFill="1" applyBorder="1" applyAlignment="1" applyProtection="1">
      <alignment horizontal="center" vertical="center"/>
    </xf>
    <xf numFmtId="164" fontId="32" fillId="8" borderId="39" xfId="0" applyNumberFormat="1" applyFont="1" applyFill="1" applyBorder="1" applyAlignment="1" applyProtection="1">
      <alignment horizontal="center" vertical="center"/>
    </xf>
    <xf numFmtId="164" fontId="32" fillId="8" borderId="41" xfId="0" applyNumberFormat="1" applyFont="1" applyFill="1" applyBorder="1" applyAlignment="1" applyProtection="1">
      <alignment horizontal="center" vertical="center"/>
    </xf>
    <xf numFmtId="164" fontId="32" fillId="8" borderId="36" xfId="0" applyNumberFormat="1" applyFont="1" applyFill="1" applyBorder="1" applyAlignment="1" applyProtection="1">
      <alignment horizontal="center" vertical="center"/>
    </xf>
    <xf numFmtId="164" fontId="32" fillId="8" borderId="0" xfId="0" applyNumberFormat="1" applyFont="1" applyFill="1" applyBorder="1" applyAlignment="1" applyProtection="1">
      <alignment horizontal="center" vertical="center"/>
    </xf>
    <xf numFmtId="164" fontId="32" fillId="8" borderId="24" xfId="0" applyNumberFormat="1" applyFont="1" applyFill="1" applyBorder="1" applyAlignment="1" applyProtection="1">
      <alignment horizontal="center" vertical="center"/>
    </xf>
    <xf numFmtId="164" fontId="32" fillId="8" borderId="42" xfId="0" applyNumberFormat="1" applyFont="1" applyFill="1" applyBorder="1" applyAlignment="1" applyProtection="1">
      <alignment horizontal="center" vertical="center"/>
    </xf>
    <xf numFmtId="164" fontId="32" fillId="8" borderId="43" xfId="0" applyNumberFormat="1" applyFont="1" applyFill="1" applyBorder="1" applyAlignment="1" applyProtection="1">
      <alignment horizontal="center" vertical="center"/>
    </xf>
    <xf numFmtId="164" fontId="32" fillId="8" borderId="44" xfId="0" applyNumberFormat="1" applyFont="1" applyFill="1" applyBorder="1" applyAlignment="1" applyProtection="1">
      <alignment horizontal="center" vertical="center"/>
    </xf>
    <xf numFmtId="0" fontId="32" fillId="8" borderId="40" xfId="0" applyNumberFormat="1" applyFont="1" applyFill="1" applyBorder="1" applyAlignment="1" applyProtection="1">
      <alignment horizontal="center" vertical="center"/>
    </xf>
    <xf numFmtId="0" fontId="32" fillId="8" borderId="39" xfId="0" applyNumberFormat="1" applyFont="1" applyFill="1" applyBorder="1" applyAlignment="1" applyProtection="1">
      <alignment horizontal="center" vertical="center"/>
    </xf>
    <xf numFmtId="0" fontId="32" fillId="8" borderId="41" xfId="0" applyNumberFormat="1" applyFont="1" applyFill="1" applyBorder="1" applyAlignment="1" applyProtection="1">
      <alignment horizontal="center" vertical="center"/>
    </xf>
    <xf numFmtId="0" fontId="32" fillId="8" borderId="36" xfId="0" applyNumberFormat="1" applyFont="1" applyFill="1" applyBorder="1" applyAlignment="1" applyProtection="1">
      <alignment horizontal="center" vertical="center"/>
    </xf>
    <xf numFmtId="0" fontId="32" fillId="8" borderId="0" xfId="0" applyNumberFormat="1" applyFont="1" applyFill="1" applyBorder="1" applyAlignment="1" applyProtection="1">
      <alignment horizontal="center" vertical="center"/>
    </xf>
    <xf numFmtId="0" fontId="32" fillId="8" borderId="24" xfId="0" applyNumberFormat="1" applyFont="1" applyFill="1" applyBorder="1" applyAlignment="1" applyProtection="1">
      <alignment horizontal="center" vertical="center"/>
    </xf>
    <xf numFmtId="0" fontId="32" fillId="8" borderId="42" xfId="0" applyNumberFormat="1" applyFont="1" applyFill="1" applyBorder="1" applyAlignment="1" applyProtection="1">
      <alignment horizontal="center" vertical="center"/>
    </xf>
    <xf numFmtId="0" fontId="32" fillId="8" borderId="43" xfId="0" applyNumberFormat="1" applyFont="1" applyFill="1" applyBorder="1" applyAlignment="1" applyProtection="1">
      <alignment horizontal="center" vertical="center"/>
    </xf>
    <xf numFmtId="0" fontId="32" fillId="8" borderId="44" xfId="0" applyNumberFormat="1" applyFont="1" applyFill="1" applyBorder="1" applyAlignment="1" applyProtection="1">
      <alignment horizontal="center" vertical="center"/>
    </xf>
    <xf numFmtId="0" fontId="62" fillId="5" borderId="80" xfId="0" applyFont="1" applyFill="1" applyBorder="1" applyAlignment="1" applyProtection="1">
      <alignment horizontal="center" vertical="center"/>
      <protection locked="0"/>
    </xf>
    <xf numFmtId="0" fontId="62" fillId="5" borderId="81" xfId="0" applyFont="1" applyFill="1" applyBorder="1" applyAlignment="1" applyProtection="1">
      <alignment horizontal="center" vertical="center"/>
      <protection locked="0"/>
    </xf>
    <xf numFmtId="0" fontId="27" fillId="0" borderId="0" xfId="0" applyFont="1" applyFill="1" applyBorder="1" applyAlignment="1" applyProtection="1">
      <alignment horizontal="center" vertical="center"/>
      <protection locked="0"/>
    </xf>
    <xf numFmtId="0" fontId="36" fillId="0" borderId="0" xfId="0" applyFont="1" applyFill="1" applyBorder="1" applyAlignment="1" applyProtection="1">
      <alignment horizontal="right" vertical="center"/>
    </xf>
    <xf numFmtId="0" fontId="90" fillId="0" borderId="137" xfId="0" applyFont="1" applyBorder="1" applyAlignment="1" applyProtection="1">
      <alignment horizontal="center" vertical="center"/>
      <protection locked="0"/>
    </xf>
    <xf numFmtId="0" fontId="90" fillId="0" borderId="138" xfId="0" applyFont="1" applyBorder="1" applyAlignment="1" applyProtection="1">
      <alignment horizontal="center" vertical="center"/>
      <protection locked="0"/>
    </xf>
    <xf numFmtId="0" fontId="90" fillId="0" borderId="139" xfId="0" applyFont="1" applyBorder="1" applyAlignment="1" applyProtection="1">
      <alignment horizontal="center" vertical="center"/>
      <protection locked="0"/>
    </xf>
    <xf numFmtId="0" fontId="90" fillId="0" borderId="140" xfId="0" applyFont="1" applyBorder="1" applyAlignment="1" applyProtection="1">
      <alignment horizontal="center" vertical="center"/>
      <protection locked="0"/>
    </xf>
    <xf numFmtId="0" fontId="90" fillId="0" borderId="141" xfId="0" applyFont="1" applyBorder="1" applyAlignment="1" applyProtection="1">
      <alignment horizontal="center" vertical="center"/>
      <protection locked="0"/>
    </xf>
    <xf numFmtId="0" fontId="90" fillId="0" borderId="142" xfId="0" applyFont="1" applyBorder="1" applyAlignment="1" applyProtection="1">
      <alignment horizontal="center" vertical="center"/>
      <protection locked="0"/>
    </xf>
    <xf numFmtId="0" fontId="89" fillId="0" borderId="0" xfId="0" applyFont="1" applyAlignment="1" applyProtection="1">
      <alignment horizontal="center" vertical="center"/>
    </xf>
    <xf numFmtId="164" fontId="32" fillId="8" borderId="34" xfId="0" applyNumberFormat="1" applyFont="1" applyFill="1" applyBorder="1" applyAlignment="1" applyProtection="1">
      <alignment horizontal="center" vertical="center"/>
    </xf>
    <xf numFmtId="164" fontId="32" fillId="8" borderId="1" xfId="0" applyNumberFormat="1" applyFont="1" applyFill="1" applyBorder="1" applyAlignment="1" applyProtection="1">
      <alignment horizontal="center" vertical="center"/>
    </xf>
    <xf numFmtId="164" fontId="32" fillId="8" borderId="35" xfId="0" applyNumberFormat="1" applyFont="1" applyFill="1" applyBorder="1" applyAlignment="1" applyProtection="1">
      <alignment horizontal="center" vertical="center"/>
    </xf>
    <xf numFmtId="165" fontId="32" fillId="5" borderId="32" xfId="0" applyNumberFormat="1" applyFont="1" applyFill="1" applyBorder="1" applyAlignment="1" applyProtection="1">
      <alignment horizontal="center" vertical="center" shrinkToFit="1"/>
    </xf>
    <xf numFmtId="165" fontId="32" fillId="5" borderId="2" xfId="0" applyNumberFormat="1" applyFont="1" applyFill="1" applyBorder="1" applyAlignment="1" applyProtection="1">
      <alignment horizontal="center" vertical="center" shrinkToFit="1"/>
    </xf>
    <xf numFmtId="165" fontId="32" fillId="5" borderId="33" xfId="0" applyNumberFormat="1" applyFont="1" applyFill="1" applyBorder="1" applyAlignment="1" applyProtection="1">
      <alignment horizontal="center" vertical="center" shrinkToFit="1"/>
    </xf>
    <xf numFmtId="165" fontId="32" fillId="5" borderId="36" xfId="0" applyNumberFormat="1" applyFont="1" applyFill="1" applyBorder="1" applyAlignment="1" applyProtection="1">
      <alignment horizontal="center" vertical="center" shrinkToFit="1"/>
    </xf>
    <xf numFmtId="165" fontId="32" fillId="5" borderId="0" xfId="0" applyNumberFormat="1" applyFont="1" applyFill="1" applyBorder="1" applyAlignment="1" applyProtection="1">
      <alignment horizontal="center" vertical="center" shrinkToFit="1"/>
    </xf>
    <xf numFmtId="165" fontId="32" fillId="5" borderId="24" xfId="0" applyNumberFormat="1" applyFont="1" applyFill="1" applyBorder="1" applyAlignment="1" applyProtection="1">
      <alignment horizontal="center" vertical="center" shrinkToFit="1"/>
    </xf>
    <xf numFmtId="165" fontId="32" fillId="5" borderId="42" xfId="0" applyNumberFormat="1" applyFont="1" applyFill="1" applyBorder="1" applyAlignment="1" applyProtection="1">
      <alignment horizontal="center" vertical="center" shrinkToFit="1"/>
    </xf>
    <xf numFmtId="165" fontId="32" fillId="5" borderId="43" xfId="0" applyNumberFormat="1" applyFont="1" applyFill="1" applyBorder="1" applyAlignment="1" applyProtection="1">
      <alignment horizontal="center" vertical="center" shrinkToFit="1"/>
    </xf>
    <xf numFmtId="165" fontId="32" fillId="5" borderId="44" xfId="0" applyNumberFormat="1" applyFont="1" applyFill="1" applyBorder="1" applyAlignment="1" applyProtection="1">
      <alignment horizontal="center" vertical="center" shrinkToFit="1"/>
    </xf>
    <xf numFmtId="164" fontId="32" fillId="0" borderId="32" xfId="0" applyNumberFormat="1" applyFont="1" applyFill="1" applyBorder="1" applyAlignment="1" applyProtection="1">
      <alignment horizontal="center" vertical="center" shrinkToFit="1"/>
      <protection locked="0"/>
    </xf>
    <xf numFmtId="164" fontId="32" fillId="0" borderId="2" xfId="0" applyNumberFormat="1" applyFont="1" applyFill="1" applyBorder="1" applyAlignment="1" applyProtection="1">
      <alignment horizontal="center" vertical="center" shrinkToFit="1"/>
      <protection locked="0"/>
    </xf>
    <xf numFmtId="164" fontId="32" fillId="0" borderId="33" xfId="0" applyNumberFormat="1" applyFont="1" applyFill="1" applyBorder="1" applyAlignment="1" applyProtection="1">
      <alignment horizontal="center" vertical="center" shrinkToFit="1"/>
      <protection locked="0"/>
    </xf>
    <xf numFmtId="164" fontId="32" fillId="0" borderId="36" xfId="0" applyNumberFormat="1" applyFont="1" applyFill="1" applyBorder="1" applyAlignment="1" applyProtection="1">
      <alignment horizontal="center" vertical="center" shrinkToFit="1"/>
      <protection locked="0"/>
    </xf>
    <xf numFmtId="164" fontId="32" fillId="0" borderId="0" xfId="0" applyNumberFormat="1" applyFont="1" applyFill="1" applyBorder="1" applyAlignment="1" applyProtection="1">
      <alignment horizontal="center" vertical="center" shrinkToFit="1"/>
      <protection locked="0"/>
    </xf>
    <xf numFmtId="164" fontId="32" fillId="0" borderId="24" xfId="0" applyNumberFormat="1" applyFont="1" applyFill="1" applyBorder="1" applyAlignment="1" applyProtection="1">
      <alignment horizontal="center" vertical="center" shrinkToFit="1"/>
      <protection locked="0"/>
    </xf>
    <xf numFmtId="164" fontId="32" fillId="0" borderId="42" xfId="0" applyNumberFormat="1" applyFont="1" applyFill="1" applyBorder="1" applyAlignment="1" applyProtection="1">
      <alignment horizontal="center" vertical="center" shrinkToFit="1"/>
      <protection locked="0"/>
    </xf>
    <xf numFmtId="164" fontId="32" fillId="0" borderId="43" xfId="0" applyNumberFormat="1" applyFont="1" applyFill="1" applyBorder="1" applyAlignment="1" applyProtection="1">
      <alignment horizontal="center" vertical="center" shrinkToFit="1"/>
      <protection locked="0"/>
    </xf>
    <xf numFmtId="164" fontId="32" fillId="0" borderId="44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Border="1" applyAlignment="1" applyProtection="1">
      <alignment horizontal="center" wrapText="1"/>
    </xf>
    <xf numFmtId="164" fontId="32" fillId="8" borderId="32" xfId="0" applyNumberFormat="1" applyFont="1" applyFill="1" applyBorder="1" applyAlignment="1" applyProtection="1">
      <alignment horizontal="center" vertical="center"/>
    </xf>
    <xf numFmtId="164" fontId="32" fillId="8" borderId="2" xfId="0" applyNumberFormat="1" applyFont="1" applyFill="1" applyBorder="1" applyAlignment="1" applyProtection="1">
      <alignment horizontal="center" vertical="center"/>
    </xf>
    <xf numFmtId="164" fontId="32" fillId="8" borderId="33" xfId="0" applyNumberFormat="1" applyFont="1" applyFill="1" applyBorder="1" applyAlignment="1" applyProtection="1">
      <alignment horizontal="center" vertical="center"/>
    </xf>
    <xf numFmtId="0" fontId="32" fillId="8" borderId="32" xfId="0" applyNumberFormat="1" applyFont="1" applyFill="1" applyBorder="1" applyAlignment="1" applyProtection="1">
      <alignment horizontal="center" vertical="center"/>
    </xf>
    <xf numFmtId="0" fontId="32" fillId="8" borderId="2" xfId="0" applyNumberFormat="1" applyFont="1" applyFill="1" applyBorder="1" applyAlignment="1" applyProtection="1">
      <alignment horizontal="center" vertical="center"/>
    </xf>
    <xf numFmtId="0" fontId="32" fillId="8" borderId="33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/>
    </xf>
    <xf numFmtId="0" fontId="61" fillId="5" borderId="79" xfId="0" applyFont="1" applyFill="1" applyBorder="1" applyAlignment="1" applyProtection="1">
      <alignment horizontal="center" vertical="center"/>
    </xf>
    <xf numFmtId="0" fontId="61" fillId="5" borderId="80" xfId="0" applyFont="1" applyFill="1" applyBorder="1" applyAlignment="1" applyProtection="1">
      <alignment horizontal="center" vertical="center"/>
    </xf>
    <xf numFmtId="165" fontId="32" fillId="5" borderId="40" xfId="0" applyNumberFormat="1" applyFont="1" applyFill="1" applyBorder="1" applyAlignment="1" applyProtection="1">
      <alignment horizontal="center" vertical="center" shrinkToFit="1"/>
    </xf>
    <xf numFmtId="165" fontId="32" fillId="5" borderId="39" xfId="0" applyNumberFormat="1" applyFont="1" applyFill="1" applyBorder="1" applyAlignment="1" applyProtection="1">
      <alignment horizontal="center" vertical="center" shrinkToFit="1"/>
    </xf>
    <xf numFmtId="165" fontId="32" fillId="5" borderId="41" xfId="0" applyNumberFormat="1" applyFont="1" applyFill="1" applyBorder="1" applyAlignment="1" applyProtection="1">
      <alignment horizontal="center" vertical="center" shrinkToFit="1"/>
    </xf>
    <xf numFmtId="0" fontId="5" fillId="0" borderId="36" xfId="0" applyFont="1" applyFill="1" applyBorder="1" applyAlignment="1" applyProtection="1">
      <alignment horizontal="center" vertical="center" shrinkToFit="1"/>
    </xf>
    <xf numFmtId="0" fontId="5" fillId="0" borderId="24" xfId="0" applyFont="1" applyFill="1" applyBorder="1" applyAlignment="1" applyProtection="1">
      <alignment horizontal="center" vertical="center" shrinkToFit="1"/>
    </xf>
    <xf numFmtId="0" fontId="5" fillId="0" borderId="36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3" fillId="7" borderId="0" xfId="0" applyFont="1" applyFill="1" applyBorder="1" applyAlignment="1" applyProtection="1">
      <alignment horizontal="center"/>
    </xf>
    <xf numFmtId="0" fontId="3" fillId="7" borderId="1" xfId="0" applyFont="1" applyFill="1" applyBorder="1" applyAlignment="1" applyProtection="1">
      <alignment horizontal="center"/>
    </xf>
    <xf numFmtId="0" fontId="3" fillId="7" borderId="0" xfId="0" applyFont="1" applyFill="1" applyBorder="1" applyAlignment="1" applyProtection="1">
      <alignment horizontal="center" wrapText="1"/>
    </xf>
    <xf numFmtId="0" fontId="3" fillId="7" borderId="1" xfId="0" applyFont="1" applyFill="1" applyBorder="1" applyAlignment="1" applyProtection="1">
      <alignment horizontal="center" wrapText="1"/>
    </xf>
    <xf numFmtId="0" fontId="5" fillId="0" borderId="0" xfId="0" applyFont="1" applyFill="1" applyBorder="1" applyAlignment="1" applyProtection="1">
      <alignment horizontal="right" vertical="center" indent="1"/>
    </xf>
    <xf numFmtId="0" fontId="5" fillId="0" borderId="24" xfId="0" applyFont="1" applyFill="1" applyBorder="1" applyAlignment="1" applyProtection="1">
      <alignment horizontal="right" vertical="center" indent="1"/>
    </xf>
    <xf numFmtId="165" fontId="5" fillId="0" borderId="32" xfId="0" applyNumberFormat="1" applyFont="1" applyFill="1" applyBorder="1" applyAlignment="1" applyProtection="1">
      <alignment horizontal="center" vertical="center"/>
      <protection locked="0"/>
    </xf>
    <xf numFmtId="165" fontId="5" fillId="0" borderId="2" xfId="0" applyNumberFormat="1" applyFont="1" applyFill="1" applyBorder="1" applyAlignment="1" applyProtection="1">
      <alignment horizontal="center" vertical="center"/>
      <protection locked="0"/>
    </xf>
    <xf numFmtId="165" fontId="5" fillId="0" borderId="33" xfId="0" applyNumberFormat="1" applyFont="1" applyFill="1" applyBorder="1" applyAlignment="1" applyProtection="1">
      <alignment horizontal="center" vertical="center"/>
      <protection locked="0"/>
    </xf>
    <xf numFmtId="165" fontId="5" fillId="0" borderId="34" xfId="0" applyNumberFormat="1" applyFont="1" applyFill="1" applyBorder="1" applyAlignment="1" applyProtection="1">
      <alignment horizontal="center" vertical="center"/>
      <protection locked="0"/>
    </xf>
    <xf numFmtId="165" fontId="5" fillId="0" borderId="1" xfId="0" applyNumberFormat="1" applyFont="1" applyFill="1" applyBorder="1" applyAlignment="1" applyProtection="1">
      <alignment horizontal="center" vertical="center"/>
      <protection locked="0"/>
    </xf>
    <xf numFmtId="165" fontId="5" fillId="0" borderId="35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right" vertical="center"/>
    </xf>
    <xf numFmtId="0" fontId="33" fillId="6" borderId="43" xfId="0" applyFont="1" applyFill="1" applyBorder="1" applyAlignment="1" applyProtection="1">
      <alignment horizontal="center" vertical="center"/>
    </xf>
    <xf numFmtId="0" fontId="33" fillId="6" borderId="44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 shrinkToFit="1"/>
    </xf>
    <xf numFmtId="0" fontId="5" fillId="0" borderId="32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5" fillId="0" borderId="33" xfId="0" applyFont="1" applyBorder="1" applyAlignment="1" applyProtection="1">
      <alignment horizontal="center" vertical="center"/>
    </xf>
    <xf numFmtId="0" fontId="5" fillId="0" borderId="34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35" xfId="0" applyFont="1" applyBorder="1" applyAlignment="1" applyProtection="1">
      <alignment horizontal="center" vertical="center"/>
    </xf>
    <xf numFmtId="0" fontId="34" fillId="6" borderId="39" xfId="0" applyFont="1" applyFill="1" applyBorder="1" applyAlignment="1" applyProtection="1">
      <alignment horizontal="center" vertical="center"/>
    </xf>
    <xf numFmtId="0" fontId="34" fillId="6" borderId="41" xfId="0" applyFont="1" applyFill="1" applyBorder="1" applyAlignment="1" applyProtection="1">
      <alignment horizontal="center" vertical="center"/>
    </xf>
    <xf numFmtId="0" fontId="34" fillId="6" borderId="0" xfId="0" applyFont="1" applyFill="1" applyBorder="1" applyAlignment="1" applyProtection="1">
      <alignment horizontal="center" vertical="center"/>
    </xf>
    <xf numFmtId="0" fontId="34" fillId="6" borderId="24" xfId="0" applyFont="1" applyFill="1" applyBorder="1" applyAlignment="1" applyProtection="1">
      <alignment horizontal="center" vertical="center"/>
    </xf>
    <xf numFmtId="0" fontId="32" fillId="0" borderId="40" xfId="0" applyFont="1" applyFill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locked="0"/>
    </xf>
    <xf numFmtId="0" fontId="32" fillId="0" borderId="41" xfId="0" applyFont="1" applyFill="1" applyBorder="1" applyAlignment="1" applyProtection="1">
      <alignment horizontal="center" vertical="center"/>
      <protection locked="0"/>
    </xf>
    <xf numFmtId="0" fontId="32" fillId="0" borderId="36" xfId="0" applyFont="1" applyFill="1" applyBorder="1" applyAlignment="1" applyProtection="1">
      <alignment horizontal="center" vertical="center"/>
      <protection locked="0"/>
    </xf>
    <xf numFmtId="0" fontId="32" fillId="0" borderId="0" xfId="0" applyFont="1" applyFill="1" applyBorder="1" applyAlignment="1" applyProtection="1">
      <alignment horizontal="center" vertical="center"/>
      <protection locked="0"/>
    </xf>
    <xf numFmtId="0" fontId="32" fillId="0" borderId="24" xfId="0" applyFont="1" applyFill="1" applyBorder="1" applyAlignment="1" applyProtection="1">
      <alignment horizontal="center" vertical="center"/>
      <protection locked="0"/>
    </xf>
    <xf numFmtId="0" fontId="32" fillId="0" borderId="42" xfId="0" applyFont="1" applyFill="1" applyBorder="1" applyAlignment="1" applyProtection="1">
      <alignment horizontal="center" vertical="center"/>
      <protection locked="0"/>
    </xf>
    <xf numFmtId="0" fontId="32" fillId="0" borderId="43" xfId="0" applyFont="1" applyFill="1" applyBorder="1" applyAlignment="1" applyProtection="1">
      <alignment horizontal="center" vertical="center"/>
      <protection locked="0"/>
    </xf>
    <xf numFmtId="0" fontId="32" fillId="0" borderId="44" xfId="0" applyFont="1" applyFill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35" xfId="0" applyFont="1" applyBorder="1" applyAlignment="1" applyProtection="1">
      <alignment horizontal="center" vertical="center"/>
      <protection locked="0"/>
    </xf>
    <xf numFmtId="0" fontId="32" fillId="0" borderId="32" xfId="0" applyFont="1" applyFill="1" applyBorder="1" applyAlignment="1" applyProtection="1">
      <alignment horizontal="center" vertical="center"/>
      <protection locked="0"/>
    </xf>
    <xf numFmtId="0" fontId="32" fillId="0" borderId="2" xfId="0" applyFont="1" applyFill="1" applyBorder="1" applyAlignment="1" applyProtection="1">
      <alignment horizontal="center" vertical="center"/>
      <protection locked="0"/>
    </xf>
    <xf numFmtId="0" fontId="32" fillId="0" borderId="33" xfId="0" applyFont="1" applyFill="1" applyBorder="1" applyAlignment="1" applyProtection="1">
      <alignment horizontal="center" vertical="center"/>
      <protection locked="0"/>
    </xf>
    <xf numFmtId="0" fontId="32" fillId="0" borderId="27" xfId="0" applyFont="1" applyFill="1" applyBorder="1" applyAlignment="1" applyProtection="1">
      <alignment horizontal="center" vertical="center"/>
      <protection locked="0"/>
    </xf>
    <xf numFmtId="0" fontId="32" fillId="0" borderId="11" xfId="0" applyFont="1" applyFill="1" applyBorder="1" applyAlignment="1" applyProtection="1">
      <alignment horizontal="center" vertical="center"/>
      <protection locked="0"/>
    </xf>
    <xf numFmtId="0" fontId="32" fillId="0" borderId="28" xfId="0" applyFont="1" applyFill="1" applyBorder="1" applyAlignment="1" applyProtection="1">
      <alignment horizontal="center" vertical="center"/>
      <protection locked="0"/>
    </xf>
    <xf numFmtId="0" fontId="32" fillId="0" borderId="29" xfId="0" applyFont="1" applyFill="1" applyBorder="1" applyAlignment="1" applyProtection="1">
      <alignment horizontal="center" vertical="center"/>
      <protection locked="0"/>
    </xf>
    <xf numFmtId="0" fontId="32" fillId="0" borderId="38" xfId="0" applyFont="1" applyFill="1" applyBorder="1" applyAlignment="1" applyProtection="1">
      <alignment horizontal="center" vertical="center"/>
      <protection locked="0"/>
    </xf>
    <xf numFmtId="0" fontId="32" fillId="0" borderId="30" xfId="0" applyFont="1" applyFill="1" applyBorder="1" applyAlignment="1" applyProtection="1">
      <alignment horizontal="center" vertical="center"/>
      <protection locked="0"/>
    </xf>
    <xf numFmtId="165" fontId="32" fillId="5" borderId="34" xfId="0" applyNumberFormat="1" applyFont="1" applyFill="1" applyBorder="1" applyAlignment="1" applyProtection="1">
      <alignment horizontal="center" vertical="center" shrinkToFit="1"/>
    </xf>
    <xf numFmtId="165" fontId="32" fillId="5" borderId="1" xfId="0" applyNumberFormat="1" applyFont="1" applyFill="1" applyBorder="1" applyAlignment="1" applyProtection="1">
      <alignment horizontal="center" vertical="center" shrinkToFit="1"/>
    </xf>
    <xf numFmtId="165" fontId="32" fillId="5" borderId="35" xfId="0" applyNumberFormat="1" applyFont="1" applyFill="1" applyBorder="1" applyAlignment="1" applyProtection="1">
      <alignment horizontal="center" vertical="center" shrinkToFit="1"/>
    </xf>
    <xf numFmtId="0" fontId="33" fillId="6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24" xfId="0" applyFont="1" applyFill="1" applyBorder="1" applyAlignment="1" applyProtection="1">
      <alignment horizontal="center" vertical="center"/>
    </xf>
    <xf numFmtId="164" fontId="32" fillId="0" borderId="40" xfId="0" applyNumberFormat="1" applyFont="1" applyFill="1" applyBorder="1" applyAlignment="1" applyProtection="1">
      <alignment horizontal="center" vertical="center" shrinkToFit="1"/>
      <protection locked="0"/>
    </xf>
    <xf numFmtId="164" fontId="32" fillId="0" borderId="39" xfId="0" applyNumberFormat="1" applyFont="1" applyFill="1" applyBorder="1" applyAlignment="1" applyProtection="1">
      <alignment horizontal="center" vertical="center" shrinkToFit="1"/>
      <protection locked="0"/>
    </xf>
    <xf numFmtId="164" fontId="32" fillId="0" borderId="41" xfId="0" applyNumberFormat="1" applyFont="1" applyFill="1" applyBorder="1" applyAlignment="1" applyProtection="1">
      <alignment horizontal="center" vertical="center" shrinkToFit="1"/>
      <protection locked="0"/>
    </xf>
    <xf numFmtId="164" fontId="32" fillId="0" borderId="34" xfId="0" applyNumberFormat="1" applyFont="1" applyFill="1" applyBorder="1" applyAlignment="1" applyProtection="1">
      <alignment horizontal="center" vertical="center" shrinkToFit="1"/>
      <protection locked="0"/>
    </xf>
    <xf numFmtId="164" fontId="32" fillId="0" borderId="1" xfId="0" applyNumberFormat="1" applyFont="1" applyFill="1" applyBorder="1" applyAlignment="1" applyProtection="1">
      <alignment horizontal="center" vertical="center" shrinkToFit="1"/>
      <protection locked="0"/>
    </xf>
    <xf numFmtId="164" fontId="32" fillId="0" borderId="35" xfId="0" applyNumberFormat="1" applyFont="1" applyFill="1" applyBorder="1" applyAlignment="1" applyProtection="1">
      <alignment horizontal="center" vertical="center" shrinkToFit="1"/>
      <protection locked="0"/>
    </xf>
    <xf numFmtId="0" fontId="32" fillId="8" borderId="34" xfId="0" applyNumberFormat="1" applyFont="1" applyFill="1" applyBorder="1" applyAlignment="1" applyProtection="1">
      <alignment horizontal="center" vertical="center"/>
    </xf>
    <xf numFmtId="0" fontId="32" fillId="8" borderId="1" xfId="0" applyNumberFormat="1" applyFont="1" applyFill="1" applyBorder="1" applyAlignment="1" applyProtection="1">
      <alignment horizontal="center" vertical="center"/>
    </xf>
    <xf numFmtId="0" fontId="32" fillId="8" borderId="35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37" fillId="0" borderId="3" xfId="0" applyFont="1" applyBorder="1" applyAlignment="1" applyProtection="1">
      <alignment horizontal="center" vertical="center"/>
    </xf>
    <xf numFmtId="0" fontId="37" fillId="0" borderId="4" xfId="0" applyFont="1" applyBorder="1" applyAlignment="1" applyProtection="1">
      <alignment horizontal="center" vertical="center"/>
    </xf>
    <xf numFmtId="0" fontId="37" fillId="0" borderId="5" xfId="0" applyFont="1" applyBorder="1" applyAlignment="1" applyProtection="1">
      <alignment horizontal="center" vertical="center"/>
    </xf>
    <xf numFmtId="0" fontId="37" fillId="0" borderId="8" xfId="0" applyFont="1" applyBorder="1" applyAlignment="1" applyProtection="1">
      <alignment horizontal="center" vertical="center"/>
    </xf>
    <xf numFmtId="0" fontId="37" fillId="0" borderId="9" xfId="0" applyFont="1" applyBorder="1" applyAlignment="1" applyProtection="1">
      <alignment horizontal="center" vertical="center"/>
    </xf>
    <xf numFmtId="0" fontId="37" fillId="0" borderId="10" xfId="0" applyFont="1" applyBorder="1" applyAlignment="1" applyProtection="1">
      <alignment horizontal="center" vertical="center"/>
    </xf>
    <xf numFmtId="0" fontId="65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9" fillId="0" borderId="63" xfId="0" applyFont="1" applyBorder="1" applyAlignment="1" applyProtection="1">
      <alignment horizontal="center" vertical="center"/>
    </xf>
    <xf numFmtId="0" fontId="39" fillId="0" borderId="64" xfId="0" applyFont="1" applyBorder="1" applyAlignment="1" applyProtection="1">
      <alignment horizontal="center" vertical="center"/>
    </xf>
    <xf numFmtId="0" fontId="39" fillId="0" borderId="65" xfId="0" applyFont="1" applyBorder="1" applyAlignment="1" applyProtection="1">
      <alignment horizontal="center" vertical="center"/>
    </xf>
    <xf numFmtId="0" fontId="39" fillId="0" borderId="66" xfId="0" applyFont="1" applyBorder="1" applyAlignment="1" applyProtection="1">
      <alignment horizontal="center" vertical="center"/>
    </xf>
    <xf numFmtId="0" fontId="39" fillId="0" borderId="67" xfId="0" applyFont="1" applyBorder="1" applyAlignment="1" applyProtection="1">
      <alignment horizontal="center" vertical="center"/>
    </xf>
    <xf numFmtId="0" fontId="39" fillId="0" borderId="68" xfId="0" applyFont="1" applyBorder="1" applyAlignment="1" applyProtection="1">
      <alignment horizontal="center" vertical="center"/>
    </xf>
    <xf numFmtId="0" fontId="27" fillId="6" borderId="32" xfId="0" applyFont="1" applyFill="1" applyBorder="1" applyAlignment="1" applyProtection="1">
      <alignment horizontal="center" vertical="center"/>
    </xf>
    <xf numFmtId="0" fontId="27" fillId="6" borderId="33" xfId="0" applyFont="1" applyFill="1" applyBorder="1" applyAlignment="1" applyProtection="1">
      <alignment horizontal="center" vertical="center"/>
    </xf>
    <xf numFmtId="0" fontId="27" fillId="6" borderId="34" xfId="0" applyFont="1" applyFill="1" applyBorder="1" applyAlignment="1" applyProtection="1">
      <alignment horizontal="center" vertical="center"/>
    </xf>
    <xf numFmtId="0" fontId="27" fillId="6" borderId="35" xfId="0" applyFont="1" applyFill="1" applyBorder="1" applyAlignment="1" applyProtection="1">
      <alignment horizontal="center" vertical="center"/>
    </xf>
    <xf numFmtId="0" fontId="76" fillId="0" borderId="32" xfId="0" applyFont="1" applyBorder="1" applyAlignment="1" applyProtection="1">
      <alignment horizontal="center" vertical="center"/>
      <protection locked="0"/>
    </xf>
    <xf numFmtId="0" fontId="76" fillId="0" borderId="2" xfId="0" applyFont="1" applyBorder="1" applyAlignment="1" applyProtection="1">
      <alignment horizontal="center" vertical="center"/>
      <protection locked="0"/>
    </xf>
    <xf numFmtId="0" fontId="76" fillId="0" borderId="33" xfId="0" applyFont="1" applyBorder="1" applyAlignment="1" applyProtection="1">
      <alignment horizontal="center" vertical="center"/>
      <protection locked="0"/>
    </xf>
    <xf numFmtId="0" fontId="76" fillId="0" borderId="34" xfId="0" applyFont="1" applyBorder="1" applyAlignment="1" applyProtection="1">
      <alignment horizontal="center" vertical="center"/>
      <protection locked="0"/>
    </xf>
    <xf numFmtId="0" fontId="76" fillId="0" borderId="1" xfId="0" applyFont="1" applyBorder="1" applyAlignment="1" applyProtection="1">
      <alignment horizontal="center" vertical="center"/>
      <protection locked="0"/>
    </xf>
    <xf numFmtId="0" fontId="76" fillId="0" borderId="35" xfId="0" applyFont="1" applyBorder="1" applyAlignment="1" applyProtection="1">
      <alignment horizontal="center" vertical="center"/>
      <protection locked="0"/>
    </xf>
    <xf numFmtId="0" fontId="20" fillId="0" borderId="32" xfId="0" applyFont="1" applyBorder="1" applyAlignment="1" applyProtection="1">
      <alignment horizontal="left" vertical="center" indent="1"/>
      <protection locked="0"/>
    </xf>
    <xf numFmtId="0" fontId="20" fillId="0" borderId="2" xfId="0" applyFont="1" applyBorder="1" applyAlignment="1" applyProtection="1">
      <alignment horizontal="left" vertical="center" indent="1"/>
      <protection locked="0"/>
    </xf>
    <xf numFmtId="0" fontId="20" fillId="0" borderId="33" xfId="0" applyFont="1" applyBorder="1" applyAlignment="1" applyProtection="1">
      <alignment horizontal="left" vertical="center" indent="1"/>
      <protection locked="0"/>
    </xf>
    <xf numFmtId="0" fontId="20" fillId="0" borderId="34" xfId="0" applyFont="1" applyBorder="1" applyAlignment="1" applyProtection="1">
      <alignment horizontal="left" vertical="center" indent="1"/>
      <protection locked="0"/>
    </xf>
    <xf numFmtId="0" fontId="20" fillId="0" borderId="1" xfId="0" applyFont="1" applyBorder="1" applyAlignment="1" applyProtection="1">
      <alignment horizontal="left" vertical="center" indent="1"/>
      <protection locked="0"/>
    </xf>
    <xf numFmtId="0" fontId="20" fillId="0" borderId="35" xfId="0" applyFont="1" applyBorder="1" applyAlignment="1" applyProtection="1">
      <alignment horizontal="left" vertical="center" indent="1"/>
      <protection locked="0"/>
    </xf>
    <xf numFmtId="0" fontId="108" fillId="0" borderId="32" xfId="0" applyFont="1" applyFill="1" applyBorder="1" applyAlignment="1" applyProtection="1">
      <alignment horizontal="center" vertical="center" wrapText="1"/>
      <protection locked="0"/>
    </xf>
    <xf numFmtId="0" fontId="108" fillId="0" borderId="2" xfId="0" applyFont="1" applyFill="1" applyBorder="1" applyAlignment="1" applyProtection="1">
      <alignment horizontal="center" vertical="center" wrapText="1"/>
      <protection locked="0"/>
    </xf>
    <xf numFmtId="0" fontId="108" fillId="0" borderId="33" xfId="0" applyFont="1" applyFill="1" applyBorder="1" applyAlignment="1" applyProtection="1">
      <alignment horizontal="center" vertical="center" wrapText="1"/>
      <protection locked="0"/>
    </xf>
    <xf numFmtId="0" fontId="108" fillId="0" borderId="34" xfId="0" applyFont="1" applyFill="1" applyBorder="1" applyAlignment="1" applyProtection="1">
      <alignment horizontal="center" vertical="center" wrapText="1"/>
      <protection locked="0"/>
    </xf>
    <xf numFmtId="0" fontId="108" fillId="0" borderId="1" xfId="0" applyFont="1" applyFill="1" applyBorder="1" applyAlignment="1" applyProtection="1">
      <alignment horizontal="center" vertical="center" wrapText="1"/>
      <protection locked="0"/>
    </xf>
    <xf numFmtId="0" fontId="108" fillId="0" borderId="35" xfId="0" applyFont="1" applyFill="1" applyBorder="1" applyAlignment="1" applyProtection="1">
      <alignment horizontal="center" vertical="center" wrapText="1"/>
      <protection locked="0"/>
    </xf>
    <xf numFmtId="0" fontId="21" fillId="0" borderId="32" xfId="0" applyFont="1" applyBorder="1" applyAlignment="1" applyProtection="1">
      <alignment horizontal="center" vertical="center"/>
      <protection locked="0"/>
    </xf>
    <xf numFmtId="0" fontId="21" fillId="0" borderId="2" xfId="0" applyFont="1" applyBorder="1" applyAlignment="1" applyProtection="1">
      <alignment horizontal="center" vertical="center"/>
      <protection locked="0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36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 applyProtection="1">
      <alignment horizontal="center" vertical="center"/>
      <protection locked="0"/>
    </xf>
    <xf numFmtId="0" fontId="21" fillId="0" borderId="24" xfId="0" applyFont="1" applyBorder="1" applyAlignment="1" applyProtection="1">
      <alignment horizontal="center" vertical="center"/>
      <protection locked="0"/>
    </xf>
    <xf numFmtId="0" fontId="21" fillId="0" borderId="34" xfId="0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center" vertical="center"/>
      <protection locked="0"/>
    </xf>
    <xf numFmtId="0" fontId="21" fillId="0" borderId="35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8" fillId="2" borderId="3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center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8" fillId="2" borderId="7" xfId="0" applyFont="1" applyFill="1" applyBorder="1" applyAlignment="1" applyProtection="1">
      <alignment horizontal="center" vertical="center"/>
    </xf>
    <xf numFmtId="0" fontId="8" fillId="2" borderId="8" xfId="0" applyFont="1" applyFill="1" applyBorder="1" applyAlignment="1" applyProtection="1">
      <alignment horizontal="center" vertical="center"/>
    </xf>
    <xf numFmtId="0" fontId="8" fillId="2" borderId="9" xfId="0" applyFont="1" applyFill="1" applyBorder="1" applyAlignment="1" applyProtection="1">
      <alignment horizontal="center" vertical="center"/>
    </xf>
    <xf numFmtId="0" fontId="8" fillId="2" borderId="10" xfId="0" applyFont="1" applyFill="1" applyBorder="1" applyAlignment="1" applyProtection="1">
      <alignment horizontal="center" vertical="center"/>
    </xf>
    <xf numFmtId="0" fontId="21" fillId="2" borderId="32" xfId="0" applyFont="1" applyFill="1" applyBorder="1" applyAlignment="1" applyProtection="1">
      <alignment horizontal="center" vertical="center"/>
    </xf>
    <xf numFmtId="0" fontId="21" fillId="2" borderId="2" xfId="0" applyFont="1" applyFill="1" applyBorder="1" applyAlignment="1" applyProtection="1">
      <alignment horizontal="center" vertical="center"/>
    </xf>
    <xf numFmtId="0" fontId="21" fillId="2" borderId="33" xfId="0" applyFont="1" applyFill="1" applyBorder="1" applyAlignment="1" applyProtection="1">
      <alignment horizontal="center" vertical="center"/>
    </xf>
    <xf numFmtId="0" fontId="21" fillId="2" borderId="36" xfId="0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center" vertical="center"/>
    </xf>
    <xf numFmtId="0" fontId="21" fillId="2" borderId="24" xfId="0" applyFont="1" applyFill="1" applyBorder="1" applyAlignment="1" applyProtection="1">
      <alignment horizontal="center" vertical="center"/>
    </xf>
    <xf numFmtId="0" fontId="21" fillId="2" borderId="34" xfId="0" applyFont="1" applyFill="1" applyBorder="1" applyAlignment="1" applyProtection="1">
      <alignment horizontal="center" vertical="center"/>
    </xf>
    <xf numFmtId="0" fontId="21" fillId="2" borderId="1" xfId="0" applyFont="1" applyFill="1" applyBorder="1" applyAlignment="1" applyProtection="1">
      <alignment horizontal="center" vertical="center"/>
    </xf>
    <xf numFmtId="0" fontId="21" fillId="2" borderId="35" xfId="0" applyFont="1" applyFill="1" applyBorder="1" applyAlignment="1" applyProtection="1">
      <alignment horizontal="center" vertical="center"/>
    </xf>
    <xf numFmtId="0" fontId="12" fillId="9" borderId="0" xfId="0" applyFont="1" applyFill="1" applyBorder="1" applyAlignment="1" applyProtection="1">
      <alignment horizontal="left" vertical="center"/>
    </xf>
    <xf numFmtId="0" fontId="110" fillId="9" borderId="0" xfId="0" applyFont="1" applyFill="1" applyBorder="1" applyAlignment="1" applyProtection="1">
      <alignment horizontal="right" vertical="center"/>
    </xf>
    <xf numFmtId="0" fontId="27" fillId="6" borderId="15" xfId="0" applyFont="1" applyFill="1" applyBorder="1" applyAlignment="1" applyProtection="1">
      <alignment horizontal="center" vertical="center"/>
    </xf>
    <xf numFmtId="0" fontId="27" fillId="6" borderId="16" xfId="0" applyFont="1" applyFill="1" applyBorder="1" applyAlignment="1" applyProtection="1">
      <alignment horizontal="center" vertical="center"/>
    </xf>
    <xf numFmtId="164" fontId="8" fillId="2" borderId="3" xfId="0" applyNumberFormat="1" applyFont="1" applyFill="1" applyBorder="1" applyAlignment="1" applyProtection="1">
      <alignment horizontal="center" vertical="center"/>
    </xf>
    <xf numFmtId="164" fontId="8" fillId="2" borderId="4" xfId="0" applyNumberFormat="1" applyFont="1" applyFill="1" applyBorder="1" applyAlignment="1" applyProtection="1">
      <alignment horizontal="center" vertical="center"/>
    </xf>
    <xf numFmtId="164" fontId="8" fillId="2" borderId="5" xfId="0" applyNumberFormat="1" applyFont="1" applyFill="1" applyBorder="1" applyAlignment="1" applyProtection="1">
      <alignment horizontal="center" vertical="center"/>
    </xf>
    <xf numFmtId="164" fontId="8" fillId="2" borderId="6" xfId="0" applyNumberFormat="1" applyFont="1" applyFill="1" applyBorder="1" applyAlignment="1" applyProtection="1">
      <alignment horizontal="center" vertical="center"/>
    </xf>
    <xf numFmtId="164" fontId="8" fillId="2" borderId="0" xfId="0" applyNumberFormat="1" applyFont="1" applyFill="1" applyBorder="1" applyAlignment="1" applyProtection="1">
      <alignment horizontal="center" vertical="center"/>
    </xf>
    <xf numFmtId="164" fontId="8" fillId="2" borderId="7" xfId="0" applyNumberFormat="1" applyFont="1" applyFill="1" applyBorder="1" applyAlignment="1" applyProtection="1">
      <alignment horizontal="center" vertical="center"/>
    </xf>
    <xf numFmtId="164" fontId="8" fillId="2" borderId="8" xfId="0" applyNumberFormat="1" applyFont="1" applyFill="1" applyBorder="1" applyAlignment="1" applyProtection="1">
      <alignment horizontal="center" vertical="center"/>
    </xf>
    <xf numFmtId="164" fontId="8" fillId="2" borderId="9" xfId="0" applyNumberFormat="1" applyFont="1" applyFill="1" applyBorder="1" applyAlignment="1" applyProtection="1">
      <alignment horizontal="center" vertical="center"/>
    </xf>
    <xf numFmtId="164" fontId="8" fillId="2" borderId="10" xfId="0" applyNumberFormat="1" applyFont="1" applyFill="1" applyBorder="1" applyAlignment="1" applyProtection="1">
      <alignment horizontal="center" vertical="center"/>
    </xf>
    <xf numFmtId="0" fontId="21" fillId="0" borderId="77" xfId="0" applyFont="1" applyFill="1" applyBorder="1" applyAlignment="1" applyProtection="1">
      <alignment horizontal="center" vertical="center"/>
    </xf>
    <xf numFmtId="0" fontId="79" fillId="0" borderId="95" xfId="0" applyFont="1" applyFill="1" applyBorder="1" applyAlignment="1" applyProtection="1">
      <alignment horizontal="left" vertical="center" indent="1"/>
    </xf>
    <xf numFmtId="0" fontId="79" fillId="0" borderId="96" xfId="0" applyFont="1" applyFill="1" applyBorder="1" applyAlignment="1" applyProtection="1">
      <alignment horizontal="left" vertical="center" indent="1"/>
    </xf>
    <xf numFmtId="0" fontId="79" fillId="0" borderId="98" xfId="0" applyFont="1" applyFill="1" applyBorder="1" applyAlignment="1" applyProtection="1">
      <alignment horizontal="left" vertical="center" indent="1"/>
    </xf>
    <xf numFmtId="0" fontId="79" fillId="0" borderId="0" xfId="0" applyFont="1" applyFill="1" applyBorder="1" applyAlignment="1" applyProtection="1">
      <alignment horizontal="left" vertical="center" indent="1"/>
    </xf>
    <xf numFmtId="0" fontId="122" fillId="0" borderId="0" xfId="0" applyFont="1" applyBorder="1" applyAlignment="1" applyProtection="1">
      <alignment horizontal="center" vertical="center"/>
    </xf>
    <xf numFmtId="0" fontId="122" fillId="0" borderId="67" xfId="0" applyFont="1" applyBorder="1" applyAlignment="1" applyProtection="1">
      <alignment horizontal="center" vertical="center"/>
    </xf>
    <xf numFmtId="0" fontId="111" fillId="0" borderId="0" xfId="0" applyFont="1" applyBorder="1" applyAlignment="1" applyProtection="1">
      <alignment horizontal="right" vertical="center"/>
    </xf>
    <xf numFmtId="0" fontId="111" fillId="0" borderId="67" xfId="0" applyFont="1" applyBorder="1" applyAlignment="1" applyProtection="1">
      <alignment horizontal="right" vertical="center"/>
    </xf>
    <xf numFmtId="0" fontId="109" fillId="9" borderId="0" xfId="0" applyFont="1" applyFill="1" applyBorder="1" applyAlignment="1" applyProtection="1">
      <alignment horizontal="center" vertical="center"/>
    </xf>
    <xf numFmtId="0" fontId="121" fillId="9" borderId="0" xfId="0" applyFont="1" applyFill="1" applyBorder="1" applyAlignment="1" applyProtection="1">
      <alignment horizontal="center" vertical="center"/>
      <protection locked="0"/>
    </xf>
    <xf numFmtId="0" fontId="20" fillId="0" borderId="32" xfId="0" applyFont="1" applyBorder="1" applyAlignment="1" applyProtection="1">
      <alignment horizontal="left" vertical="center" indent="1" shrinkToFit="1"/>
      <protection locked="0"/>
    </xf>
    <xf numFmtId="0" fontId="20" fillId="0" borderId="2" xfId="0" applyFont="1" applyBorder="1" applyAlignment="1" applyProtection="1">
      <alignment horizontal="left" vertical="center" indent="1" shrinkToFit="1"/>
      <protection locked="0"/>
    </xf>
    <xf numFmtId="0" fontId="20" fillId="0" borderId="33" xfId="0" applyFont="1" applyBorder="1" applyAlignment="1" applyProtection="1">
      <alignment horizontal="left" vertical="center" indent="1" shrinkToFit="1"/>
      <protection locked="0"/>
    </xf>
    <xf numFmtId="0" fontId="20" fillId="0" borderId="34" xfId="0" applyFont="1" applyBorder="1" applyAlignment="1" applyProtection="1">
      <alignment horizontal="left" vertical="center" indent="1" shrinkToFit="1"/>
      <protection locked="0"/>
    </xf>
    <xf numFmtId="0" fontId="20" fillId="0" borderId="1" xfId="0" applyFont="1" applyBorder="1" applyAlignment="1" applyProtection="1">
      <alignment horizontal="left" vertical="center" indent="1" shrinkToFit="1"/>
      <protection locked="0"/>
    </xf>
    <xf numFmtId="0" fontId="20" fillId="0" borderId="35" xfId="0" applyFont="1" applyBorder="1" applyAlignment="1" applyProtection="1">
      <alignment horizontal="left" vertical="center" indent="1" shrinkToFit="1"/>
      <protection locked="0"/>
    </xf>
    <xf numFmtId="0" fontId="13" fillId="0" borderId="0" xfId="0" applyFont="1" applyFill="1" applyBorder="1" applyAlignment="1" applyProtection="1">
      <alignment horizontal="center" vertical="center" wrapText="1"/>
    </xf>
    <xf numFmtId="0" fontId="60" fillId="6" borderId="3" xfId="0" applyFont="1" applyFill="1" applyBorder="1" applyAlignment="1" applyProtection="1">
      <alignment horizontal="center" vertical="center"/>
    </xf>
    <xf numFmtId="0" fontId="60" fillId="6" borderId="4" xfId="0" applyFont="1" applyFill="1" applyBorder="1" applyAlignment="1" applyProtection="1">
      <alignment horizontal="center" vertical="center"/>
    </xf>
    <xf numFmtId="0" fontId="60" fillId="6" borderId="6" xfId="0" applyFont="1" applyFill="1" applyBorder="1" applyAlignment="1" applyProtection="1">
      <alignment horizontal="center" vertical="center"/>
    </xf>
    <xf numFmtId="0" fontId="60" fillId="6" borderId="0" xfId="0" applyFont="1" applyFill="1" applyBorder="1" applyAlignment="1" applyProtection="1">
      <alignment horizontal="center" vertical="center"/>
    </xf>
    <xf numFmtId="0" fontId="60" fillId="6" borderId="8" xfId="0" applyFont="1" applyFill="1" applyBorder="1" applyAlignment="1" applyProtection="1">
      <alignment horizontal="center" vertical="center"/>
    </xf>
    <xf numFmtId="0" fontId="60" fillId="6" borderId="9" xfId="0" applyFont="1" applyFill="1" applyBorder="1" applyAlignment="1" applyProtection="1">
      <alignment horizontal="center" vertical="center"/>
    </xf>
    <xf numFmtId="0" fontId="1" fillId="2" borderId="72" xfId="0" applyFont="1" applyFill="1" applyBorder="1" applyAlignment="1" applyProtection="1">
      <alignment horizontal="center" vertical="center"/>
    </xf>
    <xf numFmtId="0" fontId="1" fillId="2" borderId="16" xfId="0" applyFont="1" applyFill="1" applyBorder="1" applyAlignment="1" applyProtection="1">
      <alignment horizontal="center" vertical="center"/>
    </xf>
    <xf numFmtId="0" fontId="1" fillId="2" borderId="73" xfId="0" applyFont="1" applyFill="1" applyBorder="1" applyAlignment="1" applyProtection="1">
      <alignment horizontal="center" vertical="center"/>
    </xf>
    <xf numFmtId="0" fontId="74" fillId="2" borderId="122" xfId="0" applyFont="1" applyFill="1" applyBorder="1" applyAlignment="1" applyProtection="1">
      <alignment horizontal="right" vertical="center" shrinkToFit="1"/>
    </xf>
    <xf numFmtId="0" fontId="74" fillId="2" borderId="0" xfId="0" applyFont="1" applyFill="1" applyBorder="1" applyAlignment="1" applyProtection="1">
      <alignment horizontal="right" vertical="center" shrinkToFit="1"/>
    </xf>
    <xf numFmtId="0" fontId="74" fillId="2" borderId="124" xfId="0" applyFont="1" applyFill="1" applyBorder="1" applyAlignment="1" applyProtection="1">
      <alignment horizontal="right" vertical="center" shrinkToFit="1"/>
    </xf>
    <xf numFmtId="0" fontId="74" fillId="2" borderId="125" xfId="0" applyFont="1" applyFill="1" applyBorder="1" applyAlignment="1" applyProtection="1">
      <alignment horizontal="right" vertical="center" shrinkToFit="1"/>
    </xf>
    <xf numFmtId="166" fontId="75" fillId="2" borderId="0" xfId="0" applyNumberFormat="1" applyFont="1" applyFill="1" applyBorder="1" applyAlignment="1" applyProtection="1">
      <alignment horizontal="left" vertical="center" shrinkToFit="1"/>
    </xf>
    <xf numFmtId="166" fontId="75" fillId="2" borderId="94" xfId="0" applyNumberFormat="1" applyFont="1" applyFill="1" applyBorder="1" applyAlignment="1" applyProtection="1">
      <alignment horizontal="left" vertical="center" shrinkToFit="1"/>
    </xf>
    <xf numFmtId="166" fontId="75" fillId="2" borderId="125" xfId="0" applyNumberFormat="1" applyFont="1" applyFill="1" applyBorder="1" applyAlignment="1" applyProtection="1">
      <alignment horizontal="left" vertical="center" shrinkToFit="1"/>
    </xf>
    <xf numFmtId="166" fontId="75" fillId="2" borderId="126" xfId="0" applyNumberFormat="1" applyFont="1" applyFill="1" applyBorder="1" applyAlignment="1" applyProtection="1">
      <alignment horizontal="left" vertical="center" shrinkToFit="1"/>
    </xf>
    <xf numFmtId="0" fontId="1" fillId="2" borderId="69" xfId="0" applyFont="1" applyFill="1" applyBorder="1" applyAlignment="1" applyProtection="1">
      <alignment horizontal="center" vertical="center"/>
    </xf>
    <xf numFmtId="0" fontId="1" fillId="2" borderId="70" xfId="0" applyFont="1" applyFill="1" applyBorder="1" applyAlignment="1" applyProtection="1">
      <alignment horizontal="center" vertical="center"/>
    </xf>
    <xf numFmtId="0" fontId="1" fillId="2" borderId="71" xfId="0" applyFont="1" applyFill="1" applyBorder="1" applyAlignment="1" applyProtection="1">
      <alignment horizontal="center" vertical="center"/>
    </xf>
    <xf numFmtId="0" fontId="1" fillId="0" borderId="72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73" xfId="0" applyFont="1" applyBorder="1" applyAlignment="1" applyProtection="1">
      <alignment horizontal="center" vertical="center"/>
      <protection locked="0"/>
    </xf>
    <xf numFmtId="166" fontId="75" fillId="2" borderId="123" xfId="0" applyNumberFormat="1" applyFont="1" applyFill="1" applyBorder="1" applyAlignment="1" applyProtection="1">
      <alignment horizontal="left" vertical="center" shrinkToFit="1"/>
    </xf>
    <xf numFmtId="166" fontId="75" fillId="2" borderId="128" xfId="0" applyNumberFormat="1" applyFont="1" applyFill="1" applyBorder="1" applyAlignment="1" applyProtection="1">
      <alignment horizontal="left" vertical="center" shrinkToFit="1"/>
    </xf>
    <xf numFmtId="0" fontId="60" fillId="11" borderId="118" xfId="0" applyFont="1" applyFill="1" applyBorder="1" applyAlignment="1" applyProtection="1">
      <alignment horizontal="center" vertical="center"/>
    </xf>
    <xf numFmtId="0" fontId="60" fillId="11" borderId="110" xfId="0" applyFont="1" applyFill="1" applyBorder="1" applyAlignment="1" applyProtection="1">
      <alignment horizontal="center" vertical="center"/>
    </xf>
    <xf numFmtId="0" fontId="60" fillId="11" borderId="117" xfId="0" applyFont="1" applyFill="1" applyBorder="1" applyAlignment="1" applyProtection="1">
      <alignment horizontal="center" vertical="center"/>
    </xf>
    <xf numFmtId="0" fontId="60" fillId="11" borderId="120" xfId="0" applyFont="1" applyFill="1" applyBorder="1" applyAlignment="1" applyProtection="1">
      <alignment horizontal="center" vertical="center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70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60" fillId="11" borderId="119" xfId="0" applyFont="1" applyFill="1" applyBorder="1" applyAlignment="1" applyProtection="1">
      <alignment horizontal="center" vertical="center"/>
    </xf>
    <xf numFmtId="0" fontId="60" fillId="11" borderId="121" xfId="0" applyFont="1" applyFill="1" applyBorder="1" applyAlignment="1" applyProtection="1">
      <alignment horizontal="center" vertical="center"/>
    </xf>
    <xf numFmtId="0" fontId="74" fillId="2" borderId="93" xfId="0" applyFont="1" applyFill="1" applyBorder="1" applyAlignment="1" applyProtection="1">
      <alignment horizontal="right" vertical="center" shrinkToFit="1"/>
    </xf>
    <xf numFmtId="0" fontId="74" fillId="2" borderId="127" xfId="0" applyFont="1" applyFill="1" applyBorder="1" applyAlignment="1" applyProtection="1">
      <alignment horizontal="right" vertical="center" shrinkToFit="1"/>
    </xf>
    <xf numFmtId="167" fontId="75" fillId="2" borderId="0" xfId="0" applyNumberFormat="1" applyFont="1" applyFill="1" applyBorder="1" applyAlignment="1" applyProtection="1">
      <alignment horizontal="left" vertical="center" shrinkToFit="1"/>
    </xf>
    <xf numFmtId="167" fontId="75" fillId="2" borderId="94" xfId="0" applyNumberFormat="1" applyFont="1" applyFill="1" applyBorder="1" applyAlignment="1" applyProtection="1">
      <alignment horizontal="left" vertical="center" shrinkToFit="1"/>
    </xf>
    <xf numFmtId="167" fontId="75" fillId="2" borderId="125" xfId="0" applyNumberFormat="1" applyFont="1" applyFill="1" applyBorder="1" applyAlignment="1" applyProtection="1">
      <alignment horizontal="left" vertical="center" shrinkToFit="1"/>
    </xf>
    <xf numFmtId="167" fontId="75" fillId="2" borderId="126" xfId="0" applyNumberFormat="1" applyFont="1" applyFill="1" applyBorder="1" applyAlignment="1" applyProtection="1">
      <alignment horizontal="left" vertical="center" shrinkToFit="1"/>
    </xf>
    <xf numFmtId="0" fontId="1" fillId="0" borderId="74" xfId="0" applyFont="1" applyBorder="1" applyAlignment="1" applyProtection="1">
      <alignment horizontal="center" vertical="center"/>
      <protection locked="0"/>
    </xf>
    <xf numFmtId="0" fontId="1" fillId="0" borderId="75" xfId="0" applyFont="1" applyBorder="1" applyAlignment="1" applyProtection="1">
      <alignment horizontal="center" vertical="center"/>
      <protection locked="0"/>
    </xf>
    <xf numFmtId="0" fontId="1" fillId="0" borderId="76" xfId="0" applyFont="1" applyBorder="1" applyAlignment="1" applyProtection="1">
      <alignment horizontal="center" vertical="center"/>
      <protection locked="0"/>
    </xf>
    <xf numFmtId="0" fontId="71" fillId="0" borderId="0" xfId="0" applyFont="1" applyFill="1" applyAlignment="1" applyProtection="1">
      <alignment horizontal="left" vertical="center"/>
    </xf>
    <xf numFmtId="0" fontId="117" fillId="0" borderId="0" xfId="0" applyFont="1" applyAlignment="1" applyProtection="1">
      <alignment vertical="center"/>
    </xf>
    <xf numFmtId="0" fontId="117" fillId="0" borderId="0" xfId="0" applyFont="1" applyBorder="1" applyAlignment="1" applyProtection="1">
      <alignment vertical="center"/>
    </xf>
    <xf numFmtId="0" fontId="1" fillId="2" borderId="74" xfId="0" applyFont="1" applyFill="1" applyBorder="1" applyAlignment="1" applyProtection="1">
      <alignment horizontal="center" vertical="center"/>
    </xf>
    <xf numFmtId="0" fontId="1" fillId="2" borderId="75" xfId="0" applyFont="1" applyFill="1" applyBorder="1" applyAlignment="1" applyProtection="1">
      <alignment horizontal="center" vertical="center"/>
    </xf>
    <xf numFmtId="0" fontId="1" fillId="2" borderId="76" xfId="0" applyFont="1" applyFill="1" applyBorder="1" applyAlignment="1" applyProtection="1">
      <alignment horizontal="center" vertical="center"/>
    </xf>
    <xf numFmtId="0" fontId="45" fillId="6" borderId="3" xfId="0" applyFont="1" applyFill="1" applyBorder="1" applyAlignment="1" applyProtection="1">
      <alignment horizontal="center" vertical="center"/>
    </xf>
    <xf numFmtId="0" fontId="45" fillId="6" borderId="4" xfId="0" applyFont="1" applyFill="1" applyBorder="1" applyAlignment="1" applyProtection="1">
      <alignment horizontal="center" vertical="center"/>
    </xf>
    <xf numFmtId="0" fontId="45" fillId="6" borderId="5" xfId="0" applyFont="1" applyFill="1" applyBorder="1" applyAlignment="1" applyProtection="1">
      <alignment horizontal="center" vertical="center"/>
    </xf>
    <xf numFmtId="0" fontId="45" fillId="6" borderId="6" xfId="0" applyFont="1" applyFill="1" applyBorder="1" applyAlignment="1" applyProtection="1">
      <alignment horizontal="center" vertical="center"/>
    </xf>
    <xf numFmtId="0" fontId="45" fillId="6" borderId="0" xfId="0" applyFont="1" applyFill="1" applyBorder="1" applyAlignment="1" applyProtection="1">
      <alignment horizontal="center" vertical="center"/>
    </xf>
    <xf numFmtId="0" fontId="45" fillId="6" borderId="7" xfId="0" applyFont="1" applyFill="1" applyBorder="1" applyAlignment="1" applyProtection="1">
      <alignment horizontal="center" vertical="center"/>
    </xf>
    <xf numFmtId="0" fontId="45" fillId="6" borderId="8" xfId="0" applyFont="1" applyFill="1" applyBorder="1" applyAlignment="1" applyProtection="1">
      <alignment horizontal="center" vertical="center"/>
    </xf>
    <xf numFmtId="0" fontId="45" fillId="6" borderId="9" xfId="0" applyFont="1" applyFill="1" applyBorder="1" applyAlignment="1" applyProtection="1">
      <alignment horizontal="center" vertical="center"/>
    </xf>
    <xf numFmtId="0" fontId="45" fillId="6" borderId="10" xfId="0" applyFont="1" applyFill="1" applyBorder="1" applyAlignment="1" applyProtection="1">
      <alignment horizontal="center" vertical="center"/>
    </xf>
    <xf numFmtId="164" fontId="77" fillId="2" borderId="13" xfId="0" applyNumberFormat="1" applyFont="1" applyFill="1" applyBorder="1" applyAlignment="1" applyProtection="1">
      <alignment horizontal="center" vertical="center"/>
    </xf>
    <xf numFmtId="164" fontId="77" fillId="2" borderId="14" xfId="0" applyNumberFormat="1" applyFont="1" applyFill="1" applyBorder="1" applyAlignment="1" applyProtection="1">
      <alignment horizontal="center" vertical="center"/>
    </xf>
    <xf numFmtId="164" fontId="77" fillId="2" borderId="16" xfId="0" applyNumberFormat="1" applyFont="1" applyFill="1" applyBorder="1" applyAlignment="1" applyProtection="1">
      <alignment horizontal="center" vertical="center"/>
    </xf>
    <xf numFmtId="164" fontId="77" fillId="2" borderId="17" xfId="0" applyNumberFormat="1" applyFont="1" applyFill="1" applyBorder="1" applyAlignment="1" applyProtection="1">
      <alignment horizontal="center" vertical="center"/>
    </xf>
    <xf numFmtId="164" fontId="77" fillId="2" borderId="19" xfId="0" applyNumberFormat="1" applyFont="1" applyFill="1" applyBorder="1" applyAlignment="1" applyProtection="1">
      <alignment horizontal="center" vertical="center"/>
    </xf>
    <xf numFmtId="164" fontId="77" fillId="2" borderId="20" xfId="0" applyNumberFormat="1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horizontal="left"/>
    </xf>
    <xf numFmtId="0" fontId="20" fillId="0" borderId="9" xfId="0" applyFont="1" applyFill="1" applyBorder="1" applyAlignment="1" applyProtection="1">
      <alignment horizontal="left"/>
    </xf>
    <xf numFmtId="0" fontId="39" fillId="0" borderId="3" xfId="0" applyFont="1" applyBorder="1" applyAlignment="1" applyProtection="1">
      <alignment horizontal="center" vertical="center"/>
    </xf>
    <xf numFmtId="0" fontId="39" fillId="0" borderId="4" xfId="0" applyFont="1" applyBorder="1" applyAlignment="1" applyProtection="1">
      <alignment horizontal="center" vertical="center"/>
    </xf>
    <xf numFmtId="0" fontId="39" fillId="0" borderId="5" xfId="0" applyFont="1" applyBorder="1" applyAlignment="1" applyProtection="1">
      <alignment horizontal="center" vertical="center"/>
    </xf>
    <xf numFmtId="0" fontId="39" fillId="0" borderId="6" xfId="0" applyFont="1" applyBorder="1" applyAlignment="1" applyProtection="1">
      <alignment horizontal="center" vertical="center"/>
    </xf>
    <xf numFmtId="0" fontId="39" fillId="0" borderId="0" xfId="0" applyFont="1" applyBorder="1" applyAlignment="1" applyProtection="1">
      <alignment horizontal="center" vertical="center"/>
    </xf>
    <xf numFmtId="0" fontId="39" fillId="0" borderId="7" xfId="0" applyFont="1" applyBorder="1" applyAlignment="1" applyProtection="1">
      <alignment horizontal="center" vertical="center"/>
    </xf>
    <xf numFmtId="0" fontId="39" fillId="0" borderId="8" xfId="0" applyFont="1" applyBorder="1" applyAlignment="1" applyProtection="1">
      <alignment horizontal="center" vertical="center"/>
    </xf>
    <xf numFmtId="0" fontId="39" fillId="0" borderId="9" xfId="0" applyFont="1" applyBorder="1" applyAlignment="1" applyProtection="1">
      <alignment horizontal="center" vertical="center"/>
    </xf>
    <xf numFmtId="0" fontId="39" fillId="0" borderId="10" xfId="0" applyFont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left" vertical="center"/>
    </xf>
    <xf numFmtId="0" fontId="37" fillId="0" borderId="32" xfId="0" applyFont="1" applyFill="1" applyBorder="1" applyAlignment="1" applyProtection="1">
      <alignment horizontal="center" vertical="center" wrapText="1"/>
      <protection locked="0"/>
    </xf>
    <xf numFmtId="0" fontId="37" fillId="0" borderId="2" xfId="0" applyFont="1" applyFill="1" applyBorder="1" applyAlignment="1" applyProtection="1">
      <alignment horizontal="center" vertical="center" wrapText="1"/>
      <protection locked="0"/>
    </xf>
    <xf numFmtId="0" fontId="37" fillId="0" borderId="33" xfId="0" applyFont="1" applyFill="1" applyBorder="1" applyAlignment="1" applyProtection="1">
      <alignment horizontal="center" vertical="center" wrapText="1"/>
      <protection locked="0"/>
    </xf>
    <xf numFmtId="0" fontId="37" fillId="0" borderId="34" xfId="0" applyFont="1" applyFill="1" applyBorder="1" applyAlignment="1" applyProtection="1">
      <alignment horizontal="center" vertical="center" wrapText="1"/>
      <protection locked="0"/>
    </xf>
    <xf numFmtId="0" fontId="37" fillId="0" borderId="1" xfId="0" applyFont="1" applyFill="1" applyBorder="1" applyAlignment="1" applyProtection="1">
      <alignment horizontal="center" vertical="center" wrapText="1"/>
      <protection locked="0"/>
    </xf>
    <xf numFmtId="0" fontId="37" fillId="0" borderId="35" xfId="0" applyFont="1" applyFill="1" applyBorder="1" applyAlignment="1" applyProtection="1">
      <alignment horizontal="center" vertical="center" wrapText="1"/>
      <protection locked="0"/>
    </xf>
    <xf numFmtId="0" fontId="37" fillId="0" borderId="0" xfId="0" applyFont="1" applyFill="1" applyBorder="1" applyAlignment="1" applyProtection="1">
      <alignment horizontal="center" vertical="top" wrapText="1"/>
    </xf>
    <xf numFmtId="0" fontId="119" fillId="0" borderId="95" xfId="0" applyFont="1" applyBorder="1" applyAlignment="1" applyProtection="1">
      <alignment horizontal="center" vertical="top" wrapText="1"/>
    </xf>
    <xf numFmtId="0" fontId="119" fillId="0" borderId="96" xfId="0" applyFont="1" applyBorder="1" applyAlignment="1" applyProtection="1">
      <alignment horizontal="center" vertical="top" wrapText="1"/>
    </xf>
    <xf numFmtId="0" fontId="119" fillId="0" borderId="97" xfId="0" applyFont="1" applyBorder="1" applyAlignment="1" applyProtection="1">
      <alignment horizontal="center" vertical="top" wrapText="1"/>
    </xf>
    <xf numFmtId="0" fontId="119" fillId="0" borderId="98" xfId="0" applyFont="1" applyBorder="1" applyAlignment="1" applyProtection="1">
      <alignment horizontal="center" vertical="top" wrapText="1"/>
    </xf>
    <xf numFmtId="0" fontId="119" fillId="0" borderId="0" xfId="0" applyFont="1" applyBorder="1" applyAlignment="1" applyProtection="1">
      <alignment horizontal="center" vertical="top" wrapText="1"/>
    </xf>
    <xf numFmtId="0" fontId="119" fillId="0" borderId="99" xfId="0" applyFont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horizontal="justify" vertical="top" wrapText="1"/>
    </xf>
    <xf numFmtId="0" fontId="2" fillId="0" borderId="0" xfId="0" applyFont="1" applyBorder="1" applyAlignment="1" applyProtection="1">
      <alignment horizontal="justify" vertical="center" wrapText="1"/>
    </xf>
    <xf numFmtId="0" fontId="11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 vertical="center"/>
    </xf>
    <xf numFmtId="0" fontId="45" fillId="10" borderId="98" xfId="0" applyFont="1" applyFill="1" applyBorder="1" applyAlignment="1" applyProtection="1">
      <alignment horizontal="center" vertical="center"/>
    </xf>
    <xf numFmtId="0" fontId="45" fillId="10" borderId="0" xfId="0" applyFont="1" applyFill="1" applyBorder="1" applyAlignment="1" applyProtection="1">
      <alignment horizontal="center" vertical="center"/>
    </xf>
    <xf numFmtId="0" fontId="45" fillId="10" borderId="99" xfId="0" applyFont="1" applyFill="1" applyBorder="1" applyAlignment="1" applyProtection="1">
      <alignment horizontal="center" vertical="center"/>
    </xf>
    <xf numFmtId="0" fontId="115" fillId="0" borderId="0" xfId="0" applyFont="1" applyBorder="1" applyAlignment="1" applyProtection="1">
      <alignment horizontal="right" vertical="center"/>
    </xf>
    <xf numFmtId="0" fontId="115" fillId="0" borderId="67" xfId="0" applyFont="1" applyBorder="1" applyAlignment="1" applyProtection="1">
      <alignment horizontal="right" vertical="center"/>
    </xf>
    <xf numFmtId="0" fontId="5" fillId="0" borderId="0" xfId="0" applyFont="1" applyFill="1" applyBorder="1" applyAlignment="1" applyProtection="1">
      <alignment vertical="top" shrinkToFit="1"/>
    </xf>
    <xf numFmtId="0" fontId="120" fillId="0" borderId="96" xfId="0" applyFont="1" applyBorder="1" applyAlignment="1" applyProtection="1">
      <alignment horizontal="left"/>
    </xf>
    <xf numFmtId="0" fontId="120" fillId="0" borderId="0" xfId="0" applyFont="1" applyBorder="1" applyAlignment="1" applyProtection="1">
      <alignment horizontal="left"/>
    </xf>
    <xf numFmtId="0" fontId="123" fillId="0" borderId="0" xfId="0" applyFont="1" applyBorder="1" applyAlignment="1" applyProtection="1">
      <alignment horizontal="center" vertical="center"/>
    </xf>
    <xf numFmtId="0" fontId="123" fillId="0" borderId="67" xfId="0" applyFont="1" applyBorder="1" applyAlignment="1" applyProtection="1">
      <alignment horizontal="center" vertical="center"/>
    </xf>
    <xf numFmtId="0" fontId="113" fillId="9" borderId="0" xfId="0" applyFont="1" applyFill="1" applyBorder="1" applyAlignment="1" applyProtection="1">
      <alignment horizontal="center" vertical="center" wrapText="1"/>
      <protection locked="0"/>
    </xf>
    <xf numFmtId="0" fontId="27" fillId="6" borderId="12" xfId="0" applyFont="1" applyFill="1" applyBorder="1" applyAlignment="1" applyProtection="1">
      <alignment horizontal="center" vertical="center"/>
    </xf>
    <xf numFmtId="0" fontId="27" fillId="6" borderId="13" xfId="0" applyFont="1" applyFill="1" applyBorder="1" applyAlignment="1" applyProtection="1">
      <alignment horizontal="center" vertical="center"/>
    </xf>
    <xf numFmtId="0" fontId="27" fillId="6" borderId="18" xfId="0" applyFont="1" applyFill="1" applyBorder="1" applyAlignment="1" applyProtection="1">
      <alignment horizontal="center" vertical="center"/>
    </xf>
    <xf numFmtId="0" fontId="27" fillId="6" borderId="19" xfId="0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center"/>
    </xf>
    <xf numFmtId="0" fontId="91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/>
    </xf>
    <xf numFmtId="0" fontId="109" fillId="3" borderId="31" xfId="0" applyFont="1" applyFill="1" applyBorder="1" applyAlignment="1" applyProtection="1">
      <alignment horizontal="center" vertical="center"/>
      <protection locked="0"/>
    </xf>
    <xf numFmtId="0" fontId="21" fillId="3" borderId="0" xfId="0" applyFont="1" applyFill="1" applyAlignment="1" applyProtection="1">
      <alignment horizontal="center"/>
    </xf>
    <xf numFmtId="164" fontId="30" fillId="3" borderId="129" xfId="0" applyNumberFormat="1" applyFont="1" applyFill="1" applyBorder="1" applyAlignment="1" applyProtection="1">
      <alignment horizontal="center"/>
    </xf>
    <xf numFmtId="164" fontId="30" fillId="3" borderId="64" xfId="0" applyNumberFormat="1" applyFont="1" applyFill="1" applyBorder="1" applyAlignment="1" applyProtection="1">
      <alignment horizontal="center"/>
    </xf>
    <xf numFmtId="164" fontId="30" fillId="3" borderId="130" xfId="0" applyNumberFormat="1" applyFont="1" applyFill="1" applyBorder="1" applyAlignment="1" applyProtection="1">
      <alignment horizontal="center"/>
    </xf>
    <xf numFmtId="164" fontId="30" fillId="3" borderId="131" xfId="0" applyNumberFormat="1" applyFont="1" applyFill="1" applyBorder="1" applyAlignment="1" applyProtection="1">
      <alignment horizontal="center"/>
    </xf>
    <xf numFmtId="164" fontId="30" fillId="3" borderId="67" xfId="0" applyNumberFormat="1" applyFont="1" applyFill="1" applyBorder="1" applyAlignment="1" applyProtection="1">
      <alignment horizontal="center"/>
    </xf>
    <xf numFmtId="164" fontId="30" fillId="3" borderId="132" xfId="0" applyNumberFormat="1" applyFont="1" applyFill="1" applyBorder="1" applyAlignment="1" applyProtection="1">
      <alignment horizontal="center"/>
    </xf>
    <xf numFmtId="0" fontId="17" fillId="2" borderId="0" xfId="0" applyFont="1" applyFill="1" applyAlignment="1" applyProtection="1">
      <alignment horizontal="left" vertical="center"/>
    </xf>
    <xf numFmtId="164" fontId="30" fillId="2" borderId="129" xfId="0" applyNumberFormat="1" applyFont="1" applyFill="1" applyBorder="1" applyAlignment="1" applyProtection="1">
      <alignment horizontal="center"/>
    </xf>
    <xf numFmtId="164" fontId="30" fillId="2" borderId="64" xfId="0" applyNumberFormat="1" applyFont="1" applyFill="1" applyBorder="1" applyAlignment="1" applyProtection="1">
      <alignment horizontal="center"/>
    </xf>
    <xf numFmtId="164" fontId="30" fillId="2" borderId="130" xfId="0" applyNumberFormat="1" applyFont="1" applyFill="1" applyBorder="1" applyAlignment="1" applyProtection="1">
      <alignment horizontal="center"/>
    </xf>
    <xf numFmtId="164" fontId="30" fillId="2" borderId="131" xfId="0" applyNumberFormat="1" applyFont="1" applyFill="1" applyBorder="1" applyAlignment="1" applyProtection="1">
      <alignment horizontal="center"/>
    </xf>
    <xf numFmtId="164" fontId="30" fillId="2" borderId="67" xfId="0" applyNumberFormat="1" applyFont="1" applyFill="1" applyBorder="1" applyAlignment="1" applyProtection="1">
      <alignment horizontal="center"/>
    </xf>
    <xf numFmtId="164" fontId="30" fillId="2" borderId="132" xfId="0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0" fontId="91" fillId="2" borderId="0" xfId="0" applyFont="1" applyFill="1" applyAlignment="1" applyProtection="1">
      <alignment horizontal="center" vertical="center"/>
    </xf>
    <xf numFmtId="0" fontId="17" fillId="3" borderId="0" xfId="0" applyFont="1" applyFill="1" applyAlignment="1" applyProtection="1">
      <alignment horizontal="left" vertical="center"/>
    </xf>
    <xf numFmtId="0" fontId="17" fillId="3" borderId="7" xfId="0" applyFont="1" applyFill="1" applyBorder="1" applyAlignment="1" applyProtection="1">
      <alignment horizontal="left" vertical="center"/>
    </xf>
    <xf numFmtId="0" fontId="2" fillId="3" borderId="6" xfId="0" applyFont="1" applyFill="1" applyBorder="1" applyAlignment="1" applyProtection="1">
      <alignment horizontal="center"/>
    </xf>
    <xf numFmtId="0" fontId="136" fillId="3" borderId="21" xfId="0" applyFont="1" applyFill="1" applyBorder="1" applyAlignment="1" applyProtection="1">
      <alignment horizontal="left" vertical="center" shrinkToFit="1"/>
    </xf>
    <xf numFmtId="0" fontId="136" fillId="3" borderId="0" xfId="0" applyFont="1" applyFill="1" applyBorder="1" applyAlignment="1" applyProtection="1">
      <alignment horizontal="left" vertical="center"/>
    </xf>
    <xf numFmtId="0" fontId="24" fillId="3" borderId="116" xfId="0" applyFont="1" applyFill="1" applyBorder="1" applyAlignment="1" applyProtection="1">
      <alignment horizontal="center"/>
    </xf>
    <xf numFmtId="0" fontId="24" fillId="3" borderId="0" xfId="0" applyFont="1" applyFill="1" applyBorder="1" applyAlignment="1" applyProtection="1">
      <alignment horizontal="center"/>
    </xf>
    <xf numFmtId="0" fontId="24" fillId="3" borderId="114" xfId="0" applyFont="1" applyFill="1" applyBorder="1" applyAlignment="1" applyProtection="1">
      <alignment horizontal="center"/>
    </xf>
    <xf numFmtId="0" fontId="24" fillId="3" borderId="21" xfId="0" applyFont="1" applyFill="1" applyBorder="1" applyAlignment="1" applyProtection="1">
      <alignment horizontal="center"/>
    </xf>
    <xf numFmtId="0" fontId="6" fillId="0" borderId="129" xfId="0" applyFont="1" applyBorder="1" applyAlignment="1" applyProtection="1">
      <alignment horizontal="center"/>
    </xf>
    <xf numFmtId="0" fontId="6" fillId="0" borderId="64" xfId="0" applyFont="1" applyBorder="1" applyAlignment="1" applyProtection="1">
      <alignment horizontal="center"/>
    </xf>
    <xf numFmtId="0" fontId="6" fillId="0" borderId="8" xfId="0" applyFont="1" applyBorder="1" applyAlignment="1" applyProtection="1">
      <alignment horizontal="center"/>
    </xf>
    <xf numFmtId="0" fontId="6" fillId="0" borderId="9" xfId="0" applyFont="1" applyBorder="1" applyAlignment="1" applyProtection="1">
      <alignment horizontal="center"/>
    </xf>
    <xf numFmtId="49" fontId="42" fillId="0" borderId="65" xfId="0" applyNumberFormat="1" applyFont="1" applyBorder="1" applyAlignment="1" applyProtection="1">
      <alignment horizontal="left"/>
      <protection locked="0"/>
    </xf>
    <xf numFmtId="49" fontId="42" fillId="0" borderId="248" xfId="0" applyNumberFormat="1" applyFont="1" applyBorder="1" applyAlignment="1" applyProtection="1">
      <alignment horizontal="left"/>
      <protection locked="0"/>
    </xf>
    <xf numFmtId="49" fontId="42" fillId="0" borderId="249" xfId="0" applyNumberFormat="1" applyFont="1" applyBorder="1" applyAlignment="1" applyProtection="1">
      <alignment horizontal="left"/>
      <protection locked="0"/>
    </xf>
    <xf numFmtId="49" fontId="42" fillId="0" borderId="250" xfId="0" applyNumberFormat="1" applyFont="1" applyBorder="1" applyAlignment="1" applyProtection="1">
      <alignment horizontal="left"/>
      <protection locked="0"/>
    </xf>
    <xf numFmtId="0" fontId="6" fillId="0" borderId="248" xfId="0" applyFont="1" applyBorder="1" applyAlignment="1" applyProtection="1">
      <alignment horizontal="center"/>
    </xf>
    <xf numFmtId="0" fontId="6" fillId="0" borderId="63" xfId="0" applyFont="1" applyBorder="1" applyAlignment="1" applyProtection="1">
      <alignment horizontal="center"/>
    </xf>
    <xf numFmtId="0" fontId="6" fillId="0" borderId="250" xfId="0" applyFont="1" applyBorder="1" applyAlignment="1" applyProtection="1">
      <alignment horizontal="center"/>
    </xf>
    <xf numFmtId="0" fontId="6" fillId="0" borderId="251" xfId="0" applyFont="1" applyBorder="1" applyAlignment="1" applyProtection="1">
      <alignment horizontal="center"/>
    </xf>
    <xf numFmtId="0" fontId="42" fillId="0" borderId="64" xfId="0" applyFont="1" applyBorder="1" applyAlignment="1" applyProtection="1">
      <alignment horizontal="left"/>
      <protection locked="0"/>
    </xf>
    <xf numFmtId="0" fontId="42" fillId="0" borderId="9" xfId="0" applyFont="1" applyBorder="1" applyAlignment="1" applyProtection="1">
      <alignment horizontal="left"/>
      <protection locked="0"/>
    </xf>
    <xf numFmtId="0" fontId="94" fillId="2" borderId="4" xfId="0" applyFont="1" applyFill="1" applyBorder="1" applyAlignment="1" applyProtection="1">
      <alignment horizontal="left"/>
    </xf>
    <xf numFmtId="0" fontId="94" fillId="2" borderId="9" xfId="0" applyFont="1" applyFill="1" applyBorder="1" applyAlignment="1" applyProtection="1">
      <alignment horizontal="left"/>
    </xf>
    <xf numFmtId="0" fontId="42" fillId="0" borderId="3" xfId="0" applyFont="1" applyBorder="1" applyAlignment="1" applyProtection="1">
      <alignment horizontal="left"/>
      <protection locked="0"/>
    </xf>
    <xf numFmtId="0" fontId="42" fillId="0" borderId="4" xfId="0" applyFont="1" applyBorder="1" applyAlignment="1" applyProtection="1">
      <alignment horizontal="left"/>
      <protection locked="0"/>
    </xf>
    <xf numFmtId="0" fontId="42" fillId="0" borderId="253" xfId="0" applyFont="1" applyBorder="1" applyAlignment="1" applyProtection="1">
      <alignment horizontal="left"/>
      <protection locked="0"/>
    </xf>
    <xf numFmtId="0" fontId="42" fillId="0" borderId="131" xfId="0" applyFont="1" applyBorder="1" applyAlignment="1" applyProtection="1">
      <alignment horizontal="left"/>
      <protection locked="0"/>
    </xf>
    <xf numFmtId="0" fontId="42" fillId="0" borderId="67" xfId="0" applyFont="1" applyBorder="1" applyAlignment="1" applyProtection="1">
      <alignment horizontal="left"/>
      <protection locked="0"/>
    </xf>
    <xf numFmtId="0" fontId="42" fillId="0" borderId="68" xfId="0" applyFont="1" applyBorder="1" applyAlignment="1" applyProtection="1">
      <alignment horizontal="left"/>
      <protection locked="0"/>
    </xf>
    <xf numFmtId="49" fontId="42" fillId="0" borderId="252" xfId="0" applyNumberFormat="1" applyFont="1" applyBorder="1" applyAlignment="1" applyProtection="1">
      <alignment horizontal="center"/>
      <protection locked="0"/>
    </xf>
    <xf numFmtId="49" fontId="42" fillId="0" borderId="4" xfId="0" applyNumberFormat="1" applyFont="1" applyBorder="1" applyAlignment="1" applyProtection="1">
      <alignment horizontal="center"/>
      <protection locked="0"/>
    </xf>
    <xf numFmtId="49" fontId="42" fillId="0" borderId="253" xfId="0" applyNumberFormat="1" applyFont="1" applyBorder="1" applyAlignment="1" applyProtection="1">
      <alignment horizontal="center"/>
      <protection locked="0"/>
    </xf>
    <xf numFmtId="49" fontId="42" fillId="0" borderId="66" xfId="0" applyNumberFormat="1" applyFont="1" applyBorder="1" applyAlignment="1" applyProtection="1">
      <alignment horizontal="center"/>
      <protection locked="0"/>
    </xf>
    <xf numFmtId="49" fontId="42" fillId="0" borderId="67" xfId="0" applyNumberFormat="1" applyFont="1" applyBorder="1" applyAlignment="1" applyProtection="1">
      <alignment horizontal="center"/>
      <protection locked="0"/>
    </xf>
    <xf numFmtId="49" fontId="42" fillId="0" borderId="68" xfId="0" applyNumberFormat="1" applyFont="1" applyBorder="1" applyAlignment="1" applyProtection="1">
      <alignment horizontal="center"/>
      <protection locked="0"/>
    </xf>
    <xf numFmtId="0" fontId="42" fillId="0" borderId="252" xfId="0" applyFont="1" applyBorder="1" applyAlignment="1" applyProtection="1">
      <alignment horizontal="center"/>
      <protection locked="0"/>
    </xf>
    <xf numFmtId="0" fontId="42" fillId="0" borderId="4" xfId="0" applyFont="1" applyBorder="1" applyAlignment="1" applyProtection="1">
      <alignment horizontal="center"/>
      <protection locked="0"/>
    </xf>
    <xf numFmtId="0" fontId="42" fillId="0" borderId="253" xfId="0" applyFont="1" applyBorder="1" applyAlignment="1" applyProtection="1">
      <alignment horizontal="center"/>
      <protection locked="0"/>
    </xf>
    <xf numFmtId="0" fontId="42" fillId="0" borderId="66" xfId="0" applyFont="1" applyBorder="1" applyAlignment="1" applyProtection="1">
      <alignment horizontal="center"/>
      <protection locked="0"/>
    </xf>
    <xf numFmtId="0" fontId="42" fillId="0" borderId="67" xfId="0" applyFont="1" applyBorder="1" applyAlignment="1" applyProtection="1">
      <alignment horizontal="center"/>
      <protection locked="0"/>
    </xf>
    <xf numFmtId="0" fontId="42" fillId="0" borderId="68" xfId="0" applyFont="1" applyBorder="1" applyAlignment="1" applyProtection="1">
      <alignment horizontal="center"/>
      <protection locked="0"/>
    </xf>
    <xf numFmtId="0" fontId="42" fillId="0" borderId="5" xfId="0" applyFont="1" applyBorder="1" applyAlignment="1" applyProtection="1">
      <alignment horizontal="center"/>
      <protection locked="0"/>
    </xf>
    <xf numFmtId="0" fontId="42" fillId="0" borderId="132" xfId="0" applyFont="1" applyBorder="1" applyAlignment="1" applyProtection="1">
      <alignment horizontal="center"/>
      <protection locked="0"/>
    </xf>
    <xf numFmtId="0" fontId="26" fillId="2" borderId="0" xfId="0" applyFont="1" applyFill="1" applyAlignment="1" applyProtection="1">
      <alignment horizontal="center"/>
    </xf>
    <xf numFmtId="0" fontId="26" fillId="2" borderId="9" xfId="0" applyFont="1" applyFill="1" applyBorder="1" applyAlignment="1" applyProtection="1">
      <alignment horizontal="center"/>
    </xf>
    <xf numFmtId="0" fontId="10" fillId="2" borderId="0" xfId="0" applyFont="1" applyFill="1" applyAlignment="1" applyProtection="1">
      <alignment horizontal="left"/>
    </xf>
    <xf numFmtId="0" fontId="10" fillId="2" borderId="9" xfId="0" applyFont="1" applyFill="1" applyBorder="1" applyAlignment="1" applyProtection="1">
      <alignment horizontal="left"/>
    </xf>
    <xf numFmtId="49" fontId="92" fillId="2" borderId="0" xfId="0" applyNumberFormat="1" applyFont="1" applyFill="1" applyProtection="1"/>
    <xf numFmtId="0" fontId="42" fillId="0" borderId="265" xfId="0" applyFont="1" applyBorder="1" applyAlignment="1" applyProtection="1">
      <alignment horizontal="left"/>
      <protection locked="0"/>
    </xf>
    <xf numFmtId="0" fontId="42" fillId="0" borderId="266" xfId="0" applyFont="1" applyBorder="1" applyAlignment="1" applyProtection="1">
      <alignment horizontal="left"/>
      <protection locked="0"/>
    </xf>
    <xf numFmtId="0" fontId="42" fillId="0" borderId="262" xfId="0" applyFont="1" applyBorder="1" applyAlignment="1" applyProtection="1">
      <alignment horizontal="left"/>
      <protection locked="0"/>
    </xf>
    <xf numFmtId="0" fontId="42" fillId="0" borderId="263" xfId="0" applyFont="1" applyBorder="1" applyAlignment="1" applyProtection="1">
      <alignment horizontal="left"/>
      <protection locked="0"/>
    </xf>
    <xf numFmtId="164" fontId="42" fillId="0" borderId="266" xfId="0" applyNumberFormat="1" applyFont="1" applyBorder="1" applyAlignment="1" applyProtection="1">
      <alignment horizontal="center"/>
      <protection locked="0"/>
    </xf>
    <xf numFmtId="164" fontId="42" fillId="0" borderId="263" xfId="0" applyNumberFormat="1" applyFont="1" applyBorder="1" applyAlignment="1" applyProtection="1">
      <alignment horizontal="center"/>
      <protection locked="0"/>
    </xf>
    <xf numFmtId="0" fontId="42" fillId="0" borderId="266" xfId="0" applyFont="1" applyBorder="1" applyAlignment="1" applyProtection="1">
      <alignment horizontal="center"/>
      <protection locked="0"/>
    </xf>
    <xf numFmtId="0" fontId="42" fillId="0" borderId="263" xfId="0" applyFont="1" applyBorder="1" applyAlignment="1" applyProtection="1">
      <alignment horizontal="center"/>
      <protection locked="0"/>
    </xf>
    <xf numFmtId="0" fontId="41" fillId="0" borderId="266" xfId="0" applyFont="1" applyBorder="1" applyAlignment="1" applyProtection="1">
      <alignment horizontal="center"/>
      <protection locked="0"/>
    </xf>
    <xf numFmtId="0" fontId="41" fillId="0" borderId="267" xfId="0" applyFont="1" applyBorder="1" applyAlignment="1" applyProtection="1">
      <alignment horizontal="center"/>
      <protection locked="0"/>
    </xf>
    <xf numFmtId="0" fontId="41" fillId="0" borderId="263" xfId="0" applyFont="1" applyBorder="1" applyAlignment="1" applyProtection="1">
      <alignment horizontal="center"/>
      <protection locked="0"/>
    </xf>
    <xf numFmtId="0" fontId="41" fillId="0" borderId="264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</xf>
    <xf numFmtId="0" fontId="42" fillId="0" borderId="32" xfId="0" applyFont="1" applyBorder="1" applyAlignment="1" applyProtection="1">
      <alignment horizontal="center"/>
      <protection locked="0"/>
    </xf>
    <xf numFmtId="0" fontId="42" fillId="0" borderId="2" xfId="0" applyFont="1" applyBorder="1" applyAlignment="1" applyProtection="1">
      <alignment horizontal="center"/>
      <protection locked="0"/>
    </xf>
    <xf numFmtId="0" fontId="42" fillId="0" borderId="33" xfId="0" applyFont="1" applyBorder="1" applyAlignment="1" applyProtection="1">
      <alignment horizontal="center"/>
      <protection locked="0"/>
    </xf>
    <xf numFmtId="0" fontId="42" fillId="0" borderId="34" xfId="0" applyFont="1" applyBorder="1" applyAlignment="1" applyProtection="1">
      <alignment horizontal="center"/>
      <protection locked="0"/>
    </xf>
    <xf numFmtId="0" fontId="42" fillId="0" borderId="1" xfId="0" applyFont="1" applyBorder="1" applyAlignment="1" applyProtection="1">
      <alignment horizontal="center"/>
      <protection locked="0"/>
    </xf>
    <xf numFmtId="0" fontId="42" fillId="0" borderId="35" xfId="0" applyFont="1" applyBorder="1" applyAlignment="1" applyProtection="1">
      <alignment horizontal="center"/>
      <protection locked="0"/>
    </xf>
    <xf numFmtId="0" fontId="42" fillId="0" borderId="254" xfId="0" applyFont="1" applyBorder="1" applyAlignment="1" applyProtection="1">
      <alignment horizontal="left"/>
      <protection locked="0"/>
    </xf>
    <xf numFmtId="0" fontId="42" fillId="0" borderId="255" xfId="0" applyFont="1" applyBorder="1" applyAlignment="1" applyProtection="1">
      <alignment horizontal="left"/>
      <protection locked="0"/>
    </xf>
    <xf numFmtId="0" fontId="42" fillId="0" borderId="257" xfId="0" applyFont="1" applyBorder="1" applyAlignment="1" applyProtection="1">
      <alignment horizontal="left"/>
      <protection locked="0"/>
    </xf>
    <xf numFmtId="0" fontId="42" fillId="0" borderId="250" xfId="0" applyFont="1" applyBorder="1" applyAlignment="1" applyProtection="1">
      <alignment horizontal="left"/>
      <protection locked="0"/>
    </xf>
    <xf numFmtId="164" fontId="42" fillId="0" borderId="255" xfId="0" applyNumberFormat="1" applyFont="1" applyBorder="1" applyAlignment="1" applyProtection="1">
      <alignment horizontal="center"/>
      <protection locked="0"/>
    </xf>
    <xf numFmtId="164" fontId="42" fillId="0" borderId="250" xfId="0" applyNumberFormat="1" applyFont="1" applyBorder="1" applyAlignment="1" applyProtection="1">
      <alignment horizontal="center"/>
      <protection locked="0"/>
    </xf>
    <xf numFmtId="0" fontId="42" fillId="0" borderId="255" xfId="0" applyFont="1" applyBorder="1" applyAlignment="1" applyProtection="1">
      <alignment horizontal="center"/>
      <protection locked="0"/>
    </xf>
    <xf numFmtId="0" fontId="42" fillId="0" borderId="250" xfId="0" applyFont="1" applyBorder="1" applyAlignment="1" applyProtection="1">
      <alignment horizontal="center"/>
      <protection locked="0"/>
    </xf>
    <xf numFmtId="0" fontId="42" fillId="0" borderId="255" xfId="0" applyFont="1" applyFill="1" applyBorder="1" applyAlignment="1" applyProtection="1">
      <alignment horizontal="center"/>
      <protection locked="0"/>
    </xf>
    <xf numFmtId="0" fontId="42" fillId="0" borderId="250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 applyProtection="1">
      <alignment horizontal="center"/>
    </xf>
    <xf numFmtId="0" fontId="6" fillId="2" borderId="4" xfId="0" applyFont="1" applyFill="1" applyBorder="1" applyAlignment="1" applyProtection="1">
      <alignment horizontal="center"/>
    </xf>
    <xf numFmtId="0" fontId="82" fillId="2" borderId="4" xfId="0" applyFont="1" applyFill="1" applyBorder="1" applyAlignment="1" applyProtection="1">
      <alignment horizontal="center"/>
    </xf>
    <xf numFmtId="0" fontId="82" fillId="2" borderId="9" xfId="0" applyFont="1" applyFill="1" applyBorder="1" applyAlignment="1" applyProtection="1">
      <alignment horizontal="center"/>
    </xf>
    <xf numFmtId="0" fontId="42" fillId="0" borderId="259" xfId="0" applyFont="1" applyBorder="1" applyAlignment="1" applyProtection="1">
      <alignment horizontal="left"/>
      <protection locked="0"/>
    </xf>
    <xf numFmtId="0" fontId="42" fillId="0" borderId="260" xfId="0" applyFont="1" applyBorder="1" applyAlignment="1" applyProtection="1">
      <alignment horizontal="left"/>
      <protection locked="0"/>
    </xf>
    <xf numFmtId="164" fontId="42" fillId="0" borderId="260" xfId="0" applyNumberFormat="1" applyFont="1" applyBorder="1" applyAlignment="1" applyProtection="1">
      <alignment horizontal="center"/>
      <protection locked="0"/>
    </xf>
    <xf numFmtId="0" fontId="42" fillId="0" borderId="260" xfId="0" applyFont="1" applyBorder="1" applyAlignment="1" applyProtection="1">
      <alignment horizontal="center"/>
      <protection locked="0"/>
    </xf>
    <xf numFmtId="0" fontId="44" fillId="0" borderId="133" xfId="0" applyFont="1" applyBorder="1" applyAlignment="1" applyProtection="1">
      <alignment horizontal="center" vertical="center"/>
    </xf>
    <xf numFmtId="0" fontId="44" fillId="0" borderId="134" xfId="0" applyFont="1" applyBorder="1" applyAlignment="1" applyProtection="1">
      <alignment horizontal="center" vertical="center"/>
    </xf>
    <xf numFmtId="0" fontId="44" fillId="0" borderId="135" xfId="0" applyFont="1" applyBorder="1" applyAlignment="1" applyProtection="1">
      <alignment horizontal="center" vertical="center"/>
    </xf>
    <xf numFmtId="0" fontId="44" fillId="0" borderId="136" xfId="0" applyFont="1" applyBorder="1" applyAlignment="1" applyProtection="1">
      <alignment horizontal="center" vertical="center"/>
    </xf>
    <xf numFmtId="0" fontId="44" fillId="0" borderId="34" xfId="0" applyFont="1" applyBorder="1" applyAlignment="1" applyProtection="1">
      <alignment horizontal="center" vertical="center"/>
    </xf>
    <xf numFmtId="0" fontId="44" fillId="0" borderId="35" xfId="0" applyFont="1" applyBorder="1" applyAlignment="1" applyProtection="1">
      <alignment horizontal="center" vertical="center"/>
    </xf>
    <xf numFmtId="0" fontId="41" fillId="0" borderId="255" xfId="0" applyFont="1" applyBorder="1" applyAlignment="1" applyProtection="1">
      <alignment horizontal="center"/>
      <protection locked="0"/>
    </xf>
    <xf numFmtId="0" fontId="41" fillId="0" borderId="256" xfId="0" applyFont="1" applyBorder="1" applyAlignment="1" applyProtection="1">
      <alignment horizontal="center"/>
      <protection locked="0"/>
    </xf>
    <xf numFmtId="0" fontId="41" fillId="0" borderId="250" xfId="0" applyFont="1" applyBorder="1" applyAlignment="1" applyProtection="1">
      <alignment horizontal="center"/>
      <protection locked="0"/>
    </xf>
    <xf numFmtId="0" fontId="41" fillId="0" borderId="258" xfId="0" applyFont="1" applyBorder="1" applyAlignment="1" applyProtection="1">
      <alignment horizontal="center"/>
      <protection locked="0"/>
    </xf>
    <xf numFmtId="0" fontId="41" fillId="0" borderId="260" xfId="0" applyFont="1" applyBorder="1" applyAlignment="1" applyProtection="1">
      <alignment horizontal="center"/>
      <protection locked="0"/>
    </xf>
    <xf numFmtId="0" fontId="41" fillId="0" borderId="261" xfId="0" applyFont="1" applyBorder="1" applyAlignment="1" applyProtection="1">
      <alignment horizontal="center"/>
      <protection locked="0"/>
    </xf>
    <xf numFmtId="0" fontId="2" fillId="0" borderId="24" xfId="0" applyFont="1" applyFill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left" vertical="center"/>
    </xf>
    <xf numFmtId="0" fontId="23" fillId="0" borderId="0" xfId="0" applyFont="1" applyAlignment="1" applyProtection="1">
      <alignment horizontal="left" vertical="center"/>
    </xf>
    <xf numFmtId="49" fontId="126" fillId="0" borderId="32" xfId="0" applyNumberFormat="1" applyFont="1" applyBorder="1" applyAlignment="1" applyProtection="1">
      <alignment horizontal="left" vertical="top" wrapText="1"/>
      <protection locked="0"/>
    </xf>
    <xf numFmtId="49" fontId="126" fillId="0" borderId="2" xfId="0" applyNumberFormat="1" applyFont="1" applyBorder="1" applyAlignment="1" applyProtection="1">
      <alignment horizontal="left" vertical="top" wrapText="1"/>
      <protection locked="0"/>
    </xf>
    <xf numFmtId="49" fontId="126" fillId="0" borderId="33" xfId="0" applyNumberFormat="1" applyFont="1" applyBorder="1" applyAlignment="1" applyProtection="1">
      <alignment horizontal="left" vertical="top" wrapText="1"/>
      <protection locked="0"/>
    </xf>
    <xf numFmtId="49" fontId="126" fillId="0" borderId="36" xfId="0" applyNumberFormat="1" applyFont="1" applyBorder="1" applyAlignment="1" applyProtection="1">
      <alignment horizontal="left" vertical="top" wrapText="1"/>
      <protection locked="0"/>
    </xf>
    <xf numFmtId="49" fontId="126" fillId="0" borderId="0" xfId="0" applyNumberFormat="1" applyFont="1" applyBorder="1" applyAlignment="1" applyProtection="1">
      <alignment horizontal="left" vertical="top" wrapText="1"/>
      <protection locked="0"/>
    </xf>
    <xf numFmtId="49" fontId="126" fillId="0" borderId="24" xfId="0" applyNumberFormat="1" applyFont="1" applyBorder="1" applyAlignment="1" applyProtection="1">
      <alignment horizontal="left" vertical="top" wrapText="1"/>
      <protection locked="0"/>
    </xf>
    <xf numFmtId="49" fontId="126" fillId="0" borderId="34" xfId="0" applyNumberFormat="1" applyFont="1" applyBorder="1" applyAlignment="1" applyProtection="1">
      <alignment horizontal="left" vertical="top" wrapText="1"/>
      <protection locked="0"/>
    </xf>
    <xf numFmtId="49" fontId="126" fillId="0" borderId="1" xfId="0" applyNumberFormat="1" applyFont="1" applyBorder="1" applyAlignment="1" applyProtection="1">
      <alignment horizontal="left" vertical="top" wrapText="1"/>
      <protection locked="0"/>
    </xf>
    <xf numFmtId="49" fontId="126" fillId="0" borderId="35" xfId="0" applyNumberFormat="1" applyFont="1" applyBorder="1" applyAlignment="1" applyProtection="1">
      <alignment horizontal="left" vertical="top" wrapText="1"/>
      <protection locked="0"/>
    </xf>
    <xf numFmtId="0" fontId="81" fillId="4" borderId="15" xfId="0" applyFont="1" applyFill="1" applyBorder="1" applyAlignment="1" applyProtection="1">
      <alignment horizontal="center"/>
    </xf>
    <xf numFmtId="0" fontId="81" fillId="4" borderId="16" xfId="0" applyFont="1" applyFill="1" applyBorder="1" applyAlignment="1" applyProtection="1">
      <alignment horizontal="center"/>
    </xf>
    <xf numFmtId="0" fontId="81" fillId="4" borderId="17" xfId="0" applyFont="1" applyFill="1" applyBorder="1" applyAlignment="1" applyProtection="1">
      <alignment horizontal="center"/>
    </xf>
    <xf numFmtId="0" fontId="81" fillId="4" borderId="18" xfId="0" applyFont="1" applyFill="1" applyBorder="1" applyAlignment="1" applyProtection="1">
      <alignment horizontal="center"/>
    </xf>
    <xf numFmtId="0" fontId="81" fillId="4" borderId="19" xfId="0" applyFont="1" applyFill="1" applyBorder="1" applyAlignment="1" applyProtection="1">
      <alignment horizontal="center"/>
    </xf>
    <xf numFmtId="0" fontId="81" fillId="4" borderId="20" xfId="0" applyFont="1" applyFill="1" applyBorder="1" applyAlignment="1" applyProtection="1">
      <alignment horizontal="center"/>
    </xf>
    <xf numFmtId="164" fontId="87" fillId="0" borderId="16" xfId="0" applyNumberFormat="1" applyFont="1" applyFill="1" applyBorder="1" applyAlignment="1" applyProtection="1">
      <alignment horizontal="center" vertical="center"/>
    </xf>
    <xf numFmtId="164" fontId="87" fillId="0" borderId="17" xfId="0" applyNumberFormat="1" applyFont="1" applyFill="1" applyBorder="1" applyAlignment="1" applyProtection="1">
      <alignment horizontal="center" vertical="center"/>
    </xf>
    <xf numFmtId="164" fontId="87" fillId="0" borderId="19" xfId="0" applyNumberFormat="1" applyFont="1" applyFill="1" applyBorder="1" applyAlignment="1" applyProtection="1">
      <alignment horizontal="center" vertical="center"/>
    </xf>
    <xf numFmtId="164" fontId="87" fillId="0" borderId="20" xfId="0" applyNumberFormat="1" applyFont="1" applyFill="1" applyBorder="1" applyAlignment="1" applyProtection="1">
      <alignment horizontal="center" vertical="center"/>
    </xf>
    <xf numFmtId="0" fontId="44" fillId="0" borderId="72" xfId="0" applyFont="1" applyFill="1" applyBorder="1" applyAlignment="1" applyProtection="1">
      <alignment horizontal="center" vertical="center"/>
    </xf>
    <xf numFmtId="0" fontId="44" fillId="0" borderId="73" xfId="0" applyFont="1" applyFill="1" applyBorder="1" applyAlignment="1" applyProtection="1">
      <alignment horizontal="center" vertical="center"/>
    </xf>
    <xf numFmtId="0" fontId="44" fillId="0" borderId="74" xfId="0" applyFont="1" applyFill="1" applyBorder="1" applyAlignment="1" applyProtection="1">
      <alignment horizontal="center" vertical="center"/>
    </xf>
    <xf numFmtId="0" fontId="44" fillId="0" borderId="76" xfId="0" applyFont="1" applyFill="1" applyBorder="1" applyAlignment="1" applyProtection="1">
      <alignment horizontal="center" vertical="center"/>
    </xf>
    <xf numFmtId="0" fontId="2" fillId="0" borderId="61" xfId="0" applyFont="1" applyFill="1" applyBorder="1" applyAlignment="1" applyProtection="1">
      <alignment horizontal="center" vertical="center"/>
    </xf>
    <xf numFmtId="0" fontId="9" fillId="4" borderId="15" xfId="0" applyFont="1" applyFill="1" applyBorder="1" applyAlignment="1" applyProtection="1">
      <alignment horizontal="center" vertical="center"/>
    </xf>
    <xf numFmtId="0" fontId="9" fillId="4" borderId="16" xfId="0" applyFont="1" applyFill="1" applyBorder="1" applyAlignment="1" applyProtection="1">
      <alignment horizontal="center" vertical="center"/>
    </xf>
    <xf numFmtId="0" fontId="9" fillId="4" borderId="17" xfId="0" applyFont="1" applyFill="1" applyBorder="1" applyAlignment="1" applyProtection="1">
      <alignment horizontal="center" vertical="center"/>
    </xf>
    <xf numFmtId="0" fontId="9" fillId="4" borderId="18" xfId="0" applyFont="1" applyFill="1" applyBorder="1" applyAlignment="1" applyProtection="1">
      <alignment horizontal="center" vertical="center"/>
    </xf>
    <xf numFmtId="0" fontId="9" fillId="4" borderId="19" xfId="0" applyFont="1" applyFill="1" applyBorder="1" applyAlignment="1" applyProtection="1">
      <alignment horizontal="center" vertical="center"/>
    </xf>
    <xf numFmtId="0" fontId="9" fillId="4" borderId="20" xfId="0" applyFont="1" applyFill="1" applyBorder="1" applyAlignment="1" applyProtection="1">
      <alignment horizontal="center" vertical="center"/>
    </xf>
    <xf numFmtId="0" fontId="85" fillId="0" borderId="15" xfId="0" applyFont="1" applyBorder="1" applyAlignment="1" applyProtection="1">
      <alignment horizontal="center" vertical="center" shrinkToFit="1"/>
    </xf>
    <xf numFmtId="0" fontId="85" fillId="0" borderId="16" xfId="0" applyFont="1" applyBorder="1" applyAlignment="1" applyProtection="1">
      <alignment horizontal="center" vertical="center" shrinkToFit="1"/>
    </xf>
    <xf numFmtId="0" fontId="85" fillId="0" borderId="17" xfId="0" applyFont="1" applyBorder="1" applyAlignment="1" applyProtection="1">
      <alignment horizontal="center" vertical="center" shrinkToFit="1"/>
    </xf>
    <xf numFmtId="0" fontId="85" fillId="0" borderId="18" xfId="0" applyFont="1" applyBorder="1" applyAlignment="1" applyProtection="1">
      <alignment horizontal="center" vertical="center" shrinkToFit="1"/>
    </xf>
    <xf numFmtId="0" fontId="85" fillId="0" borderId="19" xfId="0" applyFont="1" applyBorder="1" applyAlignment="1" applyProtection="1">
      <alignment horizontal="center" vertical="center" shrinkToFit="1"/>
    </xf>
    <xf numFmtId="0" fontId="85" fillId="0" borderId="20" xfId="0" applyFont="1" applyBorder="1" applyAlignment="1" applyProtection="1">
      <alignment horizontal="center" vertical="center" shrinkToFit="1"/>
    </xf>
    <xf numFmtId="164" fontId="83" fillId="0" borderId="129" xfId="0" applyNumberFormat="1" applyFont="1" applyBorder="1" applyAlignment="1" applyProtection="1">
      <alignment horizontal="center" vertical="center" shrinkToFit="1"/>
    </xf>
    <xf numFmtId="164" fontId="83" fillId="0" borderId="64" xfId="0" applyNumberFormat="1" applyFont="1" applyBorder="1" applyAlignment="1" applyProtection="1">
      <alignment horizontal="center" vertical="center" shrinkToFit="1"/>
    </xf>
    <xf numFmtId="164" fontId="83" fillId="0" borderId="130" xfId="0" applyNumberFormat="1" applyFont="1" applyBorder="1" applyAlignment="1" applyProtection="1">
      <alignment horizontal="center" vertical="center" shrinkToFit="1"/>
    </xf>
    <xf numFmtId="164" fontId="83" fillId="0" borderId="131" xfId="0" applyNumberFormat="1" applyFont="1" applyBorder="1" applyAlignment="1" applyProtection="1">
      <alignment horizontal="center" vertical="center" shrinkToFit="1"/>
    </xf>
    <xf numFmtId="164" fontId="83" fillId="0" borderId="67" xfId="0" applyNumberFormat="1" applyFont="1" applyBorder="1" applyAlignment="1" applyProtection="1">
      <alignment horizontal="center" vertical="center" shrinkToFit="1"/>
    </xf>
    <xf numFmtId="164" fontId="83" fillId="0" borderId="132" xfId="0" applyNumberFormat="1" applyFont="1" applyBorder="1" applyAlignment="1" applyProtection="1">
      <alignment horizontal="center" vertical="center" shrinkToFit="1"/>
    </xf>
    <xf numFmtId="164" fontId="83" fillId="0" borderId="8" xfId="0" applyNumberFormat="1" applyFont="1" applyBorder="1" applyAlignment="1" applyProtection="1">
      <alignment horizontal="center" vertical="center" shrinkToFit="1"/>
    </xf>
    <xf numFmtId="164" fontId="83" fillId="0" borderId="9" xfId="0" applyNumberFormat="1" applyFont="1" applyBorder="1" applyAlignment="1" applyProtection="1">
      <alignment horizontal="center" vertical="center" shrinkToFit="1"/>
    </xf>
    <xf numFmtId="164" fontId="83" fillId="0" borderId="10" xfId="0" applyNumberFormat="1" applyFont="1" applyBorder="1" applyAlignment="1" applyProtection="1">
      <alignment horizontal="center" vertical="center" shrinkToFit="1"/>
    </xf>
    <xf numFmtId="0" fontId="81" fillId="4" borderId="12" xfId="0" applyFont="1" applyFill="1" applyBorder="1" applyAlignment="1" applyProtection="1">
      <alignment horizontal="center"/>
    </xf>
    <xf numFmtId="0" fontId="81" fillId="4" borderId="13" xfId="0" applyFont="1" applyFill="1" applyBorder="1" applyAlignment="1" applyProtection="1">
      <alignment horizontal="center"/>
    </xf>
    <xf numFmtId="0" fontId="81" fillId="4" borderId="14" xfId="0" applyFont="1" applyFill="1" applyBorder="1" applyAlignment="1" applyProtection="1">
      <alignment horizontal="center"/>
    </xf>
    <xf numFmtId="164" fontId="87" fillId="0" borderId="13" xfId="0" applyNumberFormat="1" applyFont="1" applyFill="1" applyBorder="1" applyAlignment="1" applyProtection="1">
      <alignment horizontal="center" vertical="center"/>
    </xf>
    <xf numFmtId="164" fontId="87" fillId="0" borderId="14" xfId="0" applyNumberFormat="1" applyFont="1" applyFill="1" applyBorder="1" applyAlignment="1" applyProtection="1">
      <alignment horizontal="center" vertical="center"/>
    </xf>
    <xf numFmtId="0" fontId="44" fillId="0" borderId="69" xfId="0" applyFont="1" applyFill="1" applyBorder="1" applyAlignment="1" applyProtection="1">
      <alignment horizontal="center" vertical="center"/>
    </xf>
    <xf numFmtId="0" fontId="44" fillId="0" borderId="71" xfId="0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/>
    </xf>
    <xf numFmtId="0" fontId="6" fillId="0" borderId="0" xfId="0" applyFont="1" applyFill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</xf>
    <xf numFmtId="0" fontId="44" fillId="0" borderId="32" xfId="0" applyFont="1" applyBorder="1" applyAlignment="1" applyProtection="1">
      <alignment horizontal="center" vertical="center"/>
    </xf>
    <xf numFmtId="0" fontId="44" fillId="0" borderId="33" xfId="0" applyFont="1" applyBorder="1" applyAlignment="1" applyProtection="1">
      <alignment horizontal="center" vertical="center"/>
    </xf>
    <xf numFmtId="0" fontId="109" fillId="0" borderId="32" xfId="0" applyFont="1" applyBorder="1" applyAlignment="1" applyProtection="1">
      <alignment horizontal="center" vertical="center"/>
      <protection locked="0"/>
    </xf>
    <xf numFmtId="0" fontId="109" fillId="0" borderId="33" xfId="0" applyFont="1" applyBorder="1" applyAlignment="1" applyProtection="1">
      <alignment horizontal="center" vertical="center"/>
      <protection locked="0"/>
    </xf>
    <xf numFmtId="0" fontId="109" fillId="0" borderId="34" xfId="0" applyFont="1" applyBorder="1" applyAlignment="1" applyProtection="1">
      <alignment horizontal="center" vertical="center"/>
      <protection locked="0"/>
    </xf>
    <xf numFmtId="0" fontId="109" fillId="0" borderId="35" xfId="0" applyFont="1" applyBorder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</xf>
    <xf numFmtId="49" fontId="2" fillId="2" borderId="24" xfId="0" applyNumberFormat="1" applyFont="1" applyFill="1" applyBorder="1" applyAlignment="1" applyProtection="1">
      <alignment horizontal="center" vertical="center"/>
    </xf>
    <xf numFmtId="0" fontId="2" fillId="2" borderId="61" xfId="0" applyFont="1" applyFill="1" applyBorder="1" applyAlignment="1" applyProtection="1">
      <alignment horizontal="center" vertical="center"/>
    </xf>
    <xf numFmtId="0" fontId="14" fillId="2" borderId="0" xfId="0" applyFont="1" applyFill="1" applyAlignment="1" applyProtection="1">
      <alignment horizontal="left"/>
    </xf>
    <xf numFmtId="0" fontId="22" fillId="2" borderId="0" xfId="0" applyFont="1" applyFill="1" applyAlignment="1" applyProtection="1">
      <alignment horizontal="center"/>
    </xf>
    <xf numFmtId="0" fontId="109" fillId="0" borderId="69" xfId="0" applyFont="1" applyFill="1" applyBorder="1" applyAlignment="1" applyProtection="1">
      <alignment horizontal="center" vertical="center"/>
      <protection locked="0"/>
    </xf>
    <xf numFmtId="0" fontId="109" fillId="0" borderId="71" xfId="0" applyFont="1" applyFill="1" applyBorder="1" applyAlignment="1" applyProtection="1">
      <alignment horizontal="center" vertical="center"/>
      <protection locked="0"/>
    </xf>
    <xf numFmtId="0" fontId="109" fillId="0" borderId="72" xfId="0" applyFont="1" applyFill="1" applyBorder="1" applyAlignment="1" applyProtection="1">
      <alignment horizontal="center" vertical="center"/>
      <protection locked="0"/>
    </xf>
    <xf numFmtId="0" fontId="109" fillId="0" borderId="73" xfId="0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/>
    </xf>
    <xf numFmtId="0" fontId="86" fillId="0" borderId="3" xfId="0" applyFont="1" applyBorder="1" applyAlignment="1" applyProtection="1">
      <alignment horizontal="center" vertical="center"/>
    </xf>
    <xf numFmtId="0" fontId="86" fillId="0" borderId="4" xfId="0" applyFont="1" applyBorder="1" applyAlignment="1" applyProtection="1">
      <alignment horizontal="center" vertical="center"/>
    </xf>
    <xf numFmtId="0" fontId="86" fillId="0" borderId="5" xfId="0" applyFont="1" applyBorder="1" applyAlignment="1" applyProtection="1">
      <alignment horizontal="center" vertical="center"/>
    </xf>
    <xf numFmtId="0" fontId="86" fillId="0" borderId="6" xfId="0" applyFont="1" applyBorder="1" applyAlignment="1" applyProtection="1">
      <alignment horizontal="center" vertical="center"/>
    </xf>
    <xf numFmtId="0" fontId="86" fillId="0" borderId="0" xfId="0" applyFont="1" applyBorder="1" applyAlignment="1" applyProtection="1">
      <alignment horizontal="center" vertical="center"/>
    </xf>
    <xf numFmtId="0" fontId="86" fillId="0" borderId="7" xfId="0" applyFont="1" applyBorder="1" applyAlignment="1" applyProtection="1">
      <alignment horizontal="center" vertical="center"/>
    </xf>
    <xf numFmtId="0" fontId="86" fillId="0" borderId="8" xfId="0" applyFont="1" applyBorder="1" applyAlignment="1" applyProtection="1">
      <alignment horizontal="center" vertical="center"/>
    </xf>
    <xf numFmtId="0" fontId="86" fillId="0" borderId="9" xfId="0" applyFont="1" applyBorder="1" applyAlignment="1" applyProtection="1">
      <alignment horizontal="center" vertical="center"/>
    </xf>
    <xf numFmtId="0" fontId="86" fillId="0" borderId="10" xfId="0" applyFont="1" applyBorder="1" applyAlignment="1" applyProtection="1">
      <alignment horizontal="center" vertical="center"/>
    </xf>
    <xf numFmtId="0" fontId="124" fillId="0" borderId="103" xfId="0" applyFont="1" applyBorder="1" applyAlignment="1" applyProtection="1">
      <alignment horizontal="center" vertical="center"/>
      <protection locked="0"/>
    </xf>
    <xf numFmtId="0" fontId="124" fillId="0" borderId="104" xfId="0" applyFont="1" applyBorder="1" applyAlignment="1" applyProtection="1">
      <alignment horizontal="center" vertical="center"/>
      <protection locked="0"/>
    </xf>
    <xf numFmtId="0" fontId="124" fillId="0" borderId="109" xfId="0" applyFont="1" applyBorder="1" applyAlignment="1" applyProtection="1">
      <alignment horizontal="center" vertical="center"/>
      <protection locked="0"/>
    </xf>
    <xf numFmtId="0" fontId="124" fillId="0" borderId="110" xfId="0" applyFont="1" applyBorder="1" applyAlignment="1" applyProtection="1">
      <alignment horizontal="center" vertical="center"/>
      <protection locked="0"/>
    </xf>
    <xf numFmtId="0" fontId="124" fillId="0" borderId="106" xfId="0" applyFont="1" applyBorder="1" applyAlignment="1" applyProtection="1">
      <alignment horizontal="center" vertical="center"/>
      <protection locked="0"/>
    </xf>
    <xf numFmtId="0" fontId="124" fillId="0" borderId="107" xfId="0" applyFont="1" applyBorder="1" applyAlignment="1" applyProtection="1">
      <alignment horizontal="center" vertical="center"/>
      <protection locked="0"/>
    </xf>
    <xf numFmtId="0" fontId="125" fillId="0" borderId="104" xfId="0" applyFont="1" applyBorder="1" applyAlignment="1" applyProtection="1">
      <alignment horizontal="center" vertical="center"/>
      <protection locked="0"/>
    </xf>
    <xf numFmtId="0" fontId="125" fillId="0" borderId="105" xfId="0" applyFont="1" applyBorder="1" applyAlignment="1" applyProtection="1">
      <alignment horizontal="center" vertical="center"/>
      <protection locked="0"/>
    </xf>
    <xf numFmtId="0" fontId="125" fillId="0" borderId="110" xfId="0" applyFont="1" applyBorder="1" applyAlignment="1" applyProtection="1">
      <alignment horizontal="center" vertical="center"/>
      <protection locked="0"/>
    </xf>
    <xf numFmtId="0" fontId="125" fillId="0" borderId="111" xfId="0" applyFont="1" applyBorder="1" applyAlignment="1" applyProtection="1">
      <alignment horizontal="center" vertical="center"/>
      <protection locked="0"/>
    </xf>
    <xf numFmtId="0" fontId="125" fillId="0" borderId="107" xfId="0" applyFont="1" applyBorder="1" applyAlignment="1" applyProtection="1">
      <alignment horizontal="center" vertical="center"/>
      <protection locked="0"/>
    </xf>
    <xf numFmtId="0" fontId="125" fillId="0" borderId="108" xfId="0" applyFont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 vertical="top"/>
    </xf>
    <xf numFmtId="0" fontId="2" fillId="2" borderId="24" xfId="0" applyFont="1" applyFill="1" applyBorder="1" applyAlignment="1" applyProtection="1">
      <alignment horizontal="center" vertical="center"/>
    </xf>
    <xf numFmtId="0" fontId="109" fillId="0" borderId="74" xfId="0" applyFont="1" applyFill="1" applyBorder="1" applyAlignment="1" applyProtection="1">
      <alignment horizontal="center" vertical="center"/>
      <protection locked="0"/>
    </xf>
    <xf numFmtId="0" fontId="109" fillId="0" borderId="76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/>
    </xf>
    <xf numFmtId="0" fontId="44" fillId="0" borderId="69" xfId="0" applyFont="1" applyBorder="1" applyAlignment="1" applyProtection="1">
      <alignment horizontal="center" vertical="center"/>
    </xf>
    <xf numFmtId="0" fontId="44" fillId="0" borderId="71" xfId="0" applyFont="1" applyBorder="1" applyAlignment="1" applyProtection="1">
      <alignment horizontal="center" vertical="center"/>
    </xf>
    <xf numFmtId="0" fontId="44" fillId="0" borderId="72" xfId="0" applyFont="1" applyBorder="1" applyAlignment="1" applyProtection="1">
      <alignment horizontal="center" vertical="center"/>
    </xf>
    <xf numFmtId="0" fontId="44" fillId="0" borderId="73" xfId="0" applyFont="1" applyBorder="1" applyAlignment="1" applyProtection="1">
      <alignment horizontal="center" vertical="center"/>
    </xf>
    <xf numFmtId="0" fontId="9" fillId="4" borderId="12" xfId="0" applyFont="1" applyFill="1" applyBorder="1" applyAlignment="1" applyProtection="1">
      <alignment horizontal="center" vertical="center"/>
    </xf>
    <xf numFmtId="0" fontId="9" fillId="4" borderId="13" xfId="0" applyFont="1" applyFill="1" applyBorder="1" applyAlignment="1" applyProtection="1">
      <alignment horizontal="center" vertical="center"/>
    </xf>
    <xf numFmtId="0" fontId="9" fillId="4" borderId="14" xfId="0" applyFont="1" applyFill="1" applyBorder="1" applyAlignment="1" applyProtection="1">
      <alignment horizontal="center" vertical="center"/>
    </xf>
    <xf numFmtId="164" fontId="87" fillId="0" borderId="13" xfId="0" applyNumberFormat="1" applyFont="1" applyBorder="1" applyAlignment="1" applyProtection="1">
      <alignment horizontal="center" vertical="center"/>
    </xf>
    <xf numFmtId="164" fontId="87" fillId="0" borderId="14" xfId="0" applyNumberFormat="1" applyFont="1" applyBorder="1" applyAlignment="1" applyProtection="1">
      <alignment horizontal="center" vertical="center"/>
    </xf>
    <xf numFmtId="164" fontId="87" fillId="0" borderId="16" xfId="0" applyNumberFormat="1" applyFont="1" applyBorder="1" applyAlignment="1" applyProtection="1">
      <alignment horizontal="center" vertical="center"/>
    </xf>
    <xf numFmtId="164" fontId="87" fillId="0" borderId="17" xfId="0" applyNumberFormat="1" applyFont="1" applyBorder="1" applyAlignment="1" applyProtection="1">
      <alignment horizontal="center" vertical="center"/>
    </xf>
    <xf numFmtId="164" fontId="87" fillId="0" borderId="19" xfId="0" applyNumberFormat="1" applyFont="1" applyBorder="1" applyAlignment="1" applyProtection="1">
      <alignment horizontal="center" vertical="center"/>
    </xf>
    <xf numFmtId="164" fontId="87" fillId="0" borderId="20" xfId="0" applyNumberFormat="1" applyFont="1" applyBorder="1" applyAlignment="1" applyProtection="1">
      <alignment horizontal="center" vertical="center"/>
    </xf>
    <xf numFmtId="0" fontId="44" fillId="0" borderId="74" xfId="0" applyFont="1" applyBorder="1" applyAlignment="1" applyProtection="1">
      <alignment horizontal="center" vertical="center"/>
    </xf>
    <xf numFmtId="0" fontId="44" fillId="0" borderId="76" xfId="0" applyFont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84" fillId="0" borderId="0" xfId="0" applyFont="1" applyBorder="1" applyProtection="1"/>
    <xf numFmtId="0" fontId="84" fillId="0" borderId="21" xfId="0" applyFont="1" applyBorder="1" applyProtection="1"/>
    <xf numFmtId="0" fontId="85" fillId="0" borderId="12" xfId="0" applyFont="1" applyBorder="1" applyAlignment="1" applyProtection="1">
      <alignment horizontal="center" vertical="center" shrinkToFit="1"/>
    </xf>
    <xf numFmtId="0" fontId="85" fillId="0" borderId="13" xfId="0" applyFont="1" applyBorder="1" applyAlignment="1" applyProtection="1">
      <alignment horizontal="center" vertical="center" shrinkToFit="1"/>
    </xf>
    <xf numFmtId="0" fontId="85" fillId="0" borderId="14" xfId="0" applyFont="1" applyBorder="1" applyAlignment="1" applyProtection="1">
      <alignment horizontal="center" vertical="center" shrinkToFit="1"/>
    </xf>
    <xf numFmtId="164" fontId="83" fillId="0" borderId="12" xfId="0" applyNumberFormat="1" applyFont="1" applyBorder="1" applyAlignment="1" applyProtection="1">
      <alignment horizontal="center" vertical="center" shrinkToFit="1"/>
    </xf>
    <xf numFmtId="164" fontId="83" fillId="0" borderId="13" xfId="0" applyNumberFormat="1" applyFont="1" applyBorder="1" applyAlignment="1" applyProtection="1">
      <alignment horizontal="center" vertical="center" shrinkToFit="1"/>
    </xf>
    <xf numFmtId="164" fontId="83" fillId="0" borderId="14" xfId="0" applyNumberFormat="1" applyFont="1" applyBorder="1" applyAlignment="1" applyProtection="1">
      <alignment horizontal="center" vertical="center" shrinkToFit="1"/>
    </xf>
    <xf numFmtId="164" fontId="83" fillId="0" borderId="15" xfId="0" applyNumberFormat="1" applyFont="1" applyBorder="1" applyAlignment="1" applyProtection="1">
      <alignment horizontal="center" vertical="center" shrinkToFit="1"/>
    </xf>
    <xf numFmtId="164" fontId="83" fillId="0" borderId="16" xfId="0" applyNumberFormat="1" applyFont="1" applyBorder="1" applyAlignment="1" applyProtection="1">
      <alignment horizontal="center" vertical="center" shrinkToFit="1"/>
    </xf>
    <xf numFmtId="164" fontId="83" fillId="0" borderId="17" xfId="0" applyNumberFormat="1" applyFont="1" applyBorder="1" applyAlignment="1" applyProtection="1">
      <alignment horizontal="center" vertical="center" shrinkToFit="1"/>
    </xf>
    <xf numFmtId="0" fontId="42" fillId="0" borderId="0" xfId="0" applyFont="1" applyBorder="1" applyAlignment="1" applyProtection="1">
      <alignment horizontal="left"/>
    </xf>
    <xf numFmtId="0" fontId="42" fillId="0" borderId="1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4" fillId="0" borderId="0" xfId="0" applyFont="1" applyBorder="1" applyAlignment="1" applyProtection="1">
      <alignment horizontal="center"/>
      <protection locked="0"/>
    </xf>
    <xf numFmtId="0" fontId="44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44" fillId="0" borderId="0" xfId="0" applyFont="1" applyBorder="1" applyAlignment="1" applyProtection="1">
      <alignment horizontal="left"/>
      <protection locked="0"/>
    </xf>
    <xf numFmtId="0" fontId="44" fillId="0" borderId="1" xfId="0" applyFont="1" applyBorder="1" applyAlignment="1" applyProtection="1">
      <alignment horizontal="left"/>
      <protection locked="0"/>
    </xf>
    <xf numFmtId="165" fontId="44" fillId="0" borderId="0" xfId="0" applyNumberFormat="1" applyFont="1" applyBorder="1" applyAlignment="1" applyProtection="1">
      <alignment horizontal="center"/>
    </xf>
    <xf numFmtId="165" fontId="44" fillId="0" borderId="1" xfId="0" applyNumberFormat="1" applyFont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164" fontId="30" fillId="2" borderId="12" xfId="0" applyNumberFormat="1" applyFont="1" applyFill="1" applyBorder="1" applyAlignment="1" applyProtection="1">
      <alignment horizontal="center"/>
    </xf>
    <xf numFmtId="164" fontId="30" fillId="2" borderId="13" xfId="0" applyNumberFormat="1" applyFont="1" applyFill="1" applyBorder="1" applyAlignment="1" applyProtection="1">
      <alignment horizontal="center"/>
    </xf>
    <xf numFmtId="164" fontId="30" fillId="2" borderId="14" xfId="0" applyNumberFormat="1" applyFont="1" applyFill="1" applyBorder="1" applyAlignment="1" applyProtection="1">
      <alignment horizontal="center"/>
    </xf>
    <xf numFmtId="164" fontId="30" fillId="2" borderId="15" xfId="0" applyNumberFormat="1" applyFont="1" applyFill="1" applyBorder="1" applyAlignment="1" applyProtection="1">
      <alignment horizontal="center"/>
    </xf>
    <xf numFmtId="164" fontId="30" fillId="2" borderId="16" xfId="0" applyNumberFormat="1" applyFont="1" applyFill="1" applyBorder="1" applyAlignment="1" applyProtection="1">
      <alignment horizontal="center"/>
    </xf>
    <xf numFmtId="164" fontId="30" fillId="2" borderId="17" xfId="0" applyNumberFormat="1" applyFont="1" applyFill="1" applyBorder="1" applyAlignment="1" applyProtection="1">
      <alignment horizontal="center"/>
    </xf>
    <xf numFmtId="0" fontId="109" fillId="2" borderId="1" xfId="0" applyFont="1" applyFill="1" applyBorder="1" applyAlignment="1" applyProtection="1">
      <alignment horizontal="center" vertical="center"/>
      <protection locked="0"/>
    </xf>
    <xf numFmtId="0" fontId="109" fillId="2" borderId="31" xfId="0" applyFont="1" applyFill="1" applyBorder="1" applyAlignment="1" applyProtection="1">
      <alignment horizontal="center" vertical="center"/>
      <protection locked="0"/>
    </xf>
    <xf numFmtId="0" fontId="82" fillId="3" borderId="112" xfId="0" applyFont="1" applyFill="1" applyBorder="1" applyAlignment="1" applyProtection="1">
      <alignment horizontal="center"/>
    </xf>
    <xf numFmtId="0" fontId="82" fillId="3" borderId="113" xfId="0" applyFont="1" applyFill="1" applyBorder="1" applyAlignment="1" applyProtection="1">
      <alignment horizontal="center"/>
    </xf>
    <xf numFmtId="0" fontId="82" fillId="3" borderId="114" xfId="0" applyFont="1" applyFill="1" applyBorder="1" applyAlignment="1" applyProtection="1">
      <alignment horizontal="center"/>
    </xf>
    <xf numFmtId="0" fontId="82" fillId="3" borderId="115" xfId="0" applyFont="1" applyFill="1" applyBorder="1" applyAlignment="1" applyProtection="1">
      <alignment horizontal="center"/>
    </xf>
    <xf numFmtId="0" fontId="86" fillId="0" borderId="32" xfId="0" applyFont="1" applyBorder="1" applyAlignment="1" applyProtection="1">
      <alignment horizontal="center" vertical="center"/>
    </xf>
    <xf numFmtId="0" fontId="86" fillId="0" borderId="2" xfId="0" applyFont="1" applyBorder="1" applyAlignment="1" applyProtection="1">
      <alignment horizontal="center" vertical="center"/>
    </xf>
    <xf numFmtId="0" fontId="86" fillId="0" borderId="33" xfId="0" applyFont="1" applyBorder="1" applyAlignment="1" applyProtection="1">
      <alignment horizontal="center" vertical="center"/>
    </xf>
    <xf numFmtId="0" fontId="86" fillId="0" borderId="34" xfId="0" applyFont="1" applyBorder="1" applyAlignment="1" applyProtection="1">
      <alignment horizontal="center" vertical="center"/>
    </xf>
    <xf numFmtId="0" fontId="86" fillId="0" borderId="1" xfId="0" applyFont="1" applyBorder="1" applyAlignment="1" applyProtection="1">
      <alignment horizontal="center" vertical="center"/>
    </xf>
    <xf numFmtId="0" fontId="86" fillId="0" borderId="35" xfId="0" applyFont="1" applyBorder="1" applyAlignment="1" applyProtection="1">
      <alignment horizontal="center" vertical="center"/>
    </xf>
    <xf numFmtId="0" fontId="17" fillId="3" borderId="0" xfId="0" applyFont="1" applyFill="1" applyAlignment="1" applyProtection="1">
      <alignment horizontal="left" vertical="center"/>
      <protection locked="0"/>
    </xf>
    <xf numFmtId="0" fontId="17" fillId="2" borderId="0" xfId="0" applyFont="1" applyFill="1" applyAlignment="1" applyProtection="1">
      <alignment horizontal="left" vertical="center"/>
      <protection locked="0"/>
    </xf>
    <xf numFmtId="0" fontId="17" fillId="2" borderId="0" xfId="0" applyFont="1" applyFill="1" applyAlignment="1" applyProtection="1">
      <alignment horizontal="center" vertical="center"/>
    </xf>
    <xf numFmtId="0" fontId="17" fillId="2" borderId="7" xfId="0" applyFont="1" applyFill="1" applyBorder="1" applyAlignment="1" applyProtection="1">
      <alignment horizontal="left" vertical="center"/>
    </xf>
    <xf numFmtId="0" fontId="2" fillId="2" borderId="6" xfId="0" applyFont="1" applyFill="1" applyBorder="1" applyAlignment="1" applyProtection="1">
      <alignment horizontal="center"/>
    </xf>
    <xf numFmtId="0" fontId="109" fillId="3" borderId="2" xfId="0" applyFont="1" applyFill="1" applyBorder="1" applyAlignment="1" applyProtection="1">
      <alignment horizontal="center" vertical="center"/>
      <protection locked="0"/>
    </xf>
    <xf numFmtId="0" fontId="109" fillId="3" borderId="1" xfId="0" applyFont="1" applyFill="1" applyBorder="1" applyAlignment="1" applyProtection="1">
      <alignment horizontal="center" vertical="center"/>
      <protection locked="0"/>
    </xf>
    <xf numFmtId="0" fontId="14" fillId="2" borderId="0" xfId="0" applyFont="1" applyFill="1" applyAlignment="1" applyProtection="1">
      <alignment horizontal="center"/>
    </xf>
    <xf numFmtId="0" fontId="9" fillId="4" borderId="3" xfId="0" applyFont="1" applyFill="1" applyBorder="1" applyAlignment="1" applyProtection="1">
      <alignment horizontal="center" vertical="center"/>
    </xf>
    <xf numFmtId="0" fontId="9" fillId="4" borderId="4" xfId="0" applyFont="1" applyFill="1" applyBorder="1" applyAlignment="1" applyProtection="1">
      <alignment horizontal="center" vertical="center"/>
    </xf>
    <xf numFmtId="0" fontId="9" fillId="4" borderId="5" xfId="0" applyFont="1" applyFill="1" applyBorder="1" applyAlignment="1" applyProtection="1">
      <alignment horizontal="center" vertical="center"/>
    </xf>
    <xf numFmtId="0" fontId="9" fillId="4" borderId="8" xfId="0" applyFont="1" applyFill="1" applyBorder="1" applyAlignment="1" applyProtection="1">
      <alignment horizontal="center" vertical="center"/>
    </xf>
    <xf numFmtId="0" fontId="9" fillId="4" borderId="9" xfId="0" applyFont="1" applyFill="1" applyBorder="1" applyAlignment="1" applyProtection="1">
      <alignment horizontal="center" vertical="center"/>
    </xf>
    <xf numFmtId="0" fontId="9" fillId="4" borderId="10" xfId="0" applyFont="1" applyFill="1" applyBorder="1" applyAlignment="1" applyProtection="1">
      <alignment horizontal="center" vertical="center"/>
    </xf>
    <xf numFmtId="0" fontId="83" fillId="0" borderId="4" xfId="0" applyFont="1" applyBorder="1" applyAlignment="1" applyProtection="1">
      <alignment horizontal="center" vertical="center"/>
    </xf>
    <xf numFmtId="0" fontId="83" fillId="0" borderId="5" xfId="0" applyFont="1" applyBorder="1" applyAlignment="1" applyProtection="1">
      <alignment horizontal="center" vertical="center"/>
    </xf>
    <xf numFmtId="0" fontId="83" fillId="0" borderId="9" xfId="0" applyFont="1" applyBorder="1" applyAlignment="1" applyProtection="1">
      <alignment horizontal="center" vertical="center"/>
    </xf>
    <xf numFmtId="0" fontId="83" fillId="0" borderId="10" xfId="0" applyFont="1" applyBorder="1" applyAlignment="1" applyProtection="1">
      <alignment horizontal="center" vertical="center"/>
    </xf>
    <xf numFmtId="0" fontId="17" fillId="3" borderId="0" xfId="0" applyFont="1" applyFill="1" applyBorder="1" applyAlignment="1" applyProtection="1">
      <alignment horizontal="left" vertical="center"/>
      <protection locked="0"/>
    </xf>
    <xf numFmtId="0" fontId="17" fillId="3" borderId="1" xfId="0" applyFont="1" applyFill="1" applyBorder="1" applyAlignment="1" applyProtection="1">
      <alignment horizontal="left" vertical="center"/>
      <protection locked="0"/>
    </xf>
    <xf numFmtId="0" fontId="17" fillId="3" borderId="0" xfId="0" applyFont="1" applyFill="1" applyAlignment="1" applyProtection="1">
      <alignment horizontal="center" vertical="center"/>
    </xf>
    <xf numFmtId="0" fontId="2" fillId="0" borderId="0" xfId="0" applyFont="1" applyAlignment="1" applyProtection="1">
      <alignment horizontal="left"/>
    </xf>
    <xf numFmtId="0" fontId="17" fillId="2" borderId="0" xfId="0" applyFont="1" applyFill="1" applyBorder="1" applyAlignment="1" applyProtection="1">
      <alignment horizontal="left" vertical="center"/>
      <protection locked="0"/>
    </xf>
    <xf numFmtId="0" fontId="17" fillId="2" borderId="1" xfId="0" applyFont="1" applyFill="1" applyBorder="1" applyAlignment="1" applyProtection="1">
      <alignment horizontal="left" vertical="center"/>
      <protection locked="0"/>
    </xf>
    <xf numFmtId="0" fontId="13" fillId="2" borderId="0" xfId="0" applyFont="1" applyFill="1" applyAlignment="1" applyProtection="1">
      <alignment horizontal="left" vertical="center"/>
      <protection locked="0"/>
    </xf>
    <xf numFmtId="0" fontId="13" fillId="2" borderId="7" xfId="0" applyFont="1" applyFill="1" applyBorder="1" applyAlignment="1" applyProtection="1">
      <alignment horizontal="left" vertical="center"/>
      <protection locked="0"/>
    </xf>
    <xf numFmtId="0" fontId="13" fillId="3" borderId="0" xfId="0" applyFont="1" applyFill="1" applyAlignment="1" applyProtection="1">
      <alignment horizontal="left" vertical="center"/>
      <protection locked="0"/>
    </xf>
    <xf numFmtId="0" fontId="13" fillId="3" borderId="7" xfId="0" applyFont="1" applyFill="1" applyBorder="1" applyAlignment="1" applyProtection="1">
      <alignment horizontal="left" vertical="center"/>
      <protection locked="0"/>
    </xf>
    <xf numFmtId="0" fontId="109" fillId="2" borderId="2" xfId="0" applyFont="1" applyFill="1" applyBorder="1" applyAlignment="1" applyProtection="1">
      <alignment horizontal="center" vertical="center"/>
      <protection locked="0"/>
    </xf>
    <xf numFmtId="164" fontId="30" fillId="3" borderId="8" xfId="0" applyNumberFormat="1" applyFont="1" applyFill="1" applyBorder="1" applyAlignment="1" applyProtection="1">
      <alignment horizontal="center"/>
    </xf>
    <xf numFmtId="164" fontId="30" fillId="3" borderId="9" xfId="0" applyNumberFormat="1" applyFont="1" applyFill="1" applyBorder="1" applyAlignment="1" applyProtection="1">
      <alignment horizontal="center"/>
    </xf>
    <xf numFmtId="164" fontId="30" fillId="3" borderId="10" xfId="0" applyNumberFormat="1" applyFont="1" applyFill="1" applyBorder="1" applyAlignment="1" applyProtection="1">
      <alignment horizontal="center"/>
    </xf>
    <xf numFmtId="0" fontId="28" fillId="4" borderId="32" xfId="0" applyFont="1" applyFill="1" applyBorder="1" applyAlignment="1" applyProtection="1">
      <alignment horizontal="center" vertical="center"/>
    </xf>
    <xf numFmtId="0" fontId="28" fillId="4" borderId="2" xfId="0" applyFont="1" applyFill="1" applyBorder="1" applyAlignment="1" applyProtection="1">
      <alignment horizontal="center" vertical="center"/>
    </xf>
    <xf numFmtId="0" fontId="28" fillId="4" borderId="33" xfId="0" applyFont="1" applyFill="1" applyBorder="1" applyAlignment="1" applyProtection="1">
      <alignment horizontal="center" vertical="center"/>
    </xf>
    <xf numFmtId="0" fontId="28" fillId="4" borderId="36" xfId="0" applyFont="1" applyFill="1" applyBorder="1" applyAlignment="1" applyProtection="1">
      <alignment horizontal="center" vertical="center"/>
    </xf>
    <xf numFmtId="0" fontId="28" fillId="4" borderId="0" xfId="0" applyFont="1" applyFill="1" applyBorder="1" applyAlignment="1" applyProtection="1">
      <alignment horizontal="center" vertical="center"/>
    </xf>
    <xf numFmtId="0" fontId="28" fillId="4" borderId="24" xfId="0" applyFont="1" applyFill="1" applyBorder="1" applyAlignment="1" applyProtection="1">
      <alignment horizontal="center" vertical="center"/>
    </xf>
    <xf numFmtId="0" fontId="28" fillId="4" borderId="34" xfId="0" applyFont="1" applyFill="1" applyBorder="1" applyAlignment="1" applyProtection="1">
      <alignment horizontal="center" vertical="center"/>
    </xf>
    <xf numFmtId="0" fontId="28" fillId="4" borderId="1" xfId="0" applyFont="1" applyFill="1" applyBorder="1" applyAlignment="1" applyProtection="1">
      <alignment horizontal="center" vertical="center"/>
    </xf>
    <xf numFmtId="0" fontId="28" fillId="4" borderId="35" xfId="0" applyFont="1" applyFill="1" applyBorder="1" applyAlignment="1" applyProtection="1">
      <alignment horizontal="center" vertical="center"/>
    </xf>
    <xf numFmtId="0" fontId="42" fillId="0" borderId="241" xfId="0" applyFont="1" applyBorder="1" applyAlignment="1" applyProtection="1">
      <alignment horizontal="left" vertical="center" shrinkToFit="1"/>
      <protection locked="0"/>
    </xf>
    <xf numFmtId="0" fontId="42" fillId="0" borderId="39" xfId="0" applyFont="1" applyBorder="1" applyAlignment="1" applyProtection="1">
      <alignment horizontal="left" vertical="center" shrinkToFit="1"/>
      <protection locked="0"/>
    </xf>
    <xf numFmtId="0" fontId="42" fillId="0" borderId="41" xfId="0" applyFont="1" applyBorder="1" applyAlignment="1" applyProtection="1">
      <alignment horizontal="left" vertical="center" shrinkToFit="1"/>
      <protection locked="0"/>
    </xf>
    <xf numFmtId="0" fontId="42" fillId="0" borderId="242" xfId="0" applyFont="1" applyBorder="1" applyAlignment="1" applyProtection="1">
      <alignment horizontal="left" vertical="center" shrinkToFit="1"/>
      <protection locked="0"/>
    </xf>
    <xf numFmtId="0" fontId="42" fillId="0" borderId="0" xfId="0" applyFont="1" applyBorder="1" applyAlignment="1" applyProtection="1">
      <alignment horizontal="left" vertical="center" shrinkToFit="1"/>
      <protection locked="0"/>
    </xf>
    <xf numFmtId="0" fontId="42" fillId="0" borderId="24" xfId="0" applyFont="1" applyBorder="1" applyAlignment="1" applyProtection="1">
      <alignment horizontal="left" vertical="center" shrinkToFit="1"/>
      <protection locked="0"/>
    </xf>
    <xf numFmtId="0" fontId="42" fillId="0" borderId="243" xfId="0" applyFont="1" applyBorder="1" applyAlignment="1" applyProtection="1">
      <alignment horizontal="left" vertical="center" shrinkToFit="1"/>
      <protection locked="0"/>
    </xf>
    <xf numFmtId="0" fontId="42" fillId="0" borderId="43" xfId="0" applyFont="1" applyBorder="1" applyAlignment="1" applyProtection="1">
      <alignment horizontal="left" vertical="center" shrinkToFit="1"/>
      <protection locked="0"/>
    </xf>
    <xf numFmtId="0" fontId="42" fillId="0" borderId="44" xfId="0" applyFont="1" applyBorder="1" applyAlignment="1" applyProtection="1">
      <alignment horizontal="left" vertical="center" shrinkToFit="1"/>
      <protection locked="0"/>
    </xf>
    <xf numFmtId="0" fontId="42" fillId="0" borderId="146" xfId="0" applyFont="1" applyBorder="1" applyAlignment="1" applyProtection="1">
      <alignment horizontal="center" vertical="center"/>
      <protection locked="0"/>
    </xf>
    <xf numFmtId="0" fontId="42" fillId="0" borderId="147" xfId="0" applyFont="1" applyBorder="1" applyAlignment="1" applyProtection="1">
      <alignment horizontal="center" vertical="center"/>
      <protection locked="0"/>
    </xf>
    <xf numFmtId="0" fontId="42" fillId="0" borderId="149" xfId="0" applyFont="1" applyBorder="1" applyAlignment="1" applyProtection="1">
      <alignment horizontal="center" vertical="center"/>
      <protection locked="0"/>
    </xf>
    <xf numFmtId="0" fontId="42" fillId="0" borderId="150" xfId="0" applyFont="1" applyBorder="1" applyAlignment="1" applyProtection="1">
      <alignment horizontal="center" vertical="center"/>
      <protection locked="0"/>
    </xf>
    <xf numFmtId="0" fontId="42" fillId="0" borderId="247" xfId="0" applyFont="1" applyBorder="1" applyAlignment="1" applyProtection="1">
      <alignment horizontal="left" vertical="center" shrinkToFit="1"/>
      <protection locked="0"/>
    </xf>
    <xf numFmtId="0" fontId="42" fillId="0" borderId="1" xfId="0" applyFont="1" applyBorder="1" applyAlignment="1" applyProtection="1">
      <alignment horizontal="left" vertical="center" shrinkToFit="1"/>
      <protection locked="0"/>
    </xf>
    <xf numFmtId="0" fontId="42" fillId="0" borderId="35" xfId="0" applyFont="1" applyBorder="1" applyAlignment="1" applyProtection="1">
      <alignment horizontal="left" vertical="center" shrinkToFit="1"/>
      <protection locked="0"/>
    </xf>
    <xf numFmtId="0" fontId="42" fillId="0" borderId="40" xfId="0" applyFont="1" applyBorder="1" applyAlignment="1" applyProtection="1">
      <alignment horizontal="center" vertical="center"/>
      <protection locked="0"/>
    </xf>
    <xf numFmtId="0" fontId="42" fillId="0" borderId="39" xfId="0" applyFont="1" applyBorder="1" applyAlignment="1" applyProtection="1">
      <alignment horizontal="center" vertical="center"/>
      <protection locked="0"/>
    </xf>
    <xf numFmtId="0" fontId="42" fillId="0" borderId="244" xfId="0" applyFont="1" applyBorder="1" applyAlignment="1" applyProtection="1">
      <alignment horizontal="center" vertical="center"/>
      <protection locked="0"/>
    </xf>
    <xf numFmtId="0" fontId="42" fillId="0" borderId="36" xfId="0" applyFont="1" applyBorder="1" applyAlignment="1" applyProtection="1">
      <alignment horizontal="center" vertical="center"/>
      <protection locked="0"/>
    </xf>
    <xf numFmtId="0" fontId="42" fillId="0" borderId="0" xfId="0" applyFont="1" applyBorder="1" applyAlignment="1" applyProtection="1">
      <alignment horizontal="center" vertical="center"/>
      <protection locked="0"/>
    </xf>
    <xf numFmtId="0" fontId="42" fillId="0" borderId="245" xfId="0" applyFont="1" applyBorder="1" applyAlignment="1" applyProtection="1">
      <alignment horizontal="center" vertical="center"/>
      <protection locked="0"/>
    </xf>
    <xf numFmtId="0" fontId="42" fillId="0" borderId="42" xfId="0" applyFont="1" applyBorder="1" applyAlignment="1" applyProtection="1">
      <alignment horizontal="center" vertical="center"/>
      <protection locked="0"/>
    </xf>
    <xf numFmtId="0" fontId="42" fillId="0" borderId="43" xfId="0" applyFont="1" applyBorder="1" applyAlignment="1" applyProtection="1">
      <alignment horizontal="center" vertical="center"/>
      <protection locked="0"/>
    </xf>
    <xf numFmtId="0" fontId="42" fillId="0" borderId="246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</xf>
    <xf numFmtId="0" fontId="42" fillId="0" borderId="147" xfId="0" applyFont="1" applyBorder="1" applyAlignment="1" applyProtection="1">
      <alignment horizontal="left" vertical="center" shrinkToFit="1"/>
      <protection locked="0"/>
    </xf>
    <xf numFmtId="0" fontId="42" fillId="0" borderId="148" xfId="0" applyFont="1" applyBorder="1" applyAlignment="1" applyProtection="1">
      <alignment horizontal="left" vertical="center" shrinkToFit="1"/>
      <protection locked="0"/>
    </xf>
    <xf numFmtId="0" fontId="42" fillId="0" borderId="143" xfId="0" applyFont="1" applyBorder="1" applyAlignment="1" applyProtection="1">
      <alignment horizontal="center" vertical="center"/>
      <protection locked="0"/>
    </xf>
    <xf numFmtId="0" fontId="42" fillId="0" borderId="144" xfId="0" applyFont="1" applyBorder="1" applyAlignment="1" applyProtection="1">
      <alignment horizontal="center" vertical="center"/>
      <protection locked="0"/>
    </xf>
    <xf numFmtId="0" fontId="42" fillId="0" borderId="144" xfId="0" applyFont="1" applyBorder="1" applyAlignment="1" applyProtection="1">
      <alignment horizontal="left" vertical="center" shrinkToFit="1"/>
      <protection locked="0"/>
    </xf>
    <xf numFmtId="0" fontId="42" fillId="0" borderId="145" xfId="0" applyFont="1" applyBorder="1" applyAlignment="1" applyProtection="1">
      <alignment horizontal="left" vertical="center" shrinkToFit="1"/>
      <protection locked="0"/>
    </xf>
    <xf numFmtId="0" fontId="41" fillId="0" borderId="147" xfId="0" applyFont="1" applyBorder="1" applyAlignment="1" applyProtection="1">
      <alignment horizontal="center" vertical="center"/>
      <protection locked="0"/>
    </xf>
    <xf numFmtId="0" fontId="41" fillId="0" borderId="148" xfId="0" applyFont="1" applyBorder="1" applyAlignment="1" applyProtection="1">
      <alignment horizontal="center" vertical="center"/>
      <protection locked="0"/>
    </xf>
    <xf numFmtId="0" fontId="96" fillId="0" borderId="146" xfId="0" applyFont="1" applyBorder="1" applyAlignment="1" applyProtection="1">
      <alignment horizontal="center" vertical="center"/>
      <protection locked="0"/>
    </xf>
    <xf numFmtId="0" fontId="96" fillId="0" borderId="147" xfId="0" applyFont="1" applyBorder="1" applyAlignment="1" applyProtection="1">
      <alignment horizontal="center" vertical="center"/>
      <protection locked="0"/>
    </xf>
    <xf numFmtId="49" fontId="42" fillId="0" borderId="241" xfId="0" applyNumberFormat="1" applyFont="1" applyBorder="1" applyAlignment="1" applyProtection="1">
      <alignment horizontal="left" vertical="center" shrinkToFit="1"/>
      <protection locked="0"/>
    </xf>
    <xf numFmtId="49" fontId="42" fillId="0" borderId="39" xfId="0" applyNumberFormat="1" applyFont="1" applyBorder="1" applyAlignment="1" applyProtection="1">
      <alignment horizontal="left" vertical="center" shrinkToFit="1"/>
      <protection locked="0"/>
    </xf>
    <xf numFmtId="49" fontId="42" fillId="0" borderId="244" xfId="0" applyNumberFormat="1" applyFont="1" applyBorder="1" applyAlignment="1" applyProtection="1">
      <alignment horizontal="left" vertical="center" shrinkToFit="1"/>
      <protection locked="0"/>
    </xf>
    <xf numFmtId="49" fontId="42" fillId="0" borderId="242" xfId="0" applyNumberFormat="1" applyFont="1" applyBorder="1" applyAlignment="1" applyProtection="1">
      <alignment horizontal="left" vertical="center" shrinkToFit="1"/>
      <protection locked="0"/>
    </xf>
    <xf numFmtId="49" fontId="42" fillId="0" borderId="0" xfId="0" applyNumberFormat="1" applyFont="1" applyBorder="1" applyAlignment="1" applyProtection="1">
      <alignment horizontal="left" vertical="center" shrinkToFit="1"/>
      <protection locked="0"/>
    </xf>
    <xf numFmtId="49" fontId="42" fillId="0" borderId="245" xfId="0" applyNumberFormat="1" applyFont="1" applyBorder="1" applyAlignment="1" applyProtection="1">
      <alignment horizontal="left" vertical="center" shrinkToFit="1"/>
      <protection locked="0"/>
    </xf>
    <xf numFmtId="49" fontId="42" fillId="0" borderId="243" xfId="0" applyNumberFormat="1" applyFont="1" applyBorder="1" applyAlignment="1" applyProtection="1">
      <alignment horizontal="left" vertical="center" shrinkToFit="1"/>
      <protection locked="0"/>
    </xf>
    <xf numFmtId="49" fontId="42" fillId="0" borderId="43" xfId="0" applyNumberFormat="1" applyFont="1" applyBorder="1" applyAlignment="1" applyProtection="1">
      <alignment horizontal="left" vertical="center" shrinkToFit="1"/>
      <protection locked="0"/>
    </xf>
    <xf numFmtId="49" fontId="42" fillId="0" borderId="246" xfId="0" applyNumberFormat="1" applyFont="1" applyBorder="1" applyAlignment="1" applyProtection="1">
      <alignment horizontal="left" vertical="center" shrinkToFit="1"/>
      <protection locked="0"/>
    </xf>
    <xf numFmtId="0" fontId="96" fillId="0" borderId="171" xfId="0" applyNumberFormat="1" applyFont="1" applyBorder="1" applyAlignment="1" applyProtection="1">
      <alignment horizontal="center" vertical="center"/>
      <protection locked="0"/>
    </xf>
    <xf numFmtId="0" fontId="96" fillId="0" borderId="147" xfId="0" applyNumberFormat="1" applyFont="1" applyBorder="1" applyAlignment="1" applyProtection="1">
      <alignment horizontal="center" vertical="center"/>
      <protection locked="0"/>
    </xf>
    <xf numFmtId="49" fontId="42" fillId="0" borderId="147" xfId="0" applyNumberFormat="1" applyFont="1" applyBorder="1" applyAlignment="1" applyProtection="1">
      <alignment horizontal="left" vertical="center" shrinkToFit="1"/>
      <protection locked="0"/>
    </xf>
    <xf numFmtId="0" fontId="96" fillId="0" borderId="171" xfId="0" applyFont="1" applyBorder="1" applyAlignment="1" applyProtection="1">
      <alignment horizontal="center" vertical="center"/>
      <protection locked="0"/>
    </xf>
    <xf numFmtId="0" fontId="1" fillId="5" borderId="0" xfId="0" applyFont="1" applyFill="1" applyAlignment="1" applyProtection="1">
      <alignment horizontal="center" vertical="center"/>
    </xf>
    <xf numFmtId="0" fontId="41" fillId="0" borderId="147" xfId="0" applyNumberFormat="1" applyFont="1" applyBorder="1" applyAlignment="1" applyProtection="1">
      <alignment horizontal="center" vertical="center"/>
      <protection locked="0"/>
    </xf>
    <xf numFmtId="0" fontId="41" fillId="0" borderId="148" xfId="0" applyNumberFormat="1" applyFont="1" applyBorder="1" applyAlignment="1" applyProtection="1">
      <alignment horizontal="center" vertical="center"/>
      <protection locked="0"/>
    </xf>
    <xf numFmtId="0" fontId="27" fillId="4" borderId="32" xfId="0" applyFont="1" applyFill="1" applyBorder="1" applyAlignment="1" applyProtection="1">
      <alignment horizontal="center" vertical="center"/>
    </xf>
    <xf numFmtId="0" fontId="27" fillId="4" borderId="2" xfId="0" applyFont="1" applyFill="1" applyBorder="1" applyAlignment="1" applyProtection="1">
      <alignment horizontal="center" vertical="center"/>
    </xf>
    <xf numFmtId="0" fontId="27" fillId="4" borderId="33" xfId="0" applyFont="1" applyFill="1" applyBorder="1" applyAlignment="1" applyProtection="1">
      <alignment horizontal="center" vertical="center"/>
    </xf>
    <xf numFmtId="0" fontId="27" fillId="4" borderId="36" xfId="0" applyFont="1" applyFill="1" applyBorder="1" applyAlignment="1" applyProtection="1">
      <alignment horizontal="center" vertical="center"/>
    </xf>
    <xf numFmtId="0" fontId="27" fillId="4" borderId="0" xfId="0" applyFont="1" applyFill="1" applyBorder="1" applyAlignment="1" applyProtection="1">
      <alignment horizontal="center" vertical="center"/>
    </xf>
    <xf numFmtId="0" fontId="27" fillId="4" borderId="24" xfId="0" applyFont="1" applyFill="1" applyBorder="1" applyAlignment="1" applyProtection="1">
      <alignment horizontal="center" vertical="center"/>
    </xf>
    <xf numFmtId="0" fontId="27" fillId="4" borderId="34" xfId="0" applyFont="1" applyFill="1" applyBorder="1" applyAlignment="1" applyProtection="1">
      <alignment horizontal="center" vertical="center"/>
    </xf>
    <xf numFmtId="0" fontId="27" fillId="4" borderId="1" xfId="0" applyFont="1" applyFill="1" applyBorder="1" applyAlignment="1" applyProtection="1">
      <alignment horizontal="center" vertical="center"/>
    </xf>
    <xf numFmtId="0" fontId="27" fillId="4" borderId="35" xfId="0" applyFont="1" applyFill="1" applyBorder="1" applyAlignment="1" applyProtection="1">
      <alignment horizontal="center" vertical="center"/>
    </xf>
    <xf numFmtId="0" fontId="42" fillId="0" borderId="143" xfId="0" applyFont="1" applyBorder="1" applyAlignment="1" applyProtection="1">
      <alignment horizontal="left" vertical="center" shrinkToFit="1"/>
      <protection locked="0"/>
    </xf>
    <xf numFmtId="0" fontId="42" fillId="0" borderId="146" xfId="0" applyFont="1" applyBorder="1" applyAlignment="1" applyProtection="1">
      <alignment horizontal="left" vertical="center" shrinkToFit="1"/>
      <protection locked="0"/>
    </xf>
    <xf numFmtId="0" fontId="42" fillId="0" borderId="145" xfId="0" applyFont="1" applyBorder="1" applyAlignment="1" applyProtection="1">
      <alignment horizontal="center" vertical="center"/>
      <protection locked="0"/>
    </xf>
    <xf numFmtId="0" fontId="42" fillId="0" borderId="148" xfId="0" applyFont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/>
    </xf>
    <xf numFmtId="0" fontId="10" fillId="2" borderId="2" xfId="0" applyFont="1" applyFill="1" applyBorder="1" applyAlignment="1" applyProtection="1">
      <alignment horizontal="left"/>
    </xf>
    <xf numFmtId="0" fontId="10" fillId="2" borderId="0" xfId="0" applyFont="1" applyFill="1" applyBorder="1" applyAlignment="1" applyProtection="1">
      <alignment horizontal="left"/>
    </xf>
    <xf numFmtId="0" fontId="10" fillId="2" borderId="1" xfId="0" applyFont="1" applyFill="1" applyBorder="1" applyAlignment="1" applyProtection="1">
      <alignment horizontal="left"/>
    </xf>
    <xf numFmtId="3" fontId="43" fillId="0" borderId="3" xfId="0" applyNumberFormat="1" applyFont="1" applyBorder="1" applyAlignment="1" applyProtection="1">
      <alignment horizontal="center" vertical="center"/>
      <protection locked="0"/>
    </xf>
    <xf numFmtId="3" fontId="43" fillId="0" borderId="4" xfId="0" applyNumberFormat="1" applyFont="1" applyBorder="1" applyAlignment="1" applyProtection="1">
      <alignment horizontal="center" vertical="center"/>
      <protection locked="0"/>
    </xf>
    <xf numFmtId="3" fontId="43" fillId="0" borderId="5" xfId="0" applyNumberFormat="1" applyFont="1" applyBorder="1" applyAlignment="1" applyProtection="1">
      <alignment horizontal="center" vertical="center"/>
      <protection locked="0"/>
    </xf>
    <xf numFmtId="3" fontId="43" fillId="0" borderId="6" xfId="0" applyNumberFormat="1" applyFont="1" applyBorder="1" applyAlignment="1" applyProtection="1">
      <alignment horizontal="center" vertical="center"/>
      <protection locked="0"/>
    </xf>
    <xf numFmtId="3" fontId="43" fillId="0" borderId="0" xfId="0" applyNumberFormat="1" applyFont="1" applyBorder="1" applyAlignment="1" applyProtection="1">
      <alignment horizontal="center" vertical="center"/>
      <protection locked="0"/>
    </xf>
    <xf numFmtId="3" fontId="43" fillId="0" borderId="7" xfId="0" applyNumberFormat="1" applyFont="1" applyBorder="1" applyAlignment="1" applyProtection="1">
      <alignment horizontal="center" vertical="center"/>
      <protection locked="0"/>
    </xf>
    <xf numFmtId="3" fontId="43" fillId="0" borderId="8" xfId="0" applyNumberFormat="1" applyFont="1" applyBorder="1" applyAlignment="1" applyProtection="1">
      <alignment horizontal="center" vertical="center"/>
      <protection locked="0"/>
    </xf>
    <xf numFmtId="3" fontId="43" fillId="0" borderId="9" xfId="0" applyNumberFormat="1" applyFont="1" applyBorder="1" applyAlignment="1" applyProtection="1">
      <alignment horizontal="center" vertical="center"/>
      <protection locked="0"/>
    </xf>
    <xf numFmtId="3" fontId="43" fillId="0" borderId="10" xfId="0" applyNumberFormat="1" applyFont="1" applyBorder="1" applyAlignment="1" applyProtection="1">
      <alignment horizontal="center" vertical="center"/>
      <protection locked="0"/>
    </xf>
    <xf numFmtId="3" fontId="85" fillId="2" borderId="32" xfId="0" applyNumberFormat="1" applyFont="1" applyFill="1" applyBorder="1" applyAlignment="1" applyProtection="1">
      <alignment horizontal="center" vertical="center"/>
    </xf>
    <xf numFmtId="3" fontId="85" fillId="2" borderId="2" xfId="0" applyNumberFormat="1" applyFont="1" applyFill="1" applyBorder="1" applyAlignment="1" applyProtection="1">
      <alignment horizontal="center" vertical="center"/>
    </xf>
    <xf numFmtId="3" fontId="85" fillId="2" borderId="33" xfId="0" applyNumberFormat="1" applyFont="1" applyFill="1" applyBorder="1" applyAlignment="1" applyProtection="1">
      <alignment horizontal="center" vertical="center"/>
    </xf>
    <xf numFmtId="3" fontId="85" fillId="2" borderId="36" xfId="0" applyNumberFormat="1" applyFont="1" applyFill="1" applyBorder="1" applyAlignment="1" applyProtection="1">
      <alignment horizontal="center" vertical="center"/>
    </xf>
    <xf numFmtId="3" fontId="85" fillId="2" borderId="0" xfId="0" applyNumberFormat="1" applyFont="1" applyFill="1" applyBorder="1" applyAlignment="1" applyProtection="1">
      <alignment horizontal="center" vertical="center"/>
    </xf>
    <xf numFmtId="3" fontId="85" fillId="2" borderId="24" xfId="0" applyNumberFormat="1" applyFont="1" applyFill="1" applyBorder="1" applyAlignment="1" applyProtection="1">
      <alignment horizontal="center" vertical="center"/>
    </xf>
    <xf numFmtId="3" fontId="85" fillId="2" borderId="34" xfId="0" applyNumberFormat="1" applyFont="1" applyFill="1" applyBorder="1" applyAlignment="1" applyProtection="1">
      <alignment horizontal="center" vertical="center"/>
    </xf>
    <xf numFmtId="3" fontId="85" fillId="2" borderId="1" xfId="0" applyNumberFormat="1" applyFont="1" applyFill="1" applyBorder="1" applyAlignment="1" applyProtection="1">
      <alignment horizontal="center" vertical="center"/>
    </xf>
    <xf numFmtId="3" fontId="85" fillId="2" borderId="35" xfId="0" applyNumberFormat="1" applyFont="1" applyFill="1" applyBorder="1" applyAlignment="1" applyProtection="1">
      <alignment horizontal="center" vertical="center"/>
    </xf>
    <xf numFmtId="0" fontId="1" fillId="0" borderId="63" xfId="0" applyFont="1" applyBorder="1" applyAlignment="1" applyProtection="1">
      <alignment horizontal="center" vertical="center"/>
      <protection locked="0"/>
    </xf>
    <xf numFmtId="0" fontId="1" fillId="0" borderId="64" xfId="0" applyFont="1" applyBorder="1" applyAlignment="1" applyProtection="1">
      <alignment horizontal="center" vertical="center"/>
      <protection locked="0"/>
    </xf>
    <xf numFmtId="0" fontId="1" fillId="0" borderId="65" xfId="0" applyFont="1" applyBorder="1" applyAlignment="1" applyProtection="1">
      <alignment horizontal="center" vertical="center"/>
      <protection locked="0"/>
    </xf>
    <xf numFmtId="0" fontId="1" fillId="0" borderId="93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94" xfId="0" applyFont="1" applyBorder="1" applyAlignment="1" applyProtection="1">
      <alignment horizontal="center" vertical="center"/>
      <protection locked="0"/>
    </xf>
    <xf numFmtId="0" fontId="1" fillId="0" borderId="66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1" fillId="0" borderId="68" xfId="0" applyFont="1" applyBorder="1" applyAlignment="1" applyProtection="1">
      <alignment horizontal="center" vertical="center"/>
      <protection locked="0"/>
    </xf>
    <xf numFmtId="0" fontId="44" fillId="0" borderId="25" xfId="0" applyFont="1" applyFill="1" applyBorder="1" applyAlignment="1" applyProtection="1">
      <alignment horizontal="left" vertical="center" shrinkToFit="1"/>
      <protection locked="0"/>
    </xf>
    <xf numFmtId="0" fontId="44" fillId="0" borderId="37" xfId="0" applyFont="1" applyFill="1" applyBorder="1" applyAlignment="1" applyProtection="1">
      <alignment horizontal="left" vertical="center" shrinkToFit="1"/>
      <protection locked="0"/>
    </xf>
    <xf numFmtId="0" fontId="44" fillId="0" borderId="26" xfId="0" applyFont="1" applyFill="1" applyBorder="1" applyAlignment="1" applyProtection="1">
      <alignment horizontal="left" vertical="center" shrinkToFit="1"/>
      <protection locked="0"/>
    </xf>
    <xf numFmtId="0" fontId="44" fillId="0" borderId="27" xfId="0" applyFont="1" applyFill="1" applyBorder="1" applyAlignment="1" applyProtection="1">
      <alignment horizontal="left" vertical="center" shrinkToFit="1"/>
      <protection locked="0"/>
    </xf>
    <xf numFmtId="0" fontId="44" fillId="0" borderId="11" xfId="0" applyFont="1" applyFill="1" applyBorder="1" applyAlignment="1" applyProtection="1">
      <alignment horizontal="left" vertical="center" shrinkToFit="1"/>
      <protection locked="0"/>
    </xf>
    <xf numFmtId="0" fontId="44" fillId="0" borderId="28" xfId="0" applyFont="1" applyFill="1" applyBorder="1" applyAlignment="1" applyProtection="1">
      <alignment horizontal="left" vertical="center" shrinkToFit="1"/>
      <protection locked="0"/>
    </xf>
    <xf numFmtId="0" fontId="44" fillId="0" borderId="29" xfId="0" applyFont="1" applyFill="1" applyBorder="1" applyAlignment="1" applyProtection="1">
      <alignment horizontal="left" vertical="center" shrinkToFit="1"/>
      <protection locked="0"/>
    </xf>
    <xf numFmtId="0" fontId="44" fillId="0" borderId="38" xfId="0" applyFont="1" applyFill="1" applyBorder="1" applyAlignment="1" applyProtection="1">
      <alignment horizontal="left" vertical="center" shrinkToFit="1"/>
      <protection locked="0"/>
    </xf>
    <xf numFmtId="0" fontId="44" fillId="0" borderId="30" xfId="0" applyFont="1" applyFill="1" applyBorder="1" applyAlignment="1" applyProtection="1">
      <alignment horizontal="left" vertical="center" shrinkToFit="1"/>
      <protection locked="0"/>
    </xf>
    <xf numFmtId="0" fontId="95" fillId="2" borderId="0" xfId="0" applyFont="1" applyFill="1" applyAlignment="1" applyProtection="1">
      <alignment horizontal="left"/>
    </xf>
    <xf numFmtId="0" fontId="95" fillId="2" borderId="1" xfId="0" applyFont="1" applyFill="1" applyBorder="1" applyAlignment="1" applyProtection="1">
      <alignment horizontal="left"/>
    </xf>
    <xf numFmtId="0" fontId="42" fillId="0" borderId="149" xfId="0" applyFont="1" applyBorder="1" applyAlignment="1" applyProtection="1">
      <alignment horizontal="left" vertical="center" shrinkToFit="1"/>
      <protection locked="0"/>
    </xf>
    <xf numFmtId="0" fontId="42" fillId="0" borderId="150" xfId="0" applyFont="1" applyBorder="1" applyAlignment="1" applyProtection="1">
      <alignment horizontal="left" vertical="center" shrinkToFit="1"/>
      <protection locked="0"/>
    </xf>
    <xf numFmtId="0" fontId="42" fillId="0" borderId="151" xfId="0" applyFont="1" applyBorder="1" applyAlignment="1" applyProtection="1">
      <alignment horizontal="center" vertical="center"/>
      <protection locked="0"/>
    </xf>
    <xf numFmtId="0" fontId="94" fillId="2" borderId="2" xfId="0" applyFont="1" applyFill="1" applyBorder="1" applyAlignment="1" applyProtection="1">
      <alignment horizontal="left"/>
    </xf>
    <xf numFmtId="0" fontId="38" fillId="0" borderId="2" xfId="0" applyFont="1" applyBorder="1" applyProtection="1"/>
    <xf numFmtId="0" fontId="38" fillId="0" borderId="0" xfId="0" applyFont="1" applyProtection="1"/>
    <xf numFmtId="0" fontId="38" fillId="0" borderId="0" xfId="0" applyFont="1" applyBorder="1" applyProtection="1"/>
    <xf numFmtId="0" fontId="6" fillId="2" borderId="2" xfId="0" applyFont="1" applyFill="1" applyBorder="1" applyAlignment="1" applyProtection="1">
      <alignment horizontal="left"/>
    </xf>
    <xf numFmtId="0" fontId="0" fillId="0" borderId="2" xfId="0" applyBorder="1" applyProtection="1"/>
    <xf numFmtId="0" fontId="0" fillId="0" borderId="0" xfId="0" applyProtection="1"/>
    <xf numFmtId="0" fontId="0" fillId="0" borderId="0" xfId="0" applyBorder="1" applyProtection="1"/>
    <xf numFmtId="49" fontId="42" fillId="0" borderId="144" xfId="0" applyNumberFormat="1" applyFont="1" applyBorder="1" applyAlignment="1" applyProtection="1">
      <alignment horizontal="left" vertical="center" shrinkToFit="1"/>
      <protection locked="0"/>
    </xf>
    <xf numFmtId="49" fontId="42" fillId="0" borderId="150" xfId="0" applyNumberFormat="1" applyFont="1" applyBorder="1" applyAlignment="1" applyProtection="1">
      <alignment horizontal="left" vertical="center" shrinkToFit="1"/>
      <protection locked="0"/>
    </xf>
    <xf numFmtId="0" fontId="41" fillId="0" borderId="150" xfId="0" applyFont="1" applyBorder="1" applyAlignment="1" applyProtection="1">
      <alignment horizontal="center" vertical="center"/>
      <protection locked="0"/>
    </xf>
    <xf numFmtId="0" fontId="41" fillId="0" borderId="151" xfId="0" applyFont="1" applyBorder="1" applyAlignment="1" applyProtection="1">
      <alignment horizontal="center" vertical="center"/>
      <protection locked="0"/>
    </xf>
    <xf numFmtId="0" fontId="96" fillId="0" borderId="149" xfId="0" applyFont="1" applyBorder="1" applyAlignment="1" applyProtection="1">
      <alignment horizontal="center" vertical="center"/>
      <protection locked="0"/>
    </xf>
    <xf numFmtId="0" fontId="96" fillId="0" borderId="150" xfId="0" applyFont="1" applyBorder="1" applyAlignment="1" applyProtection="1">
      <alignment horizontal="center" vertical="center"/>
      <protection locked="0"/>
    </xf>
    <xf numFmtId="0" fontId="96" fillId="0" borderId="172" xfId="0" applyFont="1" applyBorder="1" applyAlignment="1" applyProtection="1">
      <alignment horizontal="center" vertical="center"/>
      <protection locked="0"/>
    </xf>
    <xf numFmtId="0" fontId="28" fillId="14" borderId="174" xfId="0" applyFont="1" applyFill="1" applyBorder="1" applyAlignment="1" applyProtection="1">
      <alignment horizontal="center" vertical="center"/>
    </xf>
    <xf numFmtId="0" fontId="28" fillId="14" borderId="175" xfId="0" applyFont="1" applyFill="1" applyBorder="1" applyAlignment="1" applyProtection="1">
      <alignment horizontal="center" vertical="center"/>
    </xf>
    <xf numFmtId="0" fontId="1" fillId="0" borderId="175" xfId="0" applyFont="1" applyBorder="1" applyAlignment="1" applyProtection="1">
      <alignment horizontal="center" vertical="center"/>
      <protection locked="0"/>
    </xf>
    <xf numFmtId="0" fontId="1" fillId="0" borderId="173" xfId="0" applyFont="1" applyBorder="1" applyAlignment="1" applyProtection="1">
      <alignment horizontal="center" vertical="center"/>
      <protection locked="0"/>
    </xf>
    <xf numFmtId="0" fontId="28" fillId="16" borderId="176" xfId="0" applyFont="1" applyFill="1" applyBorder="1" applyAlignment="1" applyProtection="1">
      <alignment horizontal="center" vertical="center"/>
    </xf>
    <xf numFmtId="0" fontId="28" fillId="16" borderId="175" xfId="0" applyFont="1" applyFill="1" applyBorder="1" applyAlignment="1" applyProtection="1">
      <alignment horizontal="center" vertical="center"/>
    </xf>
    <xf numFmtId="0" fontId="28" fillId="13" borderId="176" xfId="0" applyFont="1" applyFill="1" applyBorder="1" applyAlignment="1" applyProtection="1">
      <alignment horizontal="center" vertical="center"/>
    </xf>
    <xf numFmtId="0" fontId="28" fillId="13" borderId="175" xfId="0" applyFont="1" applyFill="1" applyBorder="1" applyAlignment="1" applyProtection="1">
      <alignment horizontal="center" vertical="center"/>
    </xf>
    <xf numFmtId="0" fontId="28" fillId="15" borderId="174" xfId="0" applyFont="1" applyFill="1" applyBorder="1" applyAlignment="1" applyProtection="1">
      <alignment horizontal="center" vertical="center"/>
    </xf>
    <xf numFmtId="0" fontId="28" fillId="15" borderId="175" xfId="0" applyFont="1" applyFill="1" applyBorder="1" applyAlignment="1" applyProtection="1">
      <alignment horizontal="center" vertical="center"/>
    </xf>
    <xf numFmtId="0" fontId="97" fillId="2" borderId="32" xfId="0" applyFont="1" applyFill="1" applyBorder="1" applyAlignment="1" applyProtection="1">
      <alignment horizontal="center" vertical="center"/>
    </xf>
    <xf numFmtId="0" fontId="97" fillId="2" borderId="2" xfId="0" applyFont="1" applyFill="1" applyBorder="1" applyAlignment="1" applyProtection="1">
      <alignment horizontal="center" vertical="center"/>
    </xf>
    <xf numFmtId="0" fontId="97" fillId="2" borderId="33" xfId="0" applyFont="1" applyFill="1" applyBorder="1" applyAlignment="1" applyProtection="1">
      <alignment horizontal="center" vertical="center"/>
    </xf>
    <xf numFmtId="0" fontId="97" fillId="2" borderId="36" xfId="0" applyFont="1" applyFill="1" applyBorder="1" applyAlignment="1" applyProtection="1">
      <alignment horizontal="center" vertical="center"/>
    </xf>
    <xf numFmtId="0" fontId="97" fillId="2" borderId="0" xfId="0" applyFont="1" applyFill="1" applyBorder="1" applyAlignment="1" applyProtection="1">
      <alignment horizontal="center" vertical="center"/>
    </xf>
    <xf numFmtId="0" fontId="97" fillId="2" borderId="24" xfId="0" applyFont="1" applyFill="1" applyBorder="1" applyAlignment="1" applyProtection="1">
      <alignment horizontal="center" vertical="center"/>
    </xf>
    <xf numFmtId="0" fontId="97" fillId="2" borderId="34" xfId="0" applyFont="1" applyFill="1" applyBorder="1" applyAlignment="1" applyProtection="1">
      <alignment horizontal="center" vertical="center"/>
    </xf>
    <xf numFmtId="0" fontId="97" fillId="2" borderId="1" xfId="0" applyFont="1" applyFill="1" applyBorder="1" applyAlignment="1" applyProtection="1">
      <alignment horizontal="center" vertical="center"/>
    </xf>
    <xf numFmtId="0" fontId="97" fillId="2" borderId="35" xfId="0" applyFont="1" applyFill="1" applyBorder="1" applyAlignment="1" applyProtection="1">
      <alignment horizontal="center" vertical="center"/>
    </xf>
    <xf numFmtId="0" fontId="41" fillId="0" borderId="144" xfId="0" applyFont="1" applyBorder="1" applyAlignment="1" applyProtection="1">
      <alignment horizontal="center" vertical="center"/>
      <protection locked="0"/>
    </xf>
    <xf numFmtId="0" fontId="41" fillId="0" borderId="145" xfId="0" applyFont="1" applyBorder="1" applyAlignment="1" applyProtection="1">
      <alignment horizontal="center" vertical="center"/>
      <protection locked="0"/>
    </xf>
    <xf numFmtId="0" fontId="96" fillId="0" borderId="143" xfId="0" applyFont="1" applyBorder="1" applyAlignment="1" applyProtection="1">
      <alignment horizontal="center" vertical="center"/>
      <protection locked="0"/>
    </xf>
    <xf numFmtId="0" fontId="96" fillId="0" borderId="144" xfId="0" applyFont="1" applyBorder="1" applyAlignment="1" applyProtection="1">
      <alignment horizontal="center" vertical="center"/>
      <protection locked="0"/>
    </xf>
    <xf numFmtId="0" fontId="96" fillId="0" borderId="170" xfId="0" applyFont="1" applyBorder="1" applyAlignment="1" applyProtection="1">
      <alignment horizontal="center" vertical="center"/>
      <protection locked="0"/>
    </xf>
    <xf numFmtId="0" fontId="42" fillId="0" borderId="155" xfId="0" applyFont="1" applyBorder="1" applyAlignment="1" applyProtection="1">
      <alignment horizontal="center" vertical="center" shrinkToFit="1"/>
      <protection locked="0"/>
    </xf>
    <xf numFmtId="0" fontId="42" fillId="0" borderId="156" xfId="0" applyFont="1" applyBorder="1" applyAlignment="1" applyProtection="1">
      <alignment horizontal="center" vertical="center" shrinkToFit="1"/>
      <protection locked="0"/>
    </xf>
    <xf numFmtId="0" fontId="42" fillId="0" borderId="158" xfId="0" applyFont="1" applyBorder="1" applyAlignment="1" applyProtection="1">
      <alignment horizontal="center" vertical="center" shrinkToFit="1"/>
      <protection locked="0"/>
    </xf>
    <xf numFmtId="0" fontId="42" fillId="0" borderId="159" xfId="0" applyFont="1" applyBorder="1" applyAlignment="1" applyProtection="1">
      <alignment horizontal="center" vertical="center" shrinkToFit="1"/>
      <protection locked="0"/>
    </xf>
    <xf numFmtId="0" fontId="41" fillId="0" borderId="27" xfId="0" applyFont="1" applyBorder="1" applyAlignment="1" applyProtection="1">
      <alignment horizontal="left" vertical="top" shrinkToFit="1"/>
    </xf>
    <xf numFmtId="0" fontId="41" fillId="0" borderId="11" xfId="0" applyFont="1" applyBorder="1" applyAlignment="1" applyProtection="1">
      <alignment horizontal="left" vertical="top" shrinkToFit="1"/>
    </xf>
    <xf numFmtId="0" fontId="41" fillId="0" borderId="28" xfId="0" applyFont="1" applyBorder="1" applyAlignment="1" applyProtection="1">
      <alignment horizontal="left" vertical="top" shrinkToFit="1"/>
    </xf>
    <xf numFmtId="0" fontId="42" fillId="0" borderId="152" xfId="0" applyFont="1" applyBorder="1" applyAlignment="1" applyProtection="1">
      <alignment horizontal="center" vertical="center" shrinkToFit="1"/>
      <protection locked="0"/>
    </xf>
    <xf numFmtId="0" fontId="42" fillId="0" borderId="153" xfId="0" applyFont="1" applyBorder="1" applyAlignment="1" applyProtection="1">
      <alignment horizontal="center" vertical="center" shrinkToFit="1"/>
      <protection locked="0"/>
    </xf>
    <xf numFmtId="0" fontId="42" fillId="0" borderId="154" xfId="0" applyFont="1" applyBorder="1" applyAlignment="1" applyProtection="1">
      <alignment horizontal="center" vertical="center" shrinkToFit="1"/>
      <protection locked="0"/>
    </xf>
    <xf numFmtId="0" fontId="42" fillId="0" borderId="157" xfId="0" applyFont="1" applyBorder="1" applyAlignment="1" applyProtection="1">
      <alignment horizontal="center" vertical="center" shrinkToFit="1"/>
      <protection locked="0"/>
    </xf>
    <xf numFmtId="0" fontId="6" fillId="2" borderId="0" xfId="0" applyFont="1" applyFill="1" applyBorder="1" applyAlignment="1" applyProtection="1">
      <alignment horizontal="left" vertical="center"/>
    </xf>
    <xf numFmtId="0" fontId="1" fillId="0" borderId="168" xfId="0" applyFont="1" applyBorder="1" applyAlignment="1" applyProtection="1">
      <alignment horizontal="center" vertical="center"/>
    </xf>
    <xf numFmtId="0" fontId="1" fillId="0" borderId="169" xfId="0" applyFont="1" applyBorder="1" applyAlignment="1" applyProtection="1">
      <alignment horizontal="center" vertical="center"/>
    </xf>
    <xf numFmtId="0" fontId="1" fillId="0" borderId="162" xfId="0" applyFont="1" applyBorder="1" applyAlignment="1" applyProtection="1">
      <alignment horizontal="center" vertical="center"/>
    </xf>
    <xf numFmtId="0" fontId="1" fillId="0" borderId="163" xfId="0" applyFont="1" applyBorder="1" applyAlignment="1" applyProtection="1">
      <alignment horizontal="center" vertical="center"/>
    </xf>
    <xf numFmtId="0" fontId="1" fillId="0" borderId="165" xfId="0" applyFont="1" applyBorder="1" applyAlignment="1" applyProtection="1">
      <alignment horizontal="center" vertical="center"/>
    </xf>
    <xf numFmtId="0" fontId="1" fillId="0" borderId="166" xfId="0" applyFont="1" applyBorder="1" applyAlignment="1" applyProtection="1">
      <alignment horizontal="center" vertical="center"/>
    </xf>
    <xf numFmtId="0" fontId="42" fillId="0" borderId="160" xfId="0" applyFont="1" applyBorder="1" applyAlignment="1" applyProtection="1">
      <alignment horizontal="center" vertical="center" shrinkToFit="1"/>
      <protection locked="0"/>
    </xf>
    <xf numFmtId="0" fontId="93" fillId="0" borderId="167" xfId="0" applyFont="1" applyBorder="1" applyAlignment="1" applyProtection="1">
      <alignment horizontal="center" vertical="center"/>
    </xf>
    <xf numFmtId="0" fontId="93" fillId="0" borderId="168" xfId="0" applyFont="1" applyBorder="1" applyAlignment="1" applyProtection="1">
      <alignment horizontal="center" vertical="center"/>
    </xf>
    <xf numFmtId="0" fontId="93" fillId="0" borderId="161" xfId="0" applyFont="1" applyBorder="1" applyAlignment="1" applyProtection="1">
      <alignment horizontal="center" vertical="center"/>
    </xf>
    <xf numFmtId="0" fontId="93" fillId="0" borderId="162" xfId="0" applyFont="1" applyBorder="1" applyAlignment="1" applyProtection="1">
      <alignment horizontal="center" vertical="center"/>
    </xf>
    <xf numFmtId="0" fontId="93" fillId="0" borderId="164" xfId="0" applyFont="1" applyBorder="1" applyAlignment="1" applyProtection="1">
      <alignment horizontal="center" vertical="center"/>
    </xf>
    <xf numFmtId="0" fontId="93" fillId="0" borderId="165" xfId="0" applyFont="1" applyBorder="1" applyAlignment="1" applyProtection="1">
      <alignment horizontal="center" vertical="center"/>
    </xf>
    <xf numFmtId="0" fontId="1" fillId="9" borderId="0" xfId="0" applyFont="1" applyFill="1" applyAlignment="1" applyProtection="1">
      <alignment horizontal="center" vertical="center"/>
    </xf>
    <xf numFmtId="0" fontId="41" fillId="0" borderId="40" xfId="0" applyFont="1" applyBorder="1" applyAlignment="1" applyProtection="1">
      <alignment horizontal="left" vertical="top" shrinkToFit="1"/>
    </xf>
    <xf numFmtId="0" fontId="41" fillId="0" borderId="39" xfId="0" applyFont="1" applyBorder="1" applyAlignment="1" applyProtection="1">
      <alignment horizontal="left" vertical="top" shrinkToFit="1"/>
    </xf>
    <xf numFmtId="0" fontId="41" fillId="0" borderId="41" xfId="0" applyFont="1" applyBorder="1" applyAlignment="1" applyProtection="1">
      <alignment horizontal="left" vertical="top" shrinkToFit="1"/>
    </xf>
    <xf numFmtId="0" fontId="41" fillId="0" borderId="36" xfId="0" applyFont="1" applyBorder="1" applyAlignment="1" applyProtection="1">
      <alignment horizontal="left" vertical="top" shrinkToFit="1"/>
    </xf>
    <xf numFmtId="0" fontId="41" fillId="0" borderId="0" xfId="0" applyFont="1" applyBorder="1" applyAlignment="1" applyProtection="1">
      <alignment horizontal="left" vertical="top" shrinkToFit="1"/>
    </xf>
    <xf numFmtId="0" fontId="41" fillId="0" borderId="24" xfId="0" applyFont="1" applyBorder="1" applyAlignment="1" applyProtection="1">
      <alignment horizontal="left" vertical="top" shrinkToFit="1"/>
    </xf>
    <xf numFmtId="0" fontId="41" fillId="0" borderId="42" xfId="0" applyFont="1" applyBorder="1" applyAlignment="1" applyProtection="1">
      <alignment horizontal="left" vertical="top" shrinkToFit="1"/>
    </xf>
    <xf numFmtId="0" fontId="41" fillId="0" borderId="43" xfId="0" applyFont="1" applyBorder="1" applyAlignment="1" applyProtection="1">
      <alignment horizontal="left" vertical="top" shrinkToFit="1"/>
    </xf>
    <xf numFmtId="0" fontId="41" fillId="0" borderId="44" xfId="0" applyFont="1" applyBorder="1" applyAlignment="1" applyProtection="1">
      <alignment horizontal="left" vertical="top" shrinkToFit="1"/>
    </xf>
    <xf numFmtId="0" fontId="44" fillId="0" borderId="40" xfId="0" applyFont="1" applyFill="1" applyBorder="1" applyAlignment="1" applyProtection="1">
      <alignment horizontal="center" vertical="center" shrinkToFit="1"/>
      <protection locked="0"/>
    </xf>
    <xf numFmtId="0" fontId="44" fillId="0" borderId="39" xfId="0" applyFont="1" applyFill="1" applyBorder="1" applyAlignment="1" applyProtection="1">
      <alignment horizontal="center" vertical="center" shrinkToFit="1"/>
      <protection locked="0"/>
    </xf>
    <xf numFmtId="0" fontId="44" fillId="0" borderId="41" xfId="0" applyFont="1" applyFill="1" applyBorder="1" applyAlignment="1" applyProtection="1">
      <alignment horizontal="center" vertical="center" shrinkToFit="1"/>
      <protection locked="0"/>
    </xf>
    <xf numFmtId="0" fontId="44" fillId="0" borderId="36" xfId="0" applyFont="1" applyFill="1" applyBorder="1" applyAlignment="1" applyProtection="1">
      <alignment horizontal="center" vertical="center" shrinkToFit="1"/>
      <protection locked="0"/>
    </xf>
    <xf numFmtId="0" fontId="44" fillId="0" borderId="0" xfId="0" applyFont="1" applyFill="1" applyBorder="1" applyAlignment="1" applyProtection="1">
      <alignment horizontal="center" vertical="center" shrinkToFit="1"/>
      <protection locked="0"/>
    </xf>
    <xf numFmtId="0" fontId="44" fillId="0" borderId="24" xfId="0" applyFont="1" applyFill="1" applyBorder="1" applyAlignment="1" applyProtection="1">
      <alignment horizontal="center" vertical="center" shrinkToFit="1"/>
      <protection locked="0"/>
    </xf>
    <xf numFmtId="0" fontId="44" fillId="0" borderId="42" xfId="0" applyFont="1" applyFill="1" applyBorder="1" applyAlignment="1" applyProtection="1">
      <alignment horizontal="center" vertical="center" shrinkToFit="1"/>
      <protection locked="0"/>
    </xf>
    <xf numFmtId="0" fontId="44" fillId="0" borderId="43" xfId="0" applyFont="1" applyFill="1" applyBorder="1" applyAlignment="1" applyProtection="1">
      <alignment horizontal="center" vertical="center" shrinkToFit="1"/>
      <protection locked="0"/>
    </xf>
    <xf numFmtId="0" fontId="44" fillId="0" borderId="44" xfId="0" applyFont="1" applyFill="1" applyBorder="1" applyAlignment="1" applyProtection="1">
      <alignment horizontal="center" vertical="center" shrinkToFit="1"/>
      <protection locked="0"/>
    </xf>
    <xf numFmtId="0" fontId="6" fillId="2" borderId="2" xfId="0" applyFont="1" applyFill="1" applyBorder="1" applyAlignment="1" applyProtection="1">
      <alignment horizontal="right" shrinkToFit="1"/>
    </xf>
    <xf numFmtId="0" fontId="6" fillId="2" borderId="0" xfId="0" applyFont="1" applyFill="1" applyAlignment="1" applyProtection="1">
      <alignment horizontal="right" shrinkToFit="1"/>
    </xf>
    <xf numFmtId="0" fontId="92" fillId="2" borderId="0" xfId="0" applyFont="1" applyFill="1" applyAlignment="1" applyProtection="1">
      <alignment horizontal="left" vertical="center"/>
    </xf>
    <xf numFmtId="0" fontId="2" fillId="0" borderId="64" xfId="0" applyFont="1" applyBorder="1" applyAlignment="1" applyProtection="1">
      <alignment horizontal="center" vertical="center"/>
    </xf>
    <xf numFmtId="164" fontId="85" fillId="0" borderId="32" xfId="0" applyNumberFormat="1" applyFont="1" applyBorder="1" applyAlignment="1" applyProtection="1">
      <alignment horizontal="center" vertical="center"/>
      <protection locked="0"/>
    </xf>
    <xf numFmtId="164" fontId="85" fillId="0" borderId="2" xfId="0" applyNumberFormat="1" applyFont="1" applyBorder="1" applyAlignment="1" applyProtection="1">
      <alignment horizontal="center" vertical="center"/>
      <protection locked="0"/>
    </xf>
    <xf numFmtId="164" fontId="85" fillId="0" borderId="33" xfId="0" applyNumberFormat="1" applyFont="1" applyBorder="1" applyAlignment="1" applyProtection="1">
      <alignment horizontal="center" vertical="center"/>
      <protection locked="0"/>
    </xf>
    <xf numFmtId="164" fontId="85" fillId="0" borderId="36" xfId="0" applyNumberFormat="1" applyFont="1" applyBorder="1" applyAlignment="1" applyProtection="1">
      <alignment horizontal="center" vertical="center"/>
      <protection locked="0"/>
    </xf>
    <xf numFmtId="164" fontId="85" fillId="0" borderId="0" xfId="0" applyNumberFormat="1" applyFont="1" applyBorder="1" applyAlignment="1" applyProtection="1">
      <alignment horizontal="center" vertical="center"/>
      <protection locked="0"/>
    </xf>
    <xf numFmtId="164" fontId="85" fillId="0" borderId="24" xfId="0" applyNumberFormat="1" applyFont="1" applyBorder="1" applyAlignment="1" applyProtection="1">
      <alignment horizontal="center" vertical="center"/>
      <protection locked="0"/>
    </xf>
    <xf numFmtId="164" fontId="85" fillId="0" borderId="34" xfId="0" applyNumberFormat="1" applyFont="1" applyBorder="1" applyAlignment="1" applyProtection="1">
      <alignment horizontal="center" vertical="center"/>
      <protection locked="0"/>
    </xf>
    <xf numFmtId="164" fontId="85" fillId="0" borderId="1" xfId="0" applyNumberFormat="1" applyFont="1" applyBorder="1" applyAlignment="1" applyProtection="1">
      <alignment horizontal="center" vertical="center"/>
      <protection locked="0"/>
    </xf>
    <xf numFmtId="164" fontId="85" fillId="0" borderId="35" xfId="0" applyNumberFormat="1" applyFont="1" applyBorder="1" applyAlignment="1" applyProtection="1">
      <alignment horizontal="center" vertical="center"/>
      <protection locked="0"/>
    </xf>
    <xf numFmtId="0" fontId="20" fillId="5" borderId="40" xfId="0" applyFont="1" applyFill="1" applyBorder="1" applyAlignment="1" applyProtection="1">
      <alignment horizontal="center" vertical="center"/>
    </xf>
    <xf numFmtId="0" fontId="20" fillId="5" borderId="39" xfId="0" applyFont="1" applyFill="1" applyBorder="1" applyAlignment="1" applyProtection="1">
      <alignment horizontal="center" vertical="center"/>
    </xf>
    <xf numFmtId="0" fontId="20" fillId="5" borderId="36" xfId="0" applyFont="1" applyFill="1" applyBorder="1" applyAlignment="1" applyProtection="1">
      <alignment horizontal="center" vertical="center"/>
    </xf>
    <xf numFmtId="0" fontId="20" fillId="5" borderId="0" xfId="0" applyFont="1" applyFill="1" applyBorder="1" applyAlignment="1" applyProtection="1">
      <alignment horizontal="center" vertical="center"/>
    </xf>
    <xf numFmtId="0" fontId="20" fillId="5" borderId="42" xfId="0" applyFont="1" applyFill="1" applyBorder="1" applyAlignment="1" applyProtection="1">
      <alignment horizontal="center" vertical="center"/>
    </xf>
    <xf numFmtId="0" fontId="20" fillId="5" borderId="43" xfId="0" applyFont="1" applyFill="1" applyBorder="1" applyAlignment="1" applyProtection="1">
      <alignment horizontal="center" vertical="center"/>
    </xf>
    <xf numFmtId="0" fontId="46" fillId="5" borderId="39" xfId="0" applyFont="1" applyFill="1" applyBorder="1" applyAlignment="1" applyProtection="1">
      <alignment horizontal="right" vertical="center"/>
    </xf>
    <xf numFmtId="0" fontId="46" fillId="5" borderId="0" xfId="0" applyFont="1" applyFill="1" applyBorder="1" applyAlignment="1" applyProtection="1">
      <alignment horizontal="right" vertical="center"/>
    </xf>
    <xf numFmtId="0" fontId="46" fillId="5" borderId="43" xfId="0" applyFont="1" applyFill="1" applyBorder="1" applyAlignment="1" applyProtection="1">
      <alignment horizontal="right" vertical="center"/>
    </xf>
    <xf numFmtId="0" fontId="46" fillId="5" borderId="39" xfId="0" applyFont="1" applyFill="1" applyBorder="1" applyAlignment="1" applyProtection="1">
      <alignment horizontal="left" vertical="center"/>
    </xf>
    <xf numFmtId="0" fontId="46" fillId="5" borderId="211" xfId="0" applyFont="1" applyFill="1" applyBorder="1" applyAlignment="1" applyProtection="1">
      <alignment horizontal="left" vertical="center"/>
    </xf>
    <xf numFmtId="0" fontId="46" fillId="5" borderId="0" xfId="0" applyFont="1" applyFill="1" applyBorder="1" applyAlignment="1" applyProtection="1">
      <alignment horizontal="left" vertical="center"/>
    </xf>
    <xf numFmtId="0" fontId="46" fillId="5" borderId="204" xfId="0" applyFont="1" applyFill="1" applyBorder="1" applyAlignment="1" applyProtection="1">
      <alignment horizontal="left" vertical="center"/>
    </xf>
    <xf numFmtId="0" fontId="46" fillId="5" borderId="43" xfId="0" applyFont="1" applyFill="1" applyBorder="1" applyAlignment="1" applyProtection="1">
      <alignment horizontal="left" vertical="center"/>
    </xf>
    <xf numFmtId="0" fontId="46" fillId="5" borderId="205" xfId="0" applyFont="1" applyFill="1" applyBorder="1" applyAlignment="1" applyProtection="1">
      <alignment horizontal="left" vertical="center"/>
    </xf>
    <xf numFmtId="0" fontId="104" fillId="2" borderId="0" xfId="0" applyFont="1" applyFill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left" vertical="center"/>
    </xf>
    <xf numFmtId="0" fontId="1" fillId="2" borderId="2" xfId="0" applyFont="1" applyFill="1" applyBorder="1" applyAlignment="1" applyProtection="1">
      <alignment horizontal="left" vertical="center"/>
    </xf>
    <xf numFmtId="0" fontId="1" fillId="2" borderId="0" xfId="0" applyFont="1" applyFill="1" applyAlignment="1" applyProtection="1">
      <alignment horizontal="left" vertical="center"/>
    </xf>
    <xf numFmtId="0" fontId="41" fillId="0" borderId="27" xfId="0" applyFont="1" applyFill="1" applyBorder="1" applyAlignment="1" applyProtection="1">
      <alignment horizontal="left" vertical="center"/>
      <protection locked="0"/>
    </xf>
    <xf numFmtId="0" fontId="41" fillId="0" borderId="11" xfId="0" applyFont="1" applyFill="1" applyBorder="1" applyAlignment="1" applyProtection="1">
      <alignment horizontal="left" vertical="center"/>
      <protection locked="0"/>
    </xf>
    <xf numFmtId="0" fontId="41" fillId="0" borderId="192" xfId="0" applyFont="1" applyFill="1" applyBorder="1" applyAlignment="1" applyProtection="1">
      <alignment horizontal="left" vertical="center"/>
      <protection locked="0"/>
    </xf>
    <xf numFmtId="0" fontId="41" fillId="0" borderId="11" xfId="0" applyFont="1" applyFill="1" applyBorder="1" applyAlignment="1" applyProtection="1">
      <alignment horizontal="center" vertical="center"/>
      <protection locked="0"/>
    </xf>
    <xf numFmtId="0" fontId="41" fillId="0" borderId="28" xfId="0" applyFont="1" applyFill="1" applyBorder="1" applyAlignment="1" applyProtection="1">
      <alignment horizontal="center" vertical="center"/>
      <protection locked="0"/>
    </xf>
    <xf numFmtId="0" fontId="41" fillId="0" borderId="155" xfId="0" applyFont="1" applyFill="1" applyBorder="1" applyAlignment="1" applyProtection="1">
      <alignment horizontal="left" vertical="center"/>
      <protection locked="0"/>
    </xf>
    <xf numFmtId="0" fontId="41" fillId="0" borderId="156" xfId="0" applyFont="1" applyFill="1" applyBorder="1" applyAlignment="1" applyProtection="1">
      <alignment horizontal="left" vertical="center"/>
      <protection locked="0"/>
    </xf>
    <xf numFmtId="0" fontId="41" fillId="0" borderId="189" xfId="0" applyFont="1" applyFill="1" applyBorder="1" applyAlignment="1" applyProtection="1">
      <alignment horizontal="left" vertical="center"/>
      <protection locked="0"/>
    </xf>
    <xf numFmtId="0" fontId="41" fillId="0" borderId="187" xfId="0" applyFont="1" applyFill="1" applyBorder="1" applyAlignment="1" applyProtection="1">
      <alignment horizontal="center" vertical="center"/>
      <protection locked="0"/>
    </xf>
    <xf numFmtId="0" fontId="41" fillId="0" borderId="157" xfId="0" applyFont="1" applyFill="1" applyBorder="1" applyAlignment="1" applyProtection="1">
      <alignment horizontal="center" vertical="center"/>
      <protection locked="0"/>
    </xf>
    <xf numFmtId="0" fontId="104" fillId="2" borderId="24" xfId="0" applyFont="1" applyFill="1" applyBorder="1" applyAlignment="1" applyProtection="1">
      <alignment horizontal="center" vertical="center"/>
    </xf>
    <xf numFmtId="0" fontId="104" fillId="2" borderId="36" xfId="0" applyFont="1" applyFill="1" applyBorder="1" applyAlignment="1" applyProtection="1">
      <alignment horizontal="center" vertical="center"/>
    </xf>
    <xf numFmtId="0" fontId="41" fillId="0" borderId="198" xfId="0" applyFont="1" applyBorder="1" applyAlignment="1" applyProtection="1">
      <alignment horizontal="center" vertical="center"/>
      <protection locked="0"/>
    </xf>
    <xf numFmtId="0" fontId="41" fillId="0" borderId="201" xfId="0" applyFont="1" applyBorder="1" applyAlignment="1" applyProtection="1">
      <alignment horizontal="center" vertical="center"/>
      <protection locked="0"/>
    </xf>
    <xf numFmtId="0" fontId="41" fillId="0" borderId="199" xfId="0" applyFont="1" applyBorder="1" applyAlignment="1" applyProtection="1">
      <alignment horizontal="center" vertical="center"/>
      <protection locked="0"/>
    </xf>
    <xf numFmtId="0" fontId="41" fillId="0" borderId="202" xfId="0" applyFont="1" applyBorder="1" applyAlignment="1" applyProtection="1">
      <alignment horizontal="center" vertical="center"/>
      <protection locked="0"/>
    </xf>
    <xf numFmtId="0" fontId="41" fillId="0" borderId="191" xfId="0" applyFont="1" applyBorder="1" applyAlignment="1" applyProtection="1">
      <alignment horizontal="center" vertical="center"/>
      <protection locked="0"/>
    </xf>
    <xf numFmtId="0" fontId="41" fillId="0" borderId="195" xfId="0" applyFont="1" applyBorder="1" applyAlignment="1" applyProtection="1">
      <alignment horizontal="center" vertical="center"/>
      <protection locked="0"/>
    </xf>
    <xf numFmtId="0" fontId="41" fillId="0" borderId="192" xfId="0" applyFont="1" applyBorder="1" applyAlignment="1" applyProtection="1">
      <alignment horizontal="center" vertical="center"/>
      <protection locked="0"/>
    </xf>
    <xf numFmtId="0" fontId="41" fillId="0" borderId="193" xfId="0" applyFont="1" applyBorder="1" applyAlignment="1" applyProtection="1">
      <alignment horizontal="center" vertical="center"/>
      <protection locked="0"/>
    </xf>
    <xf numFmtId="0" fontId="41" fillId="0" borderId="195" xfId="0" applyFont="1" applyBorder="1" applyAlignment="1" applyProtection="1">
      <alignment horizontal="left" vertical="center"/>
      <protection locked="0"/>
    </xf>
    <xf numFmtId="0" fontId="41" fillId="0" borderId="198" xfId="0" applyFont="1" applyBorder="1" applyAlignment="1" applyProtection="1">
      <alignment horizontal="left" vertical="center"/>
      <protection locked="0"/>
    </xf>
    <xf numFmtId="0" fontId="41" fillId="0" borderId="201" xfId="0" applyFont="1" applyBorder="1" applyAlignment="1" applyProtection="1">
      <alignment horizontal="left" vertical="center"/>
      <protection locked="0"/>
    </xf>
    <xf numFmtId="0" fontId="15" fillId="5" borderId="36" xfId="0" applyFont="1" applyFill="1" applyBorder="1" applyAlignment="1" applyProtection="1">
      <alignment horizontal="left" vertical="center" indent="1"/>
    </xf>
    <xf numFmtId="0" fontId="15" fillId="5" borderId="0" xfId="0" applyFont="1" applyFill="1" applyBorder="1" applyAlignment="1" applyProtection="1">
      <alignment horizontal="left" vertical="center" indent="1"/>
    </xf>
    <xf numFmtId="0" fontId="15" fillId="5" borderId="24" xfId="0" applyFont="1" applyFill="1" applyBorder="1" applyAlignment="1" applyProtection="1">
      <alignment horizontal="left" vertical="center" indent="1"/>
    </xf>
    <xf numFmtId="0" fontId="6" fillId="0" borderId="40" xfId="0" applyFont="1" applyBorder="1" applyAlignment="1" applyProtection="1">
      <alignment horizontal="left" vertical="top" wrapText="1"/>
      <protection locked="0"/>
    </xf>
    <xf numFmtId="0" fontId="6" fillId="0" borderId="39" xfId="0" applyFont="1" applyBorder="1" applyAlignment="1" applyProtection="1">
      <alignment horizontal="left" vertical="top" wrapText="1"/>
      <protection locked="0"/>
    </xf>
    <xf numFmtId="0" fontId="6" fillId="0" borderId="41" xfId="0" applyFont="1" applyBorder="1" applyAlignment="1" applyProtection="1">
      <alignment horizontal="left" vertical="top" wrapText="1"/>
      <protection locked="0"/>
    </xf>
    <xf numFmtId="0" fontId="6" fillId="0" borderId="36" xfId="0" applyFont="1" applyBorder="1" applyAlignment="1" applyProtection="1">
      <alignment horizontal="left" vertical="top" wrapText="1"/>
      <protection locked="0"/>
    </xf>
    <xf numFmtId="0" fontId="6" fillId="0" borderId="0" xfId="0" applyFont="1" applyBorder="1" applyAlignment="1" applyProtection="1">
      <alignment horizontal="left" vertical="top" wrapText="1"/>
      <protection locked="0"/>
    </xf>
    <xf numFmtId="0" fontId="6" fillId="0" borderId="24" xfId="0" applyFont="1" applyBorder="1" applyAlignment="1" applyProtection="1">
      <alignment horizontal="left" vertical="top" wrapText="1"/>
      <protection locked="0"/>
    </xf>
    <xf numFmtId="0" fontId="6" fillId="0" borderId="42" xfId="0" applyFont="1" applyBorder="1" applyAlignment="1" applyProtection="1">
      <alignment horizontal="left" vertical="top" wrapText="1"/>
      <protection locked="0"/>
    </xf>
    <xf numFmtId="0" fontId="6" fillId="0" borderId="43" xfId="0" applyFont="1" applyBorder="1" applyAlignment="1" applyProtection="1">
      <alignment horizontal="left" vertical="top" wrapText="1"/>
      <protection locked="0"/>
    </xf>
    <xf numFmtId="0" fontId="6" fillId="0" borderId="44" xfId="0" applyFont="1" applyBorder="1" applyAlignment="1" applyProtection="1">
      <alignment horizontal="left" vertical="top" wrapText="1"/>
      <protection locked="0"/>
    </xf>
    <xf numFmtId="0" fontId="15" fillId="5" borderId="40" xfId="0" applyFont="1" applyFill="1" applyBorder="1" applyAlignment="1" applyProtection="1">
      <alignment horizontal="left" vertical="center" indent="1"/>
    </xf>
    <xf numFmtId="0" fontId="15" fillId="5" borderId="39" xfId="0" applyFont="1" applyFill="1" applyBorder="1" applyAlignment="1" applyProtection="1">
      <alignment horizontal="left" vertical="center" indent="1"/>
    </xf>
    <xf numFmtId="0" fontId="15" fillId="5" borderId="41" xfId="0" applyFont="1" applyFill="1" applyBorder="1" applyAlignment="1" applyProtection="1">
      <alignment horizontal="left" vertical="center" indent="1"/>
    </xf>
    <xf numFmtId="0" fontId="15" fillId="5" borderId="42" xfId="0" applyFont="1" applyFill="1" applyBorder="1" applyAlignment="1" applyProtection="1">
      <alignment horizontal="left" vertical="center" indent="1"/>
    </xf>
    <xf numFmtId="0" fontId="15" fillId="5" borderId="43" xfId="0" applyFont="1" applyFill="1" applyBorder="1" applyAlignment="1" applyProtection="1">
      <alignment horizontal="left" vertical="center" indent="1"/>
    </xf>
    <xf numFmtId="0" fontId="15" fillId="5" borderId="44" xfId="0" applyFont="1" applyFill="1" applyBorder="1" applyAlignment="1" applyProtection="1">
      <alignment horizontal="left" vertical="center" indent="1"/>
    </xf>
    <xf numFmtId="0" fontId="6" fillId="0" borderId="34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35" xfId="0" applyFont="1" applyBorder="1" applyAlignment="1" applyProtection="1">
      <alignment horizontal="left" vertical="top" wrapText="1"/>
      <protection locked="0"/>
    </xf>
    <xf numFmtId="0" fontId="92" fillId="0" borderId="2" xfId="0" applyFont="1" applyBorder="1" applyAlignment="1" applyProtection="1">
      <alignment horizontal="right"/>
    </xf>
    <xf numFmtId="0" fontId="92" fillId="0" borderId="0" xfId="0" applyFont="1" applyAlignment="1" applyProtection="1">
      <alignment horizontal="right"/>
    </xf>
    <xf numFmtId="0" fontId="15" fillId="5" borderId="32" xfId="0" applyFont="1" applyFill="1" applyBorder="1" applyAlignment="1" applyProtection="1">
      <alignment horizontal="left" vertical="center" indent="1"/>
    </xf>
    <xf numFmtId="0" fontId="15" fillId="5" borderId="2" xfId="0" applyFont="1" applyFill="1" applyBorder="1" applyAlignment="1" applyProtection="1">
      <alignment horizontal="left" vertical="center" indent="1"/>
    </xf>
    <xf numFmtId="0" fontId="15" fillId="5" borderId="33" xfId="0" applyFont="1" applyFill="1" applyBorder="1" applyAlignment="1" applyProtection="1">
      <alignment horizontal="left" vertical="center" indent="1"/>
    </xf>
    <xf numFmtId="0" fontId="6" fillId="2" borderId="0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15" fillId="5" borderId="233" xfId="0" applyFont="1" applyFill="1" applyBorder="1" applyAlignment="1" applyProtection="1">
      <alignment horizontal="left" vertical="center" indent="1"/>
    </xf>
    <xf numFmtId="0" fontId="15" fillId="5" borderId="234" xfId="0" applyFont="1" applyFill="1" applyBorder="1" applyAlignment="1" applyProtection="1">
      <alignment horizontal="left" vertical="center" indent="1"/>
    </xf>
    <xf numFmtId="0" fontId="15" fillId="5" borderId="235" xfId="0" applyFont="1" applyFill="1" applyBorder="1" applyAlignment="1" applyProtection="1">
      <alignment horizontal="left" vertical="center" indent="1"/>
    </xf>
    <xf numFmtId="0" fontId="3" fillId="5" borderId="53" xfId="0" applyFont="1" applyFill="1" applyBorder="1" applyAlignment="1" applyProtection="1">
      <alignment horizontal="center" vertical="center"/>
    </xf>
    <xf numFmtId="0" fontId="3" fillId="5" borderId="56" xfId="0" applyFont="1" applyFill="1" applyBorder="1" applyAlignment="1" applyProtection="1">
      <alignment horizontal="center" vertical="center"/>
    </xf>
    <xf numFmtId="0" fontId="3" fillId="5" borderId="54" xfId="0" applyFont="1" applyFill="1" applyBorder="1" applyAlignment="1" applyProtection="1">
      <alignment horizontal="center" vertical="center"/>
    </xf>
    <xf numFmtId="0" fontId="3" fillId="5" borderId="57" xfId="0" applyFont="1" applyFill="1" applyBorder="1" applyAlignment="1" applyProtection="1">
      <alignment horizontal="center" vertical="center"/>
    </xf>
    <xf numFmtId="0" fontId="2" fillId="0" borderId="55" xfId="0" applyFont="1" applyBorder="1" applyAlignment="1" applyProtection="1">
      <alignment horizontal="left" vertical="center" shrinkToFit="1"/>
      <protection locked="0"/>
    </xf>
    <xf numFmtId="0" fontId="2" fillId="0" borderId="56" xfId="0" applyFont="1" applyBorder="1" applyAlignment="1" applyProtection="1">
      <alignment horizontal="left" vertical="center" shrinkToFit="1"/>
      <protection locked="0"/>
    </xf>
    <xf numFmtId="0" fontId="2" fillId="0" borderId="58" xfId="0" applyFont="1" applyBorder="1" applyAlignment="1" applyProtection="1">
      <alignment horizontal="left" vertical="center" shrinkToFit="1"/>
      <protection locked="0"/>
    </xf>
    <xf numFmtId="0" fontId="2" fillId="0" borderId="59" xfId="0" applyFont="1" applyBorder="1" applyAlignment="1" applyProtection="1">
      <alignment horizontal="left" vertical="center" shrinkToFit="1"/>
      <protection locked="0"/>
    </xf>
    <xf numFmtId="165" fontId="2" fillId="0" borderId="56" xfId="0" applyNumberFormat="1" applyFont="1" applyBorder="1" applyAlignment="1" applyProtection="1">
      <alignment horizontal="center" vertical="center" shrinkToFit="1"/>
      <protection locked="0"/>
    </xf>
    <xf numFmtId="165" fontId="2" fillId="0" borderId="59" xfId="0" applyNumberFormat="1" applyFont="1" applyBorder="1" applyAlignment="1" applyProtection="1">
      <alignment horizontal="center" vertical="center" shrinkToFit="1"/>
      <protection locked="0"/>
    </xf>
    <xf numFmtId="0" fontId="2" fillId="0" borderId="56" xfId="0" applyFont="1" applyBorder="1" applyAlignment="1" applyProtection="1">
      <alignment horizontal="center" vertical="center" shrinkToFit="1"/>
      <protection locked="0"/>
    </xf>
    <xf numFmtId="0" fontId="2" fillId="0" borderId="59" xfId="0" applyFont="1" applyBorder="1" applyAlignment="1" applyProtection="1">
      <alignment horizontal="center" vertical="center" shrinkToFit="1"/>
      <protection locked="0"/>
    </xf>
    <xf numFmtId="0" fontId="2" fillId="0" borderId="57" xfId="0" applyFont="1" applyBorder="1" applyAlignment="1" applyProtection="1">
      <alignment horizontal="center" vertical="center" shrinkToFit="1"/>
      <protection locked="0"/>
    </xf>
    <xf numFmtId="0" fontId="2" fillId="0" borderId="60" xfId="0" applyFont="1" applyBorder="1" applyAlignment="1" applyProtection="1">
      <alignment horizontal="center" vertical="center" shrinkToFit="1"/>
      <protection locked="0"/>
    </xf>
    <xf numFmtId="0" fontId="42" fillId="0" borderId="27" xfId="0" applyFont="1" applyBorder="1" applyAlignment="1" applyProtection="1">
      <alignment horizontal="center" vertical="center"/>
    </xf>
    <xf numFmtId="0" fontId="42" fillId="0" borderId="28" xfId="0" applyFont="1" applyBorder="1" applyAlignment="1" applyProtection="1">
      <alignment horizontal="center" vertical="center"/>
    </xf>
    <xf numFmtId="0" fontId="42" fillId="0" borderId="29" xfId="0" applyFont="1" applyBorder="1" applyAlignment="1" applyProtection="1">
      <alignment horizontal="center" vertical="center"/>
    </xf>
    <xf numFmtId="0" fontId="42" fillId="0" borderId="30" xfId="0" applyFont="1" applyBorder="1" applyAlignment="1" applyProtection="1">
      <alignment horizontal="center" vertical="center"/>
    </xf>
    <xf numFmtId="0" fontId="42" fillId="0" borderId="25" xfId="0" applyFont="1" applyBorder="1" applyAlignment="1" applyProtection="1">
      <alignment horizontal="center" vertical="center"/>
    </xf>
    <xf numFmtId="0" fontId="42" fillId="0" borderId="26" xfId="0" applyFont="1" applyBorder="1" applyAlignment="1" applyProtection="1">
      <alignment horizontal="center" vertical="center"/>
    </xf>
    <xf numFmtId="0" fontId="127" fillId="0" borderId="25" xfId="0" applyFont="1" applyBorder="1" applyAlignment="1" applyProtection="1">
      <alignment horizontal="center" vertical="center" shrinkToFit="1"/>
      <protection locked="0"/>
    </xf>
    <xf numFmtId="0" fontId="127" fillId="0" borderId="26" xfId="0" applyFont="1" applyBorder="1" applyAlignment="1" applyProtection="1">
      <alignment horizontal="center" vertical="center" shrinkToFit="1"/>
      <protection locked="0"/>
    </xf>
    <xf numFmtId="0" fontId="127" fillId="0" borderId="27" xfId="0" applyFont="1" applyBorder="1" applyAlignment="1" applyProtection="1">
      <alignment horizontal="center" vertical="center" shrinkToFit="1"/>
      <protection locked="0"/>
    </xf>
    <xf numFmtId="0" fontId="127" fillId="0" borderId="28" xfId="0" applyFont="1" applyBorder="1" applyAlignment="1" applyProtection="1">
      <alignment horizontal="center" vertical="center" shrinkToFit="1"/>
      <protection locked="0"/>
    </xf>
    <xf numFmtId="0" fontId="127" fillId="0" borderId="29" xfId="0" applyFont="1" applyBorder="1" applyAlignment="1" applyProtection="1">
      <alignment horizontal="center" vertical="center" shrinkToFit="1"/>
      <protection locked="0"/>
    </xf>
    <xf numFmtId="0" fontId="127" fillId="0" borderId="30" xfId="0" applyFont="1" applyBorder="1" applyAlignment="1" applyProtection="1">
      <alignment horizontal="center" vertical="center" shrinkToFit="1"/>
      <protection locked="0"/>
    </xf>
    <xf numFmtId="0" fontId="44" fillId="0" borderId="3" xfId="0" applyFont="1" applyBorder="1" applyAlignment="1" applyProtection="1">
      <alignment horizontal="center" vertical="center" shrinkToFit="1"/>
      <protection locked="0"/>
    </xf>
    <xf numFmtId="0" fontId="44" fillId="0" borderId="4" xfId="0" applyFont="1" applyBorder="1" applyAlignment="1" applyProtection="1">
      <alignment horizontal="center" vertical="center" shrinkToFit="1"/>
      <protection locked="0"/>
    </xf>
    <xf numFmtId="0" fontId="44" fillId="0" borderId="5" xfId="0" applyFont="1" applyBorder="1" applyAlignment="1" applyProtection="1">
      <alignment horizontal="center" vertical="center" shrinkToFit="1"/>
      <protection locked="0"/>
    </xf>
    <xf numFmtId="0" fontId="44" fillId="0" borderId="6" xfId="0" applyFont="1" applyBorder="1" applyAlignment="1" applyProtection="1">
      <alignment horizontal="center" vertical="center" shrinkToFit="1"/>
      <protection locked="0"/>
    </xf>
    <xf numFmtId="0" fontId="44" fillId="0" borderId="0" xfId="0" applyFont="1" applyBorder="1" applyAlignment="1" applyProtection="1">
      <alignment horizontal="center" vertical="center" shrinkToFit="1"/>
      <protection locked="0"/>
    </xf>
    <xf numFmtId="0" fontId="44" fillId="0" borderId="7" xfId="0" applyFont="1" applyBorder="1" applyAlignment="1" applyProtection="1">
      <alignment horizontal="center" vertical="center" shrinkToFit="1"/>
      <protection locked="0"/>
    </xf>
    <xf numFmtId="0" fontId="44" fillId="0" borderId="8" xfId="0" applyFont="1" applyBorder="1" applyAlignment="1" applyProtection="1">
      <alignment horizontal="center" vertical="center" shrinkToFit="1"/>
      <protection locked="0"/>
    </xf>
    <xf numFmtId="0" fontId="44" fillId="0" borderId="9" xfId="0" applyFont="1" applyBorder="1" applyAlignment="1" applyProtection="1">
      <alignment horizontal="center" vertical="center" shrinkToFit="1"/>
      <protection locked="0"/>
    </xf>
    <xf numFmtId="0" fontId="44" fillId="0" borderId="10" xfId="0" applyFont="1" applyBorder="1" applyAlignment="1" applyProtection="1">
      <alignment horizontal="center" vertical="center" shrinkToFit="1"/>
      <protection locked="0"/>
    </xf>
    <xf numFmtId="0" fontId="42" fillId="0" borderId="32" xfId="0" applyFont="1" applyBorder="1" applyAlignment="1" applyProtection="1">
      <alignment horizontal="center" vertical="center" shrinkToFit="1"/>
      <protection locked="0"/>
    </xf>
    <xf numFmtId="0" fontId="42" fillId="0" borderId="33" xfId="0" applyFont="1" applyBorder="1" applyAlignment="1" applyProtection="1">
      <alignment horizontal="center" vertical="center" shrinkToFit="1"/>
      <protection locked="0"/>
    </xf>
    <xf numFmtId="0" fontId="42" fillId="0" borderId="36" xfId="0" applyFont="1" applyBorder="1" applyAlignment="1" applyProtection="1">
      <alignment horizontal="center" vertical="center" shrinkToFit="1"/>
      <protection locked="0"/>
    </xf>
    <xf numFmtId="0" fontId="42" fillId="0" borderId="24" xfId="0" applyFont="1" applyBorder="1" applyAlignment="1" applyProtection="1">
      <alignment horizontal="center" vertical="center" shrinkToFit="1"/>
      <protection locked="0"/>
    </xf>
    <xf numFmtId="0" fontId="42" fillId="0" borderId="34" xfId="0" applyFont="1" applyBorder="1" applyAlignment="1" applyProtection="1">
      <alignment horizontal="center" vertical="center" shrinkToFit="1"/>
      <protection locked="0"/>
    </xf>
    <xf numFmtId="0" fontId="42" fillId="0" borderId="35" xfId="0" applyFont="1" applyBorder="1" applyAlignment="1" applyProtection="1">
      <alignment horizontal="center" vertical="center" shrinkToFit="1"/>
      <protection locked="0"/>
    </xf>
    <xf numFmtId="0" fontId="28" fillId="4" borderId="25" xfId="0" applyFont="1" applyFill="1" applyBorder="1" applyAlignment="1" applyProtection="1">
      <alignment horizontal="center" vertical="center"/>
    </xf>
    <xf numFmtId="0" fontId="28" fillId="4" borderId="37" xfId="0" applyFont="1" applyFill="1" applyBorder="1" applyAlignment="1" applyProtection="1">
      <alignment horizontal="center" vertical="center"/>
    </xf>
    <xf numFmtId="0" fontId="28" fillId="4" borderId="26" xfId="0" applyFont="1" applyFill="1" applyBorder="1" applyAlignment="1" applyProtection="1">
      <alignment horizontal="center" vertical="center"/>
    </xf>
    <xf numFmtId="0" fontId="28" fillId="4" borderId="27" xfId="0" applyFont="1" applyFill="1" applyBorder="1" applyAlignment="1" applyProtection="1">
      <alignment horizontal="center" vertical="center"/>
    </xf>
    <xf numFmtId="0" fontId="28" fillId="4" borderId="11" xfId="0" applyFont="1" applyFill="1" applyBorder="1" applyAlignment="1" applyProtection="1">
      <alignment horizontal="center" vertical="center"/>
    </xf>
    <xf numFmtId="0" fontId="28" fillId="4" borderId="28" xfId="0" applyFont="1" applyFill="1" applyBorder="1" applyAlignment="1" applyProtection="1">
      <alignment horizontal="center" vertical="center"/>
    </xf>
    <xf numFmtId="0" fontId="28" fillId="4" borderId="29" xfId="0" applyFont="1" applyFill="1" applyBorder="1" applyAlignment="1" applyProtection="1">
      <alignment horizontal="center" vertical="center"/>
    </xf>
    <xf numFmtId="0" fontId="28" fillId="4" borderId="38" xfId="0" applyFont="1" applyFill="1" applyBorder="1" applyAlignment="1" applyProtection="1">
      <alignment horizontal="center" vertical="center"/>
    </xf>
    <xf numFmtId="0" fontId="28" fillId="4" borderId="30" xfId="0" applyFont="1" applyFill="1" applyBorder="1" applyAlignment="1" applyProtection="1">
      <alignment horizontal="center" vertical="center"/>
    </xf>
    <xf numFmtId="0" fontId="3" fillId="0" borderId="218" xfId="0" applyFont="1" applyBorder="1" applyAlignment="1" applyProtection="1">
      <alignment horizontal="center" vertical="center"/>
    </xf>
    <xf numFmtId="0" fontId="3" fillId="0" borderId="219" xfId="0" applyFont="1" applyBorder="1" applyAlignment="1" applyProtection="1">
      <alignment horizontal="center" vertical="center"/>
    </xf>
    <xf numFmtId="0" fontId="3" fillId="0" borderId="221" xfId="0" applyFont="1" applyBorder="1" applyAlignment="1" applyProtection="1">
      <alignment horizontal="center" vertical="center"/>
    </xf>
    <xf numFmtId="0" fontId="3" fillId="0" borderId="222" xfId="0" applyFont="1" applyBorder="1" applyAlignment="1" applyProtection="1">
      <alignment horizontal="center" vertical="center"/>
    </xf>
    <xf numFmtId="49" fontId="2" fillId="2" borderId="36" xfId="0" applyNumberFormat="1" applyFont="1" applyFill="1" applyBorder="1" applyAlignment="1" applyProtection="1">
      <alignment horizontal="center" vertical="center"/>
    </xf>
    <xf numFmtId="49" fontId="2" fillId="2" borderId="0" xfId="0" applyNumberFormat="1" applyFont="1" applyFill="1" applyBorder="1" applyAlignment="1" applyProtection="1">
      <alignment horizontal="center" vertical="center"/>
    </xf>
    <xf numFmtId="0" fontId="6" fillId="2" borderId="24" xfId="0" applyFont="1" applyFill="1" applyBorder="1" applyAlignment="1" applyProtection="1">
      <alignment horizontal="center" vertical="center"/>
    </xf>
    <xf numFmtId="0" fontId="44" fillId="0" borderId="25" xfId="0" applyFont="1" applyBorder="1" applyAlignment="1" applyProtection="1">
      <alignment horizontal="center" vertical="center"/>
      <protection locked="0"/>
    </xf>
    <xf numFmtId="0" fontId="44" fillId="0" borderId="37" xfId="0" applyFont="1" applyBorder="1" applyAlignment="1" applyProtection="1">
      <alignment horizontal="center" vertical="center"/>
      <protection locked="0"/>
    </xf>
    <xf numFmtId="0" fontId="44" fillId="0" borderId="26" xfId="0" applyFont="1" applyBorder="1" applyAlignment="1" applyProtection="1">
      <alignment horizontal="center" vertical="center"/>
      <protection locked="0"/>
    </xf>
    <xf numFmtId="0" fontId="44" fillId="0" borderId="27" xfId="0" applyFont="1" applyBorder="1" applyAlignment="1" applyProtection="1">
      <alignment horizontal="center" vertical="center"/>
      <protection locked="0"/>
    </xf>
    <xf numFmtId="0" fontId="44" fillId="0" borderId="11" xfId="0" applyFont="1" applyBorder="1" applyAlignment="1" applyProtection="1">
      <alignment horizontal="center" vertical="center"/>
      <protection locked="0"/>
    </xf>
    <xf numFmtId="0" fontId="44" fillId="0" borderId="28" xfId="0" applyFont="1" applyBorder="1" applyAlignment="1" applyProtection="1">
      <alignment horizontal="center" vertical="center"/>
      <protection locked="0"/>
    </xf>
    <xf numFmtId="0" fontId="44" fillId="0" borderId="29" xfId="0" applyFont="1" applyBorder="1" applyAlignment="1" applyProtection="1">
      <alignment horizontal="center" vertical="center"/>
      <protection locked="0"/>
    </xf>
    <xf numFmtId="0" fontId="44" fillId="0" borderId="38" xfId="0" applyFont="1" applyBorder="1" applyAlignment="1" applyProtection="1">
      <alignment horizontal="center" vertical="center"/>
      <protection locked="0"/>
    </xf>
    <xf numFmtId="0" fontId="44" fillId="0" borderId="30" xfId="0" applyFont="1" applyBorder="1" applyAlignment="1" applyProtection="1">
      <alignment horizontal="center" vertical="center"/>
      <protection locked="0"/>
    </xf>
    <xf numFmtId="164" fontId="42" fillId="0" borderId="236" xfId="0" applyNumberFormat="1" applyFont="1" applyBorder="1" applyAlignment="1" applyProtection="1">
      <alignment horizontal="center" vertical="center"/>
    </xf>
    <xf numFmtId="164" fontId="42" fillId="0" borderId="39" xfId="0" applyNumberFormat="1" applyFont="1" applyBorder="1" applyAlignment="1" applyProtection="1">
      <alignment horizontal="center" vertical="center"/>
    </xf>
    <xf numFmtId="164" fontId="42" fillId="0" borderId="41" xfId="0" applyNumberFormat="1" applyFont="1" applyBorder="1" applyAlignment="1" applyProtection="1">
      <alignment horizontal="center" vertical="center"/>
    </xf>
    <xf numFmtId="164" fontId="42" fillId="0" borderId="93" xfId="0" applyNumberFormat="1" applyFont="1" applyBorder="1" applyAlignment="1" applyProtection="1">
      <alignment horizontal="center" vertical="center"/>
    </xf>
    <xf numFmtId="164" fontId="42" fillId="0" borderId="0" xfId="0" applyNumberFormat="1" applyFont="1" applyBorder="1" applyAlignment="1" applyProtection="1">
      <alignment horizontal="center" vertical="center"/>
    </xf>
    <xf numFmtId="164" fontId="42" fillId="0" borderId="24" xfId="0" applyNumberFormat="1" applyFont="1" applyBorder="1" applyAlignment="1" applyProtection="1">
      <alignment horizontal="center" vertical="center"/>
    </xf>
    <xf numFmtId="164" fontId="42" fillId="0" borderId="238" xfId="0" applyNumberFormat="1" applyFont="1" applyBorder="1" applyAlignment="1" applyProtection="1">
      <alignment horizontal="center" vertical="center"/>
    </xf>
    <xf numFmtId="164" fontId="42" fillId="0" borderId="43" xfId="0" applyNumberFormat="1" applyFont="1" applyBorder="1" applyAlignment="1" applyProtection="1">
      <alignment horizontal="center" vertical="center"/>
    </xf>
    <xf numFmtId="164" fontId="42" fillId="0" borderId="44" xfId="0" applyNumberFormat="1" applyFont="1" applyBorder="1" applyAlignment="1" applyProtection="1">
      <alignment horizontal="center" vertical="center"/>
    </xf>
    <xf numFmtId="164" fontId="42" fillId="0" borderId="237" xfId="0" applyNumberFormat="1" applyFont="1" applyBorder="1" applyAlignment="1" applyProtection="1">
      <alignment horizontal="center" vertical="center"/>
    </xf>
    <xf numFmtId="164" fontId="42" fillId="0" borderId="1" xfId="0" applyNumberFormat="1" applyFont="1" applyBorder="1" applyAlignment="1" applyProtection="1">
      <alignment horizontal="center" vertical="center"/>
    </xf>
    <xf numFmtId="164" fontId="42" fillId="0" borderId="35" xfId="0" applyNumberFormat="1" applyFont="1" applyBorder="1" applyAlignment="1" applyProtection="1">
      <alignment horizontal="center" vertical="center"/>
    </xf>
    <xf numFmtId="0" fontId="7" fillId="2" borderId="36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45" fillId="4" borderId="32" xfId="0" applyFont="1" applyFill="1" applyBorder="1" applyAlignment="1" applyProtection="1">
      <alignment horizontal="center" vertical="center"/>
    </xf>
    <xf numFmtId="0" fontId="0" fillId="0" borderId="33" xfId="0" applyBorder="1" applyProtection="1"/>
    <xf numFmtId="0" fontId="0" fillId="0" borderId="36" xfId="0" applyBorder="1" applyProtection="1"/>
    <xf numFmtId="0" fontId="0" fillId="0" borderId="24" xfId="0" applyBorder="1" applyProtection="1"/>
    <xf numFmtId="0" fontId="0" fillId="0" borderId="34" xfId="0" applyBorder="1" applyProtection="1"/>
    <xf numFmtId="0" fontId="0" fillId="0" borderId="1" xfId="0" applyBorder="1" applyProtection="1"/>
    <xf numFmtId="0" fontId="0" fillId="0" borderId="35" xfId="0" applyBorder="1" applyProtection="1"/>
    <xf numFmtId="0" fontId="102" fillId="0" borderId="2" xfId="0" applyFont="1" applyBorder="1" applyProtection="1"/>
    <xf numFmtId="0" fontId="102" fillId="0" borderId="33" xfId="0" applyFont="1" applyBorder="1" applyProtection="1"/>
    <xf numFmtId="0" fontId="102" fillId="0" borderId="36" xfId="0" applyFont="1" applyBorder="1" applyProtection="1"/>
    <xf numFmtId="0" fontId="102" fillId="0" borderId="0" xfId="0" applyFont="1" applyBorder="1" applyProtection="1"/>
    <xf numFmtId="0" fontId="102" fillId="0" borderId="24" xfId="0" applyFont="1" applyBorder="1" applyProtection="1"/>
    <xf numFmtId="0" fontId="102" fillId="0" borderId="34" xfId="0" applyFont="1" applyBorder="1" applyProtection="1"/>
    <xf numFmtId="0" fontId="102" fillId="0" borderId="1" xfId="0" applyFont="1" applyBorder="1" applyProtection="1"/>
    <xf numFmtId="0" fontId="102" fillId="0" borderId="35" xfId="0" applyFont="1" applyBorder="1" applyProtection="1"/>
    <xf numFmtId="0" fontId="42" fillId="0" borderId="32" xfId="0" applyFont="1" applyBorder="1" applyAlignment="1" applyProtection="1">
      <alignment horizontal="center" vertical="center"/>
    </xf>
    <xf numFmtId="0" fontId="42" fillId="0" borderId="33" xfId="0" applyFont="1" applyBorder="1" applyAlignment="1" applyProtection="1">
      <alignment horizontal="center" vertical="center"/>
    </xf>
    <xf numFmtId="0" fontId="42" fillId="0" borderId="36" xfId="0" applyFont="1" applyBorder="1" applyAlignment="1" applyProtection="1">
      <alignment horizontal="center" vertical="center"/>
    </xf>
    <xf numFmtId="0" fontId="42" fillId="0" borderId="24" xfId="0" applyFont="1" applyBorder="1" applyAlignment="1" applyProtection="1">
      <alignment horizontal="center" vertical="center"/>
    </xf>
    <xf numFmtId="0" fontId="42" fillId="0" borderId="34" xfId="0" applyFont="1" applyBorder="1" applyAlignment="1" applyProtection="1">
      <alignment horizontal="center" vertical="center"/>
    </xf>
    <xf numFmtId="0" fontId="42" fillId="0" borderId="35" xfId="0" applyFont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164" fontId="42" fillId="0" borderId="153" xfId="0" applyNumberFormat="1" applyFont="1" applyBorder="1" applyAlignment="1" applyProtection="1">
      <alignment horizontal="center" vertical="center"/>
    </xf>
    <xf numFmtId="164" fontId="42" fillId="0" borderId="154" xfId="0" applyNumberFormat="1" applyFont="1" applyBorder="1" applyAlignment="1" applyProtection="1">
      <alignment horizontal="center" vertical="center"/>
    </xf>
    <xf numFmtId="164" fontId="42" fillId="0" borderId="156" xfId="0" applyNumberFormat="1" applyFont="1" applyBorder="1" applyAlignment="1" applyProtection="1">
      <alignment horizontal="center" vertical="center"/>
    </xf>
    <xf numFmtId="164" fontId="42" fillId="0" borderId="157" xfId="0" applyNumberFormat="1" applyFont="1" applyBorder="1" applyAlignment="1" applyProtection="1">
      <alignment horizontal="center" vertical="center"/>
    </xf>
    <xf numFmtId="0" fontId="1" fillId="0" borderId="219" xfId="0" applyFont="1" applyBorder="1" applyAlignment="1" applyProtection="1">
      <alignment horizontal="center" vertical="center" shrinkToFit="1"/>
      <protection locked="0"/>
    </xf>
    <xf numFmtId="0" fontId="1" fillId="0" borderId="220" xfId="0" applyFont="1" applyBorder="1" applyAlignment="1" applyProtection="1">
      <alignment horizontal="center" vertical="center" shrinkToFit="1"/>
      <protection locked="0"/>
    </xf>
    <xf numFmtId="0" fontId="3" fillId="0" borderId="220" xfId="0" applyFont="1" applyBorder="1" applyAlignment="1" applyProtection="1">
      <alignment horizontal="center" vertical="center"/>
    </xf>
    <xf numFmtId="0" fontId="3" fillId="0" borderId="223" xfId="0" applyFont="1" applyBorder="1" applyAlignment="1" applyProtection="1">
      <alignment horizontal="center" vertical="center"/>
    </xf>
    <xf numFmtId="0" fontId="1" fillId="0" borderId="218" xfId="0" applyFont="1" applyBorder="1" applyAlignment="1" applyProtection="1">
      <alignment horizontal="center" vertical="center" shrinkToFit="1"/>
      <protection locked="0"/>
    </xf>
    <xf numFmtId="0" fontId="1" fillId="0" borderId="232" xfId="0" applyFont="1" applyBorder="1" applyAlignment="1" applyProtection="1">
      <alignment horizontal="center" vertical="center" shrinkToFit="1"/>
      <protection locked="0"/>
    </xf>
    <xf numFmtId="0" fontId="1" fillId="0" borderId="225" xfId="0" applyFont="1" applyBorder="1" applyAlignment="1" applyProtection="1">
      <alignment horizontal="center" vertical="center" shrinkToFit="1"/>
      <protection locked="0"/>
    </xf>
    <xf numFmtId="0" fontId="1" fillId="0" borderId="239" xfId="0" applyFont="1" applyBorder="1" applyAlignment="1" applyProtection="1">
      <alignment horizontal="center" vertical="center" shrinkToFit="1"/>
      <protection locked="0"/>
    </xf>
    <xf numFmtId="0" fontId="1" fillId="0" borderId="93" xfId="0" applyFont="1" applyBorder="1" applyAlignment="1" applyProtection="1">
      <alignment horizontal="center" vertical="center" shrinkToFit="1"/>
      <protection locked="0"/>
    </xf>
    <xf numFmtId="0" fontId="1" fillId="0" borderId="0" xfId="0" applyFont="1" applyBorder="1" applyAlignment="1" applyProtection="1">
      <alignment horizontal="center" vertical="center" shrinkToFit="1"/>
      <protection locked="0"/>
    </xf>
    <xf numFmtId="0" fontId="1" fillId="0" borderId="24" xfId="0" applyFont="1" applyBorder="1" applyAlignment="1" applyProtection="1">
      <alignment horizontal="center" vertical="center" shrinkToFit="1"/>
      <protection locked="0"/>
    </xf>
    <xf numFmtId="0" fontId="1" fillId="0" borderId="231" xfId="0" applyFont="1" applyBorder="1" applyAlignment="1" applyProtection="1">
      <alignment horizontal="center" vertical="center" shrinkToFit="1"/>
      <protection locked="0"/>
    </xf>
    <xf numFmtId="0" fontId="1" fillId="0" borderId="228" xfId="0" applyFont="1" applyBorder="1" applyAlignment="1" applyProtection="1">
      <alignment horizontal="center" vertical="center" shrinkToFit="1"/>
      <protection locked="0"/>
    </xf>
    <xf numFmtId="0" fontId="1" fillId="0" borderId="240" xfId="0" applyFont="1" applyBorder="1" applyAlignment="1" applyProtection="1">
      <alignment horizontal="center" vertical="center" shrinkToFit="1"/>
      <protection locked="0"/>
    </xf>
    <xf numFmtId="0" fontId="3" fillId="0" borderId="232" xfId="0" applyFont="1" applyBorder="1" applyAlignment="1" applyProtection="1">
      <alignment horizontal="center" vertical="center"/>
    </xf>
    <xf numFmtId="0" fontId="3" fillId="0" borderId="225" xfId="0" applyFont="1" applyBorder="1" applyAlignment="1" applyProtection="1">
      <alignment horizontal="center" vertical="center"/>
    </xf>
    <xf numFmtId="0" fontId="3" fillId="0" borderId="239" xfId="0" applyFont="1" applyBorder="1" applyAlignment="1" applyProtection="1">
      <alignment horizontal="center" vertical="center"/>
    </xf>
    <xf numFmtId="0" fontId="3" fillId="0" borderId="93" xfId="0" applyFont="1" applyBorder="1" applyAlignment="1" applyProtection="1">
      <alignment horizontal="center" vertical="center"/>
    </xf>
    <xf numFmtId="0" fontId="3" fillId="0" borderId="24" xfId="0" applyFont="1" applyBorder="1" applyAlignment="1" applyProtection="1">
      <alignment horizontal="center" vertical="center"/>
    </xf>
    <xf numFmtId="0" fontId="3" fillId="0" borderId="231" xfId="0" applyFont="1" applyBorder="1" applyAlignment="1" applyProtection="1">
      <alignment horizontal="center" vertical="center"/>
    </xf>
    <xf numFmtId="0" fontId="3" fillId="0" borderId="228" xfId="0" applyFont="1" applyBorder="1" applyAlignment="1" applyProtection="1">
      <alignment horizontal="center" vertical="center"/>
    </xf>
    <xf numFmtId="0" fontId="3" fillId="0" borderId="240" xfId="0" applyFont="1" applyBorder="1" applyAlignment="1" applyProtection="1">
      <alignment horizontal="center" vertical="center"/>
    </xf>
    <xf numFmtId="0" fontId="1" fillId="0" borderId="216" xfId="0" applyFont="1" applyBorder="1" applyAlignment="1" applyProtection="1">
      <alignment horizontal="center" vertical="center" shrinkToFit="1"/>
      <protection locked="0"/>
    </xf>
    <xf numFmtId="0" fontId="1" fillId="0" borderId="217" xfId="0" applyFont="1" applyBorder="1" applyAlignment="1" applyProtection="1">
      <alignment horizontal="center" vertical="center" shrinkToFit="1"/>
      <protection locked="0"/>
    </xf>
    <xf numFmtId="0" fontId="44" fillId="0" borderId="32" xfId="0" applyFont="1" applyFill="1" applyBorder="1" applyAlignment="1" applyProtection="1">
      <alignment horizontal="center" vertical="center"/>
      <protection locked="0"/>
    </xf>
    <xf numFmtId="0" fontId="44" fillId="0" borderId="2" xfId="0" applyFont="1" applyFill="1" applyBorder="1" applyAlignment="1" applyProtection="1">
      <alignment horizontal="center" vertical="center"/>
      <protection locked="0"/>
    </xf>
    <xf numFmtId="0" fontId="44" fillId="0" borderId="33" xfId="0" applyFont="1" applyFill="1" applyBorder="1" applyAlignment="1" applyProtection="1">
      <alignment horizontal="center" vertical="center"/>
      <protection locked="0"/>
    </xf>
    <xf numFmtId="0" fontId="44" fillId="0" borderId="34" xfId="0" applyFont="1" applyFill="1" applyBorder="1" applyAlignment="1" applyProtection="1">
      <alignment horizontal="center" vertical="center"/>
      <protection locked="0"/>
    </xf>
    <xf numFmtId="0" fontId="44" fillId="0" borderId="1" xfId="0" applyFont="1" applyFill="1" applyBorder="1" applyAlignment="1" applyProtection="1">
      <alignment horizontal="center" vertical="center"/>
      <protection locked="0"/>
    </xf>
    <xf numFmtId="0" fontId="44" fillId="0" borderId="35" xfId="0" applyFont="1" applyFill="1" applyBorder="1" applyAlignment="1" applyProtection="1">
      <alignment horizontal="center" vertical="center"/>
      <protection locked="0"/>
    </xf>
    <xf numFmtId="0" fontId="27" fillId="4" borderId="32" xfId="0" applyFont="1" applyFill="1" applyBorder="1" applyAlignment="1" applyProtection="1">
      <alignment horizontal="right" vertical="center" indent="2"/>
    </xf>
    <xf numFmtId="0" fontId="27" fillId="4" borderId="2" xfId="0" applyFont="1" applyFill="1" applyBorder="1" applyAlignment="1" applyProtection="1">
      <alignment horizontal="right" vertical="center" indent="2"/>
    </xf>
    <xf numFmtId="0" fontId="27" fillId="4" borderId="33" xfId="0" applyFont="1" applyFill="1" applyBorder="1" applyAlignment="1" applyProtection="1">
      <alignment horizontal="right" vertical="center" indent="2"/>
    </xf>
    <xf numFmtId="0" fontId="27" fillId="4" borderId="34" xfId="0" applyFont="1" applyFill="1" applyBorder="1" applyAlignment="1" applyProtection="1">
      <alignment horizontal="right" vertical="center" indent="2"/>
    </xf>
    <xf numFmtId="0" fontId="27" fillId="4" borderId="1" xfId="0" applyFont="1" applyFill="1" applyBorder="1" applyAlignment="1" applyProtection="1">
      <alignment horizontal="right" vertical="center" indent="2"/>
    </xf>
    <xf numFmtId="0" fontId="27" fillId="4" borderId="35" xfId="0" applyFont="1" applyFill="1" applyBorder="1" applyAlignment="1" applyProtection="1">
      <alignment horizontal="right" vertical="center" indent="2"/>
    </xf>
    <xf numFmtId="0" fontId="3" fillId="0" borderId="224" xfId="0" applyFont="1" applyBorder="1" applyAlignment="1" applyProtection="1">
      <alignment horizontal="center" vertical="center"/>
    </xf>
    <xf numFmtId="0" fontId="3" fillId="0" borderId="226" xfId="0" applyFont="1" applyBorder="1" applyAlignment="1" applyProtection="1">
      <alignment horizontal="center" vertical="center"/>
    </xf>
    <xf numFmtId="0" fontId="3" fillId="0" borderId="36" xfId="0" applyFont="1" applyBorder="1" applyAlignment="1" applyProtection="1">
      <alignment horizontal="center" vertical="center"/>
    </xf>
    <xf numFmtId="0" fontId="3" fillId="0" borderId="94" xfId="0" applyFont="1" applyBorder="1" applyAlignment="1" applyProtection="1">
      <alignment horizontal="center" vertical="center"/>
    </xf>
    <xf numFmtId="0" fontId="3" fillId="0" borderId="227" xfId="0" applyFont="1" applyBorder="1" applyAlignment="1" applyProtection="1">
      <alignment horizontal="center" vertical="center"/>
    </xf>
    <xf numFmtId="0" fontId="3" fillId="0" borderId="229" xfId="0" applyFont="1" applyBorder="1" applyAlignment="1" applyProtection="1">
      <alignment horizontal="center" vertical="center"/>
    </xf>
    <xf numFmtId="0" fontId="1" fillId="0" borderId="32" xfId="0" applyFont="1" applyBorder="1" applyAlignment="1" applyProtection="1">
      <alignment horizontal="center" vertical="center" shrinkToFit="1"/>
      <protection locked="0"/>
    </xf>
    <xf numFmtId="0" fontId="1" fillId="0" borderId="2" xfId="0" applyFont="1" applyBorder="1" applyAlignment="1" applyProtection="1">
      <alignment horizontal="center" vertical="center" shrinkToFit="1"/>
      <protection locked="0"/>
    </xf>
    <xf numFmtId="0" fontId="1" fillId="0" borderId="230" xfId="0" applyFont="1" applyBorder="1" applyAlignment="1" applyProtection="1">
      <alignment horizontal="center" vertical="center" shrinkToFit="1"/>
      <protection locked="0"/>
    </xf>
    <xf numFmtId="0" fontId="1" fillId="0" borderId="227" xfId="0" applyFont="1" applyBorder="1" applyAlignment="1" applyProtection="1">
      <alignment horizontal="center" vertical="center" shrinkToFit="1"/>
      <protection locked="0"/>
    </xf>
    <xf numFmtId="0" fontId="1" fillId="0" borderId="229" xfId="0" applyFont="1" applyBorder="1" applyAlignment="1" applyProtection="1">
      <alignment horizontal="center" vertical="center" shrinkToFit="1"/>
      <protection locked="0"/>
    </xf>
    <xf numFmtId="0" fontId="41" fillId="0" borderId="196" xfId="0" applyFont="1" applyBorder="1" applyAlignment="1" applyProtection="1">
      <alignment horizontal="center" vertical="center"/>
      <protection locked="0"/>
    </xf>
    <xf numFmtId="0" fontId="103" fillId="0" borderId="3" xfId="0" applyFont="1" applyBorder="1" applyAlignment="1" applyProtection="1">
      <alignment horizontal="left" vertical="center" indent="1"/>
    </xf>
    <xf numFmtId="0" fontId="103" fillId="0" borderId="4" xfId="0" applyFont="1" applyBorder="1" applyAlignment="1" applyProtection="1">
      <alignment horizontal="left" vertical="center" indent="1"/>
    </xf>
    <xf numFmtId="0" fontId="103" fillId="0" borderId="5" xfId="0" applyFont="1" applyBorder="1" applyAlignment="1" applyProtection="1">
      <alignment horizontal="left" vertical="center" indent="1"/>
    </xf>
    <xf numFmtId="0" fontId="103" fillId="0" borderId="6" xfId="0" applyFont="1" applyBorder="1" applyAlignment="1" applyProtection="1">
      <alignment horizontal="left" vertical="center" indent="1"/>
    </xf>
    <xf numFmtId="0" fontId="103" fillId="0" borderId="0" xfId="0" applyFont="1" applyBorder="1" applyAlignment="1" applyProtection="1">
      <alignment horizontal="left" vertical="center" indent="1"/>
    </xf>
    <xf numFmtId="0" fontId="103" fillId="0" borderId="7" xfId="0" applyFont="1" applyBorder="1" applyAlignment="1" applyProtection="1">
      <alignment horizontal="left" vertical="center" indent="1"/>
    </xf>
    <xf numFmtId="0" fontId="103" fillId="0" borderId="8" xfId="0" applyFont="1" applyBorder="1" applyAlignment="1" applyProtection="1">
      <alignment horizontal="left" vertical="center" indent="1"/>
    </xf>
    <xf numFmtId="0" fontId="103" fillId="0" borderId="9" xfId="0" applyFont="1" applyBorder="1" applyAlignment="1" applyProtection="1">
      <alignment horizontal="left" vertical="center" indent="1"/>
    </xf>
    <xf numFmtId="0" fontId="103" fillId="0" borderId="10" xfId="0" applyFont="1" applyBorder="1" applyAlignment="1" applyProtection="1">
      <alignment horizontal="left" vertical="center" indent="1"/>
    </xf>
    <xf numFmtId="0" fontId="100" fillId="5" borderId="187" xfId="0" applyFont="1" applyFill="1" applyBorder="1" applyAlignment="1" applyProtection="1">
      <alignment horizontal="center" vertical="center"/>
    </xf>
    <xf numFmtId="0" fontId="100" fillId="5" borderId="157" xfId="0" applyFont="1" applyFill="1" applyBorder="1" applyAlignment="1" applyProtection="1">
      <alignment horizontal="center" vertical="center"/>
    </xf>
    <xf numFmtId="0" fontId="41" fillId="0" borderId="25" xfId="0" applyFont="1" applyFill="1" applyBorder="1" applyAlignment="1" applyProtection="1">
      <alignment horizontal="left" vertical="center"/>
      <protection locked="0"/>
    </xf>
    <xf numFmtId="0" fontId="41" fillId="0" borderId="37" xfId="0" applyFont="1" applyFill="1" applyBorder="1" applyAlignment="1" applyProtection="1">
      <alignment horizontal="left" vertical="center"/>
      <protection locked="0"/>
    </xf>
    <xf numFmtId="0" fontId="41" fillId="0" borderId="191" xfId="0" applyFont="1" applyFill="1" applyBorder="1" applyAlignment="1" applyProtection="1">
      <alignment horizontal="left" vertical="center"/>
      <protection locked="0"/>
    </xf>
    <xf numFmtId="0" fontId="41" fillId="0" borderId="37" xfId="0" applyFont="1" applyFill="1" applyBorder="1" applyAlignment="1" applyProtection="1">
      <alignment horizontal="center" vertical="center"/>
      <protection locked="0"/>
    </xf>
    <xf numFmtId="0" fontId="41" fillId="0" borderId="26" xfId="0" applyFont="1" applyFill="1" applyBorder="1" applyAlignment="1" applyProtection="1">
      <alignment horizontal="center" vertical="center"/>
      <protection locked="0"/>
    </xf>
    <xf numFmtId="0" fontId="41" fillId="0" borderId="194" xfId="0" applyFont="1" applyBorder="1" applyAlignment="1" applyProtection="1">
      <alignment horizontal="center" vertical="center"/>
      <protection locked="0"/>
    </xf>
    <xf numFmtId="0" fontId="41" fillId="0" borderId="197" xfId="0" applyFont="1" applyBorder="1" applyAlignment="1" applyProtection="1">
      <alignment horizontal="center" vertical="center"/>
      <protection locked="0"/>
    </xf>
    <xf numFmtId="0" fontId="41" fillId="0" borderId="200" xfId="0" applyFont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2" fillId="0" borderId="181" xfId="0" applyFont="1" applyBorder="1" applyAlignment="1" applyProtection="1">
      <alignment horizontal="center" vertical="center"/>
    </xf>
    <xf numFmtId="0" fontId="2" fillId="0" borderId="182" xfId="0" applyFont="1" applyBorder="1" applyAlignment="1" applyProtection="1">
      <alignment horizontal="center" vertical="center"/>
    </xf>
    <xf numFmtId="0" fontId="2" fillId="0" borderId="184" xfId="0" applyFont="1" applyBorder="1" applyAlignment="1" applyProtection="1">
      <alignment horizontal="center" vertical="center"/>
    </xf>
    <xf numFmtId="0" fontId="2" fillId="0" borderId="185" xfId="0" applyFont="1" applyBorder="1" applyAlignment="1" applyProtection="1">
      <alignment horizontal="center" vertical="center"/>
    </xf>
    <xf numFmtId="0" fontId="41" fillId="0" borderId="40" xfId="0" applyFont="1" applyFill="1" applyBorder="1" applyAlignment="1" applyProtection="1">
      <alignment horizontal="left" vertical="center"/>
      <protection locked="0"/>
    </xf>
    <xf numFmtId="0" fontId="41" fillId="0" borderId="39" xfId="0" applyFont="1" applyFill="1" applyBorder="1" applyAlignment="1" applyProtection="1">
      <alignment horizontal="left" vertical="center"/>
      <protection locked="0"/>
    </xf>
    <xf numFmtId="0" fontId="41" fillId="0" borderId="211" xfId="0" applyFont="1" applyFill="1" applyBorder="1" applyAlignment="1" applyProtection="1">
      <alignment horizontal="left" vertical="center"/>
      <protection locked="0"/>
    </xf>
    <xf numFmtId="0" fontId="41" fillId="0" borderId="36" xfId="0" applyFont="1" applyFill="1" applyBorder="1" applyAlignment="1" applyProtection="1">
      <alignment horizontal="left" vertical="center"/>
      <protection locked="0"/>
    </xf>
    <xf numFmtId="0" fontId="41" fillId="0" borderId="0" xfId="0" applyFont="1" applyFill="1" applyBorder="1" applyAlignment="1" applyProtection="1">
      <alignment horizontal="left" vertical="center"/>
      <protection locked="0"/>
    </xf>
    <xf numFmtId="0" fontId="41" fillId="0" borderId="204" xfId="0" applyFont="1" applyFill="1" applyBorder="1" applyAlignment="1" applyProtection="1">
      <alignment horizontal="left" vertical="center"/>
      <protection locked="0"/>
    </xf>
    <xf numFmtId="0" fontId="41" fillId="0" borderId="42" xfId="0" applyFont="1" applyFill="1" applyBorder="1" applyAlignment="1" applyProtection="1">
      <alignment horizontal="left" vertical="center"/>
      <protection locked="0"/>
    </xf>
    <xf numFmtId="0" fontId="41" fillId="0" borderId="43" xfId="0" applyFont="1" applyFill="1" applyBorder="1" applyAlignment="1" applyProtection="1">
      <alignment horizontal="left" vertical="center"/>
      <protection locked="0"/>
    </xf>
    <xf numFmtId="0" fontId="41" fillId="0" borderId="205" xfId="0" applyFont="1" applyFill="1" applyBorder="1" applyAlignment="1" applyProtection="1">
      <alignment horizontal="left" vertical="center"/>
      <protection locked="0"/>
    </xf>
    <xf numFmtId="0" fontId="41" fillId="0" borderId="206" xfId="0" applyFont="1" applyFill="1" applyBorder="1" applyAlignment="1" applyProtection="1">
      <alignment horizontal="left" vertical="center"/>
      <protection locked="0"/>
    </xf>
    <xf numFmtId="0" fontId="41" fillId="0" borderId="207" xfId="0" applyFont="1" applyFill="1" applyBorder="1" applyAlignment="1" applyProtection="1">
      <alignment horizontal="left" vertical="center"/>
      <protection locked="0"/>
    </xf>
    <xf numFmtId="0" fontId="41" fillId="0" borderId="208" xfId="0" applyFont="1" applyFill="1" applyBorder="1" applyAlignment="1" applyProtection="1">
      <alignment horizontal="left" vertical="center"/>
      <protection locked="0"/>
    </xf>
    <xf numFmtId="0" fontId="41" fillId="0" borderId="209" xfId="0" applyFont="1" applyFill="1" applyBorder="1" applyAlignment="1" applyProtection="1">
      <alignment horizontal="center" vertical="center"/>
      <protection locked="0"/>
    </xf>
    <xf numFmtId="0" fontId="41" fillId="0" borderId="210" xfId="0" applyFont="1" applyFill="1" applyBorder="1" applyAlignment="1" applyProtection="1">
      <alignment horizontal="center" vertical="center"/>
      <protection locked="0"/>
    </xf>
    <xf numFmtId="0" fontId="2" fillId="0" borderId="180" xfId="0" applyFont="1" applyBorder="1" applyAlignment="1" applyProtection="1">
      <alignment horizontal="center" vertical="center"/>
    </xf>
    <xf numFmtId="0" fontId="2" fillId="0" borderId="183" xfId="0" applyFont="1" applyBorder="1" applyAlignment="1" applyProtection="1">
      <alignment horizontal="center" vertical="center"/>
    </xf>
    <xf numFmtId="0" fontId="101" fillId="5" borderId="212" xfId="0" applyFont="1" applyFill="1" applyBorder="1" applyAlignment="1" applyProtection="1">
      <alignment horizontal="center" vertical="center"/>
    </xf>
    <xf numFmtId="0" fontId="101" fillId="5" borderId="33" xfId="0" applyFont="1" applyFill="1" applyBorder="1" applyAlignment="1" applyProtection="1">
      <alignment horizontal="center" vertical="center"/>
    </xf>
    <xf numFmtId="0" fontId="101" fillId="5" borderId="213" xfId="0" applyFont="1" applyFill="1" applyBorder="1" applyAlignment="1" applyProtection="1">
      <alignment horizontal="center" vertical="center"/>
    </xf>
    <xf numFmtId="0" fontId="101" fillId="5" borderId="24" xfId="0" applyFont="1" applyFill="1" applyBorder="1" applyAlignment="1" applyProtection="1">
      <alignment horizontal="center" vertical="center"/>
    </xf>
    <xf numFmtId="0" fontId="101" fillId="5" borderId="214" xfId="0" applyFont="1" applyFill="1" applyBorder="1" applyAlignment="1" applyProtection="1">
      <alignment horizontal="center" vertical="center"/>
    </xf>
    <xf numFmtId="0" fontId="101" fillId="5" borderId="44" xfId="0" applyFont="1" applyFill="1" applyBorder="1" applyAlignment="1" applyProtection="1">
      <alignment horizontal="center" vertical="center"/>
    </xf>
    <xf numFmtId="0" fontId="20" fillId="5" borderId="32" xfId="0" applyFont="1" applyFill="1" applyBorder="1" applyAlignment="1" applyProtection="1">
      <alignment horizontal="center" vertical="center"/>
    </xf>
    <xf numFmtId="0" fontId="20" fillId="5" borderId="2" xfId="0" applyFont="1" applyFill="1" applyBorder="1" applyAlignment="1" applyProtection="1">
      <alignment horizontal="center" vertical="center"/>
    </xf>
    <xf numFmtId="0" fontId="46" fillId="5" borderId="2" xfId="0" applyFont="1" applyFill="1" applyBorder="1" applyAlignment="1" applyProtection="1">
      <alignment horizontal="right" vertical="center"/>
    </xf>
    <xf numFmtId="0" fontId="46" fillId="5" borderId="2" xfId="0" applyFont="1" applyFill="1" applyBorder="1" applyAlignment="1" applyProtection="1">
      <alignment horizontal="left" vertical="center"/>
    </xf>
    <xf numFmtId="0" fontId="46" fillId="5" borderId="203" xfId="0" applyFont="1" applyFill="1" applyBorder="1" applyAlignment="1" applyProtection="1">
      <alignment horizontal="left" vertical="center"/>
    </xf>
    <xf numFmtId="0" fontId="7" fillId="2" borderId="0" xfId="0" applyFont="1" applyFill="1" applyAlignment="1" applyProtection="1">
      <alignment horizontal="center"/>
    </xf>
    <xf numFmtId="0" fontId="9" fillId="4" borderId="6" xfId="0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horizontal="center" vertical="center"/>
    </xf>
    <xf numFmtId="0" fontId="9" fillId="4" borderId="7" xfId="0" applyFont="1" applyFill="1" applyBorder="1" applyAlignment="1" applyProtection="1">
      <alignment horizontal="center" vertical="center"/>
    </xf>
    <xf numFmtId="0" fontId="77" fillId="0" borderId="4" xfId="0" applyFont="1" applyBorder="1" applyAlignment="1" applyProtection="1">
      <alignment horizontal="center" vertical="center"/>
    </xf>
    <xf numFmtId="0" fontId="77" fillId="0" borderId="5" xfId="0" applyFont="1" applyBorder="1" applyAlignment="1" applyProtection="1">
      <alignment horizontal="center" vertical="center"/>
    </xf>
    <xf numFmtId="0" fontId="77" fillId="0" borderId="0" xfId="0" applyFont="1" applyBorder="1" applyAlignment="1" applyProtection="1">
      <alignment horizontal="center" vertical="center"/>
    </xf>
    <xf numFmtId="0" fontId="77" fillId="0" borderId="7" xfId="0" applyFont="1" applyBorder="1" applyAlignment="1" applyProtection="1">
      <alignment horizontal="center" vertical="center"/>
    </xf>
    <xf numFmtId="0" fontId="77" fillId="0" borderId="9" xfId="0" applyFont="1" applyBorder="1" applyAlignment="1" applyProtection="1">
      <alignment horizontal="center" vertical="center"/>
    </xf>
    <xf numFmtId="0" fontId="77" fillId="0" borderId="10" xfId="0" applyFont="1" applyBorder="1" applyAlignment="1" applyProtection="1">
      <alignment horizontal="center" vertical="center"/>
    </xf>
    <xf numFmtId="0" fontId="44" fillId="0" borderId="32" xfId="0" applyFont="1" applyBorder="1" applyAlignment="1" applyProtection="1">
      <alignment horizontal="center" vertical="center" shrinkToFit="1"/>
    </xf>
    <xf numFmtId="0" fontId="44" fillId="0" borderId="33" xfId="0" applyFont="1" applyBorder="1" applyAlignment="1" applyProtection="1">
      <alignment horizontal="center" vertical="center" shrinkToFit="1"/>
    </xf>
    <xf numFmtId="0" fontId="44" fillId="0" borderId="36" xfId="0" applyFont="1" applyBorder="1" applyAlignment="1" applyProtection="1">
      <alignment horizontal="center" vertical="center" shrinkToFit="1"/>
    </xf>
    <xf numFmtId="0" fontId="44" fillId="0" borderId="24" xfId="0" applyFont="1" applyBorder="1" applyAlignment="1" applyProtection="1">
      <alignment horizontal="center" vertical="center" shrinkToFit="1"/>
    </xf>
    <xf numFmtId="0" fontId="44" fillId="0" borderId="34" xfId="0" applyFont="1" applyBorder="1" applyAlignment="1" applyProtection="1">
      <alignment horizontal="center" vertical="center" shrinkToFit="1"/>
    </xf>
    <xf numFmtId="0" fontId="44" fillId="0" borderId="35" xfId="0" applyFont="1" applyBorder="1" applyAlignment="1" applyProtection="1">
      <alignment horizontal="center" vertical="center" shrinkToFit="1"/>
    </xf>
    <xf numFmtId="0" fontId="46" fillId="0" borderId="32" xfId="0" applyFont="1" applyBorder="1" applyAlignment="1" applyProtection="1">
      <alignment horizontal="center" vertical="center"/>
      <protection locked="0"/>
    </xf>
    <xf numFmtId="0" fontId="46" fillId="0" borderId="33" xfId="0" applyFont="1" applyBorder="1" applyAlignment="1" applyProtection="1">
      <alignment horizontal="center" vertical="center"/>
      <protection locked="0"/>
    </xf>
    <xf numFmtId="0" fontId="46" fillId="0" borderId="36" xfId="0" applyFont="1" applyBorder="1" applyAlignment="1" applyProtection="1">
      <alignment horizontal="center" vertical="center"/>
      <protection locked="0"/>
    </xf>
    <xf numFmtId="0" fontId="46" fillId="0" borderId="24" xfId="0" applyFont="1" applyBorder="1" applyAlignment="1" applyProtection="1">
      <alignment horizontal="center" vertical="center"/>
      <protection locked="0"/>
    </xf>
    <xf numFmtId="0" fontId="46" fillId="0" borderId="34" xfId="0" applyFont="1" applyBorder="1" applyAlignment="1" applyProtection="1">
      <alignment horizontal="center" vertical="center"/>
      <protection locked="0"/>
    </xf>
    <xf numFmtId="0" fontId="46" fillId="0" borderId="35" xfId="0" applyFont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</xf>
    <xf numFmtId="0" fontId="100" fillId="5" borderId="215" xfId="0" applyFont="1" applyFill="1" applyBorder="1" applyAlignment="1" applyProtection="1">
      <alignment horizontal="center" vertical="center"/>
    </xf>
    <xf numFmtId="0" fontId="100" fillId="5" borderId="41" xfId="0" applyFont="1" applyFill="1" applyBorder="1" applyAlignment="1" applyProtection="1">
      <alignment horizontal="center" vertical="center"/>
    </xf>
    <xf numFmtId="0" fontId="100" fillId="5" borderId="213" xfId="0" applyFont="1" applyFill="1" applyBorder="1" applyAlignment="1" applyProtection="1">
      <alignment horizontal="center" vertical="center"/>
    </xf>
    <xf numFmtId="0" fontId="100" fillId="5" borderId="24" xfId="0" applyFont="1" applyFill="1" applyBorder="1" applyAlignment="1" applyProtection="1">
      <alignment horizontal="center" vertical="center"/>
    </xf>
    <xf numFmtId="0" fontId="100" fillId="5" borderId="214" xfId="0" applyFont="1" applyFill="1" applyBorder="1" applyAlignment="1" applyProtection="1">
      <alignment horizontal="center" vertical="center"/>
    </xf>
    <xf numFmtId="0" fontId="100" fillId="5" borderId="44" xfId="0" applyFont="1" applyFill="1" applyBorder="1" applyAlignment="1" applyProtection="1">
      <alignment horizontal="center" vertical="center"/>
    </xf>
    <xf numFmtId="0" fontId="44" fillId="0" borderId="178" xfId="0" applyFont="1" applyBorder="1" applyAlignment="1" applyProtection="1">
      <alignment horizontal="center" vertical="center"/>
    </xf>
    <xf numFmtId="0" fontId="44" fillId="0" borderId="179" xfId="0" applyFont="1" applyBorder="1" applyAlignment="1" applyProtection="1">
      <alignment horizontal="center" vertical="center"/>
    </xf>
    <xf numFmtId="0" fontId="44" fillId="0" borderId="181" xfId="0" applyFont="1" applyBorder="1" applyAlignment="1" applyProtection="1">
      <alignment horizontal="center" vertical="center"/>
    </xf>
    <xf numFmtId="0" fontId="44" fillId="0" borderId="182" xfId="0" applyFont="1" applyBorder="1" applyAlignment="1" applyProtection="1">
      <alignment horizontal="center" vertical="center"/>
    </xf>
    <xf numFmtId="0" fontId="44" fillId="0" borderId="178" xfId="0" applyFont="1" applyBorder="1" applyAlignment="1" applyProtection="1">
      <alignment horizontal="center" vertical="center"/>
      <protection locked="0"/>
    </xf>
    <xf numFmtId="0" fontId="44" fillId="0" borderId="181" xfId="0" applyFont="1" applyBorder="1" applyAlignment="1" applyProtection="1">
      <alignment horizontal="center" vertical="center"/>
      <protection locked="0"/>
    </xf>
    <xf numFmtId="0" fontId="44" fillId="0" borderId="177" xfId="0" applyFont="1" applyBorder="1" applyAlignment="1" applyProtection="1">
      <alignment horizontal="center" vertical="center"/>
      <protection locked="0"/>
    </xf>
    <xf numFmtId="0" fontId="44" fillId="0" borderId="180" xfId="0" applyFont="1" applyBorder="1" applyAlignment="1" applyProtection="1">
      <alignment horizontal="center" vertical="center"/>
      <protection locked="0"/>
    </xf>
    <xf numFmtId="0" fontId="14" fillId="2" borderId="0" xfId="0" applyFont="1" applyFill="1" applyBorder="1" applyAlignment="1" applyProtection="1">
      <alignment horizontal="center"/>
    </xf>
    <xf numFmtId="0" fontId="2" fillId="2" borderId="186" xfId="0" applyFont="1" applyFill="1" applyBorder="1" applyAlignment="1" applyProtection="1">
      <alignment horizontal="center" vertical="center"/>
    </xf>
    <xf numFmtId="0" fontId="44" fillId="0" borderId="36" xfId="0" applyFont="1" applyBorder="1" applyAlignment="1" applyProtection="1">
      <alignment horizontal="center" vertical="center"/>
    </xf>
    <xf numFmtId="0" fontId="44" fillId="0" borderId="24" xfId="0" applyFont="1" applyBorder="1" applyAlignment="1" applyProtection="1">
      <alignment horizontal="center" vertical="center"/>
    </xf>
    <xf numFmtId="0" fontId="29" fillId="4" borderId="3" xfId="0" applyFont="1" applyFill="1" applyBorder="1" applyAlignment="1" applyProtection="1">
      <alignment horizontal="center" vertical="center"/>
    </xf>
    <xf numFmtId="0" fontId="29" fillId="4" borderId="4" xfId="0" applyFont="1" applyFill="1" applyBorder="1" applyAlignment="1" applyProtection="1">
      <alignment horizontal="center" vertical="center"/>
    </xf>
    <xf numFmtId="0" fontId="29" fillId="4" borderId="5" xfId="0" applyFont="1" applyFill="1" applyBorder="1" applyAlignment="1" applyProtection="1">
      <alignment horizontal="center" vertical="center"/>
    </xf>
    <xf numFmtId="0" fontId="29" fillId="4" borderId="6" xfId="0" applyFont="1" applyFill="1" applyBorder="1" applyAlignment="1" applyProtection="1">
      <alignment horizontal="center" vertical="center"/>
    </xf>
    <xf numFmtId="0" fontId="29" fillId="4" borderId="0" xfId="0" applyFont="1" applyFill="1" applyBorder="1" applyAlignment="1" applyProtection="1">
      <alignment horizontal="center" vertical="center"/>
    </xf>
    <xf numFmtId="0" fontId="29" fillId="4" borderId="7" xfId="0" applyFont="1" applyFill="1" applyBorder="1" applyAlignment="1" applyProtection="1">
      <alignment horizontal="center" vertical="center"/>
    </xf>
    <xf numFmtId="0" fontId="29" fillId="4" borderId="8" xfId="0" applyFont="1" applyFill="1" applyBorder="1" applyAlignment="1" applyProtection="1">
      <alignment horizontal="center" vertical="center"/>
    </xf>
    <xf numFmtId="0" fontId="29" fillId="4" borderId="9" xfId="0" applyFont="1" applyFill="1" applyBorder="1" applyAlignment="1" applyProtection="1">
      <alignment horizontal="center" vertical="center"/>
    </xf>
    <xf numFmtId="0" fontId="29" fillId="4" borderId="10" xfId="0" applyFont="1" applyFill="1" applyBorder="1" applyAlignment="1" applyProtection="1">
      <alignment horizontal="center" vertical="center"/>
    </xf>
    <xf numFmtId="0" fontId="41" fillId="0" borderId="29" xfId="0" applyFont="1" applyFill="1" applyBorder="1" applyAlignment="1" applyProtection="1">
      <alignment horizontal="left" vertical="center"/>
      <protection locked="0"/>
    </xf>
    <xf numFmtId="0" fontId="41" fillId="0" borderId="38" xfId="0" applyFont="1" applyFill="1" applyBorder="1" applyAlignment="1" applyProtection="1">
      <alignment horizontal="left" vertical="center"/>
      <protection locked="0"/>
    </xf>
    <xf numFmtId="0" fontId="41" fillId="0" borderId="193" xfId="0" applyFont="1" applyFill="1" applyBorder="1" applyAlignment="1" applyProtection="1">
      <alignment horizontal="left" vertical="center"/>
      <protection locked="0"/>
    </xf>
    <xf numFmtId="0" fontId="41" fillId="0" borderId="38" xfId="0" applyFont="1" applyFill="1" applyBorder="1" applyAlignment="1" applyProtection="1">
      <alignment horizontal="center" vertical="center"/>
      <protection locked="0"/>
    </xf>
    <xf numFmtId="0" fontId="41" fillId="0" borderId="30" xfId="0" applyFont="1" applyFill="1" applyBorder="1" applyAlignment="1" applyProtection="1">
      <alignment horizontal="center" vertical="center"/>
      <protection locked="0"/>
    </xf>
    <xf numFmtId="49" fontId="6" fillId="2" borderId="0" xfId="0" applyNumberFormat="1" applyFont="1" applyFill="1" applyAlignment="1" applyProtection="1">
      <alignment horizontal="center" vertical="center"/>
    </xf>
    <xf numFmtId="0" fontId="41" fillId="0" borderId="158" xfId="0" applyFont="1" applyFill="1" applyBorder="1" applyAlignment="1" applyProtection="1">
      <alignment horizontal="left" vertical="center"/>
      <protection locked="0"/>
    </xf>
    <xf numFmtId="0" fontId="41" fillId="0" borderId="159" xfId="0" applyFont="1" applyFill="1" applyBorder="1" applyAlignment="1" applyProtection="1">
      <alignment horizontal="left" vertical="center"/>
      <protection locked="0"/>
    </xf>
    <xf numFmtId="0" fontId="41" fillId="0" borderId="190" xfId="0" applyFont="1" applyFill="1" applyBorder="1" applyAlignment="1" applyProtection="1">
      <alignment horizontal="left" vertical="center"/>
      <protection locked="0"/>
    </xf>
    <xf numFmtId="0" fontId="41" fillId="0" borderId="188" xfId="0" applyFont="1" applyFill="1" applyBorder="1" applyAlignment="1" applyProtection="1">
      <alignment horizontal="center" vertical="center"/>
      <protection locked="0"/>
    </xf>
    <xf numFmtId="0" fontId="41" fillId="0" borderId="160" xfId="0" applyFont="1" applyFill="1" applyBorder="1" applyAlignment="1" applyProtection="1">
      <alignment horizontal="center" vertical="center"/>
      <protection locked="0"/>
    </xf>
    <xf numFmtId="0" fontId="55" fillId="0" borderId="50" xfId="0" applyFont="1" applyBorder="1" applyAlignment="1" applyProtection="1">
      <alignment horizontal="center"/>
    </xf>
    <xf numFmtId="0" fontId="55" fillId="0" borderId="51" xfId="0" applyFont="1" applyBorder="1" applyAlignment="1" applyProtection="1">
      <alignment horizontal="center"/>
    </xf>
    <xf numFmtId="0" fontId="55" fillId="0" borderId="52" xfId="0" applyFont="1" applyBorder="1" applyAlignment="1" applyProtection="1">
      <alignment horizontal="center"/>
    </xf>
    <xf numFmtId="0" fontId="26" fillId="2" borderId="0" xfId="1" applyFont="1" applyFill="1" applyBorder="1" applyAlignment="1" applyProtection="1">
      <alignment horizontal="right" vertical="center"/>
    </xf>
    <xf numFmtId="0" fontId="7" fillId="2" borderId="0" xfId="0" applyFont="1" applyFill="1" applyAlignment="1" applyProtection="1">
      <alignment horizontal="left"/>
    </xf>
    <xf numFmtId="0" fontId="42" fillId="0" borderId="25" xfId="0" applyFont="1" applyBorder="1" applyAlignment="1" applyProtection="1">
      <alignment horizontal="left" vertical="center" shrinkToFit="1"/>
      <protection locked="0"/>
    </xf>
    <xf numFmtId="0" fontId="42" fillId="0" borderId="37" xfId="0" applyFont="1" applyBorder="1" applyAlignment="1" applyProtection="1">
      <alignment horizontal="left" vertical="center" shrinkToFit="1"/>
      <protection locked="0"/>
    </xf>
    <xf numFmtId="0" fontId="42" fillId="0" borderId="26" xfId="0" applyFont="1" applyBorder="1" applyAlignment="1" applyProtection="1">
      <alignment horizontal="left" vertical="center" shrinkToFit="1"/>
      <protection locked="0"/>
    </xf>
    <xf numFmtId="0" fontId="42" fillId="0" borderId="27" xfId="0" applyFont="1" applyBorder="1" applyAlignment="1" applyProtection="1">
      <alignment horizontal="left" vertical="center" shrinkToFit="1"/>
      <protection locked="0"/>
    </xf>
    <xf numFmtId="0" fontId="42" fillId="0" borderId="11" xfId="0" applyFont="1" applyBorder="1" applyAlignment="1" applyProtection="1">
      <alignment horizontal="left" vertical="center" shrinkToFit="1"/>
      <protection locked="0"/>
    </xf>
    <xf numFmtId="0" fontId="42" fillId="0" borderId="28" xfId="0" applyFont="1" applyBorder="1" applyAlignment="1" applyProtection="1">
      <alignment horizontal="left" vertical="center" shrinkToFit="1"/>
      <protection locked="0"/>
    </xf>
    <xf numFmtId="0" fontId="42" fillId="0" borderId="29" xfId="0" applyFont="1" applyBorder="1" applyAlignment="1" applyProtection="1">
      <alignment horizontal="left" vertical="center" shrinkToFit="1"/>
      <protection locked="0"/>
    </xf>
    <xf numFmtId="0" fontId="42" fillId="0" borderId="38" xfId="0" applyFont="1" applyBorder="1" applyAlignment="1" applyProtection="1">
      <alignment horizontal="left" vertical="center" shrinkToFit="1"/>
      <protection locked="0"/>
    </xf>
    <xf numFmtId="0" fontId="42" fillId="0" borderId="30" xfId="0" applyFont="1" applyBorder="1" applyAlignment="1" applyProtection="1">
      <alignment horizontal="left" vertical="center" shrinkToFit="1"/>
      <protection locked="0"/>
    </xf>
    <xf numFmtId="0" fontId="44" fillId="0" borderId="22" xfId="0" applyFont="1" applyBorder="1" applyAlignment="1" applyProtection="1">
      <alignment horizontal="left" vertical="center" shrinkToFit="1"/>
      <protection locked="0"/>
    </xf>
    <xf numFmtId="0" fontId="44" fillId="0" borderId="31" xfId="0" applyFont="1" applyBorder="1" applyAlignment="1" applyProtection="1">
      <alignment horizontal="left" vertical="center" shrinkToFit="1"/>
      <protection locked="0"/>
    </xf>
    <xf numFmtId="0" fontId="44" fillId="0" borderId="23" xfId="0" applyFont="1" applyBorder="1" applyAlignment="1" applyProtection="1">
      <alignment horizontal="left" vertical="center" shrinkToFit="1"/>
      <protection locked="0"/>
    </xf>
    <xf numFmtId="0" fontId="42" fillId="0" borderId="32" xfId="0" applyFont="1" applyFill="1" applyBorder="1" applyAlignment="1" applyProtection="1">
      <alignment horizontal="left" vertical="top" wrapText="1"/>
      <protection locked="0"/>
    </xf>
    <xf numFmtId="0" fontId="42" fillId="0" borderId="2" xfId="0" applyFont="1" applyFill="1" applyBorder="1" applyAlignment="1" applyProtection="1">
      <alignment horizontal="left" vertical="top" wrapText="1"/>
      <protection locked="0"/>
    </xf>
    <xf numFmtId="0" fontId="42" fillId="0" borderId="33" xfId="0" applyFont="1" applyFill="1" applyBorder="1" applyAlignment="1" applyProtection="1">
      <alignment horizontal="left" vertical="top" wrapText="1"/>
      <protection locked="0"/>
    </xf>
    <xf numFmtId="0" fontId="42" fillId="0" borderId="34" xfId="0" applyFont="1" applyFill="1" applyBorder="1" applyAlignment="1" applyProtection="1">
      <alignment horizontal="left" vertical="top" wrapText="1"/>
      <protection locked="0"/>
    </xf>
    <xf numFmtId="0" fontId="42" fillId="0" borderId="1" xfId="0" applyFont="1" applyFill="1" applyBorder="1" applyAlignment="1" applyProtection="1">
      <alignment horizontal="left" vertical="top" wrapText="1"/>
      <protection locked="0"/>
    </xf>
    <xf numFmtId="0" fontId="42" fillId="0" borderId="35" xfId="0" applyFont="1" applyFill="1" applyBorder="1" applyAlignment="1" applyProtection="1">
      <alignment horizontal="left" vertical="top" wrapText="1"/>
      <protection locked="0"/>
    </xf>
    <xf numFmtId="0" fontId="42" fillId="0" borderId="32" xfId="0" applyFont="1" applyBorder="1" applyAlignment="1" applyProtection="1">
      <alignment horizontal="justify" vertical="top" wrapText="1"/>
      <protection locked="0"/>
    </xf>
    <xf numFmtId="0" fontId="42" fillId="0" borderId="2" xfId="0" applyFont="1" applyBorder="1" applyAlignment="1" applyProtection="1">
      <alignment horizontal="justify" vertical="top" wrapText="1"/>
      <protection locked="0"/>
    </xf>
    <xf numFmtId="0" fontId="42" fillId="0" borderId="33" xfId="0" applyFont="1" applyBorder="1" applyAlignment="1" applyProtection="1">
      <alignment horizontal="justify" vertical="top" wrapText="1"/>
      <protection locked="0"/>
    </xf>
    <xf numFmtId="0" fontId="42" fillId="0" borderId="36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24" xfId="0" applyFont="1" applyBorder="1" applyAlignment="1" applyProtection="1">
      <alignment horizontal="justify" vertical="top" wrapText="1"/>
      <protection locked="0"/>
    </xf>
    <xf numFmtId="0" fontId="42" fillId="0" borderId="34" xfId="0" applyFont="1" applyBorder="1" applyAlignment="1" applyProtection="1">
      <alignment horizontal="justify" vertical="top" wrapText="1"/>
      <protection locked="0"/>
    </xf>
    <xf numFmtId="0" fontId="42" fillId="0" borderId="1" xfId="0" applyFont="1" applyBorder="1" applyAlignment="1" applyProtection="1">
      <alignment horizontal="justify" vertical="top" wrapText="1"/>
      <protection locked="0"/>
    </xf>
    <xf numFmtId="0" fontId="42" fillId="0" borderId="35" xfId="0" applyFont="1" applyBorder="1" applyAlignment="1" applyProtection="1">
      <alignment horizontal="justify" vertical="top" wrapText="1"/>
      <protection locked="0"/>
    </xf>
    <xf numFmtId="0" fontId="0" fillId="0" borderId="45" xfId="0" applyBorder="1" applyAlignment="1" applyProtection="1">
      <alignment horizontal="center"/>
    </xf>
    <xf numFmtId="0" fontId="0" fillId="0" borderId="46" xfId="0" applyBorder="1" applyAlignment="1" applyProtection="1">
      <alignment horizontal="center"/>
    </xf>
    <xf numFmtId="0" fontId="0" fillId="0" borderId="47" xfId="0" applyBorder="1" applyAlignment="1" applyProtection="1">
      <alignment horizontal="center"/>
    </xf>
    <xf numFmtId="0" fontId="0" fillId="0" borderId="48" xfId="0" applyBorder="1" applyAlignment="1" applyProtection="1">
      <alignment horizontal="center"/>
    </xf>
    <xf numFmtId="0" fontId="0" fillId="0" borderId="49" xfId="0" applyBorder="1" applyAlignment="1" applyProtection="1">
      <alignment horizontal="center"/>
    </xf>
    <xf numFmtId="0" fontId="143" fillId="0" borderId="25" xfId="0" applyFont="1" applyBorder="1" applyAlignment="1" applyProtection="1">
      <alignment horizontal="center" vertical="center"/>
    </xf>
    <xf numFmtId="0" fontId="143" fillId="0" borderId="268" xfId="0" applyFont="1" applyBorder="1" applyAlignment="1" applyProtection="1">
      <alignment horizontal="center" vertical="center"/>
    </xf>
    <xf numFmtId="0" fontId="42" fillId="0" borderId="269" xfId="0" applyFont="1" applyBorder="1" applyAlignment="1" applyProtection="1">
      <alignment horizontal="left" vertical="center" shrinkToFit="1"/>
      <protection locked="0"/>
    </xf>
    <xf numFmtId="0" fontId="143" fillId="0" borderId="29" xfId="0" applyFont="1" applyBorder="1" applyAlignment="1" applyProtection="1">
      <alignment horizontal="center" vertical="center"/>
    </xf>
    <xf numFmtId="0" fontId="143" fillId="0" borderId="270" xfId="0" applyFont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</xf>
    <xf numFmtId="0" fontId="42" fillId="0" borderId="271" xfId="0" applyFont="1" applyBorder="1" applyAlignment="1" applyProtection="1">
      <alignment horizontal="left" vertical="center" shrinkToFit="1"/>
      <protection locked="0"/>
    </xf>
    <xf numFmtId="0" fontId="40" fillId="0" borderId="1" xfId="0" applyFont="1" applyBorder="1" applyAlignment="1" applyProtection="1">
      <alignment horizontal="left" vertical="center" shrinkToFit="1"/>
      <protection locked="0"/>
    </xf>
    <xf numFmtId="0" fontId="2" fillId="0" borderId="0" xfId="0" applyFont="1" applyBorder="1" applyAlignment="1" applyProtection="1">
      <alignment horizontal="left" vertical="center"/>
    </xf>
    <xf numFmtId="0" fontId="40" fillId="0" borderId="1" xfId="0" applyFont="1" applyBorder="1" applyAlignment="1" applyProtection="1">
      <alignment horizontal="left" vertical="center" shrinkToFit="1"/>
    </xf>
    <xf numFmtId="0" fontId="40" fillId="0" borderId="1" xfId="0" applyFont="1" applyBorder="1" applyAlignment="1" applyProtection="1">
      <alignment horizontal="left" vertical="center"/>
    </xf>
    <xf numFmtId="0" fontId="40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left" vertical="center"/>
    </xf>
    <xf numFmtId="0" fontId="130" fillId="0" borderId="0" xfId="0" applyFont="1" applyAlignment="1">
      <alignment horizontal="left" vertical="center" wrapText="1"/>
    </xf>
    <xf numFmtId="0" fontId="53" fillId="0" borderId="0" xfId="0" applyFont="1" applyAlignment="1">
      <alignment horizontal="left"/>
    </xf>
    <xf numFmtId="0" fontId="130" fillId="0" borderId="0" xfId="0" applyFont="1" applyAlignment="1">
      <alignment horizontal="left" wrapText="1"/>
    </xf>
    <xf numFmtId="0" fontId="102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04">
    <dxf>
      <font>
        <color theme="0"/>
      </font>
    </dxf>
    <dxf>
      <font>
        <color theme="0"/>
      </font>
    </dxf>
    <dxf>
      <font>
        <color rgb="FF00B050"/>
      </font>
    </dxf>
    <dxf>
      <font>
        <color rgb="FFC00000"/>
      </font>
    </dxf>
    <dxf>
      <font>
        <color rgb="FF800000"/>
      </font>
    </dxf>
    <dxf>
      <font>
        <color rgb="FF800000"/>
      </font>
    </dxf>
    <dxf>
      <font>
        <color rgb="FF800000"/>
      </font>
    </dxf>
    <dxf>
      <font>
        <b/>
        <i val="0"/>
        <color theme="1"/>
      </font>
    </dxf>
    <dxf>
      <font>
        <color rgb="FF800000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800000"/>
      </font>
    </dxf>
    <dxf>
      <font>
        <color rgb="FF800000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800000"/>
      </font>
    </dxf>
    <dxf>
      <font>
        <color rgb="FF800000"/>
      </font>
    </dxf>
    <dxf>
      <font>
        <color rgb="FF800000"/>
      </font>
    </dxf>
    <dxf>
      <font>
        <color rgb="FF800000"/>
      </font>
    </dxf>
    <dxf>
      <font>
        <color rgb="FF800000"/>
      </font>
    </dxf>
    <dxf>
      <font>
        <color rgb="FF800000"/>
      </font>
    </dxf>
    <dxf>
      <font>
        <color rgb="FF800000"/>
      </font>
    </dxf>
    <dxf>
      <font>
        <color rgb="FF800000"/>
      </font>
    </dxf>
    <dxf>
      <font>
        <color rgb="FF800000"/>
      </font>
    </dxf>
    <dxf>
      <font>
        <color rgb="FF800000"/>
      </font>
    </dxf>
    <dxf>
      <font>
        <color rgb="FF800000"/>
      </font>
    </dxf>
    <dxf>
      <font>
        <color rgb="FF800000"/>
      </font>
    </dxf>
    <dxf>
      <font>
        <color rgb="FF800000"/>
      </font>
    </dxf>
    <dxf>
      <font>
        <color rgb="FF800000"/>
      </font>
    </dxf>
    <dxf>
      <font>
        <color rgb="FF800000"/>
      </font>
    </dxf>
    <dxf>
      <font>
        <color rgb="FF800000"/>
      </font>
    </dxf>
    <dxf>
      <font>
        <color rgb="FF80000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color rgb="FFFFC000"/>
      </font>
    </dxf>
    <dxf>
      <font>
        <color rgb="FFFFC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rgb="FFCCFFFF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b/>
        <i val="0"/>
        <color rgb="FF008000"/>
      </font>
    </dxf>
    <dxf>
      <font>
        <b/>
        <i val="0"/>
        <color rgb="FF008000"/>
      </font>
    </dxf>
    <dxf>
      <font>
        <color rgb="FF002060"/>
      </font>
    </dxf>
    <dxf>
      <font>
        <b/>
        <i val="0"/>
        <color rgb="FFC00000"/>
      </font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fgColor theme="0"/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00000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FFFFCC"/>
      <color rgb="FFCCECFF"/>
      <color rgb="FF800000"/>
      <color rgb="FFCCFFFF"/>
      <color rgb="FF663300"/>
      <color rgb="FF996633"/>
      <color rgb="FFFFCC00"/>
      <color rgb="FFFFCCCC"/>
      <color rgb="FFFFFF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5" fmlaLink="$L$15" max="18" min="7" page="10" val="10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Spin" dx="22" fmlaLink="NÍVEL.p" max="40" min="1" noThreeD="1" page="10"/>
</file>

<file path=xl/ctrlProps/ctrlProp14.xml><?xml version="1.0" encoding="utf-8"?>
<formControlPr xmlns="http://schemas.microsoft.com/office/spreadsheetml/2009/9/main" objectType="CheckBox" checked="Checked" fmlaLink="Engine!$M$36" lockText="1" noThreeD="1"/>
</file>

<file path=xl/ctrlProps/ctrlProp15.xml><?xml version="1.0" encoding="utf-8"?>
<formControlPr xmlns="http://schemas.microsoft.com/office/spreadsheetml/2009/9/main" objectType="Spin" dx="22" fmlaLink="nv.Classe.1" max="20" min="1" noThreeD="1" page="10"/>
</file>

<file path=xl/ctrlProps/ctrlProp16.xml><?xml version="1.0" encoding="utf-8"?>
<formControlPr xmlns="http://schemas.microsoft.com/office/spreadsheetml/2009/9/main" objectType="Spin" dx="22" fmlaLink="nv.Classe.2" max="20" noThreeD="1" page="10" val="0"/>
</file>

<file path=xl/ctrlProps/ctrlProp17.xml><?xml version="1.0" encoding="utf-8"?>
<formControlPr xmlns="http://schemas.microsoft.com/office/spreadsheetml/2009/9/main" objectType="Spin" dx="22" fmlaLink="nv.Classe.3" max="20" noThreeD="1" page="10" val="0"/>
</file>

<file path=xl/ctrlProps/ctrlProp18.xml><?xml version="1.0" encoding="utf-8"?>
<formControlPr xmlns="http://schemas.microsoft.com/office/spreadsheetml/2009/9/main" objectType="Spin" dx="22" fmlaLink="nv.Classe.4" max="20" noThreeD="1" page="10" val="0"/>
</file>

<file path=xl/ctrlProps/ctrlProp19.xml><?xml version="1.0" encoding="utf-8"?>
<formControlPr xmlns="http://schemas.microsoft.com/office/spreadsheetml/2009/9/main" objectType="Spin" dx="22" fmlaLink="nv.Classe.5" max="20" noThreeD="1" page="10" val="0"/>
</file>

<file path=xl/ctrlProps/ctrlProp2.xml><?xml version="1.0" encoding="utf-8"?>
<formControlPr xmlns="http://schemas.microsoft.com/office/spreadsheetml/2009/9/main" objectType="Spin" dx="15" fmlaLink="$L$18" max="18" min="7" page="10" val="10"/>
</file>

<file path=xl/ctrlProps/ctrlProp20.xml><?xml version="1.0" encoding="utf-8"?>
<formControlPr xmlns="http://schemas.microsoft.com/office/spreadsheetml/2009/9/main" objectType="Spin" dx="22" fmlaLink="nv.Classe.1.épico" max="20" noThreeD="1" page="10" val="0"/>
</file>

<file path=xl/ctrlProps/ctrlProp21.xml><?xml version="1.0" encoding="utf-8"?>
<formControlPr xmlns="http://schemas.microsoft.com/office/spreadsheetml/2009/9/main" objectType="Spin" dx="22" fmlaLink="nv.Classe.2.épico" max="20" noThreeD="1" page="10" val="0"/>
</file>

<file path=xl/ctrlProps/ctrlProp22.xml><?xml version="1.0" encoding="utf-8"?>
<formControlPr xmlns="http://schemas.microsoft.com/office/spreadsheetml/2009/9/main" objectType="Spin" dx="22" fmlaLink="nv.Classe.3.épico" max="20" noThreeD="1" page="10" val="0"/>
</file>

<file path=xl/ctrlProps/ctrlProp23.xml><?xml version="1.0" encoding="utf-8"?>
<formControlPr xmlns="http://schemas.microsoft.com/office/spreadsheetml/2009/9/main" objectType="Spin" dx="22" fmlaLink="nv.Classe.4.épico" max="20" noThreeD="1" page="10" val="0"/>
</file>

<file path=xl/ctrlProps/ctrlProp24.xml><?xml version="1.0" encoding="utf-8"?>
<formControlPr xmlns="http://schemas.microsoft.com/office/spreadsheetml/2009/9/main" objectType="Spin" dx="22" fmlaLink="nv.Classe.5.épico" max="20" noThreeD="1" page="10" val="0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Spin" dx="15" fmlaLink="$L$21" max="18" min="7" page="10" val="10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fmlaLink="Engine!$AF$4" lockText="1" noThreeD="1"/>
</file>

<file path=xl/ctrlProps/ctrlProp33.xml><?xml version="1.0" encoding="utf-8"?>
<formControlPr xmlns="http://schemas.microsoft.com/office/spreadsheetml/2009/9/main" objectType="CheckBox" fmlaLink="Engine!$AF$5" lockText="1" noThreeD="1"/>
</file>

<file path=xl/ctrlProps/ctrlProp34.xml><?xml version="1.0" encoding="utf-8"?>
<formControlPr xmlns="http://schemas.microsoft.com/office/spreadsheetml/2009/9/main" objectType="CheckBox" fmlaLink="Engine!$AF$6" lockText="1" noThreeD="1"/>
</file>

<file path=xl/ctrlProps/ctrlProp35.xml><?xml version="1.0" encoding="utf-8"?>
<formControlPr xmlns="http://schemas.microsoft.com/office/spreadsheetml/2009/9/main" objectType="CheckBox" fmlaLink="Engine!$AF$7" lockText="1" noThreeD="1"/>
</file>

<file path=xl/ctrlProps/ctrlProp36.xml><?xml version="1.0" encoding="utf-8"?>
<formControlPr xmlns="http://schemas.microsoft.com/office/spreadsheetml/2009/9/main" objectType="CheckBox" fmlaLink="Engine!$AF$8" lockText="1" noThreeD="1"/>
</file>

<file path=xl/ctrlProps/ctrlProp37.xml><?xml version="1.0" encoding="utf-8"?>
<formControlPr xmlns="http://schemas.microsoft.com/office/spreadsheetml/2009/9/main" objectType="CheckBox" fmlaLink="Engine!$AF$9" lockText="1" noThreeD="1"/>
</file>

<file path=xl/ctrlProps/ctrlProp38.xml><?xml version="1.0" encoding="utf-8"?>
<formControlPr xmlns="http://schemas.microsoft.com/office/spreadsheetml/2009/9/main" objectType="CheckBox" fmlaLink="Engine!$AF$10" lockText="1" noThreeD="1"/>
</file>

<file path=xl/ctrlProps/ctrlProp39.xml><?xml version="1.0" encoding="utf-8"?>
<formControlPr xmlns="http://schemas.microsoft.com/office/spreadsheetml/2009/9/main" objectType="CheckBox" fmlaLink="Engine!$AF$11" lockText="1" noThreeD="1"/>
</file>

<file path=xl/ctrlProps/ctrlProp4.xml><?xml version="1.0" encoding="utf-8"?>
<formControlPr xmlns="http://schemas.microsoft.com/office/spreadsheetml/2009/9/main" objectType="Spin" dx="15" fmlaLink="$L$24" max="18" min="7" page="10" val="10"/>
</file>

<file path=xl/ctrlProps/ctrlProp40.xml><?xml version="1.0" encoding="utf-8"?>
<formControlPr xmlns="http://schemas.microsoft.com/office/spreadsheetml/2009/9/main" objectType="CheckBox" fmlaLink="Engine!$AF$12" lockText="1" noThreeD="1"/>
</file>

<file path=xl/ctrlProps/ctrlProp41.xml><?xml version="1.0" encoding="utf-8"?>
<formControlPr xmlns="http://schemas.microsoft.com/office/spreadsheetml/2009/9/main" objectType="CheckBox" fmlaLink="Engine!$AF$13" lockText="1" noThreeD="1"/>
</file>

<file path=xl/ctrlProps/ctrlProp42.xml><?xml version="1.0" encoding="utf-8"?>
<formControlPr xmlns="http://schemas.microsoft.com/office/spreadsheetml/2009/9/main" objectType="CheckBox" fmlaLink="Engine!$AF$14" lockText="1" noThreeD="1"/>
</file>

<file path=xl/ctrlProps/ctrlProp43.xml><?xml version="1.0" encoding="utf-8"?>
<formControlPr xmlns="http://schemas.microsoft.com/office/spreadsheetml/2009/9/main" objectType="CheckBox" fmlaLink="Engine!$AF$15" lockText="1" noThreeD="1"/>
</file>

<file path=xl/ctrlProps/ctrlProp44.xml><?xml version="1.0" encoding="utf-8"?>
<formControlPr xmlns="http://schemas.microsoft.com/office/spreadsheetml/2009/9/main" objectType="CheckBox" fmlaLink="Engine!$AF$16" lockText="1" noThreeD="1"/>
</file>

<file path=xl/ctrlProps/ctrlProp45.xml><?xml version="1.0" encoding="utf-8"?>
<formControlPr xmlns="http://schemas.microsoft.com/office/spreadsheetml/2009/9/main" objectType="CheckBox" fmlaLink="Engine!$AF$17" lockText="1" noThreeD="1"/>
</file>

<file path=xl/ctrlProps/ctrlProp46.xml><?xml version="1.0" encoding="utf-8"?>
<formControlPr xmlns="http://schemas.microsoft.com/office/spreadsheetml/2009/9/main" objectType="CheckBox" fmlaLink="Engine!$AF$18" lockText="1" noThreeD="1"/>
</file>

<file path=xl/ctrlProps/ctrlProp47.xml><?xml version="1.0" encoding="utf-8"?>
<formControlPr xmlns="http://schemas.microsoft.com/office/spreadsheetml/2009/9/main" objectType="CheckBox" fmlaLink="Engine!$AF$19" lockText="1" noThreeD="1"/>
</file>

<file path=xl/ctrlProps/ctrlProp48.xml><?xml version="1.0" encoding="utf-8"?>
<formControlPr xmlns="http://schemas.microsoft.com/office/spreadsheetml/2009/9/main" objectType="CheckBox" fmlaLink="Engine!$AF$20" lockText="1" noThreeD="1"/>
</file>

<file path=xl/ctrlProps/ctrlProp49.xml><?xml version="1.0" encoding="utf-8"?>
<formControlPr xmlns="http://schemas.microsoft.com/office/spreadsheetml/2009/9/main" objectType="CheckBox" fmlaLink="Engine!$AF$21" lockText="1" noThreeD="1"/>
</file>

<file path=xl/ctrlProps/ctrlProp5.xml><?xml version="1.0" encoding="utf-8"?>
<formControlPr xmlns="http://schemas.microsoft.com/office/spreadsheetml/2009/9/main" objectType="Spin" dx="15" fmlaLink="$L$27" max="18" min="7" page="10" val="10"/>
</file>

<file path=xl/ctrlProps/ctrlProp50.xml><?xml version="1.0" encoding="utf-8"?>
<formControlPr xmlns="http://schemas.microsoft.com/office/spreadsheetml/2009/9/main" objectType="CheckBox" fmlaLink="Engine!$AF$22" lockText="1" noThreeD="1"/>
</file>

<file path=xl/ctrlProps/ctrlProp51.xml><?xml version="1.0" encoding="utf-8"?>
<formControlPr xmlns="http://schemas.microsoft.com/office/spreadsheetml/2009/9/main" objectType="CheckBox" fmlaLink="Engine!$AF$23" lockText="1" noThreeD="1"/>
</file>

<file path=xl/ctrlProps/ctrlProp52.xml><?xml version="1.0" encoding="utf-8"?>
<formControlPr xmlns="http://schemas.microsoft.com/office/spreadsheetml/2009/9/main" objectType="CheckBox" fmlaLink="Engine!$AF$24" lockText="1" noThreeD="1"/>
</file>

<file path=xl/ctrlProps/ctrlProp53.xml><?xml version="1.0" encoding="utf-8"?>
<formControlPr xmlns="http://schemas.microsoft.com/office/spreadsheetml/2009/9/main" objectType="CheckBox" fmlaLink="Engine!$AF$25" lockText="1" noThreeD="1"/>
</file>

<file path=xl/ctrlProps/ctrlProp54.xml><?xml version="1.0" encoding="utf-8"?>
<formControlPr xmlns="http://schemas.microsoft.com/office/spreadsheetml/2009/9/main" objectType="CheckBox" fmlaLink="Engine!$AF$26" lockText="1" noThreeD="1"/>
</file>

<file path=xl/ctrlProps/ctrlProp55.xml><?xml version="1.0" encoding="utf-8"?>
<formControlPr xmlns="http://schemas.microsoft.com/office/spreadsheetml/2009/9/main" objectType="CheckBox" fmlaLink="Engine!$AF$28" lockText="1" noThreeD="1"/>
</file>

<file path=xl/ctrlProps/ctrlProp56.xml><?xml version="1.0" encoding="utf-8"?>
<formControlPr xmlns="http://schemas.microsoft.com/office/spreadsheetml/2009/9/main" objectType="CheckBox" fmlaLink="Engine!$AF$29" lockText="1" noThreeD="1"/>
</file>

<file path=xl/ctrlProps/ctrlProp57.xml><?xml version="1.0" encoding="utf-8"?>
<formControlPr xmlns="http://schemas.microsoft.com/office/spreadsheetml/2009/9/main" objectType="Spin" dx="22" fmlaLink="$AQ$42" max="999" noThreeD="1" page="10" val="0"/>
</file>

<file path=xl/ctrlProps/ctrlProp58.xml><?xml version="1.0" encoding="utf-8"?>
<formControlPr xmlns="http://schemas.microsoft.com/office/spreadsheetml/2009/9/main" objectType="Spin" dx="22" fmlaLink="$AQ$46" max="999" noThreeD="1" page="10" val="0"/>
</file>

<file path=xl/ctrlProps/ctrlProp59.xml><?xml version="1.0" encoding="utf-8"?>
<formControlPr xmlns="http://schemas.microsoft.com/office/spreadsheetml/2009/9/main" objectType="Spin" dx="22" fmlaLink="$AQ$50" max="999" noThreeD="1" page="10" val="0"/>
</file>

<file path=xl/ctrlProps/ctrlProp6.xml><?xml version="1.0" encoding="utf-8"?>
<formControlPr xmlns="http://schemas.microsoft.com/office/spreadsheetml/2009/9/main" objectType="Spin" dx="15" fmlaLink="$L$30" max="18" min="7" page="10" val="10"/>
</file>

<file path=xl/ctrlProps/ctrlProp60.xml><?xml version="1.0" encoding="utf-8"?>
<formControlPr xmlns="http://schemas.microsoft.com/office/spreadsheetml/2009/9/main" objectType="Spin" dx="22" fmlaLink="$AQ$54" max="999" noThreeD="1" page="10" val="0"/>
</file>

<file path=xl/ctrlProps/ctrlProp61.xml><?xml version="1.0" encoding="utf-8"?>
<formControlPr xmlns="http://schemas.microsoft.com/office/spreadsheetml/2009/9/main" objectType="Spin" dx="22" fmlaLink="$AQ$54" max="999" noThreeD="1" page="10" val="0"/>
</file>

<file path=xl/ctrlProps/ctrlProp62.xml><?xml version="1.0" encoding="utf-8"?>
<formControlPr xmlns="http://schemas.microsoft.com/office/spreadsheetml/2009/9/main" objectType="Spin" dx="22" fmlaLink="$AQ$54" max="999" noThreeD="1" page="10" val="0"/>
</file>

<file path=xl/ctrlProps/ctrlProp63.xml><?xml version="1.0" encoding="utf-8"?>
<formControlPr xmlns="http://schemas.microsoft.com/office/spreadsheetml/2009/9/main" objectType="Spin" dx="22" fmlaLink="$AQ$54" max="999" noThreeD="1" page="10" val="0"/>
</file>

<file path=xl/ctrlProps/ctrlProp64.xml><?xml version="1.0" encoding="utf-8"?>
<formControlPr xmlns="http://schemas.microsoft.com/office/spreadsheetml/2009/9/main" objectType="CheckBox" fmlaLink="Engine!$AF$27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fmlaLink="Engine!$M$35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19050</xdr:colOff>
          <xdr:row>14</xdr:row>
          <xdr:rowOff>47625</xdr:rowOff>
        </xdr:from>
        <xdr:to>
          <xdr:col>16</xdr:col>
          <xdr:colOff>47625</xdr:colOff>
          <xdr:row>16</xdr:row>
          <xdr:rowOff>85725</xdr:rowOff>
        </xdr:to>
        <xdr:sp macro="" textlink="">
          <xdr:nvSpPr>
            <xdr:cNvPr id="3080" name="Spinner_For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19050</xdr:colOff>
          <xdr:row>17</xdr:row>
          <xdr:rowOff>47625</xdr:rowOff>
        </xdr:from>
        <xdr:to>
          <xdr:col>16</xdr:col>
          <xdr:colOff>47625</xdr:colOff>
          <xdr:row>19</xdr:row>
          <xdr:rowOff>85725</xdr:rowOff>
        </xdr:to>
        <xdr:sp macro="" textlink="">
          <xdr:nvSpPr>
            <xdr:cNvPr id="3086" name="Spinner_Des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19050</xdr:colOff>
          <xdr:row>20</xdr:row>
          <xdr:rowOff>47625</xdr:rowOff>
        </xdr:from>
        <xdr:to>
          <xdr:col>16</xdr:col>
          <xdr:colOff>47625</xdr:colOff>
          <xdr:row>22</xdr:row>
          <xdr:rowOff>85725</xdr:rowOff>
        </xdr:to>
        <xdr:sp macro="" textlink="">
          <xdr:nvSpPr>
            <xdr:cNvPr id="3087" name="Spinner_Con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19050</xdr:colOff>
          <xdr:row>23</xdr:row>
          <xdr:rowOff>47625</xdr:rowOff>
        </xdr:from>
        <xdr:to>
          <xdr:col>16</xdr:col>
          <xdr:colOff>47625</xdr:colOff>
          <xdr:row>25</xdr:row>
          <xdr:rowOff>85725</xdr:rowOff>
        </xdr:to>
        <xdr:sp macro="" textlink="">
          <xdr:nvSpPr>
            <xdr:cNvPr id="3088" name="Spinner_Int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19050</xdr:colOff>
          <xdr:row>26</xdr:row>
          <xdr:rowOff>47625</xdr:rowOff>
        </xdr:from>
        <xdr:to>
          <xdr:col>16</xdr:col>
          <xdr:colOff>47625</xdr:colOff>
          <xdr:row>28</xdr:row>
          <xdr:rowOff>85725</xdr:rowOff>
        </xdr:to>
        <xdr:sp macro="" textlink="">
          <xdr:nvSpPr>
            <xdr:cNvPr id="3089" name="Spinner_Sab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19050</xdr:colOff>
          <xdr:row>29</xdr:row>
          <xdr:rowOff>47625</xdr:rowOff>
        </xdr:from>
        <xdr:to>
          <xdr:col>16</xdr:col>
          <xdr:colOff>47625</xdr:colOff>
          <xdr:row>31</xdr:row>
          <xdr:rowOff>85725</xdr:rowOff>
        </xdr:to>
        <xdr:sp macro="" textlink="">
          <xdr:nvSpPr>
            <xdr:cNvPr id="3090" name="Spinner_Car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15</xdr:row>
          <xdr:rowOff>76200</xdr:rowOff>
        </xdr:from>
        <xdr:to>
          <xdr:col>8</xdr:col>
          <xdr:colOff>85725</xdr:colOff>
          <xdr:row>17</xdr:row>
          <xdr:rowOff>47625</xdr:rowOff>
        </xdr:to>
        <xdr:sp macro="" textlink="">
          <xdr:nvSpPr>
            <xdr:cNvPr id="3094" name="sem valor For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18</xdr:row>
          <xdr:rowOff>76200</xdr:rowOff>
        </xdr:from>
        <xdr:to>
          <xdr:col>8</xdr:col>
          <xdr:colOff>85725</xdr:colOff>
          <xdr:row>20</xdr:row>
          <xdr:rowOff>47625</xdr:rowOff>
        </xdr:to>
        <xdr:sp macro="" textlink="">
          <xdr:nvSpPr>
            <xdr:cNvPr id="3095" name="sem valor Des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76200</xdr:rowOff>
        </xdr:from>
        <xdr:to>
          <xdr:col>4</xdr:col>
          <xdr:colOff>76200</xdr:colOff>
          <xdr:row>22</xdr:row>
          <xdr:rowOff>47625</xdr:rowOff>
        </xdr:to>
        <xdr:sp macro="" textlink="">
          <xdr:nvSpPr>
            <xdr:cNvPr id="3096" name="sem valor Con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24</xdr:row>
          <xdr:rowOff>76200</xdr:rowOff>
        </xdr:from>
        <xdr:to>
          <xdr:col>8</xdr:col>
          <xdr:colOff>85725</xdr:colOff>
          <xdr:row>26</xdr:row>
          <xdr:rowOff>47625</xdr:rowOff>
        </xdr:to>
        <xdr:sp macro="" textlink="">
          <xdr:nvSpPr>
            <xdr:cNvPr id="3097" name="sem valor Int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27</xdr:row>
          <xdr:rowOff>76200</xdr:rowOff>
        </xdr:from>
        <xdr:to>
          <xdr:col>8</xdr:col>
          <xdr:colOff>85725</xdr:colOff>
          <xdr:row>29</xdr:row>
          <xdr:rowOff>47625</xdr:rowOff>
        </xdr:to>
        <xdr:sp macro="" textlink="">
          <xdr:nvSpPr>
            <xdr:cNvPr id="3098" name="sem valor Sab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30</xdr:row>
          <xdr:rowOff>76200</xdr:rowOff>
        </xdr:from>
        <xdr:to>
          <xdr:col>8</xdr:col>
          <xdr:colOff>85725</xdr:colOff>
          <xdr:row>32</xdr:row>
          <xdr:rowOff>47625</xdr:rowOff>
        </xdr:to>
        <xdr:sp macro="" textlink="">
          <xdr:nvSpPr>
            <xdr:cNvPr id="3099" name="sem valor Car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76</xdr:col>
          <xdr:colOff>28575</xdr:colOff>
          <xdr:row>3</xdr:row>
          <xdr:rowOff>104775</xdr:rowOff>
        </xdr:from>
        <xdr:to>
          <xdr:col>77</xdr:col>
          <xdr:colOff>57150</xdr:colOff>
          <xdr:row>6</xdr:row>
          <xdr:rowOff>19050</xdr:rowOff>
        </xdr:to>
        <xdr:sp macro="" textlink="">
          <xdr:nvSpPr>
            <xdr:cNvPr id="3111" name="Spinner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23</xdr:row>
          <xdr:rowOff>85725</xdr:rowOff>
        </xdr:from>
        <xdr:to>
          <xdr:col>4</xdr:col>
          <xdr:colOff>85725</xdr:colOff>
          <xdr:row>25</xdr:row>
          <xdr:rowOff>57150</xdr:rowOff>
        </xdr:to>
        <xdr:sp macro="" textlink="">
          <xdr:nvSpPr>
            <xdr:cNvPr id="3113" name="sem valor Con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28575</xdr:colOff>
          <xdr:row>14</xdr:row>
          <xdr:rowOff>76200</xdr:rowOff>
        </xdr:from>
        <xdr:to>
          <xdr:col>36</xdr:col>
          <xdr:colOff>38100</xdr:colOff>
          <xdr:row>17</xdr:row>
          <xdr:rowOff>9525</xdr:rowOff>
        </xdr:to>
        <xdr:sp macro="" textlink="">
          <xdr:nvSpPr>
            <xdr:cNvPr id="27663" name="Spinner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28575</xdr:colOff>
          <xdr:row>17</xdr:row>
          <xdr:rowOff>76200</xdr:rowOff>
        </xdr:from>
        <xdr:to>
          <xdr:col>36</xdr:col>
          <xdr:colOff>38100</xdr:colOff>
          <xdr:row>20</xdr:row>
          <xdr:rowOff>9525</xdr:rowOff>
        </xdr:to>
        <xdr:sp macro="" textlink="">
          <xdr:nvSpPr>
            <xdr:cNvPr id="27664" name="Spinner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28575</xdr:colOff>
          <xdr:row>20</xdr:row>
          <xdr:rowOff>76200</xdr:rowOff>
        </xdr:from>
        <xdr:to>
          <xdr:col>36</xdr:col>
          <xdr:colOff>38100</xdr:colOff>
          <xdr:row>23</xdr:row>
          <xdr:rowOff>9525</xdr:rowOff>
        </xdr:to>
        <xdr:sp macro="" textlink="">
          <xdr:nvSpPr>
            <xdr:cNvPr id="27665" name="Spinner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28575</xdr:colOff>
          <xdr:row>23</xdr:row>
          <xdr:rowOff>76200</xdr:rowOff>
        </xdr:from>
        <xdr:to>
          <xdr:col>36</xdr:col>
          <xdr:colOff>38100</xdr:colOff>
          <xdr:row>26</xdr:row>
          <xdr:rowOff>9525</xdr:rowOff>
        </xdr:to>
        <xdr:sp macro="" textlink="">
          <xdr:nvSpPr>
            <xdr:cNvPr id="27667" name="Spinner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28575</xdr:colOff>
          <xdr:row>26</xdr:row>
          <xdr:rowOff>76200</xdr:rowOff>
        </xdr:from>
        <xdr:to>
          <xdr:col>36</xdr:col>
          <xdr:colOff>38100</xdr:colOff>
          <xdr:row>29</xdr:row>
          <xdr:rowOff>9525</xdr:rowOff>
        </xdr:to>
        <xdr:sp macro="" textlink="">
          <xdr:nvSpPr>
            <xdr:cNvPr id="27668" name="Spinner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28575</xdr:colOff>
          <xdr:row>14</xdr:row>
          <xdr:rowOff>76200</xdr:rowOff>
        </xdr:from>
        <xdr:to>
          <xdr:col>57</xdr:col>
          <xdr:colOff>38100</xdr:colOff>
          <xdr:row>17</xdr:row>
          <xdr:rowOff>9525</xdr:rowOff>
        </xdr:to>
        <xdr:sp macro="" textlink="">
          <xdr:nvSpPr>
            <xdr:cNvPr id="27679" name="Spinner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28575</xdr:colOff>
          <xdr:row>17</xdr:row>
          <xdr:rowOff>76200</xdr:rowOff>
        </xdr:from>
        <xdr:to>
          <xdr:col>57</xdr:col>
          <xdr:colOff>38100</xdr:colOff>
          <xdr:row>20</xdr:row>
          <xdr:rowOff>9525</xdr:rowOff>
        </xdr:to>
        <xdr:sp macro="" textlink="">
          <xdr:nvSpPr>
            <xdr:cNvPr id="27680" name="Spinner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28575</xdr:colOff>
          <xdr:row>20</xdr:row>
          <xdr:rowOff>76200</xdr:rowOff>
        </xdr:from>
        <xdr:to>
          <xdr:col>57</xdr:col>
          <xdr:colOff>38100</xdr:colOff>
          <xdr:row>23</xdr:row>
          <xdr:rowOff>9525</xdr:rowOff>
        </xdr:to>
        <xdr:sp macro="" textlink="">
          <xdr:nvSpPr>
            <xdr:cNvPr id="27681" name="Spinner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28575</xdr:colOff>
          <xdr:row>23</xdr:row>
          <xdr:rowOff>76200</xdr:rowOff>
        </xdr:from>
        <xdr:to>
          <xdr:col>57</xdr:col>
          <xdr:colOff>38100</xdr:colOff>
          <xdr:row>26</xdr:row>
          <xdr:rowOff>9525</xdr:rowOff>
        </xdr:to>
        <xdr:sp macro="" textlink="">
          <xdr:nvSpPr>
            <xdr:cNvPr id="27682" name="Spinner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28575</xdr:colOff>
          <xdr:row>26</xdr:row>
          <xdr:rowOff>76200</xdr:rowOff>
        </xdr:from>
        <xdr:to>
          <xdr:col>57</xdr:col>
          <xdr:colOff>38100</xdr:colOff>
          <xdr:row>29</xdr:row>
          <xdr:rowOff>9525</xdr:rowOff>
        </xdr:to>
        <xdr:sp macro="" textlink="">
          <xdr:nvSpPr>
            <xdr:cNvPr id="27683" name="Spinner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68</xdr:col>
      <xdr:colOff>85726</xdr:colOff>
      <xdr:row>0</xdr:row>
      <xdr:rowOff>0</xdr:rowOff>
    </xdr:from>
    <xdr:to>
      <xdr:col>79</xdr:col>
      <xdr:colOff>66676</xdr:colOff>
      <xdr:row>4</xdr:row>
      <xdr:rowOff>78921</xdr:rowOff>
    </xdr:to>
    <xdr:pic>
      <xdr:nvPicPr>
        <xdr:cNvPr id="2" name="Logo TR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6" y="0"/>
          <a:ext cx="1238250" cy="4599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34</xdr:row>
          <xdr:rowOff>28575</xdr:rowOff>
        </xdr:from>
        <xdr:to>
          <xdr:col>14</xdr:col>
          <xdr:colOff>28575</xdr:colOff>
          <xdr:row>36</xdr:row>
          <xdr:rowOff>57150</xdr:rowOff>
        </xdr:to>
        <xdr:sp macro="" textlink="">
          <xdr:nvSpPr>
            <xdr:cNvPr id="13314" name="Pt. de Ação 1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34</xdr:row>
          <xdr:rowOff>28575</xdr:rowOff>
        </xdr:from>
        <xdr:to>
          <xdr:col>16</xdr:col>
          <xdr:colOff>28575</xdr:colOff>
          <xdr:row>36</xdr:row>
          <xdr:rowOff>57150</xdr:rowOff>
        </xdr:to>
        <xdr:sp macro="" textlink="">
          <xdr:nvSpPr>
            <xdr:cNvPr id="13318" name="Pt. de Ação 2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34</xdr:row>
          <xdr:rowOff>28575</xdr:rowOff>
        </xdr:from>
        <xdr:to>
          <xdr:col>18</xdr:col>
          <xdr:colOff>28575</xdr:colOff>
          <xdr:row>36</xdr:row>
          <xdr:rowOff>57150</xdr:rowOff>
        </xdr:to>
        <xdr:sp macro="" textlink="">
          <xdr:nvSpPr>
            <xdr:cNvPr id="13319" name="Pt. de Ação 3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34</xdr:row>
          <xdr:rowOff>28575</xdr:rowOff>
        </xdr:from>
        <xdr:to>
          <xdr:col>20</xdr:col>
          <xdr:colOff>28575</xdr:colOff>
          <xdr:row>36</xdr:row>
          <xdr:rowOff>57150</xdr:rowOff>
        </xdr:to>
        <xdr:sp macro="" textlink="">
          <xdr:nvSpPr>
            <xdr:cNvPr id="13320" name="Pt. de Ação 4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66675</xdr:colOff>
          <xdr:row>34</xdr:row>
          <xdr:rowOff>28575</xdr:rowOff>
        </xdr:from>
        <xdr:to>
          <xdr:col>22</xdr:col>
          <xdr:colOff>28575</xdr:colOff>
          <xdr:row>36</xdr:row>
          <xdr:rowOff>57150</xdr:rowOff>
        </xdr:to>
        <xdr:sp macro="" textlink="">
          <xdr:nvSpPr>
            <xdr:cNvPr id="13321" name="Pt. de Ação 5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66675</xdr:colOff>
          <xdr:row>34</xdr:row>
          <xdr:rowOff>28575</xdr:rowOff>
        </xdr:from>
        <xdr:to>
          <xdr:col>24</xdr:col>
          <xdr:colOff>28575</xdr:colOff>
          <xdr:row>36</xdr:row>
          <xdr:rowOff>57150</xdr:rowOff>
        </xdr:to>
        <xdr:sp macro="" textlink="">
          <xdr:nvSpPr>
            <xdr:cNvPr id="13322" name="Pt. de Ação 6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66675</xdr:colOff>
          <xdr:row>34</xdr:row>
          <xdr:rowOff>28575</xdr:rowOff>
        </xdr:from>
        <xdr:to>
          <xdr:col>26</xdr:col>
          <xdr:colOff>28575</xdr:colOff>
          <xdr:row>36</xdr:row>
          <xdr:rowOff>57150</xdr:rowOff>
        </xdr:to>
        <xdr:sp macro="" textlink="">
          <xdr:nvSpPr>
            <xdr:cNvPr id="13323" name="Pt. de Ação 7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16</xdr:row>
          <xdr:rowOff>76200</xdr:rowOff>
        </xdr:from>
        <xdr:to>
          <xdr:col>49</xdr:col>
          <xdr:colOff>76200</xdr:colOff>
          <xdr:row>19</xdr:row>
          <xdr:rowOff>9525</xdr:rowOff>
        </xdr:to>
        <xdr:sp macro="" textlink="">
          <xdr:nvSpPr>
            <xdr:cNvPr id="13324" name="Acrobacia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18</xdr:row>
          <xdr:rowOff>76200</xdr:rowOff>
        </xdr:from>
        <xdr:to>
          <xdr:col>49</xdr:col>
          <xdr:colOff>76200</xdr:colOff>
          <xdr:row>21</xdr:row>
          <xdr:rowOff>9525</xdr:rowOff>
        </xdr:to>
        <xdr:sp macro="" textlink="">
          <xdr:nvSpPr>
            <xdr:cNvPr id="13325" name="Adestrar Animais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20</xdr:row>
          <xdr:rowOff>76200</xdr:rowOff>
        </xdr:from>
        <xdr:to>
          <xdr:col>49</xdr:col>
          <xdr:colOff>76200</xdr:colOff>
          <xdr:row>23</xdr:row>
          <xdr:rowOff>9525</xdr:rowOff>
        </xdr:to>
        <xdr:sp macro="" textlink="">
          <xdr:nvSpPr>
            <xdr:cNvPr id="13326" name="Atletismo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22</xdr:row>
          <xdr:rowOff>76200</xdr:rowOff>
        </xdr:from>
        <xdr:to>
          <xdr:col>49</xdr:col>
          <xdr:colOff>76200</xdr:colOff>
          <xdr:row>25</xdr:row>
          <xdr:rowOff>9525</xdr:rowOff>
        </xdr:to>
        <xdr:sp macro="" textlink="">
          <xdr:nvSpPr>
            <xdr:cNvPr id="13327" name="Atuação [1]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24</xdr:row>
          <xdr:rowOff>76200</xdr:rowOff>
        </xdr:from>
        <xdr:to>
          <xdr:col>49</xdr:col>
          <xdr:colOff>76200</xdr:colOff>
          <xdr:row>27</xdr:row>
          <xdr:rowOff>9525</xdr:rowOff>
        </xdr:to>
        <xdr:sp macro="" textlink="">
          <xdr:nvSpPr>
            <xdr:cNvPr id="13328" name="Atuação [2]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26</xdr:row>
          <xdr:rowOff>76200</xdr:rowOff>
        </xdr:from>
        <xdr:to>
          <xdr:col>49</xdr:col>
          <xdr:colOff>76200</xdr:colOff>
          <xdr:row>29</xdr:row>
          <xdr:rowOff>9525</xdr:rowOff>
        </xdr:to>
        <xdr:sp macro="" textlink="">
          <xdr:nvSpPr>
            <xdr:cNvPr id="13329" name="Cavalgar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28</xdr:row>
          <xdr:rowOff>76200</xdr:rowOff>
        </xdr:from>
        <xdr:to>
          <xdr:col>49</xdr:col>
          <xdr:colOff>76200</xdr:colOff>
          <xdr:row>31</xdr:row>
          <xdr:rowOff>9525</xdr:rowOff>
        </xdr:to>
        <xdr:sp macro="" textlink="">
          <xdr:nvSpPr>
            <xdr:cNvPr id="13330" name="Conhecimento [1]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30</xdr:row>
          <xdr:rowOff>76200</xdr:rowOff>
        </xdr:from>
        <xdr:to>
          <xdr:col>49</xdr:col>
          <xdr:colOff>76200</xdr:colOff>
          <xdr:row>33</xdr:row>
          <xdr:rowOff>9525</xdr:rowOff>
        </xdr:to>
        <xdr:sp macro="" textlink="">
          <xdr:nvSpPr>
            <xdr:cNvPr id="13331" name="Conhecimento [2]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32</xdr:row>
          <xdr:rowOff>76200</xdr:rowOff>
        </xdr:from>
        <xdr:to>
          <xdr:col>49</xdr:col>
          <xdr:colOff>76200</xdr:colOff>
          <xdr:row>35</xdr:row>
          <xdr:rowOff>9525</xdr:rowOff>
        </xdr:to>
        <xdr:sp macro="" textlink="">
          <xdr:nvSpPr>
            <xdr:cNvPr id="13332" name="Conhecimento [3]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34</xdr:row>
          <xdr:rowOff>76200</xdr:rowOff>
        </xdr:from>
        <xdr:to>
          <xdr:col>49</xdr:col>
          <xdr:colOff>76200</xdr:colOff>
          <xdr:row>37</xdr:row>
          <xdr:rowOff>9525</xdr:rowOff>
        </xdr:to>
        <xdr:sp macro="" textlink="">
          <xdr:nvSpPr>
            <xdr:cNvPr id="13333" name="Cura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36</xdr:row>
          <xdr:rowOff>76200</xdr:rowOff>
        </xdr:from>
        <xdr:to>
          <xdr:col>49</xdr:col>
          <xdr:colOff>76200</xdr:colOff>
          <xdr:row>39</xdr:row>
          <xdr:rowOff>9525</xdr:rowOff>
        </xdr:to>
        <xdr:sp macro="" textlink="">
          <xdr:nvSpPr>
            <xdr:cNvPr id="13334" name="Diplomacia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38</xdr:row>
          <xdr:rowOff>76200</xdr:rowOff>
        </xdr:from>
        <xdr:to>
          <xdr:col>49</xdr:col>
          <xdr:colOff>76200</xdr:colOff>
          <xdr:row>41</xdr:row>
          <xdr:rowOff>9525</xdr:rowOff>
        </xdr:to>
        <xdr:sp macro="" textlink="">
          <xdr:nvSpPr>
            <xdr:cNvPr id="13335" name="Enganação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40</xdr:row>
          <xdr:rowOff>76200</xdr:rowOff>
        </xdr:from>
        <xdr:to>
          <xdr:col>49</xdr:col>
          <xdr:colOff>76200</xdr:colOff>
          <xdr:row>43</xdr:row>
          <xdr:rowOff>9525</xdr:rowOff>
        </xdr:to>
        <xdr:sp macro="" textlink="">
          <xdr:nvSpPr>
            <xdr:cNvPr id="13336" name="Furtividade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42</xdr:row>
          <xdr:rowOff>76200</xdr:rowOff>
        </xdr:from>
        <xdr:to>
          <xdr:col>49</xdr:col>
          <xdr:colOff>76200</xdr:colOff>
          <xdr:row>45</xdr:row>
          <xdr:rowOff>9525</xdr:rowOff>
        </xdr:to>
        <xdr:sp macro="" textlink="">
          <xdr:nvSpPr>
            <xdr:cNvPr id="13337" name="Identificar Magia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44</xdr:row>
          <xdr:rowOff>76200</xdr:rowOff>
        </xdr:from>
        <xdr:to>
          <xdr:col>49</xdr:col>
          <xdr:colOff>76200</xdr:colOff>
          <xdr:row>47</xdr:row>
          <xdr:rowOff>9525</xdr:rowOff>
        </xdr:to>
        <xdr:sp macro="" textlink="">
          <xdr:nvSpPr>
            <xdr:cNvPr id="13338" name="Iniciativa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46</xdr:row>
          <xdr:rowOff>76200</xdr:rowOff>
        </xdr:from>
        <xdr:to>
          <xdr:col>49</xdr:col>
          <xdr:colOff>76200</xdr:colOff>
          <xdr:row>49</xdr:row>
          <xdr:rowOff>9525</xdr:rowOff>
        </xdr:to>
        <xdr:sp macro="" textlink="">
          <xdr:nvSpPr>
            <xdr:cNvPr id="13339" name="Intimidação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48</xdr:row>
          <xdr:rowOff>76200</xdr:rowOff>
        </xdr:from>
        <xdr:to>
          <xdr:col>49</xdr:col>
          <xdr:colOff>76200</xdr:colOff>
          <xdr:row>51</xdr:row>
          <xdr:rowOff>9525</xdr:rowOff>
        </xdr:to>
        <xdr:sp macro="" textlink="">
          <xdr:nvSpPr>
            <xdr:cNvPr id="13340" name="Intuição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52</xdr:row>
          <xdr:rowOff>57150</xdr:rowOff>
        </xdr:from>
        <xdr:to>
          <xdr:col>49</xdr:col>
          <xdr:colOff>76200</xdr:colOff>
          <xdr:row>54</xdr:row>
          <xdr:rowOff>85725</xdr:rowOff>
        </xdr:to>
        <xdr:sp macro="" textlink="">
          <xdr:nvSpPr>
            <xdr:cNvPr id="13341" name="Ladinagem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54</xdr:row>
          <xdr:rowOff>76200</xdr:rowOff>
        </xdr:from>
        <xdr:to>
          <xdr:col>49</xdr:col>
          <xdr:colOff>76200</xdr:colOff>
          <xdr:row>57</xdr:row>
          <xdr:rowOff>9525</xdr:rowOff>
        </xdr:to>
        <xdr:sp macro="" textlink="">
          <xdr:nvSpPr>
            <xdr:cNvPr id="13342" name="Obter Informação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56</xdr:row>
          <xdr:rowOff>76200</xdr:rowOff>
        </xdr:from>
        <xdr:to>
          <xdr:col>49</xdr:col>
          <xdr:colOff>76200</xdr:colOff>
          <xdr:row>59</xdr:row>
          <xdr:rowOff>9525</xdr:rowOff>
        </xdr:to>
        <xdr:sp macro="" textlink="">
          <xdr:nvSpPr>
            <xdr:cNvPr id="13343" name="Ofício [1]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58</xdr:row>
          <xdr:rowOff>76200</xdr:rowOff>
        </xdr:from>
        <xdr:to>
          <xdr:col>49</xdr:col>
          <xdr:colOff>76200</xdr:colOff>
          <xdr:row>61</xdr:row>
          <xdr:rowOff>9525</xdr:rowOff>
        </xdr:to>
        <xdr:sp macro="" textlink="">
          <xdr:nvSpPr>
            <xdr:cNvPr id="13344" name="Ofício [2]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60</xdr:row>
          <xdr:rowOff>76200</xdr:rowOff>
        </xdr:from>
        <xdr:to>
          <xdr:col>49</xdr:col>
          <xdr:colOff>76200</xdr:colOff>
          <xdr:row>63</xdr:row>
          <xdr:rowOff>9525</xdr:rowOff>
        </xdr:to>
        <xdr:sp macro="" textlink="">
          <xdr:nvSpPr>
            <xdr:cNvPr id="13345" name="Percepção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62</xdr:row>
          <xdr:rowOff>76200</xdr:rowOff>
        </xdr:from>
        <xdr:to>
          <xdr:col>49</xdr:col>
          <xdr:colOff>76200</xdr:colOff>
          <xdr:row>65</xdr:row>
          <xdr:rowOff>9525</xdr:rowOff>
        </xdr:to>
        <xdr:sp macro="" textlink="">
          <xdr:nvSpPr>
            <xdr:cNvPr id="13346" name="Sobrevivência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64</xdr:row>
          <xdr:rowOff>76200</xdr:rowOff>
        </xdr:from>
        <xdr:to>
          <xdr:col>49</xdr:col>
          <xdr:colOff>76200</xdr:colOff>
          <xdr:row>67</xdr:row>
          <xdr:rowOff>9525</xdr:rowOff>
        </xdr:to>
        <xdr:sp macro="" textlink="">
          <xdr:nvSpPr>
            <xdr:cNvPr id="13347" name="Customizada [1]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66</xdr:row>
          <xdr:rowOff>76200</xdr:rowOff>
        </xdr:from>
        <xdr:to>
          <xdr:col>49</xdr:col>
          <xdr:colOff>76200</xdr:colOff>
          <xdr:row>69</xdr:row>
          <xdr:rowOff>9525</xdr:rowOff>
        </xdr:to>
        <xdr:sp macro="" textlink="">
          <xdr:nvSpPr>
            <xdr:cNvPr id="13348" name="Customizada [2]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0</xdr:colOff>
          <xdr:row>41</xdr:row>
          <xdr:rowOff>0</xdr:rowOff>
        </xdr:from>
        <xdr:to>
          <xdr:col>44</xdr:col>
          <xdr:colOff>104775</xdr:colOff>
          <xdr:row>42</xdr:row>
          <xdr:rowOff>85725</xdr:rowOff>
        </xdr:to>
        <xdr:sp macro="" textlink="">
          <xdr:nvSpPr>
            <xdr:cNvPr id="13365" name="Spinner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0</xdr:colOff>
          <xdr:row>45</xdr:row>
          <xdr:rowOff>0</xdr:rowOff>
        </xdr:from>
        <xdr:to>
          <xdr:col>44</xdr:col>
          <xdr:colOff>104775</xdr:colOff>
          <xdr:row>46</xdr:row>
          <xdr:rowOff>85725</xdr:rowOff>
        </xdr:to>
        <xdr:sp macro="" textlink="">
          <xdr:nvSpPr>
            <xdr:cNvPr id="13368" name="Spinner 56" hidden="1">
              <a:extLst>
                <a:ext uri="{63B3BB69-23CF-44E3-9099-C40C66FF867C}">
                  <a14:compatExt spid="_x0000_s13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0</xdr:colOff>
          <xdr:row>49</xdr:row>
          <xdr:rowOff>0</xdr:rowOff>
        </xdr:from>
        <xdr:to>
          <xdr:col>44</xdr:col>
          <xdr:colOff>104775</xdr:colOff>
          <xdr:row>50</xdr:row>
          <xdr:rowOff>85725</xdr:rowOff>
        </xdr:to>
        <xdr:sp macro="" textlink="">
          <xdr:nvSpPr>
            <xdr:cNvPr id="13369" name="Spinner 57" hidden="1">
              <a:extLst>
                <a:ext uri="{63B3BB69-23CF-44E3-9099-C40C66FF867C}">
                  <a14:compatExt spid="_x0000_s13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0</xdr:colOff>
          <xdr:row>53</xdr:row>
          <xdr:rowOff>0</xdr:rowOff>
        </xdr:from>
        <xdr:to>
          <xdr:col>44</xdr:col>
          <xdr:colOff>104775</xdr:colOff>
          <xdr:row>54</xdr:row>
          <xdr:rowOff>85725</xdr:rowOff>
        </xdr:to>
        <xdr:sp macro="" textlink="">
          <xdr:nvSpPr>
            <xdr:cNvPr id="13370" name="Spinner 58" hidden="1">
              <a:extLst>
                <a:ext uri="{63B3BB69-23CF-44E3-9099-C40C66FF867C}">
                  <a14:compatExt spid="_x0000_s13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0</xdr:colOff>
          <xdr:row>57</xdr:row>
          <xdr:rowOff>0</xdr:rowOff>
        </xdr:from>
        <xdr:to>
          <xdr:col>44</xdr:col>
          <xdr:colOff>104775</xdr:colOff>
          <xdr:row>58</xdr:row>
          <xdr:rowOff>85725</xdr:rowOff>
        </xdr:to>
        <xdr:sp macro="" textlink="">
          <xdr:nvSpPr>
            <xdr:cNvPr id="13372" name="Spinner 60" hidden="1">
              <a:extLst>
                <a:ext uri="{63B3BB69-23CF-44E3-9099-C40C66FF867C}">
                  <a14:compatExt spid="_x0000_s13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0</xdr:colOff>
          <xdr:row>61</xdr:row>
          <xdr:rowOff>0</xdr:rowOff>
        </xdr:from>
        <xdr:to>
          <xdr:col>44</xdr:col>
          <xdr:colOff>104775</xdr:colOff>
          <xdr:row>62</xdr:row>
          <xdr:rowOff>85725</xdr:rowOff>
        </xdr:to>
        <xdr:sp macro="" textlink="">
          <xdr:nvSpPr>
            <xdr:cNvPr id="13373" name="Spinner 61" hidden="1">
              <a:extLst>
                <a:ext uri="{63B3BB69-23CF-44E3-9099-C40C66FF867C}">
                  <a14:compatExt spid="_x0000_s13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0</xdr:colOff>
          <xdr:row>65</xdr:row>
          <xdr:rowOff>0</xdr:rowOff>
        </xdr:from>
        <xdr:to>
          <xdr:col>44</xdr:col>
          <xdr:colOff>104775</xdr:colOff>
          <xdr:row>66</xdr:row>
          <xdr:rowOff>85725</xdr:rowOff>
        </xdr:to>
        <xdr:sp macro="" textlink="">
          <xdr:nvSpPr>
            <xdr:cNvPr id="13374" name="Spinner 62" hidden="1">
              <a:extLst>
                <a:ext uri="{63B3BB69-23CF-44E3-9099-C40C66FF867C}">
                  <a14:compatExt spid="_x0000_s13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50</xdr:row>
          <xdr:rowOff>57150</xdr:rowOff>
        </xdr:from>
        <xdr:to>
          <xdr:col>49</xdr:col>
          <xdr:colOff>76200</xdr:colOff>
          <xdr:row>52</xdr:row>
          <xdr:rowOff>85725</xdr:rowOff>
        </xdr:to>
        <xdr:sp macro="" textlink="">
          <xdr:nvSpPr>
            <xdr:cNvPr id="13376" name="Ladinagem" hidden="1">
              <a:extLst>
                <a:ext uri="{63B3BB69-23CF-44E3-9099-C40C66FF867C}">
                  <a14:compatExt spid="_x0000_s13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9525</xdr:rowOff>
    </xdr:from>
    <xdr:to>
      <xdr:col>12</xdr:col>
      <xdr:colOff>104400</xdr:colOff>
      <xdr:row>14</xdr:row>
      <xdr:rowOff>33879</xdr:rowOff>
    </xdr:to>
    <xdr:pic>
      <xdr:nvPicPr>
        <xdr:cNvPr id="2" name="Logo TR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2400"/>
          <a:ext cx="1476000" cy="5482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95250</xdr:rowOff>
    </xdr:from>
    <xdr:to>
      <xdr:col>15</xdr:col>
      <xdr:colOff>67405</xdr:colOff>
      <xdr:row>4</xdr:row>
      <xdr:rowOff>142874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90500"/>
          <a:ext cx="1743805" cy="6476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3" Type="http://schemas.openxmlformats.org/officeDocument/2006/relationships/printerSettings" Target="../printerSettings/printerSettings3.bin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13" Type="http://schemas.openxmlformats.org/officeDocument/2006/relationships/ctrlProp" Target="../ctrlProps/ctrlProp24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8.xml"/><Relationship Id="rId12" Type="http://schemas.openxmlformats.org/officeDocument/2006/relationships/ctrlProp" Target="../ctrlProps/ctrlProp2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11" Type="http://schemas.openxmlformats.org/officeDocument/2006/relationships/ctrlProp" Target="../ctrlProps/ctrlProp22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13" Type="http://schemas.openxmlformats.org/officeDocument/2006/relationships/ctrlProp" Target="../ctrlProps/ctrlProp34.xml"/><Relationship Id="rId18" Type="http://schemas.openxmlformats.org/officeDocument/2006/relationships/ctrlProp" Target="../ctrlProps/ctrlProp39.xml"/><Relationship Id="rId26" Type="http://schemas.openxmlformats.org/officeDocument/2006/relationships/ctrlProp" Target="../ctrlProps/ctrlProp47.xml"/><Relationship Id="rId39" Type="http://schemas.openxmlformats.org/officeDocument/2006/relationships/ctrlProp" Target="../ctrlProps/ctrlProp6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42.xml"/><Relationship Id="rId34" Type="http://schemas.openxmlformats.org/officeDocument/2006/relationships/ctrlProp" Target="../ctrlProps/ctrlProp55.xml"/><Relationship Id="rId42" Type="http://schemas.openxmlformats.org/officeDocument/2006/relationships/ctrlProp" Target="../ctrlProps/ctrlProp63.xml"/><Relationship Id="rId7" Type="http://schemas.openxmlformats.org/officeDocument/2006/relationships/ctrlProp" Target="../ctrlProps/ctrlProp28.xml"/><Relationship Id="rId12" Type="http://schemas.openxmlformats.org/officeDocument/2006/relationships/ctrlProp" Target="../ctrlProps/ctrlProp33.xml"/><Relationship Id="rId17" Type="http://schemas.openxmlformats.org/officeDocument/2006/relationships/ctrlProp" Target="../ctrlProps/ctrlProp38.xml"/><Relationship Id="rId25" Type="http://schemas.openxmlformats.org/officeDocument/2006/relationships/ctrlProp" Target="../ctrlProps/ctrlProp46.xml"/><Relationship Id="rId33" Type="http://schemas.openxmlformats.org/officeDocument/2006/relationships/ctrlProp" Target="../ctrlProps/ctrlProp54.xml"/><Relationship Id="rId38" Type="http://schemas.openxmlformats.org/officeDocument/2006/relationships/ctrlProp" Target="../ctrlProps/ctrlProp5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7.xml"/><Relationship Id="rId20" Type="http://schemas.openxmlformats.org/officeDocument/2006/relationships/ctrlProp" Target="../ctrlProps/ctrlProp41.xml"/><Relationship Id="rId29" Type="http://schemas.openxmlformats.org/officeDocument/2006/relationships/ctrlProp" Target="../ctrlProps/ctrlProp50.xml"/><Relationship Id="rId41" Type="http://schemas.openxmlformats.org/officeDocument/2006/relationships/ctrlProp" Target="../ctrlProps/ctrlProp62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24" Type="http://schemas.openxmlformats.org/officeDocument/2006/relationships/ctrlProp" Target="../ctrlProps/ctrlProp45.xml"/><Relationship Id="rId32" Type="http://schemas.openxmlformats.org/officeDocument/2006/relationships/ctrlProp" Target="../ctrlProps/ctrlProp53.xml"/><Relationship Id="rId37" Type="http://schemas.openxmlformats.org/officeDocument/2006/relationships/ctrlProp" Target="../ctrlProps/ctrlProp58.xml"/><Relationship Id="rId40" Type="http://schemas.openxmlformats.org/officeDocument/2006/relationships/ctrlProp" Target="../ctrlProps/ctrlProp61.xml"/><Relationship Id="rId5" Type="http://schemas.openxmlformats.org/officeDocument/2006/relationships/ctrlProp" Target="../ctrlProps/ctrlProp26.xml"/><Relationship Id="rId15" Type="http://schemas.openxmlformats.org/officeDocument/2006/relationships/ctrlProp" Target="../ctrlProps/ctrlProp36.xml"/><Relationship Id="rId23" Type="http://schemas.openxmlformats.org/officeDocument/2006/relationships/ctrlProp" Target="../ctrlProps/ctrlProp44.xml"/><Relationship Id="rId28" Type="http://schemas.openxmlformats.org/officeDocument/2006/relationships/ctrlProp" Target="../ctrlProps/ctrlProp49.xml"/><Relationship Id="rId36" Type="http://schemas.openxmlformats.org/officeDocument/2006/relationships/ctrlProp" Target="../ctrlProps/ctrlProp57.xml"/><Relationship Id="rId10" Type="http://schemas.openxmlformats.org/officeDocument/2006/relationships/ctrlProp" Target="../ctrlProps/ctrlProp31.xml"/><Relationship Id="rId19" Type="http://schemas.openxmlformats.org/officeDocument/2006/relationships/ctrlProp" Target="../ctrlProps/ctrlProp40.xml"/><Relationship Id="rId31" Type="http://schemas.openxmlformats.org/officeDocument/2006/relationships/ctrlProp" Target="../ctrlProps/ctrlProp52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Relationship Id="rId14" Type="http://schemas.openxmlformats.org/officeDocument/2006/relationships/ctrlProp" Target="../ctrlProps/ctrlProp35.xml"/><Relationship Id="rId22" Type="http://schemas.openxmlformats.org/officeDocument/2006/relationships/ctrlProp" Target="../ctrlProps/ctrlProp43.xml"/><Relationship Id="rId27" Type="http://schemas.openxmlformats.org/officeDocument/2006/relationships/ctrlProp" Target="../ctrlProps/ctrlProp48.xml"/><Relationship Id="rId30" Type="http://schemas.openxmlformats.org/officeDocument/2006/relationships/ctrlProp" Target="../ctrlProps/ctrlProp51.xml"/><Relationship Id="rId35" Type="http://schemas.openxmlformats.org/officeDocument/2006/relationships/ctrlProp" Target="../ctrlProps/ctrlProp56.xml"/><Relationship Id="rId43" Type="http://schemas.openxmlformats.org/officeDocument/2006/relationships/ctrlProp" Target="../ctrlProps/ctrlProp6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readetormenta.com.br/" TargetMode="Externa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>
    <tabColor rgb="FFFF0000"/>
  </sheetPr>
  <dimension ref="A1:DN38"/>
  <sheetViews>
    <sheetView showGridLines="0" tabSelected="1" zoomScaleNormal="100" workbookViewId="0">
      <selection activeCell="BK14" sqref="BK14:BM15"/>
    </sheetView>
  </sheetViews>
  <sheetFormatPr defaultColWidth="1.7109375" defaultRowHeight="9.9499999999999993" customHeight="1" x14ac:dyDescent="0.25"/>
  <cols>
    <col min="1" max="11" width="1.7109375" style="106"/>
    <col min="12" max="13" width="1.7109375" style="106" customWidth="1"/>
    <col min="14" max="14" width="1.7109375" style="106"/>
    <col min="15" max="15" width="1.7109375" style="106" customWidth="1"/>
    <col min="16" max="29" width="1.7109375" style="106"/>
    <col min="30" max="30" width="1.7109375" style="106" customWidth="1"/>
    <col min="31" max="66" width="1.7109375" style="106"/>
    <col min="67" max="67" width="1.7109375" style="106" customWidth="1"/>
    <col min="68" max="70" width="1.7109375" style="106"/>
    <col min="71" max="71" width="1.7109375" style="106" customWidth="1"/>
    <col min="72" max="77" width="1.7109375" style="106"/>
    <col min="78" max="78" width="2" style="106" bestFit="1" customWidth="1"/>
    <col min="79" max="79" width="1.7109375" style="106"/>
    <col min="80" max="82" width="1.7109375" style="106" customWidth="1"/>
    <col min="83" max="83" width="1.7109375" style="108" customWidth="1"/>
    <col min="84" max="85" width="1.7109375" style="106" customWidth="1"/>
    <col min="86" max="86" width="1.7109375" style="108" customWidth="1"/>
    <col min="87" max="87" width="1.7109375" style="106" customWidth="1"/>
    <col min="88" max="88" width="2" style="106" customWidth="1"/>
    <col min="89" max="89" width="1.7109375" style="106" customWidth="1"/>
    <col min="90" max="16384" width="1.7109375" style="106"/>
  </cols>
  <sheetData>
    <row r="1" spans="1:101" ht="9.9499999999999993" customHeight="1" x14ac:dyDescent="0.25">
      <c r="AU1" s="369" t="str">
        <f>IF(OR(RAÇA.p="humano",RAÇA.p="lefou"),"RECEBA +2 em DUAS HABILIDADES",IF(OR(RAÇA.p="meio-elfo",RAÇA.p="meio-elfo-do-mar",RAÇA.p="meio-orc",RAÇA.p="minauro"),"RECEBA +2 EM UMA HABILIDADE",IF(RAÇA.p="moreau","RECEBA +2 EM DUAS HABILIDADES: A PRIMEIRA À SUA ESCOLHA, A SEGUNDA DE ACORDO COM SUA HERANÇA MOREAU","")))</f>
        <v/>
      </c>
      <c r="AV1" s="369"/>
      <c r="AW1" s="369"/>
      <c r="AX1" s="369"/>
      <c r="AY1" s="369"/>
      <c r="AZ1" s="369"/>
      <c r="BA1" s="369"/>
      <c r="BB1" s="369"/>
      <c r="BC1" s="369"/>
      <c r="BD1" s="369"/>
      <c r="BE1" s="369"/>
      <c r="BF1" s="369"/>
      <c r="BG1" s="369"/>
      <c r="BH1" s="369"/>
      <c r="BI1" s="369"/>
      <c r="BJ1" s="369"/>
      <c r="BK1" s="369"/>
      <c r="BL1" s="369"/>
      <c r="BM1" s="369"/>
      <c r="BN1" s="369"/>
      <c r="BO1" s="369"/>
      <c r="BP1" s="369"/>
      <c r="BQ1" s="369"/>
      <c r="CD1" s="107"/>
      <c r="CE1" s="107"/>
      <c r="CH1" s="106"/>
    </row>
    <row r="2" spans="1:101" ht="9.9499999999999993" customHeight="1" x14ac:dyDescent="0.25">
      <c r="C2" s="453" t="s">
        <v>1032</v>
      </c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42" t="s">
        <v>163</v>
      </c>
      <c r="T2" s="442"/>
      <c r="U2" s="442"/>
      <c r="V2" s="442"/>
      <c r="W2" s="442"/>
      <c r="X2" s="442"/>
      <c r="Y2" s="442"/>
      <c r="Z2" s="442"/>
      <c r="AA2" s="442"/>
      <c r="AB2" s="442"/>
      <c r="AC2" s="442"/>
      <c r="AD2" s="442"/>
      <c r="AE2" s="442"/>
      <c r="AF2" s="442"/>
      <c r="AG2" s="442"/>
      <c r="AH2" s="442"/>
      <c r="AI2" s="443"/>
      <c r="AJ2" s="444" t="s">
        <v>610</v>
      </c>
      <c r="AK2" s="445"/>
      <c r="AL2" s="445"/>
      <c r="AM2" s="445"/>
      <c r="AN2" s="445"/>
      <c r="AO2" s="445"/>
      <c r="AP2" s="445"/>
      <c r="AQ2" s="445"/>
      <c r="AR2" s="445"/>
      <c r="AS2" s="445"/>
      <c r="AT2" s="446"/>
      <c r="AU2" s="369"/>
      <c r="AV2" s="369"/>
      <c r="AW2" s="369"/>
      <c r="AX2" s="369"/>
      <c r="AY2" s="369"/>
      <c r="AZ2" s="369"/>
      <c r="BA2" s="369"/>
      <c r="BB2" s="369"/>
      <c r="BC2" s="369"/>
      <c r="BD2" s="369"/>
      <c r="BE2" s="369"/>
      <c r="BF2" s="369"/>
      <c r="BG2" s="369"/>
      <c r="BH2" s="369"/>
      <c r="BI2" s="369"/>
      <c r="BJ2" s="369"/>
      <c r="BK2" s="369"/>
      <c r="BL2" s="369"/>
      <c r="BM2" s="369"/>
      <c r="BN2" s="369"/>
      <c r="BO2" s="369"/>
      <c r="BP2" s="369"/>
      <c r="BQ2" s="369"/>
      <c r="BR2" s="392" t="str">
        <f>IF(OR(RAÇA.p="humano",RAÇA.p="lefou",RAÇA.p="meio-elfo",RAÇA.p="meio-elfo-do-mar",RAÇA.p="meio-orc",RAÇA.p="moreau",RAÇA.p="minauro"),"1.","")</f>
        <v/>
      </c>
      <c r="BS2" s="392"/>
      <c r="BT2" s="392"/>
      <c r="BU2" s="391" t="s">
        <v>306</v>
      </c>
      <c r="BV2" s="391"/>
      <c r="BW2" s="391"/>
      <c r="BX2" s="391"/>
      <c r="BY2" s="392" t="str">
        <f>IF(OR(RAÇA.p="humano",RAÇA.p="lefou",RAÇA.p="moreau"),"2.","")</f>
        <v/>
      </c>
      <c r="BZ2" s="392"/>
      <c r="CA2" s="392"/>
      <c r="CB2" s="370"/>
      <c r="CC2" s="370"/>
      <c r="CD2" s="370"/>
      <c r="CE2" s="370"/>
      <c r="CF2" s="370"/>
      <c r="CG2" s="370"/>
      <c r="CH2" s="370"/>
      <c r="CI2" s="370"/>
      <c r="CJ2" s="370"/>
    </row>
    <row r="3" spans="1:101" ht="9.9499999999999993" customHeight="1" x14ac:dyDescent="0.25"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  <c r="O3" s="453"/>
      <c r="P3" s="453"/>
      <c r="Q3" s="453"/>
      <c r="R3" s="453"/>
      <c r="S3" s="442"/>
      <c r="T3" s="442"/>
      <c r="U3" s="442"/>
      <c r="V3" s="442"/>
      <c r="W3" s="442"/>
      <c r="X3" s="442"/>
      <c r="Y3" s="442"/>
      <c r="Z3" s="442"/>
      <c r="AA3" s="442"/>
      <c r="AB3" s="442"/>
      <c r="AC3" s="442"/>
      <c r="AD3" s="442"/>
      <c r="AE3" s="442"/>
      <c r="AF3" s="442"/>
      <c r="AG3" s="442"/>
      <c r="AH3" s="442"/>
      <c r="AI3" s="443"/>
      <c r="AJ3" s="447"/>
      <c r="AK3" s="448"/>
      <c r="AL3" s="448"/>
      <c r="AM3" s="448"/>
      <c r="AN3" s="448"/>
      <c r="AO3" s="448"/>
      <c r="AP3" s="448"/>
      <c r="AQ3" s="448"/>
      <c r="AR3" s="448"/>
      <c r="AS3" s="448"/>
      <c r="AT3" s="449"/>
      <c r="AU3" s="369"/>
      <c r="AV3" s="369"/>
      <c r="AW3" s="369"/>
      <c r="AX3" s="369"/>
      <c r="AY3" s="369"/>
      <c r="AZ3" s="369"/>
      <c r="BA3" s="369"/>
      <c r="BB3" s="369"/>
      <c r="BC3" s="369"/>
      <c r="BD3" s="369"/>
      <c r="BE3" s="369"/>
      <c r="BF3" s="369"/>
      <c r="BG3" s="369"/>
      <c r="BH3" s="369"/>
      <c r="BI3" s="369"/>
      <c r="BJ3" s="369"/>
      <c r="BK3" s="369"/>
      <c r="BL3" s="369"/>
      <c r="BM3" s="369"/>
      <c r="BN3" s="369"/>
      <c r="BO3" s="369"/>
      <c r="BP3" s="369"/>
      <c r="BQ3" s="369"/>
      <c r="BR3" s="392"/>
      <c r="BS3" s="392"/>
      <c r="BT3" s="392"/>
      <c r="BU3" s="391"/>
      <c r="BV3" s="391"/>
      <c r="BW3" s="391"/>
      <c r="BX3" s="391"/>
      <c r="BY3" s="392"/>
      <c r="BZ3" s="392"/>
      <c r="CA3" s="392"/>
      <c r="CB3" s="370"/>
      <c r="CC3" s="370"/>
      <c r="CD3" s="370"/>
      <c r="CE3" s="370"/>
      <c r="CF3" s="370"/>
      <c r="CG3" s="370"/>
      <c r="CH3" s="370"/>
      <c r="CI3" s="370"/>
      <c r="CJ3" s="370"/>
    </row>
    <row r="4" spans="1:101" ht="9.9499999999999993" customHeight="1" thickBot="1" x14ac:dyDescent="0.3">
      <c r="C4" s="110"/>
      <c r="D4" s="454" t="s">
        <v>1034</v>
      </c>
      <c r="E4" s="455"/>
      <c r="F4" s="455"/>
      <c r="G4" s="455"/>
      <c r="H4" s="455"/>
      <c r="I4" s="455"/>
      <c r="J4" s="455"/>
      <c r="K4" s="455"/>
      <c r="L4" s="455"/>
      <c r="M4" s="455"/>
      <c r="N4" s="455"/>
      <c r="O4" s="455"/>
      <c r="P4" s="455"/>
      <c r="Q4" s="456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U4" s="369"/>
      <c r="AV4" s="369"/>
      <c r="AW4" s="369"/>
      <c r="AX4" s="369"/>
      <c r="AY4" s="369"/>
      <c r="AZ4" s="369"/>
      <c r="BA4" s="369"/>
      <c r="BB4" s="369"/>
      <c r="BC4" s="369"/>
      <c r="BD4" s="369"/>
      <c r="BE4" s="369"/>
      <c r="BF4" s="369"/>
      <c r="BG4" s="369"/>
      <c r="BH4" s="369"/>
      <c r="BI4" s="369"/>
      <c r="BJ4" s="369"/>
      <c r="BK4" s="369"/>
      <c r="BL4" s="369"/>
      <c r="BM4" s="369"/>
      <c r="BN4" s="369"/>
      <c r="BO4" s="369"/>
      <c r="BP4" s="369"/>
      <c r="BQ4" s="369"/>
      <c r="BR4" s="110"/>
      <c r="BS4" s="110"/>
      <c r="BU4" s="110"/>
      <c r="BW4" s="110"/>
      <c r="BX4" s="110"/>
      <c r="BY4" s="110"/>
      <c r="BZ4" s="110"/>
      <c r="CB4" s="110"/>
      <c r="CD4" s="110"/>
      <c r="CE4" s="110"/>
      <c r="CF4" s="111"/>
      <c r="CG4" s="111"/>
      <c r="CH4" s="110"/>
      <c r="CI4" s="110"/>
      <c r="CJ4" s="110"/>
      <c r="CK4" s="110"/>
      <c r="CL4" s="110"/>
      <c r="CM4" s="110"/>
      <c r="CN4" s="110"/>
      <c r="CO4" s="110"/>
      <c r="CP4" s="110"/>
    </row>
    <row r="5" spans="1:101" ht="9.9499999999999993" customHeight="1" x14ac:dyDescent="0.25">
      <c r="D5" s="457"/>
      <c r="E5" s="458"/>
      <c r="F5" s="458"/>
      <c r="G5" s="458"/>
      <c r="H5" s="458"/>
      <c r="I5" s="458"/>
      <c r="J5" s="458"/>
      <c r="K5" s="458"/>
      <c r="L5" s="458"/>
      <c r="M5" s="458"/>
      <c r="N5" s="458"/>
      <c r="O5" s="458"/>
      <c r="P5" s="458"/>
      <c r="Q5" s="459"/>
      <c r="R5" s="442" t="s">
        <v>176</v>
      </c>
      <c r="S5" s="442"/>
      <c r="T5" s="442"/>
      <c r="U5" s="442"/>
      <c r="V5" s="442"/>
      <c r="W5" s="442"/>
      <c r="X5" s="442"/>
      <c r="Y5" s="442"/>
      <c r="Z5" s="442"/>
      <c r="AA5" s="442"/>
      <c r="AB5" s="442"/>
      <c r="AC5" s="442"/>
      <c r="AD5" s="442"/>
      <c r="AE5" s="442"/>
      <c r="AF5" s="442"/>
      <c r="AG5" s="442"/>
      <c r="AH5" s="443"/>
      <c r="AI5" s="473" t="s">
        <v>170</v>
      </c>
      <c r="AJ5" s="474"/>
      <c r="AK5" s="474"/>
      <c r="AL5" s="474"/>
      <c r="AM5" s="474"/>
      <c r="AN5" s="474"/>
      <c r="AO5" s="474"/>
      <c r="AP5" s="474"/>
      <c r="AQ5" s="474"/>
      <c r="AR5" s="474"/>
      <c r="AS5" s="475"/>
      <c r="AU5" s="399" t="s">
        <v>309</v>
      </c>
      <c r="AV5" s="399"/>
      <c r="AW5" s="399"/>
      <c r="AX5" s="399"/>
      <c r="AY5" s="399"/>
      <c r="AZ5" s="399"/>
      <c r="BA5" s="399"/>
      <c r="BB5" s="399"/>
      <c r="BC5" s="399"/>
      <c r="BD5" s="399"/>
      <c r="BE5" s="399"/>
      <c r="BF5" s="399"/>
      <c r="BG5" s="399"/>
      <c r="BH5" s="399"/>
      <c r="BI5" s="399"/>
      <c r="BJ5" s="399"/>
      <c r="BK5" s="399"/>
      <c r="BL5" s="399"/>
      <c r="BM5" s="399"/>
      <c r="BN5" s="399"/>
      <c r="BO5" s="399"/>
      <c r="BP5" s="399"/>
      <c r="BQ5" s="399"/>
      <c r="BR5" s="399"/>
      <c r="BS5" s="399"/>
      <c r="BT5" s="399"/>
      <c r="BU5" s="393">
        <v>1</v>
      </c>
      <c r="BV5" s="394"/>
      <c r="BW5" s="394"/>
      <c r="BX5" s="395"/>
      <c r="BZ5" s="450" t="str">
        <f>IF(OR(RAÇA.p="Aggelus",RAÇA.p="Sulfure",RAÇA.p=nova.raça.1,RAÇA.p=nova.raça.2,RAÇA.p=nova.raça.3,RAÇA.p=nova.raça.4,RAÇA.p=nova.raça.5),"DEFINA SEU TAMANHO:","")</f>
        <v>DEFINA SEU TAMANHO:</v>
      </c>
      <c r="CA5" s="450"/>
      <c r="CB5" s="450"/>
      <c r="CC5" s="450"/>
      <c r="CD5" s="450"/>
      <c r="CE5" s="450"/>
      <c r="CF5" s="450"/>
      <c r="CG5" s="450"/>
      <c r="CH5" s="450"/>
      <c r="CI5" s="450"/>
      <c r="CJ5" s="450"/>
      <c r="CK5" s="450"/>
      <c r="CL5" s="450"/>
      <c r="CM5" s="450"/>
      <c r="CN5" s="450"/>
      <c r="CO5" s="450"/>
      <c r="CP5" s="450"/>
      <c r="CQ5" s="368"/>
      <c r="CR5" s="368"/>
      <c r="CS5" s="368"/>
      <c r="CT5" s="368"/>
      <c r="CU5" s="368"/>
      <c r="CV5" s="368"/>
      <c r="CW5" s="368"/>
    </row>
    <row r="6" spans="1:101" ht="9.9499999999999993" customHeight="1" thickBot="1" x14ac:dyDescent="0.3">
      <c r="R6" s="442"/>
      <c r="S6" s="442"/>
      <c r="T6" s="442"/>
      <c r="U6" s="442"/>
      <c r="V6" s="442"/>
      <c r="W6" s="442"/>
      <c r="X6" s="442"/>
      <c r="Y6" s="442"/>
      <c r="Z6" s="442"/>
      <c r="AA6" s="442"/>
      <c r="AB6" s="442"/>
      <c r="AC6" s="442"/>
      <c r="AD6" s="442"/>
      <c r="AE6" s="442"/>
      <c r="AF6" s="442"/>
      <c r="AG6" s="442"/>
      <c r="AH6" s="443"/>
      <c r="AI6" s="476"/>
      <c r="AJ6" s="477"/>
      <c r="AK6" s="477"/>
      <c r="AL6" s="477"/>
      <c r="AM6" s="477"/>
      <c r="AN6" s="477"/>
      <c r="AO6" s="477"/>
      <c r="AP6" s="477"/>
      <c r="AQ6" s="477"/>
      <c r="AR6" s="477"/>
      <c r="AS6" s="478"/>
      <c r="AU6" s="399"/>
      <c r="AV6" s="399"/>
      <c r="AW6" s="399"/>
      <c r="AX6" s="399"/>
      <c r="AY6" s="399"/>
      <c r="AZ6" s="399"/>
      <c r="BA6" s="399"/>
      <c r="BB6" s="399"/>
      <c r="BC6" s="399"/>
      <c r="BD6" s="399"/>
      <c r="BE6" s="399"/>
      <c r="BF6" s="399"/>
      <c r="BG6" s="399"/>
      <c r="BH6" s="399"/>
      <c r="BI6" s="399"/>
      <c r="BJ6" s="399"/>
      <c r="BK6" s="399"/>
      <c r="BL6" s="399"/>
      <c r="BM6" s="399"/>
      <c r="BN6" s="399"/>
      <c r="BO6" s="399"/>
      <c r="BP6" s="399"/>
      <c r="BQ6" s="399"/>
      <c r="BR6" s="399"/>
      <c r="BS6" s="399"/>
      <c r="BT6" s="399"/>
      <c r="BU6" s="396"/>
      <c r="BV6" s="397"/>
      <c r="BW6" s="397"/>
      <c r="BX6" s="398"/>
      <c r="BZ6" s="450"/>
      <c r="CA6" s="450"/>
      <c r="CB6" s="450"/>
      <c r="CC6" s="450"/>
      <c r="CD6" s="450"/>
      <c r="CE6" s="450"/>
      <c r="CF6" s="450"/>
      <c r="CG6" s="450"/>
      <c r="CH6" s="450"/>
      <c r="CI6" s="450"/>
      <c r="CJ6" s="450"/>
      <c r="CK6" s="450"/>
      <c r="CL6" s="450"/>
      <c r="CM6" s="450"/>
      <c r="CN6" s="450"/>
      <c r="CO6" s="450"/>
      <c r="CP6" s="450"/>
      <c r="CQ6" s="368"/>
      <c r="CR6" s="368"/>
      <c r="CS6" s="368"/>
      <c r="CT6" s="368"/>
      <c r="CU6" s="368"/>
      <c r="CV6" s="368"/>
      <c r="CW6" s="368"/>
    </row>
    <row r="7" spans="1:101" ht="9.9499999999999993" customHeight="1" thickBot="1" x14ac:dyDescent="0.3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X7" s="110"/>
      <c r="BY7" s="110"/>
      <c r="BZ7" s="110"/>
      <c r="CA7" s="110"/>
      <c r="CB7" s="110"/>
      <c r="CC7" s="110"/>
      <c r="CD7" s="110"/>
      <c r="CG7" s="112"/>
    </row>
    <row r="8" spans="1:101" ht="9.9499999999999993" customHeight="1" thickBot="1" x14ac:dyDescent="0.3">
      <c r="B8" s="113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14"/>
      <c r="BK8" s="114"/>
      <c r="BL8" s="114"/>
      <c r="BM8" s="114"/>
      <c r="BN8" s="114"/>
      <c r="BO8" s="114"/>
      <c r="BP8" s="114"/>
      <c r="BQ8" s="114"/>
      <c r="BR8" s="114"/>
      <c r="BS8" s="114"/>
      <c r="BT8" s="114"/>
      <c r="BU8" s="114"/>
      <c r="BV8" s="114"/>
      <c r="BW8" s="115"/>
      <c r="BY8" s="110"/>
      <c r="BZ8" s="110"/>
      <c r="CA8" s="110"/>
      <c r="CB8" s="110"/>
      <c r="CC8" s="110"/>
      <c r="CD8" s="110"/>
      <c r="CG8" s="112"/>
    </row>
    <row r="9" spans="1:101" ht="9.9499999999999993" customHeight="1" x14ac:dyDescent="0.25">
      <c r="B9" s="116"/>
      <c r="C9" s="110"/>
      <c r="D9" s="504" t="s">
        <v>223</v>
      </c>
      <c r="E9" s="504"/>
      <c r="F9" s="504"/>
      <c r="G9" s="504"/>
      <c r="H9" s="504"/>
      <c r="I9" s="504"/>
      <c r="J9" s="513">
        <f>IF(D4="Normal",Engine!D61,IF(D4="Plebeu",Engine!D62,"-"))</f>
        <v>20</v>
      </c>
      <c r="K9" s="514"/>
      <c r="L9" s="514"/>
      <c r="M9" s="514"/>
      <c r="N9" s="515"/>
      <c r="O9" s="110"/>
      <c r="P9" s="110"/>
      <c r="Q9" s="505" t="str">
        <f>IF(J9&gt;19,"USE OS PONTOS AO LADO",IF(J9&gt;0,"FALTA GASTAR PONTOS!",IF(J9=0,"OK! TODOS OS PONTOS FORAM GASTOS.","ULTRAPASSOU O LIMITE DE PONTOS!")))</f>
        <v>USE OS PONTOS AO LADO</v>
      </c>
      <c r="R9" s="506"/>
      <c r="S9" s="506"/>
      <c r="T9" s="506"/>
      <c r="U9" s="506"/>
      <c r="V9" s="506"/>
      <c r="W9" s="506"/>
      <c r="X9" s="506"/>
      <c r="Y9" s="506"/>
      <c r="Z9" s="506"/>
      <c r="AA9" s="506"/>
      <c r="AB9" s="506"/>
      <c r="AC9" s="506"/>
      <c r="AD9" s="506"/>
      <c r="AE9" s="506"/>
      <c r="AF9" s="506"/>
      <c r="AG9" s="506"/>
      <c r="AH9" s="506"/>
      <c r="AI9" s="506"/>
      <c r="AJ9" s="506"/>
      <c r="AK9" s="506"/>
      <c r="AL9" s="506"/>
      <c r="AM9" s="506"/>
      <c r="AN9" s="506"/>
      <c r="AO9" s="506"/>
      <c r="AP9" s="506"/>
      <c r="AQ9" s="506"/>
      <c r="AR9" s="506"/>
      <c r="AS9" s="506"/>
      <c r="AT9" s="506"/>
      <c r="AU9" s="506"/>
      <c r="AV9" s="506"/>
      <c r="AW9" s="506"/>
      <c r="AX9" s="506"/>
      <c r="AY9" s="506"/>
      <c r="AZ9" s="506"/>
      <c r="BA9" s="506"/>
      <c r="BB9" s="506"/>
      <c r="BC9" s="506"/>
      <c r="BD9" s="506"/>
      <c r="BE9" s="507"/>
      <c r="BF9" s="117"/>
      <c r="BG9" s="511" t="s">
        <v>119</v>
      </c>
      <c r="BH9" s="511"/>
      <c r="BI9" s="511"/>
      <c r="BJ9" s="511"/>
      <c r="BK9" s="511"/>
      <c r="BL9" s="511"/>
      <c r="BM9" s="511"/>
      <c r="BN9" s="511"/>
      <c r="BO9" s="511"/>
      <c r="BP9" s="511"/>
      <c r="BQ9" s="511"/>
      <c r="BR9" s="511"/>
      <c r="BS9" s="511"/>
      <c r="BT9" s="511"/>
      <c r="BU9" s="511"/>
      <c r="BV9" s="511"/>
      <c r="BW9" s="118"/>
    </row>
    <row r="10" spans="1:101" ht="9.9499999999999993" customHeight="1" thickBot="1" x14ac:dyDescent="0.3">
      <c r="A10" s="110"/>
      <c r="B10" s="119"/>
      <c r="C10" s="120"/>
      <c r="D10" s="504"/>
      <c r="E10" s="504"/>
      <c r="F10" s="504"/>
      <c r="G10" s="504"/>
      <c r="H10" s="504"/>
      <c r="I10" s="504"/>
      <c r="J10" s="516"/>
      <c r="K10" s="517"/>
      <c r="L10" s="517"/>
      <c r="M10" s="517"/>
      <c r="N10" s="518"/>
      <c r="O10" s="110"/>
      <c r="P10" s="110"/>
      <c r="Q10" s="508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C10" s="509"/>
      <c r="AD10" s="509"/>
      <c r="AE10" s="509"/>
      <c r="AF10" s="509"/>
      <c r="AG10" s="509"/>
      <c r="AH10" s="509"/>
      <c r="AI10" s="509"/>
      <c r="AJ10" s="509"/>
      <c r="AK10" s="509"/>
      <c r="AL10" s="509"/>
      <c r="AM10" s="509"/>
      <c r="AN10" s="509"/>
      <c r="AO10" s="509"/>
      <c r="AP10" s="509"/>
      <c r="AQ10" s="509"/>
      <c r="AR10" s="509"/>
      <c r="AS10" s="509"/>
      <c r="AT10" s="509"/>
      <c r="AU10" s="509"/>
      <c r="AV10" s="509"/>
      <c r="AW10" s="509"/>
      <c r="AX10" s="509"/>
      <c r="AY10" s="509"/>
      <c r="AZ10" s="509"/>
      <c r="BA10" s="509"/>
      <c r="BB10" s="509"/>
      <c r="BC10" s="509"/>
      <c r="BD10" s="509"/>
      <c r="BE10" s="510"/>
      <c r="BF10" s="117"/>
      <c r="BG10" s="511"/>
      <c r="BH10" s="511"/>
      <c r="BI10" s="511"/>
      <c r="BJ10" s="511"/>
      <c r="BK10" s="511"/>
      <c r="BL10" s="511"/>
      <c r="BM10" s="511"/>
      <c r="BN10" s="511"/>
      <c r="BO10" s="511"/>
      <c r="BP10" s="511"/>
      <c r="BQ10" s="511"/>
      <c r="BR10" s="511"/>
      <c r="BS10" s="511"/>
      <c r="BT10" s="511"/>
      <c r="BU10" s="511"/>
      <c r="BV10" s="511"/>
      <c r="BW10" s="121"/>
    </row>
    <row r="11" spans="1:101" s="122" customFormat="1" ht="9.9499999999999993" customHeight="1" x14ac:dyDescent="0.25">
      <c r="B11" s="116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511"/>
      <c r="BH11" s="511"/>
      <c r="BI11" s="511"/>
      <c r="BJ11" s="511"/>
      <c r="BK11" s="511"/>
      <c r="BL11" s="511"/>
      <c r="BM11" s="511"/>
      <c r="BN11" s="511"/>
      <c r="BO11" s="511"/>
      <c r="BP11" s="511"/>
      <c r="BQ11" s="511"/>
      <c r="BR11" s="511"/>
      <c r="BS11" s="511"/>
      <c r="BT11" s="511"/>
      <c r="BU11" s="511"/>
      <c r="BV11" s="511"/>
      <c r="BW11" s="118"/>
    </row>
    <row r="12" spans="1:101" ht="9.9499999999999993" customHeight="1" x14ac:dyDescent="0.2">
      <c r="B12" s="123"/>
      <c r="C12" s="124"/>
      <c r="D12" s="109"/>
      <c r="E12" s="109"/>
      <c r="F12" s="109"/>
      <c r="G12" s="109"/>
      <c r="H12" s="109"/>
      <c r="I12" s="109"/>
      <c r="J12" s="109"/>
      <c r="K12" s="421" t="s">
        <v>222</v>
      </c>
      <c r="L12" s="421"/>
      <c r="M12" s="421"/>
      <c r="N12" s="421"/>
      <c r="O12" s="421"/>
      <c r="P12" s="421"/>
      <c r="Q12" s="124"/>
      <c r="R12" s="124"/>
      <c r="S12" s="124"/>
      <c r="T12" s="421" t="s">
        <v>168</v>
      </c>
      <c r="U12" s="421"/>
      <c r="V12" s="421"/>
      <c r="W12" s="421"/>
      <c r="X12" s="421"/>
      <c r="Y12" s="421"/>
      <c r="Z12" s="421" t="s">
        <v>167</v>
      </c>
      <c r="AA12" s="421"/>
      <c r="AB12" s="421"/>
      <c r="AC12" s="421"/>
      <c r="AD12" s="421"/>
      <c r="AE12" s="421"/>
      <c r="AF12" s="421" t="s">
        <v>169</v>
      </c>
      <c r="AG12" s="421"/>
      <c r="AH12" s="421"/>
      <c r="AI12" s="421"/>
      <c r="AJ12" s="421"/>
      <c r="AK12" s="421"/>
      <c r="AL12" s="421" t="s">
        <v>166</v>
      </c>
      <c r="AM12" s="421"/>
      <c r="AN12" s="421"/>
      <c r="AO12" s="421"/>
      <c r="AP12" s="421"/>
      <c r="AQ12" s="421"/>
      <c r="AR12" s="124"/>
      <c r="AS12" s="124"/>
      <c r="AT12" s="125"/>
      <c r="AU12" s="440" t="s">
        <v>116</v>
      </c>
      <c r="AV12" s="440"/>
      <c r="AW12" s="440"/>
      <c r="AX12" s="440"/>
      <c r="AY12" s="125"/>
      <c r="AZ12" s="438" t="s">
        <v>17</v>
      </c>
      <c r="BA12" s="438"/>
      <c r="BB12" s="438"/>
      <c r="BC12" s="438"/>
      <c r="BD12" s="126"/>
      <c r="BE12" s="110"/>
      <c r="BF12" s="110"/>
      <c r="BG12" s="511"/>
      <c r="BH12" s="511"/>
      <c r="BI12" s="511"/>
      <c r="BJ12" s="511"/>
      <c r="BK12" s="511"/>
      <c r="BL12" s="511"/>
      <c r="BM12" s="511"/>
      <c r="BN12" s="511"/>
      <c r="BO12" s="511"/>
      <c r="BP12" s="511"/>
      <c r="BQ12" s="511"/>
      <c r="BR12" s="511"/>
      <c r="BS12" s="511"/>
      <c r="BT12" s="511"/>
      <c r="BU12" s="511"/>
      <c r="BV12" s="511"/>
      <c r="BW12" s="118"/>
    </row>
    <row r="13" spans="1:101" ht="9.9499999999999993" customHeight="1" x14ac:dyDescent="0.2">
      <c r="B13" s="123"/>
      <c r="C13" s="512" t="s">
        <v>18</v>
      </c>
      <c r="D13" s="512"/>
      <c r="E13" s="512"/>
      <c r="F13" s="512"/>
      <c r="G13" s="512"/>
      <c r="H13" s="512"/>
      <c r="I13" s="512"/>
      <c r="J13" s="512"/>
      <c r="K13" s="421"/>
      <c r="L13" s="421"/>
      <c r="M13" s="421"/>
      <c r="N13" s="421"/>
      <c r="O13" s="421"/>
      <c r="P13" s="421"/>
      <c r="Q13" s="110"/>
      <c r="R13" s="110"/>
      <c r="S13" s="110"/>
      <c r="T13" s="421"/>
      <c r="U13" s="421"/>
      <c r="V13" s="421"/>
      <c r="W13" s="421"/>
      <c r="X13" s="421"/>
      <c r="Y13" s="421"/>
      <c r="Z13" s="421"/>
      <c r="AA13" s="421"/>
      <c r="AB13" s="421"/>
      <c r="AC13" s="421"/>
      <c r="AD13" s="421"/>
      <c r="AE13" s="421"/>
      <c r="AF13" s="421"/>
      <c r="AG13" s="421"/>
      <c r="AH13" s="421"/>
      <c r="AI13" s="421"/>
      <c r="AJ13" s="421"/>
      <c r="AK13" s="421"/>
      <c r="AL13" s="421"/>
      <c r="AM13" s="421"/>
      <c r="AN13" s="421"/>
      <c r="AO13" s="421"/>
      <c r="AP13" s="421"/>
      <c r="AQ13" s="421"/>
      <c r="AR13" s="110"/>
      <c r="AS13" s="110"/>
      <c r="AT13" s="126"/>
      <c r="AU13" s="440"/>
      <c r="AV13" s="440"/>
      <c r="AW13" s="440"/>
      <c r="AX13" s="440"/>
      <c r="AY13" s="126"/>
      <c r="AZ13" s="438"/>
      <c r="BA13" s="438"/>
      <c r="BB13" s="438"/>
      <c r="BC13" s="438"/>
      <c r="BD13" s="126"/>
      <c r="BE13" s="110"/>
      <c r="BF13" s="110"/>
      <c r="BG13" s="110"/>
      <c r="BH13" s="428" t="s">
        <v>117</v>
      </c>
      <c r="BI13" s="428"/>
      <c r="BJ13" s="428"/>
      <c r="BK13" s="428" t="s">
        <v>118</v>
      </c>
      <c r="BL13" s="428"/>
      <c r="BM13" s="428"/>
      <c r="BN13" s="110"/>
      <c r="BO13" s="428" t="s">
        <v>117</v>
      </c>
      <c r="BP13" s="428"/>
      <c r="BQ13" s="428"/>
      <c r="BR13" s="428" t="s">
        <v>118</v>
      </c>
      <c r="BS13" s="428"/>
      <c r="BT13" s="428"/>
      <c r="BU13" s="110"/>
      <c r="BV13" s="110"/>
      <c r="BW13" s="118"/>
    </row>
    <row r="14" spans="1:101" ht="9.75" customHeight="1" x14ac:dyDescent="0.2">
      <c r="B14" s="123"/>
      <c r="C14" s="512"/>
      <c r="D14" s="512"/>
      <c r="E14" s="512"/>
      <c r="F14" s="512"/>
      <c r="G14" s="512"/>
      <c r="H14" s="512"/>
      <c r="I14" s="512"/>
      <c r="J14" s="512"/>
      <c r="K14" s="421"/>
      <c r="L14" s="421"/>
      <c r="M14" s="421"/>
      <c r="N14" s="421"/>
      <c r="O14" s="421"/>
      <c r="P14" s="421"/>
      <c r="Q14" s="110"/>
      <c r="R14" s="110"/>
      <c r="S14" s="110"/>
      <c r="T14" s="421"/>
      <c r="U14" s="421"/>
      <c r="V14" s="421"/>
      <c r="W14" s="421"/>
      <c r="X14" s="421"/>
      <c r="Y14" s="421"/>
      <c r="Z14" s="421"/>
      <c r="AA14" s="421"/>
      <c r="AB14" s="421"/>
      <c r="AC14" s="421"/>
      <c r="AD14" s="421"/>
      <c r="AE14" s="421"/>
      <c r="AF14" s="421"/>
      <c r="AG14" s="421"/>
      <c r="AH14" s="421"/>
      <c r="AI14" s="421"/>
      <c r="AJ14" s="421"/>
      <c r="AK14" s="421"/>
      <c r="AL14" s="421"/>
      <c r="AM14" s="421"/>
      <c r="AN14" s="421"/>
      <c r="AO14" s="421"/>
      <c r="AP14" s="421"/>
      <c r="AQ14" s="421"/>
      <c r="AR14" s="110"/>
      <c r="AS14" s="110"/>
      <c r="AT14" s="126"/>
      <c r="AU14" s="441"/>
      <c r="AV14" s="441"/>
      <c r="AW14" s="441"/>
      <c r="AX14" s="441"/>
      <c r="AY14" s="126"/>
      <c r="AZ14" s="439"/>
      <c r="BA14" s="439"/>
      <c r="BB14" s="439"/>
      <c r="BC14" s="439"/>
      <c r="BD14" s="126"/>
      <c r="BE14" s="110"/>
      <c r="BF14" s="110"/>
      <c r="BG14" s="110"/>
      <c r="BH14" s="429" t="s">
        <v>120</v>
      </c>
      <c r="BI14" s="430"/>
      <c r="BJ14" s="430"/>
      <c r="BK14" s="389"/>
      <c r="BL14" s="389"/>
      <c r="BM14" s="390"/>
      <c r="BN14" s="110"/>
      <c r="BO14" s="429" t="s">
        <v>130</v>
      </c>
      <c r="BP14" s="430"/>
      <c r="BQ14" s="430"/>
      <c r="BR14" s="389"/>
      <c r="BS14" s="389"/>
      <c r="BT14" s="390"/>
      <c r="BU14" s="110"/>
      <c r="BV14" s="110"/>
      <c r="BW14" s="118"/>
    </row>
    <row r="15" spans="1:101" ht="9.9499999999999993" customHeight="1" x14ac:dyDescent="0.25">
      <c r="B15" s="116"/>
      <c r="C15" s="127"/>
      <c r="D15" s="462" t="s">
        <v>10</v>
      </c>
      <c r="E15" s="462"/>
      <c r="F15" s="462"/>
      <c r="G15" s="462"/>
      <c r="H15" s="462"/>
      <c r="I15" s="463"/>
      <c r="J15" s="110"/>
      <c r="K15" s="110"/>
      <c r="L15" s="479">
        <v>10</v>
      </c>
      <c r="M15" s="480"/>
      <c r="N15" s="480"/>
      <c r="O15" s="481"/>
      <c r="P15" s="127"/>
      <c r="Q15" s="110"/>
      <c r="R15" s="127"/>
      <c r="S15" s="110"/>
      <c r="T15" s="128"/>
      <c r="U15" s="403">
        <f>VLOOKUP(RAÇA.p,TABELA.raças,2,FALSE)</f>
        <v>0</v>
      </c>
      <c r="V15" s="404"/>
      <c r="W15" s="404"/>
      <c r="X15" s="405"/>
      <c r="Y15" s="129"/>
      <c r="Z15" s="129"/>
      <c r="AA15" s="403">
        <f>COUNTIF(QUADRO.niveis_pares,"For")</f>
        <v>0</v>
      </c>
      <c r="AB15" s="404"/>
      <c r="AC15" s="404"/>
      <c r="AD15" s="405"/>
      <c r="AE15" s="129"/>
      <c r="AF15" s="129"/>
      <c r="AG15" s="403">
        <f>VLOOKUP(IDADE.p,TABELA.idades,2,FALSE)</f>
        <v>0</v>
      </c>
      <c r="AH15" s="404"/>
      <c r="AI15" s="404"/>
      <c r="AJ15" s="405"/>
      <c r="AK15" s="129"/>
      <c r="AL15" s="129"/>
      <c r="AM15" s="412"/>
      <c r="AN15" s="413"/>
      <c r="AO15" s="413"/>
      <c r="AP15" s="414"/>
      <c r="AQ15" s="109"/>
      <c r="AR15" s="110"/>
      <c r="AS15" s="110"/>
      <c r="AT15" s="126"/>
      <c r="AU15" s="425">
        <f>L15+U15+AA15+AG15+AM15</f>
        <v>10</v>
      </c>
      <c r="AV15" s="426"/>
      <c r="AW15" s="426"/>
      <c r="AX15" s="427"/>
      <c r="AY15" s="126"/>
      <c r="AZ15" s="422">
        <f>IF(FORÇA.p&lt;10,ROUNDDOWN((FORÇA.p-10)/2,1),ROUNDDOWN((FORÇA.p-10)/2,0))</f>
        <v>0</v>
      </c>
      <c r="BA15" s="423"/>
      <c r="BB15" s="423"/>
      <c r="BC15" s="424"/>
      <c r="BD15" s="126"/>
      <c r="BE15" s="110"/>
      <c r="BF15" s="110"/>
      <c r="BG15" s="110"/>
      <c r="BH15" s="360"/>
      <c r="BI15" s="361"/>
      <c r="BJ15" s="361"/>
      <c r="BK15" s="364"/>
      <c r="BL15" s="364"/>
      <c r="BM15" s="365"/>
      <c r="BN15" s="110"/>
      <c r="BO15" s="360"/>
      <c r="BP15" s="361"/>
      <c r="BQ15" s="361"/>
      <c r="BR15" s="364"/>
      <c r="BS15" s="364"/>
      <c r="BT15" s="365"/>
      <c r="BU15" s="110"/>
      <c r="BV15" s="110"/>
      <c r="BW15" s="118"/>
    </row>
    <row r="16" spans="1:101" ht="9.9499999999999993" customHeight="1" x14ac:dyDescent="0.25">
      <c r="B16" s="116"/>
      <c r="C16" s="127"/>
      <c r="D16" s="462"/>
      <c r="E16" s="462"/>
      <c r="F16" s="462"/>
      <c r="G16" s="462"/>
      <c r="H16" s="462"/>
      <c r="I16" s="463"/>
      <c r="J16" s="110"/>
      <c r="K16" s="110"/>
      <c r="L16" s="467"/>
      <c r="M16" s="468"/>
      <c r="N16" s="468"/>
      <c r="O16" s="469"/>
      <c r="P16" s="109"/>
      <c r="Q16" s="110"/>
      <c r="R16" s="492" t="s">
        <v>21</v>
      </c>
      <c r="S16" s="492"/>
      <c r="T16" s="493"/>
      <c r="U16" s="406"/>
      <c r="V16" s="407"/>
      <c r="W16" s="407"/>
      <c r="X16" s="408"/>
      <c r="Y16" s="434" t="s">
        <v>21</v>
      </c>
      <c r="Z16" s="435"/>
      <c r="AA16" s="406"/>
      <c r="AB16" s="407"/>
      <c r="AC16" s="407"/>
      <c r="AD16" s="408"/>
      <c r="AE16" s="434" t="s">
        <v>21</v>
      </c>
      <c r="AF16" s="435"/>
      <c r="AG16" s="406"/>
      <c r="AH16" s="407"/>
      <c r="AI16" s="407"/>
      <c r="AJ16" s="408"/>
      <c r="AK16" s="434" t="s">
        <v>21</v>
      </c>
      <c r="AL16" s="435"/>
      <c r="AM16" s="415"/>
      <c r="AN16" s="416"/>
      <c r="AO16" s="416"/>
      <c r="AP16" s="417"/>
      <c r="AQ16" s="436" t="s">
        <v>20</v>
      </c>
      <c r="AR16" s="437"/>
      <c r="AS16" s="437"/>
      <c r="AT16" s="126"/>
      <c r="AU16" s="383"/>
      <c r="AV16" s="384"/>
      <c r="AW16" s="384"/>
      <c r="AX16" s="385"/>
      <c r="AY16" s="126"/>
      <c r="AZ16" s="374"/>
      <c r="BA16" s="375"/>
      <c r="BB16" s="375"/>
      <c r="BC16" s="376"/>
      <c r="BD16" s="126"/>
      <c r="BE16" s="110"/>
      <c r="BF16" s="110"/>
      <c r="BG16" s="110"/>
      <c r="BH16" s="360" t="s">
        <v>121</v>
      </c>
      <c r="BI16" s="361"/>
      <c r="BJ16" s="361"/>
      <c r="BK16" s="364"/>
      <c r="BL16" s="364"/>
      <c r="BM16" s="365"/>
      <c r="BN16" s="110"/>
      <c r="BO16" s="360" t="s">
        <v>131</v>
      </c>
      <c r="BP16" s="361"/>
      <c r="BQ16" s="361"/>
      <c r="BR16" s="364"/>
      <c r="BS16" s="364"/>
      <c r="BT16" s="365"/>
      <c r="BU16" s="110"/>
      <c r="BV16" s="110"/>
      <c r="BW16" s="118"/>
    </row>
    <row r="17" spans="2:118" ht="9.9499999999999993" customHeight="1" x14ac:dyDescent="0.15">
      <c r="B17" s="116"/>
      <c r="C17" s="127" t="b">
        <v>0</v>
      </c>
      <c r="D17" s="451" t="s">
        <v>114</v>
      </c>
      <c r="E17" s="451"/>
      <c r="F17" s="451"/>
      <c r="G17" s="451"/>
      <c r="H17" s="451"/>
      <c r="I17" s="452"/>
      <c r="J17" s="110"/>
      <c r="K17" s="130"/>
      <c r="L17" s="470"/>
      <c r="M17" s="471"/>
      <c r="N17" s="471"/>
      <c r="O17" s="472"/>
      <c r="P17" s="131"/>
      <c r="Q17" s="110"/>
      <c r="R17" s="492"/>
      <c r="S17" s="492"/>
      <c r="T17" s="493"/>
      <c r="U17" s="409"/>
      <c r="V17" s="410"/>
      <c r="W17" s="410"/>
      <c r="X17" s="411"/>
      <c r="Y17" s="434"/>
      <c r="Z17" s="435"/>
      <c r="AA17" s="409"/>
      <c r="AB17" s="410"/>
      <c r="AC17" s="410"/>
      <c r="AD17" s="411"/>
      <c r="AE17" s="434"/>
      <c r="AF17" s="435"/>
      <c r="AG17" s="409"/>
      <c r="AH17" s="410"/>
      <c r="AI17" s="410"/>
      <c r="AJ17" s="411"/>
      <c r="AK17" s="434"/>
      <c r="AL17" s="435"/>
      <c r="AM17" s="418"/>
      <c r="AN17" s="419"/>
      <c r="AO17" s="419"/>
      <c r="AP17" s="420"/>
      <c r="AQ17" s="436"/>
      <c r="AR17" s="437"/>
      <c r="AS17" s="437"/>
      <c r="AT17" s="126"/>
      <c r="AU17" s="386"/>
      <c r="AV17" s="387"/>
      <c r="AW17" s="387"/>
      <c r="AX17" s="388"/>
      <c r="AY17" s="126"/>
      <c r="AZ17" s="377"/>
      <c r="BA17" s="378"/>
      <c r="BB17" s="378"/>
      <c r="BC17" s="379"/>
      <c r="BD17" s="126"/>
      <c r="BE17" s="110"/>
      <c r="BF17" s="110"/>
      <c r="BG17" s="110"/>
      <c r="BH17" s="360"/>
      <c r="BI17" s="361"/>
      <c r="BJ17" s="361"/>
      <c r="BK17" s="364"/>
      <c r="BL17" s="364"/>
      <c r="BM17" s="365"/>
      <c r="BN17" s="110"/>
      <c r="BO17" s="360"/>
      <c r="BP17" s="361"/>
      <c r="BQ17" s="361"/>
      <c r="BR17" s="364"/>
      <c r="BS17" s="364"/>
      <c r="BT17" s="365"/>
      <c r="BU17" s="110"/>
      <c r="BV17" s="110"/>
      <c r="BW17" s="118"/>
    </row>
    <row r="18" spans="2:118" ht="9.9499999999999993" customHeight="1" x14ac:dyDescent="0.25">
      <c r="B18" s="116"/>
      <c r="C18" s="127"/>
      <c r="D18" s="460" t="s">
        <v>11</v>
      </c>
      <c r="E18" s="460"/>
      <c r="F18" s="460"/>
      <c r="G18" s="460"/>
      <c r="H18" s="460"/>
      <c r="I18" s="461"/>
      <c r="J18" s="110"/>
      <c r="K18" s="130"/>
      <c r="L18" s="464">
        <v>10</v>
      </c>
      <c r="M18" s="465"/>
      <c r="N18" s="465"/>
      <c r="O18" s="466"/>
      <c r="P18" s="127"/>
      <c r="Q18" s="110"/>
      <c r="R18" s="132"/>
      <c r="S18" s="127"/>
      <c r="T18" s="128"/>
      <c r="U18" s="431">
        <f>VLOOKUP(RAÇA.p,TABELA.raças,3,FALSE)</f>
        <v>0</v>
      </c>
      <c r="V18" s="432"/>
      <c r="W18" s="432"/>
      <c r="X18" s="433"/>
      <c r="Y18" s="133"/>
      <c r="Z18" s="133"/>
      <c r="AA18" s="431">
        <f>COUNTIF(QUADRO.niveis_pares,"Des")</f>
        <v>0</v>
      </c>
      <c r="AB18" s="432"/>
      <c r="AC18" s="432"/>
      <c r="AD18" s="433"/>
      <c r="AE18" s="133"/>
      <c r="AF18" s="133"/>
      <c r="AG18" s="431">
        <f>VLOOKUP(IDADE.p,TABELA.idades,2,FALSE)</f>
        <v>0</v>
      </c>
      <c r="AH18" s="432"/>
      <c r="AI18" s="432"/>
      <c r="AJ18" s="433"/>
      <c r="AK18" s="133"/>
      <c r="AL18" s="133"/>
      <c r="AM18" s="494"/>
      <c r="AN18" s="495"/>
      <c r="AO18" s="495"/>
      <c r="AP18" s="496"/>
      <c r="AQ18" s="127"/>
      <c r="AR18" s="110"/>
      <c r="AS18" s="110"/>
      <c r="AT18" s="126"/>
      <c r="AU18" s="380">
        <f>L18+U18+AA18+AG18+AM18</f>
        <v>10</v>
      </c>
      <c r="AV18" s="381"/>
      <c r="AW18" s="381"/>
      <c r="AX18" s="382"/>
      <c r="AY18" s="126"/>
      <c r="AZ18" s="371">
        <f>IF(DESTREZA.p&lt;10,ROUNDDOWN((DESTREZA.p-10)/2,1),ROUNDDOWN((DESTREZA.p-10)/2,0))</f>
        <v>0</v>
      </c>
      <c r="BA18" s="372"/>
      <c r="BB18" s="372"/>
      <c r="BC18" s="373"/>
      <c r="BD18" s="126"/>
      <c r="BE18" s="110"/>
      <c r="BF18" s="110"/>
      <c r="BG18" s="110"/>
      <c r="BH18" s="360" t="s">
        <v>122</v>
      </c>
      <c r="BI18" s="361"/>
      <c r="BJ18" s="361"/>
      <c r="BK18" s="364"/>
      <c r="BL18" s="364"/>
      <c r="BM18" s="365"/>
      <c r="BN18" s="110"/>
      <c r="BO18" s="360" t="s">
        <v>132</v>
      </c>
      <c r="BP18" s="361"/>
      <c r="BQ18" s="361"/>
      <c r="BR18" s="364"/>
      <c r="BS18" s="364"/>
      <c r="BT18" s="365"/>
      <c r="BU18" s="110"/>
      <c r="BV18" s="110"/>
      <c r="BW18" s="118"/>
    </row>
    <row r="19" spans="2:118" ht="9.9499999999999993" customHeight="1" x14ac:dyDescent="0.25">
      <c r="B19" s="116"/>
      <c r="C19" s="127"/>
      <c r="D19" s="462"/>
      <c r="E19" s="462"/>
      <c r="F19" s="462"/>
      <c r="G19" s="462"/>
      <c r="H19" s="462"/>
      <c r="I19" s="463"/>
      <c r="J19" s="110"/>
      <c r="K19" s="130"/>
      <c r="L19" s="467"/>
      <c r="M19" s="468"/>
      <c r="N19" s="468"/>
      <c r="O19" s="469"/>
      <c r="P19" s="109"/>
      <c r="Q19" s="110"/>
      <c r="R19" s="492" t="s">
        <v>21</v>
      </c>
      <c r="S19" s="492"/>
      <c r="T19" s="493"/>
      <c r="U19" s="406"/>
      <c r="V19" s="407"/>
      <c r="W19" s="407"/>
      <c r="X19" s="408"/>
      <c r="Y19" s="434" t="s">
        <v>21</v>
      </c>
      <c r="Z19" s="435"/>
      <c r="AA19" s="406"/>
      <c r="AB19" s="407"/>
      <c r="AC19" s="407"/>
      <c r="AD19" s="408"/>
      <c r="AE19" s="434" t="s">
        <v>21</v>
      </c>
      <c r="AF19" s="435"/>
      <c r="AG19" s="406"/>
      <c r="AH19" s="407"/>
      <c r="AI19" s="407"/>
      <c r="AJ19" s="408"/>
      <c r="AK19" s="434" t="s">
        <v>21</v>
      </c>
      <c r="AL19" s="435"/>
      <c r="AM19" s="415"/>
      <c r="AN19" s="416"/>
      <c r="AO19" s="416"/>
      <c r="AP19" s="417"/>
      <c r="AQ19" s="436" t="s">
        <v>20</v>
      </c>
      <c r="AR19" s="437"/>
      <c r="AS19" s="437"/>
      <c r="AT19" s="126"/>
      <c r="AU19" s="383"/>
      <c r="AV19" s="384"/>
      <c r="AW19" s="384"/>
      <c r="AX19" s="385"/>
      <c r="AY19" s="126"/>
      <c r="AZ19" s="374"/>
      <c r="BA19" s="375"/>
      <c r="BB19" s="375"/>
      <c r="BC19" s="376"/>
      <c r="BD19" s="126"/>
      <c r="BE19" s="110"/>
      <c r="BF19" s="110"/>
      <c r="BG19" s="110"/>
      <c r="BH19" s="360"/>
      <c r="BI19" s="361"/>
      <c r="BJ19" s="361"/>
      <c r="BK19" s="364"/>
      <c r="BL19" s="364"/>
      <c r="BM19" s="365"/>
      <c r="BN19" s="110"/>
      <c r="BO19" s="360"/>
      <c r="BP19" s="361"/>
      <c r="BQ19" s="361"/>
      <c r="BR19" s="364"/>
      <c r="BS19" s="364"/>
      <c r="BT19" s="365"/>
      <c r="BU19" s="110"/>
      <c r="BV19" s="110"/>
      <c r="BW19" s="118"/>
    </row>
    <row r="20" spans="2:118" ht="9.9499999999999993" customHeight="1" x14ac:dyDescent="0.15">
      <c r="B20" s="116"/>
      <c r="C20" s="127" t="b">
        <v>0</v>
      </c>
      <c r="D20" s="451" t="s">
        <v>115</v>
      </c>
      <c r="E20" s="451"/>
      <c r="F20" s="451"/>
      <c r="G20" s="451"/>
      <c r="H20" s="451"/>
      <c r="I20" s="452"/>
      <c r="J20" s="110"/>
      <c r="K20" s="130"/>
      <c r="L20" s="470"/>
      <c r="M20" s="471"/>
      <c r="N20" s="471"/>
      <c r="O20" s="472"/>
      <c r="P20" s="131"/>
      <c r="Q20" s="110"/>
      <c r="R20" s="492"/>
      <c r="S20" s="492"/>
      <c r="T20" s="493"/>
      <c r="U20" s="409"/>
      <c r="V20" s="410"/>
      <c r="W20" s="410"/>
      <c r="X20" s="411"/>
      <c r="Y20" s="434"/>
      <c r="Z20" s="435"/>
      <c r="AA20" s="409"/>
      <c r="AB20" s="410"/>
      <c r="AC20" s="410"/>
      <c r="AD20" s="411"/>
      <c r="AE20" s="434"/>
      <c r="AF20" s="435"/>
      <c r="AG20" s="409"/>
      <c r="AH20" s="410"/>
      <c r="AI20" s="410"/>
      <c r="AJ20" s="411"/>
      <c r="AK20" s="434"/>
      <c r="AL20" s="435"/>
      <c r="AM20" s="418"/>
      <c r="AN20" s="419"/>
      <c r="AO20" s="419"/>
      <c r="AP20" s="420"/>
      <c r="AQ20" s="436"/>
      <c r="AR20" s="437"/>
      <c r="AS20" s="437"/>
      <c r="AT20" s="126"/>
      <c r="AU20" s="386"/>
      <c r="AV20" s="387"/>
      <c r="AW20" s="387"/>
      <c r="AX20" s="388"/>
      <c r="AY20" s="126"/>
      <c r="AZ20" s="377"/>
      <c r="BA20" s="378"/>
      <c r="BB20" s="378"/>
      <c r="BC20" s="379"/>
      <c r="BD20" s="126"/>
      <c r="BE20" s="110"/>
      <c r="BF20" s="110"/>
      <c r="BG20" s="110"/>
      <c r="BH20" s="360" t="s">
        <v>123</v>
      </c>
      <c r="BI20" s="361"/>
      <c r="BJ20" s="361"/>
      <c r="BK20" s="364"/>
      <c r="BL20" s="364"/>
      <c r="BM20" s="365"/>
      <c r="BN20" s="110"/>
      <c r="BO20" s="360" t="s">
        <v>133</v>
      </c>
      <c r="BP20" s="361"/>
      <c r="BQ20" s="361"/>
      <c r="BR20" s="364"/>
      <c r="BS20" s="364"/>
      <c r="BT20" s="365"/>
      <c r="BU20" s="110"/>
      <c r="BV20" s="110"/>
      <c r="BW20" s="118"/>
    </row>
    <row r="21" spans="2:118" ht="9.9499999999999993" customHeight="1" x14ac:dyDescent="0.25">
      <c r="B21" s="116"/>
      <c r="C21" s="127"/>
      <c r="D21" s="460" t="s">
        <v>12</v>
      </c>
      <c r="E21" s="460"/>
      <c r="F21" s="460"/>
      <c r="G21" s="460"/>
      <c r="H21" s="460"/>
      <c r="I21" s="461"/>
      <c r="J21" s="110"/>
      <c r="K21" s="130"/>
      <c r="L21" s="464">
        <v>10</v>
      </c>
      <c r="M21" s="465"/>
      <c r="N21" s="465"/>
      <c r="O21" s="466"/>
      <c r="P21" s="127"/>
      <c r="Q21" s="110"/>
      <c r="R21" s="132"/>
      <c r="S21" s="110"/>
      <c r="T21" s="134"/>
      <c r="U21" s="431">
        <f>VLOOKUP(RAÇA.p,TABELA.raças,4,FALSE)</f>
        <v>0</v>
      </c>
      <c r="V21" s="432"/>
      <c r="W21" s="432"/>
      <c r="X21" s="433"/>
      <c r="Y21" s="135"/>
      <c r="Z21" s="135"/>
      <c r="AA21" s="431">
        <f>COUNTIF(QUADRO.niveis_pares,"Con")</f>
        <v>0</v>
      </c>
      <c r="AB21" s="432"/>
      <c r="AC21" s="432"/>
      <c r="AD21" s="433"/>
      <c r="AE21" s="135"/>
      <c r="AF21" s="135"/>
      <c r="AG21" s="431">
        <f>VLOOKUP(IDADE.p,TABELA.idades,2,FALSE)</f>
        <v>0</v>
      </c>
      <c r="AH21" s="432"/>
      <c r="AI21" s="432"/>
      <c r="AJ21" s="433"/>
      <c r="AK21" s="135"/>
      <c r="AL21" s="135"/>
      <c r="AM21" s="494"/>
      <c r="AN21" s="495"/>
      <c r="AO21" s="495"/>
      <c r="AP21" s="496"/>
      <c r="AQ21" s="127"/>
      <c r="AR21" s="110"/>
      <c r="AS21" s="110"/>
      <c r="AT21" s="126"/>
      <c r="AU21" s="380">
        <f>IF(presença.Con,L21+U21+AA21+AG21+AM21,"X")</f>
        <v>10</v>
      </c>
      <c r="AV21" s="381"/>
      <c r="AW21" s="381"/>
      <c r="AX21" s="382"/>
      <c r="AY21" s="126"/>
      <c r="AZ21" s="371">
        <f>IF(CONSTITUIÇÃO.p="X","–",IF(CONSTITUIÇÃO.p&lt;10,ROUNDDOWN((CONSTITUIÇÃO.p-10)/2,1),ROUNDDOWN((CONSTITUIÇÃO.p-10)/2,0)))</f>
        <v>0</v>
      </c>
      <c r="BA21" s="372"/>
      <c r="BB21" s="372"/>
      <c r="BC21" s="373"/>
      <c r="BD21" s="126"/>
      <c r="BE21" s="110"/>
      <c r="BF21" s="110"/>
      <c r="BG21" s="110"/>
      <c r="BH21" s="360"/>
      <c r="BI21" s="361"/>
      <c r="BJ21" s="361"/>
      <c r="BK21" s="364"/>
      <c r="BL21" s="364"/>
      <c r="BM21" s="365"/>
      <c r="BN21" s="110"/>
      <c r="BO21" s="360"/>
      <c r="BP21" s="361"/>
      <c r="BQ21" s="361"/>
      <c r="BR21" s="364"/>
      <c r="BS21" s="364"/>
      <c r="BT21" s="365"/>
      <c r="BU21" s="110"/>
      <c r="BV21" s="110"/>
      <c r="BW21" s="118"/>
    </row>
    <row r="22" spans="2:118" ht="9.9499999999999993" customHeight="1" x14ac:dyDescent="0.25">
      <c r="B22" s="116"/>
      <c r="C22" s="127"/>
      <c r="D22" s="462"/>
      <c r="E22" s="462"/>
      <c r="F22" s="462"/>
      <c r="G22" s="462"/>
      <c r="H22" s="462"/>
      <c r="I22" s="463"/>
      <c r="J22" s="110"/>
      <c r="K22" s="130"/>
      <c r="L22" s="467"/>
      <c r="M22" s="468"/>
      <c r="N22" s="468"/>
      <c r="O22" s="469"/>
      <c r="P22" s="109"/>
      <c r="Q22" s="110"/>
      <c r="R22" s="492" t="s">
        <v>21</v>
      </c>
      <c r="S22" s="492"/>
      <c r="T22" s="493"/>
      <c r="U22" s="406"/>
      <c r="V22" s="407"/>
      <c r="W22" s="407"/>
      <c r="X22" s="408"/>
      <c r="Y22" s="434" t="s">
        <v>21</v>
      </c>
      <c r="Z22" s="435"/>
      <c r="AA22" s="406"/>
      <c r="AB22" s="407"/>
      <c r="AC22" s="407"/>
      <c r="AD22" s="408"/>
      <c r="AE22" s="434" t="s">
        <v>21</v>
      </c>
      <c r="AF22" s="435"/>
      <c r="AG22" s="406"/>
      <c r="AH22" s="407"/>
      <c r="AI22" s="407"/>
      <c r="AJ22" s="408"/>
      <c r="AK22" s="434" t="s">
        <v>21</v>
      </c>
      <c r="AL22" s="435"/>
      <c r="AM22" s="415"/>
      <c r="AN22" s="416"/>
      <c r="AO22" s="416"/>
      <c r="AP22" s="417"/>
      <c r="AQ22" s="436" t="s">
        <v>20</v>
      </c>
      <c r="AR22" s="437"/>
      <c r="AS22" s="437"/>
      <c r="AT22" s="126"/>
      <c r="AU22" s="383"/>
      <c r="AV22" s="384"/>
      <c r="AW22" s="384"/>
      <c r="AX22" s="385"/>
      <c r="AY22" s="126"/>
      <c r="AZ22" s="374"/>
      <c r="BA22" s="375"/>
      <c r="BB22" s="375"/>
      <c r="BC22" s="376"/>
      <c r="BD22" s="126"/>
      <c r="BE22" s="110"/>
      <c r="BF22" s="110"/>
      <c r="BG22" s="110"/>
      <c r="BH22" s="360" t="s">
        <v>124</v>
      </c>
      <c r="BI22" s="361"/>
      <c r="BJ22" s="361"/>
      <c r="BK22" s="364"/>
      <c r="BL22" s="364"/>
      <c r="BM22" s="365"/>
      <c r="BN22" s="110"/>
      <c r="BO22" s="360" t="s">
        <v>134</v>
      </c>
      <c r="BP22" s="361"/>
      <c r="BQ22" s="361"/>
      <c r="BR22" s="364"/>
      <c r="BS22" s="364"/>
      <c r="BT22" s="365"/>
      <c r="BU22" s="110"/>
      <c r="BV22" s="110"/>
      <c r="BW22" s="118"/>
      <c r="CN22" s="110"/>
      <c r="CO22" s="110"/>
      <c r="CP22" s="110"/>
    </row>
    <row r="23" spans="2:118" ht="9.9499999999999993" customHeight="1" x14ac:dyDescent="0.15">
      <c r="B23" s="116"/>
      <c r="C23" s="127" t="b">
        <v>0</v>
      </c>
      <c r="D23" s="451" t="s">
        <v>101</v>
      </c>
      <c r="E23" s="451"/>
      <c r="F23" s="451"/>
      <c r="G23" s="451"/>
      <c r="H23" s="451"/>
      <c r="I23" s="452"/>
      <c r="J23" s="110"/>
      <c r="K23" s="130"/>
      <c r="L23" s="470"/>
      <c r="M23" s="471"/>
      <c r="N23" s="471"/>
      <c r="O23" s="472"/>
      <c r="P23" s="131"/>
      <c r="Q23" s="110"/>
      <c r="R23" s="492"/>
      <c r="S23" s="492"/>
      <c r="T23" s="493"/>
      <c r="U23" s="409"/>
      <c r="V23" s="410"/>
      <c r="W23" s="410"/>
      <c r="X23" s="411"/>
      <c r="Y23" s="434"/>
      <c r="Z23" s="435"/>
      <c r="AA23" s="409"/>
      <c r="AB23" s="410"/>
      <c r="AC23" s="410"/>
      <c r="AD23" s="411"/>
      <c r="AE23" s="434"/>
      <c r="AF23" s="435"/>
      <c r="AG23" s="409"/>
      <c r="AH23" s="410"/>
      <c r="AI23" s="410"/>
      <c r="AJ23" s="411"/>
      <c r="AK23" s="434"/>
      <c r="AL23" s="435"/>
      <c r="AM23" s="418"/>
      <c r="AN23" s="419"/>
      <c r="AO23" s="419"/>
      <c r="AP23" s="420"/>
      <c r="AQ23" s="436"/>
      <c r="AR23" s="437"/>
      <c r="AS23" s="437"/>
      <c r="AT23" s="126"/>
      <c r="AU23" s="386"/>
      <c r="AV23" s="387"/>
      <c r="AW23" s="387"/>
      <c r="AX23" s="388"/>
      <c r="AY23" s="126"/>
      <c r="AZ23" s="377"/>
      <c r="BA23" s="378"/>
      <c r="BB23" s="378"/>
      <c r="BC23" s="379"/>
      <c r="BD23" s="126"/>
      <c r="BE23" s="110"/>
      <c r="BF23" s="110"/>
      <c r="BG23" s="110"/>
      <c r="BH23" s="360"/>
      <c r="BI23" s="361"/>
      <c r="BJ23" s="361"/>
      <c r="BK23" s="364"/>
      <c r="BL23" s="364"/>
      <c r="BM23" s="365"/>
      <c r="BN23" s="110"/>
      <c r="BO23" s="360"/>
      <c r="BP23" s="361"/>
      <c r="BQ23" s="361"/>
      <c r="BR23" s="364"/>
      <c r="BS23" s="364"/>
      <c r="BT23" s="365"/>
      <c r="BU23" s="110"/>
      <c r="BV23" s="110"/>
      <c r="BW23" s="118"/>
      <c r="CN23" s="110"/>
      <c r="CO23" s="110"/>
      <c r="CP23" s="110"/>
    </row>
    <row r="24" spans="2:118" ht="9.9499999999999993" customHeight="1" x14ac:dyDescent="0.25">
      <c r="B24" s="116"/>
      <c r="C24" s="127"/>
      <c r="D24" s="460" t="s">
        <v>13</v>
      </c>
      <c r="E24" s="460"/>
      <c r="F24" s="460"/>
      <c r="G24" s="460"/>
      <c r="H24" s="460"/>
      <c r="I24" s="461"/>
      <c r="J24" s="110"/>
      <c r="K24" s="130"/>
      <c r="L24" s="464">
        <v>10</v>
      </c>
      <c r="M24" s="465"/>
      <c r="N24" s="465"/>
      <c r="O24" s="466"/>
      <c r="P24" s="127"/>
      <c r="Q24" s="110"/>
      <c r="R24" s="132"/>
      <c r="S24" s="127"/>
      <c r="T24" s="128"/>
      <c r="U24" s="431">
        <f>VLOOKUP(RAÇA.p,TABELA.raças,5,FALSE)</f>
        <v>0</v>
      </c>
      <c r="V24" s="432"/>
      <c r="W24" s="432"/>
      <c r="X24" s="433"/>
      <c r="Y24" s="135"/>
      <c r="Z24" s="135"/>
      <c r="AA24" s="431">
        <f>COUNTIF(QUADRO.niveis_pares,"Int")</f>
        <v>0</v>
      </c>
      <c r="AB24" s="432"/>
      <c r="AC24" s="432"/>
      <c r="AD24" s="433"/>
      <c r="AE24" s="135"/>
      <c r="AF24" s="135"/>
      <c r="AG24" s="431">
        <f>VLOOKUP(IDADE.p,TABELA.idades,3,FALSE)</f>
        <v>0</v>
      </c>
      <c r="AH24" s="432"/>
      <c r="AI24" s="432"/>
      <c r="AJ24" s="433"/>
      <c r="AK24" s="135"/>
      <c r="AL24" s="135"/>
      <c r="AM24" s="494"/>
      <c r="AN24" s="495"/>
      <c r="AO24" s="495"/>
      <c r="AP24" s="496"/>
      <c r="AQ24" s="127"/>
      <c r="AR24" s="110"/>
      <c r="AS24" s="110"/>
      <c r="AT24" s="126"/>
      <c r="AU24" s="380">
        <f>IF(presença.Int,L24+U24+AA24+AG24+AM24,"X")</f>
        <v>10</v>
      </c>
      <c r="AV24" s="381"/>
      <c r="AW24" s="381"/>
      <c r="AX24" s="382"/>
      <c r="AY24" s="126"/>
      <c r="AZ24" s="371">
        <f>IF(INTELIGÊNCIA.p="X","–",IF(INTELIGÊNCIA.p&lt;10,ROUNDDOWN((INTELIGÊNCIA.p-10)/2,1),ROUNDDOWN((INTELIGÊNCIA.p-10)/2,0)))</f>
        <v>0</v>
      </c>
      <c r="BA24" s="372"/>
      <c r="BB24" s="372"/>
      <c r="BC24" s="373"/>
      <c r="BD24" s="126"/>
      <c r="BE24" s="110"/>
      <c r="BF24" s="110"/>
      <c r="BG24" s="110"/>
      <c r="BH24" s="360" t="s">
        <v>125</v>
      </c>
      <c r="BI24" s="361"/>
      <c r="BJ24" s="361"/>
      <c r="BK24" s="364"/>
      <c r="BL24" s="364"/>
      <c r="BM24" s="365"/>
      <c r="BN24" s="110"/>
      <c r="BO24" s="360" t="s">
        <v>135</v>
      </c>
      <c r="BP24" s="361"/>
      <c r="BQ24" s="361"/>
      <c r="BR24" s="364"/>
      <c r="BS24" s="364"/>
      <c r="BT24" s="365"/>
      <c r="BU24" s="110"/>
      <c r="BV24" s="110"/>
      <c r="BW24" s="118"/>
      <c r="CN24" s="110"/>
      <c r="CO24" s="110"/>
      <c r="CP24" s="110"/>
    </row>
    <row r="25" spans="2:118" ht="9.9499999999999993" customHeight="1" x14ac:dyDescent="0.25">
      <c r="B25" s="116"/>
      <c r="C25" s="127"/>
      <c r="D25" s="462"/>
      <c r="E25" s="462"/>
      <c r="F25" s="462"/>
      <c r="G25" s="462"/>
      <c r="H25" s="462"/>
      <c r="I25" s="463"/>
      <c r="J25" s="110"/>
      <c r="K25" s="130"/>
      <c r="L25" s="467"/>
      <c r="M25" s="468"/>
      <c r="N25" s="468"/>
      <c r="O25" s="469"/>
      <c r="P25" s="109"/>
      <c r="Q25" s="110"/>
      <c r="R25" s="492" t="s">
        <v>21</v>
      </c>
      <c r="S25" s="492"/>
      <c r="T25" s="493"/>
      <c r="U25" s="406"/>
      <c r="V25" s="407"/>
      <c r="W25" s="407"/>
      <c r="X25" s="408"/>
      <c r="Y25" s="434" t="s">
        <v>21</v>
      </c>
      <c r="Z25" s="435"/>
      <c r="AA25" s="406"/>
      <c r="AB25" s="407"/>
      <c r="AC25" s="407"/>
      <c r="AD25" s="408"/>
      <c r="AE25" s="434" t="s">
        <v>21</v>
      </c>
      <c r="AF25" s="435"/>
      <c r="AG25" s="406"/>
      <c r="AH25" s="407"/>
      <c r="AI25" s="407"/>
      <c r="AJ25" s="408"/>
      <c r="AK25" s="434" t="s">
        <v>21</v>
      </c>
      <c r="AL25" s="435"/>
      <c r="AM25" s="415"/>
      <c r="AN25" s="416"/>
      <c r="AO25" s="416"/>
      <c r="AP25" s="417"/>
      <c r="AQ25" s="436" t="s">
        <v>20</v>
      </c>
      <c r="AR25" s="437"/>
      <c r="AS25" s="437"/>
      <c r="AT25" s="126"/>
      <c r="AU25" s="383"/>
      <c r="AV25" s="384"/>
      <c r="AW25" s="384"/>
      <c r="AX25" s="385"/>
      <c r="AY25" s="126"/>
      <c r="AZ25" s="374"/>
      <c r="BA25" s="375"/>
      <c r="BB25" s="375"/>
      <c r="BC25" s="376"/>
      <c r="BD25" s="126"/>
      <c r="BE25" s="110"/>
      <c r="BF25" s="110"/>
      <c r="BG25" s="110"/>
      <c r="BH25" s="360"/>
      <c r="BI25" s="361"/>
      <c r="BJ25" s="361"/>
      <c r="BK25" s="364"/>
      <c r="BL25" s="364"/>
      <c r="BM25" s="365"/>
      <c r="BN25" s="110"/>
      <c r="BO25" s="360"/>
      <c r="BP25" s="361"/>
      <c r="BQ25" s="361"/>
      <c r="BR25" s="364"/>
      <c r="BS25" s="364"/>
      <c r="BT25" s="365"/>
      <c r="BU25" s="110"/>
      <c r="BV25" s="110"/>
      <c r="BW25" s="118"/>
      <c r="CN25" s="110"/>
      <c r="CO25" s="110"/>
      <c r="CP25" s="110"/>
    </row>
    <row r="26" spans="2:118" ht="9.9499999999999993" customHeight="1" x14ac:dyDescent="0.15">
      <c r="B26" s="116"/>
      <c r="C26" s="127" t="b">
        <v>0</v>
      </c>
      <c r="D26" s="451" t="s">
        <v>98</v>
      </c>
      <c r="E26" s="451"/>
      <c r="F26" s="451"/>
      <c r="G26" s="451"/>
      <c r="H26" s="451"/>
      <c r="I26" s="452"/>
      <c r="J26" s="110"/>
      <c r="K26" s="130"/>
      <c r="L26" s="470"/>
      <c r="M26" s="471"/>
      <c r="N26" s="471"/>
      <c r="O26" s="472"/>
      <c r="P26" s="131"/>
      <c r="Q26" s="110"/>
      <c r="R26" s="492"/>
      <c r="S26" s="492"/>
      <c r="T26" s="493"/>
      <c r="U26" s="409"/>
      <c r="V26" s="410"/>
      <c r="W26" s="410"/>
      <c r="X26" s="411"/>
      <c r="Y26" s="434"/>
      <c r="Z26" s="435"/>
      <c r="AA26" s="409"/>
      <c r="AB26" s="410"/>
      <c r="AC26" s="410"/>
      <c r="AD26" s="411"/>
      <c r="AE26" s="434"/>
      <c r="AF26" s="435"/>
      <c r="AG26" s="409"/>
      <c r="AH26" s="410"/>
      <c r="AI26" s="410"/>
      <c r="AJ26" s="411"/>
      <c r="AK26" s="434"/>
      <c r="AL26" s="435"/>
      <c r="AM26" s="418"/>
      <c r="AN26" s="419"/>
      <c r="AO26" s="419"/>
      <c r="AP26" s="420"/>
      <c r="AQ26" s="436"/>
      <c r="AR26" s="437"/>
      <c r="AS26" s="437"/>
      <c r="AT26" s="126"/>
      <c r="AU26" s="386"/>
      <c r="AV26" s="387"/>
      <c r="AW26" s="387"/>
      <c r="AX26" s="388"/>
      <c r="AY26" s="126"/>
      <c r="AZ26" s="377"/>
      <c r="BA26" s="378"/>
      <c r="BB26" s="378"/>
      <c r="BC26" s="379"/>
      <c r="BD26" s="126"/>
      <c r="BE26" s="110"/>
      <c r="BF26" s="110"/>
      <c r="BG26" s="110"/>
      <c r="BH26" s="360" t="s">
        <v>126</v>
      </c>
      <c r="BI26" s="361"/>
      <c r="BJ26" s="361"/>
      <c r="BK26" s="364"/>
      <c r="BL26" s="364"/>
      <c r="BM26" s="365"/>
      <c r="BN26" s="110"/>
      <c r="BO26" s="360" t="s">
        <v>136</v>
      </c>
      <c r="BP26" s="361"/>
      <c r="BQ26" s="361"/>
      <c r="BR26" s="364"/>
      <c r="BS26" s="364"/>
      <c r="BT26" s="365"/>
      <c r="BU26" s="110"/>
      <c r="BV26" s="110"/>
      <c r="BW26" s="118"/>
      <c r="CN26" s="110"/>
      <c r="CO26" s="110"/>
      <c r="CP26" s="110"/>
    </row>
    <row r="27" spans="2:118" ht="9.9499999999999993" customHeight="1" x14ac:dyDescent="0.25">
      <c r="B27" s="116"/>
      <c r="C27" s="127"/>
      <c r="D27" s="460" t="s">
        <v>14</v>
      </c>
      <c r="E27" s="460"/>
      <c r="F27" s="460"/>
      <c r="G27" s="460"/>
      <c r="H27" s="460"/>
      <c r="I27" s="461"/>
      <c r="J27" s="110"/>
      <c r="K27" s="130"/>
      <c r="L27" s="464">
        <v>10</v>
      </c>
      <c r="M27" s="465"/>
      <c r="N27" s="465"/>
      <c r="O27" s="466"/>
      <c r="P27" s="127"/>
      <c r="Q27" s="110"/>
      <c r="R27" s="132"/>
      <c r="S27" s="110"/>
      <c r="T27" s="134"/>
      <c r="U27" s="431">
        <f>VLOOKUP(RAÇA.p,TABELA.raças,6,FALSE)</f>
        <v>4</v>
      </c>
      <c r="V27" s="432"/>
      <c r="W27" s="432"/>
      <c r="X27" s="433"/>
      <c r="Y27" s="135"/>
      <c r="Z27" s="135"/>
      <c r="AA27" s="431">
        <f>COUNTIF(QUADRO.niveis_pares,"Sab")</f>
        <v>0</v>
      </c>
      <c r="AB27" s="432"/>
      <c r="AC27" s="432"/>
      <c r="AD27" s="433"/>
      <c r="AE27" s="135"/>
      <c r="AF27" s="135"/>
      <c r="AG27" s="431">
        <f>VLOOKUP(IDADE.p,TABELA.idades,3,FALSE)</f>
        <v>0</v>
      </c>
      <c r="AH27" s="432"/>
      <c r="AI27" s="432"/>
      <c r="AJ27" s="433"/>
      <c r="AK27" s="135"/>
      <c r="AL27" s="135"/>
      <c r="AM27" s="494"/>
      <c r="AN27" s="495"/>
      <c r="AO27" s="495"/>
      <c r="AP27" s="496"/>
      <c r="AQ27" s="110"/>
      <c r="AR27" s="110"/>
      <c r="AS27" s="110"/>
      <c r="AT27" s="126"/>
      <c r="AU27" s="380">
        <f>L27+U27+AA27+AG27+AM27</f>
        <v>14</v>
      </c>
      <c r="AV27" s="381"/>
      <c r="AW27" s="381"/>
      <c r="AX27" s="382"/>
      <c r="AY27" s="126"/>
      <c r="AZ27" s="371">
        <f>IF(SABEDORIA.p&lt;10,ROUNDDOWN((SABEDORIA.p-10)/2,1),ROUNDDOWN((SABEDORIA.p-10)/2,0))</f>
        <v>2</v>
      </c>
      <c r="BA27" s="372"/>
      <c r="BB27" s="372"/>
      <c r="BC27" s="373"/>
      <c r="BD27" s="126"/>
      <c r="BE27" s="110"/>
      <c r="BF27" s="110"/>
      <c r="BG27" s="110"/>
      <c r="BH27" s="360"/>
      <c r="BI27" s="361"/>
      <c r="BJ27" s="361"/>
      <c r="BK27" s="364"/>
      <c r="BL27" s="364"/>
      <c r="BM27" s="365"/>
      <c r="BN27" s="110"/>
      <c r="BO27" s="360"/>
      <c r="BP27" s="361"/>
      <c r="BQ27" s="361"/>
      <c r="BR27" s="364"/>
      <c r="BS27" s="364"/>
      <c r="BT27" s="365"/>
      <c r="BU27" s="110"/>
      <c r="BV27" s="110"/>
      <c r="BW27" s="118"/>
    </row>
    <row r="28" spans="2:118" ht="9.9499999999999993" customHeight="1" x14ac:dyDescent="0.25">
      <c r="B28" s="116"/>
      <c r="C28" s="127"/>
      <c r="D28" s="462"/>
      <c r="E28" s="462"/>
      <c r="F28" s="462"/>
      <c r="G28" s="462"/>
      <c r="H28" s="462"/>
      <c r="I28" s="463"/>
      <c r="J28" s="110"/>
      <c r="K28" s="130"/>
      <c r="L28" s="467"/>
      <c r="M28" s="468"/>
      <c r="N28" s="468"/>
      <c r="O28" s="469"/>
      <c r="P28" s="109"/>
      <c r="Q28" s="110"/>
      <c r="R28" s="492" t="s">
        <v>21</v>
      </c>
      <c r="S28" s="492"/>
      <c r="T28" s="493"/>
      <c r="U28" s="406"/>
      <c r="V28" s="407"/>
      <c r="W28" s="407"/>
      <c r="X28" s="408"/>
      <c r="Y28" s="434" t="s">
        <v>21</v>
      </c>
      <c r="Z28" s="435"/>
      <c r="AA28" s="406"/>
      <c r="AB28" s="407"/>
      <c r="AC28" s="407"/>
      <c r="AD28" s="408"/>
      <c r="AE28" s="434" t="s">
        <v>21</v>
      </c>
      <c r="AF28" s="435"/>
      <c r="AG28" s="406"/>
      <c r="AH28" s="407"/>
      <c r="AI28" s="407"/>
      <c r="AJ28" s="408"/>
      <c r="AK28" s="434" t="s">
        <v>21</v>
      </c>
      <c r="AL28" s="435"/>
      <c r="AM28" s="415"/>
      <c r="AN28" s="416"/>
      <c r="AO28" s="416"/>
      <c r="AP28" s="417"/>
      <c r="AQ28" s="436" t="s">
        <v>20</v>
      </c>
      <c r="AR28" s="437"/>
      <c r="AS28" s="437"/>
      <c r="AT28" s="126"/>
      <c r="AU28" s="383"/>
      <c r="AV28" s="384"/>
      <c r="AW28" s="384"/>
      <c r="AX28" s="385"/>
      <c r="AY28" s="126"/>
      <c r="AZ28" s="374"/>
      <c r="BA28" s="375"/>
      <c r="BB28" s="375"/>
      <c r="BC28" s="376"/>
      <c r="BD28" s="126"/>
      <c r="BE28" s="110"/>
      <c r="BF28" s="110"/>
      <c r="BG28" s="110"/>
      <c r="BH28" s="360" t="s">
        <v>127</v>
      </c>
      <c r="BI28" s="361"/>
      <c r="BJ28" s="361"/>
      <c r="BK28" s="364"/>
      <c r="BL28" s="364"/>
      <c r="BM28" s="365"/>
      <c r="BN28" s="110"/>
      <c r="BO28" s="360" t="s">
        <v>137</v>
      </c>
      <c r="BP28" s="361"/>
      <c r="BQ28" s="361"/>
      <c r="BR28" s="364"/>
      <c r="BS28" s="364"/>
      <c r="BT28" s="365"/>
      <c r="BU28" s="110"/>
      <c r="BV28" s="110"/>
      <c r="BW28" s="118"/>
    </row>
    <row r="29" spans="2:118" ht="9.9499999999999993" customHeight="1" x14ac:dyDescent="0.15">
      <c r="B29" s="116"/>
      <c r="C29" s="127"/>
      <c r="D29" s="451" t="s">
        <v>99</v>
      </c>
      <c r="E29" s="451"/>
      <c r="F29" s="451"/>
      <c r="G29" s="451"/>
      <c r="H29" s="451"/>
      <c r="I29" s="452"/>
      <c r="J29" s="110"/>
      <c r="K29" s="130"/>
      <c r="L29" s="470"/>
      <c r="M29" s="471"/>
      <c r="N29" s="471"/>
      <c r="O29" s="472"/>
      <c r="P29" s="131"/>
      <c r="Q29" s="110"/>
      <c r="R29" s="492"/>
      <c r="S29" s="492"/>
      <c r="T29" s="493"/>
      <c r="U29" s="409"/>
      <c r="V29" s="410"/>
      <c r="W29" s="410"/>
      <c r="X29" s="411"/>
      <c r="Y29" s="434"/>
      <c r="Z29" s="435"/>
      <c r="AA29" s="409"/>
      <c r="AB29" s="410"/>
      <c r="AC29" s="410"/>
      <c r="AD29" s="411"/>
      <c r="AE29" s="434"/>
      <c r="AF29" s="435"/>
      <c r="AG29" s="409"/>
      <c r="AH29" s="410"/>
      <c r="AI29" s="410"/>
      <c r="AJ29" s="411"/>
      <c r="AK29" s="434"/>
      <c r="AL29" s="435"/>
      <c r="AM29" s="418"/>
      <c r="AN29" s="419"/>
      <c r="AO29" s="419"/>
      <c r="AP29" s="420"/>
      <c r="AQ29" s="436"/>
      <c r="AR29" s="437"/>
      <c r="AS29" s="437"/>
      <c r="AT29" s="126"/>
      <c r="AU29" s="386"/>
      <c r="AV29" s="387"/>
      <c r="AW29" s="387"/>
      <c r="AX29" s="388"/>
      <c r="AY29" s="126"/>
      <c r="AZ29" s="377"/>
      <c r="BA29" s="378"/>
      <c r="BB29" s="378"/>
      <c r="BC29" s="379"/>
      <c r="BD29" s="126"/>
      <c r="BE29" s="110"/>
      <c r="BF29" s="110"/>
      <c r="BG29" s="110"/>
      <c r="BH29" s="360"/>
      <c r="BI29" s="361"/>
      <c r="BJ29" s="361"/>
      <c r="BK29" s="364"/>
      <c r="BL29" s="364"/>
      <c r="BM29" s="365"/>
      <c r="BN29" s="110"/>
      <c r="BO29" s="360"/>
      <c r="BP29" s="361"/>
      <c r="BQ29" s="361"/>
      <c r="BR29" s="364"/>
      <c r="BS29" s="364"/>
      <c r="BT29" s="365"/>
      <c r="BU29" s="110"/>
      <c r="BV29" s="110"/>
      <c r="BW29" s="118"/>
    </row>
    <row r="30" spans="2:118" ht="9.9499999999999993" customHeight="1" x14ac:dyDescent="0.25">
      <c r="B30" s="116"/>
      <c r="C30" s="127"/>
      <c r="D30" s="460" t="s">
        <v>15</v>
      </c>
      <c r="E30" s="460"/>
      <c r="F30" s="460"/>
      <c r="G30" s="460"/>
      <c r="H30" s="460"/>
      <c r="I30" s="460"/>
      <c r="J30" s="110"/>
      <c r="K30" s="130"/>
      <c r="L30" s="482">
        <v>10</v>
      </c>
      <c r="M30" s="483"/>
      <c r="N30" s="483"/>
      <c r="O30" s="484"/>
      <c r="P30" s="127"/>
      <c r="Q30" s="110"/>
      <c r="R30" s="132"/>
      <c r="S30" s="127"/>
      <c r="T30" s="128"/>
      <c r="U30" s="431">
        <f>VLOOKUP(RAÇA.p,TABELA.raças,7,FALSE)</f>
        <v>2</v>
      </c>
      <c r="V30" s="432"/>
      <c r="W30" s="432"/>
      <c r="X30" s="433"/>
      <c r="Y30" s="135"/>
      <c r="Z30" s="135"/>
      <c r="AA30" s="431">
        <f>COUNTIF(QUADRO.niveis_pares,"Car")</f>
        <v>0</v>
      </c>
      <c r="AB30" s="432"/>
      <c r="AC30" s="432"/>
      <c r="AD30" s="433"/>
      <c r="AE30" s="135"/>
      <c r="AF30" s="135"/>
      <c r="AG30" s="431">
        <f>VLOOKUP(IDADE.p,TABELA.idades,3,FALSE)</f>
        <v>0</v>
      </c>
      <c r="AH30" s="432"/>
      <c r="AI30" s="432"/>
      <c r="AJ30" s="433"/>
      <c r="AK30" s="135"/>
      <c r="AL30" s="135"/>
      <c r="AM30" s="494"/>
      <c r="AN30" s="495"/>
      <c r="AO30" s="495"/>
      <c r="AP30" s="496"/>
      <c r="AQ30" s="110"/>
      <c r="AR30" s="110"/>
      <c r="AS30" s="110"/>
      <c r="AT30" s="126"/>
      <c r="AU30" s="380">
        <f>L30+U30+AA30+AG30+AM30</f>
        <v>12</v>
      </c>
      <c r="AV30" s="381"/>
      <c r="AW30" s="381"/>
      <c r="AX30" s="382"/>
      <c r="AY30" s="126"/>
      <c r="AZ30" s="371">
        <f>IF(CARISMA.p&lt;10,ROUNDDOWN((CARISMA.p-10)/2,1),ROUNDDOWN((CARISMA.p-10)/2,0))</f>
        <v>1</v>
      </c>
      <c r="BA30" s="372"/>
      <c r="BB30" s="372"/>
      <c r="BC30" s="373"/>
      <c r="BD30" s="126"/>
      <c r="BE30" s="110"/>
      <c r="BF30" s="110"/>
      <c r="BG30" s="110"/>
      <c r="BH30" s="360" t="s">
        <v>128</v>
      </c>
      <c r="BI30" s="361"/>
      <c r="BJ30" s="361"/>
      <c r="BK30" s="364"/>
      <c r="BL30" s="364"/>
      <c r="BM30" s="365"/>
      <c r="BN30" s="110"/>
      <c r="BO30" s="360" t="s">
        <v>138</v>
      </c>
      <c r="BP30" s="361"/>
      <c r="BQ30" s="361"/>
      <c r="BR30" s="364"/>
      <c r="BS30" s="364"/>
      <c r="BT30" s="365"/>
      <c r="BU30" s="110"/>
      <c r="BV30" s="110"/>
      <c r="BW30" s="118"/>
    </row>
    <row r="31" spans="2:118" ht="9.9499999999999993" customHeight="1" x14ac:dyDescent="0.2">
      <c r="B31" s="116"/>
      <c r="C31" s="127"/>
      <c r="D31" s="462"/>
      <c r="E31" s="462"/>
      <c r="F31" s="462"/>
      <c r="G31" s="462"/>
      <c r="H31" s="462"/>
      <c r="I31" s="462"/>
      <c r="J31" s="110"/>
      <c r="K31" s="130"/>
      <c r="L31" s="482"/>
      <c r="M31" s="483"/>
      <c r="N31" s="483"/>
      <c r="O31" s="484"/>
      <c r="P31" s="109"/>
      <c r="Q31" s="110"/>
      <c r="R31" s="492" t="s">
        <v>21</v>
      </c>
      <c r="S31" s="492"/>
      <c r="T31" s="493"/>
      <c r="U31" s="406"/>
      <c r="V31" s="407"/>
      <c r="W31" s="407"/>
      <c r="X31" s="408"/>
      <c r="Y31" s="434" t="s">
        <v>21</v>
      </c>
      <c r="Z31" s="435"/>
      <c r="AA31" s="406"/>
      <c r="AB31" s="407"/>
      <c r="AC31" s="407"/>
      <c r="AD31" s="408"/>
      <c r="AE31" s="434" t="s">
        <v>21</v>
      </c>
      <c r="AF31" s="435"/>
      <c r="AG31" s="406"/>
      <c r="AH31" s="407"/>
      <c r="AI31" s="407"/>
      <c r="AJ31" s="408"/>
      <c r="AK31" s="434" t="s">
        <v>21</v>
      </c>
      <c r="AL31" s="435"/>
      <c r="AM31" s="415"/>
      <c r="AN31" s="416"/>
      <c r="AO31" s="416"/>
      <c r="AP31" s="417"/>
      <c r="AQ31" s="436" t="s">
        <v>20</v>
      </c>
      <c r="AR31" s="437"/>
      <c r="AS31" s="437"/>
      <c r="AT31" s="126"/>
      <c r="AU31" s="383"/>
      <c r="AV31" s="384"/>
      <c r="AW31" s="384"/>
      <c r="AX31" s="385"/>
      <c r="AY31" s="126"/>
      <c r="AZ31" s="374"/>
      <c r="BA31" s="375"/>
      <c r="BB31" s="375"/>
      <c r="BC31" s="376"/>
      <c r="BD31" s="126"/>
      <c r="BE31" s="110"/>
      <c r="BF31" s="110"/>
      <c r="BG31" s="110"/>
      <c r="BH31" s="360"/>
      <c r="BI31" s="361"/>
      <c r="BJ31" s="361"/>
      <c r="BK31" s="364"/>
      <c r="BL31" s="364"/>
      <c r="BM31" s="365"/>
      <c r="BN31" s="110"/>
      <c r="BO31" s="360"/>
      <c r="BP31" s="361"/>
      <c r="BQ31" s="361"/>
      <c r="BR31" s="364"/>
      <c r="BS31" s="364"/>
      <c r="BT31" s="365"/>
      <c r="BU31" s="110"/>
      <c r="BV31" s="110"/>
      <c r="BW31" s="118"/>
      <c r="CW31" s="136"/>
      <c r="CX31" s="136"/>
      <c r="CY31" s="136"/>
      <c r="CZ31" s="136"/>
      <c r="DA31" s="136"/>
      <c r="DB31" s="136"/>
      <c r="DI31" s="136"/>
      <c r="DJ31" s="136"/>
      <c r="DK31" s="136"/>
      <c r="DL31" s="136"/>
      <c r="DM31" s="136"/>
      <c r="DN31" s="136"/>
    </row>
    <row r="32" spans="2:118" ht="9.9499999999999993" customHeight="1" x14ac:dyDescent="0.15">
      <c r="B32" s="116"/>
      <c r="C32" s="127"/>
      <c r="D32" s="491" t="s">
        <v>100</v>
      </c>
      <c r="E32" s="491"/>
      <c r="F32" s="491"/>
      <c r="G32" s="491"/>
      <c r="H32" s="491"/>
      <c r="I32" s="491"/>
      <c r="J32" s="110"/>
      <c r="K32" s="130"/>
      <c r="L32" s="485"/>
      <c r="M32" s="486"/>
      <c r="N32" s="486"/>
      <c r="O32" s="487"/>
      <c r="P32" s="131"/>
      <c r="Q32" s="110"/>
      <c r="R32" s="492"/>
      <c r="S32" s="492"/>
      <c r="T32" s="493"/>
      <c r="U32" s="488"/>
      <c r="V32" s="489"/>
      <c r="W32" s="489"/>
      <c r="X32" s="490"/>
      <c r="Y32" s="434"/>
      <c r="Z32" s="435"/>
      <c r="AA32" s="488"/>
      <c r="AB32" s="489"/>
      <c r="AC32" s="489"/>
      <c r="AD32" s="490"/>
      <c r="AE32" s="434"/>
      <c r="AF32" s="435"/>
      <c r="AG32" s="488"/>
      <c r="AH32" s="489"/>
      <c r="AI32" s="489"/>
      <c r="AJ32" s="490"/>
      <c r="AK32" s="434"/>
      <c r="AL32" s="435"/>
      <c r="AM32" s="497"/>
      <c r="AN32" s="498"/>
      <c r="AO32" s="498"/>
      <c r="AP32" s="499"/>
      <c r="AQ32" s="436"/>
      <c r="AR32" s="437"/>
      <c r="AS32" s="437"/>
      <c r="AT32" s="126"/>
      <c r="AU32" s="500"/>
      <c r="AV32" s="501"/>
      <c r="AW32" s="501"/>
      <c r="AX32" s="502"/>
      <c r="AY32" s="126"/>
      <c r="AZ32" s="400"/>
      <c r="BA32" s="401"/>
      <c r="BB32" s="401"/>
      <c r="BC32" s="402"/>
      <c r="BD32" s="126"/>
      <c r="BE32" s="110"/>
      <c r="BF32" s="110"/>
      <c r="BG32" s="110"/>
      <c r="BH32" s="360" t="s">
        <v>129</v>
      </c>
      <c r="BI32" s="361"/>
      <c r="BJ32" s="361"/>
      <c r="BK32" s="364"/>
      <c r="BL32" s="364"/>
      <c r="BM32" s="365"/>
      <c r="BN32" s="110"/>
      <c r="BO32" s="360" t="s">
        <v>139</v>
      </c>
      <c r="BP32" s="361"/>
      <c r="BQ32" s="361"/>
      <c r="BR32" s="364"/>
      <c r="BS32" s="364"/>
      <c r="BT32" s="365"/>
      <c r="BU32" s="110"/>
      <c r="BV32" s="110"/>
      <c r="BW32" s="118"/>
    </row>
    <row r="33" spans="1:80" ht="9.9499999999999993" customHeight="1" x14ac:dyDescent="0.25">
      <c r="B33" s="116"/>
      <c r="C33" s="127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32"/>
      <c r="S33" s="110"/>
      <c r="T33" s="110"/>
      <c r="U33" s="110"/>
      <c r="V33" s="110"/>
      <c r="W33" s="110"/>
      <c r="X33" s="110"/>
      <c r="Y33" s="127"/>
      <c r="Z33" s="127"/>
      <c r="AA33" s="127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10"/>
      <c r="BF33" s="110"/>
      <c r="BG33" s="110"/>
      <c r="BH33" s="362"/>
      <c r="BI33" s="363"/>
      <c r="BJ33" s="363"/>
      <c r="BK33" s="366"/>
      <c r="BL33" s="366"/>
      <c r="BM33" s="367"/>
      <c r="BN33" s="110"/>
      <c r="BO33" s="362"/>
      <c r="BP33" s="363"/>
      <c r="BQ33" s="363"/>
      <c r="BR33" s="366"/>
      <c r="BS33" s="366"/>
      <c r="BT33" s="367"/>
      <c r="BU33" s="110"/>
      <c r="BV33" s="110"/>
      <c r="BW33" s="118"/>
    </row>
    <row r="34" spans="1:80" ht="9.9499999999999993" customHeight="1" thickBot="1" x14ac:dyDescent="0.3">
      <c r="B34" s="137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  <c r="BF34" s="138"/>
      <c r="BG34" s="138"/>
      <c r="BH34" s="138"/>
      <c r="BI34" s="138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9"/>
    </row>
    <row r="35" spans="1:80" ht="9.9499999999999993" customHeight="1" x14ac:dyDescent="0.25">
      <c r="A35" s="127"/>
      <c r="C35" s="110"/>
      <c r="D35" s="110"/>
      <c r="E35" s="110"/>
    </row>
    <row r="36" spans="1:80" ht="9.9499999999999993" customHeight="1" x14ac:dyDescent="0.25">
      <c r="A36" s="127"/>
      <c r="BW36" s="110"/>
      <c r="BX36" s="110"/>
      <c r="BY36" s="110"/>
      <c r="BZ36" s="110"/>
      <c r="CA36" s="110"/>
      <c r="CB36" s="110"/>
    </row>
    <row r="37" spans="1:80" ht="9.9499999999999993" customHeight="1" x14ac:dyDescent="0.25">
      <c r="A37" s="127"/>
      <c r="AR37" s="503"/>
      <c r="AS37" s="503"/>
      <c r="AT37" s="503"/>
      <c r="AU37" s="503"/>
      <c r="AV37" s="503"/>
      <c r="AW37" s="503"/>
      <c r="AX37" s="503"/>
      <c r="AY37" s="503"/>
      <c r="AZ37" s="503"/>
      <c r="BA37" s="503"/>
      <c r="BB37" s="503"/>
      <c r="BC37" s="503"/>
      <c r="BD37" s="503"/>
      <c r="BE37" s="503"/>
      <c r="BF37" s="503"/>
    </row>
    <row r="38" spans="1:80" ht="9.9499999999999993" customHeight="1" x14ac:dyDescent="0.25">
      <c r="AR38" s="503"/>
      <c r="AS38" s="503"/>
      <c r="AT38" s="503"/>
      <c r="AU38" s="503"/>
      <c r="AV38" s="503"/>
      <c r="AW38" s="503"/>
      <c r="AX38" s="503"/>
      <c r="AY38" s="503"/>
      <c r="AZ38" s="503"/>
      <c r="BA38" s="503"/>
      <c r="BB38" s="503"/>
      <c r="BC38" s="503"/>
      <c r="BD38" s="503"/>
      <c r="BE38" s="503"/>
      <c r="BF38" s="503"/>
    </row>
  </sheetData>
  <sheetProtection sheet="1" objects="1" scenarios="1" selectLockedCells="1"/>
  <sortState ref="CG4:CG22">
    <sortCondition ref="CG4"/>
  </sortState>
  <customSheetViews>
    <customSheetView guid="{3ACA014C-A832-4751-B219-867B152CCF6B}" showGridLines="0">
      <selection activeCell="J17" sqref="J17:M19"/>
      <pageMargins left="0.39370078740157483" right="0.39370078740157483" top="0.39370078740157483" bottom="0.39370078740157483" header="0" footer="0"/>
      <pageSetup paperSize="9" orientation="landscape" r:id="rId1"/>
    </customSheetView>
    <customSheetView guid="{84F5B866-ED6A-4540-94B2-D474D840083E}" showGridLines="0" hiddenColumns="1">
      <selection activeCell="J17" sqref="J17:M19"/>
      <pageMargins left="0.39370078740157483" right="0.39370078740157483" top="0.39370078740157483" bottom="0.39370078740157483" header="0" footer="0"/>
      <pageSetup paperSize="9" orientation="landscape" r:id="rId2"/>
    </customSheetView>
  </customSheetViews>
  <mergeCells count="156">
    <mergeCell ref="AR37:BF38"/>
    <mergeCell ref="D23:I23"/>
    <mergeCell ref="L21:O23"/>
    <mergeCell ref="U21:X23"/>
    <mergeCell ref="D17:I17"/>
    <mergeCell ref="D9:I10"/>
    <mergeCell ref="Q9:BE10"/>
    <mergeCell ref="BG9:BV12"/>
    <mergeCell ref="BR13:BT13"/>
    <mergeCell ref="C13:J14"/>
    <mergeCell ref="R16:T17"/>
    <mergeCell ref="R19:T20"/>
    <mergeCell ref="R22:T23"/>
    <mergeCell ref="J9:N10"/>
    <mergeCell ref="AM18:AP20"/>
    <mergeCell ref="D21:I22"/>
    <mergeCell ref="AQ22:AS23"/>
    <mergeCell ref="BH16:BJ17"/>
    <mergeCell ref="BK16:BM17"/>
    <mergeCell ref="BH18:BJ19"/>
    <mergeCell ref="BH22:BJ23"/>
    <mergeCell ref="AM21:AP23"/>
    <mergeCell ref="AU18:AX20"/>
    <mergeCell ref="BK14:BM15"/>
    <mergeCell ref="AQ28:AS29"/>
    <mergeCell ref="AK25:AL26"/>
    <mergeCell ref="AK28:AL29"/>
    <mergeCell ref="AQ25:AS26"/>
    <mergeCell ref="AK31:AL32"/>
    <mergeCell ref="AG30:AJ32"/>
    <mergeCell ref="BH32:BJ33"/>
    <mergeCell ref="AM30:AP32"/>
    <mergeCell ref="AM27:AP29"/>
    <mergeCell ref="AM24:AP26"/>
    <mergeCell ref="AQ31:AS32"/>
    <mergeCell ref="AU30:AX32"/>
    <mergeCell ref="AZ27:BC29"/>
    <mergeCell ref="BH26:BJ27"/>
    <mergeCell ref="BH28:BJ29"/>
    <mergeCell ref="BH24:BJ25"/>
    <mergeCell ref="BH30:BJ31"/>
    <mergeCell ref="AU27:AX29"/>
    <mergeCell ref="AG24:AJ26"/>
    <mergeCell ref="AG27:AJ29"/>
    <mergeCell ref="Y25:Z26"/>
    <mergeCell ref="Y28:Z29"/>
    <mergeCell ref="Y31:Z32"/>
    <mergeCell ref="AE16:AF17"/>
    <mergeCell ref="AE19:AF20"/>
    <mergeCell ref="AE22:AF23"/>
    <mergeCell ref="AE25:AF26"/>
    <mergeCell ref="AE28:AF29"/>
    <mergeCell ref="AE31:AF32"/>
    <mergeCell ref="AA18:AD20"/>
    <mergeCell ref="AA15:AD17"/>
    <mergeCell ref="AA21:AD23"/>
    <mergeCell ref="Y22:Z23"/>
    <mergeCell ref="AA30:AD32"/>
    <mergeCell ref="AA27:AD29"/>
    <mergeCell ref="AA24:AD26"/>
    <mergeCell ref="D30:I31"/>
    <mergeCell ref="L30:O32"/>
    <mergeCell ref="U30:X32"/>
    <mergeCell ref="D32:I32"/>
    <mergeCell ref="D24:I25"/>
    <mergeCell ref="L24:O26"/>
    <mergeCell ref="U24:X26"/>
    <mergeCell ref="D26:I26"/>
    <mergeCell ref="D27:I28"/>
    <mergeCell ref="L27:O29"/>
    <mergeCell ref="U27:X29"/>
    <mergeCell ref="D29:I29"/>
    <mergeCell ref="R25:T26"/>
    <mergeCell ref="R28:T29"/>
    <mergeCell ref="R31:T32"/>
    <mergeCell ref="S2:AI3"/>
    <mergeCell ref="AJ2:AT3"/>
    <mergeCell ref="BH14:BJ15"/>
    <mergeCell ref="BZ5:CP6"/>
    <mergeCell ref="U15:X17"/>
    <mergeCell ref="Y19:Z20"/>
    <mergeCell ref="D20:I20"/>
    <mergeCell ref="K12:P14"/>
    <mergeCell ref="T12:Y14"/>
    <mergeCell ref="Z12:AE14"/>
    <mergeCell ref="Y16:Z17"/>
    <mergeCell ref="C2:R3"/>
    <mergeCell ref="D4:Q5"/>
    <mergeCell ref="AF12:AK14"/>
    <mergeCell ref="D18:I19"/>
    <mergeCell ref="L18:O20"/>
    <mergeCell ref="U18:X20"/>
    <mergeCell ref="R5:AH6"/>
    <mergeCell ref="AI5:AS6"/>
    <mergeCell ref="D15:I16"/>
    <mergeCell ref="L15:O17"/>
    <mergeCell ref="BH20:BJ21"/>
    <mergeCell ref="AG21:AJ23"/>
    <mergeCell ref="AU21:AX23"/>
    <mergeCell ref="AZ21:BC23"/>
    <mergeCell ref="AK16:AL17"/>
    <mergeCell ref="AQ16:AS17"/>
    <mergeCell ref="AQ19:AS20"/>
    <mergeCell ref="AZ18:BC20"/>
    <mergeCell ref="AZ12:BC14"/>
    <mergeCell ref="AU12:AX14"/>
    <mergeCell ref="AK22:AL23"/>
    <mergeCell ref="AK19:AL20"/>
    <mergeCell ref="AG15:AJ17"/>
    <mergeCell ref="AM15:AP17"/>
    <mergeCell ref="AL12:AQ14"/>
    <mergeCell ref="BO18:BQ19"/>
    <mergeCell ref="AZ15:BC17"/>
    <mergeCell ref="AU15:AX17"/>
    <mergeCell ref="BH13:BJ13"/>
    <mergeCell ref="BK13:BM13"/>
    <mergeCell ref="BO13:BQ13"/>
    <mergeCell ref="BK18:BM19"/>
    <mergeCell ref="BO14:BQ15"/>
    <mergeCell ref="AG18:AJ20"/>
    <mergeCell ref="BO16:BQ17"/>
    <mergeCell ref="BR18:BT19"/>
    <mergeCell ref="BO28:BQ29"/>
    <mergeCell ref="BR28:BT29"/>
    <mergeCell ref="BR20:BT21"/>
    <mergeCell ref="BO30:BQ31"/>
    <mergeCell ref="BR30:BT31"/>
    <mergeCell ref="BO20:BQ21"/>
    <mergeCell ref="CQ5:CW6"/>
    <mergeCell ref="AU1:BQ4"/>
    <mergeCell ref="CB2:CJ3"/>
    <mergeCell ref="AZ24:BC26"/>
    <mergeCell ref="AU24:AX26"/>
    <mergeCell ref="BR14:BT15"/>
    <mergeCell ref="BR16:BT17"/>
    <mergeCell ref="BU2:BX3"/>
    <mergeCell ref="BY2:CA3"/>
    <mergeCell ref="BR2:BT3"/>
    <mergeCell ref="BU5:BX6"/>
    <mergeCell ref="AU5:BT6"/>
    <mergeCell ref="AZ30:BC32"/>
    <mergeCell ref="BK20:BM21"/>
    <mergeCell ref="BK32:BM33"/>
    <mergeCell ref="BK24:BM25"/>
    <mergeCell ref="BK26:BM27"/>
    <mergeCell ref="BO32:BQ33"/>
    <mergeCell ref="BR32:BT33"/>
    <mergeCell ref="BK28:BM29"/>
    <mergeCell ref="BK30:BM31"/>
    <mergeCell ref="BK22:BM23"/>
    <mergeCell ref="BO24:BQ25"/>
    <mergeCell ref="BR24:BT25"/>
    <mergeCell ref="BO26:BQ27"/>
    <mergeCell ref="BR26:BT27"/>
    <mergeCell ref="BO22:BQ23"/>
    <mergeCell ref="BR22:BT23"/>
  </mergeCells>
  <conditionalFormatting sqref="J9:N10">
    <cfRule type="expression" dxfId="103" priority="42">
      <formula>pool&lt;0</formula>
    </cfRule>
  </conditionalFormatting>
  <conditionalFormatting sqref="BU2:BX3">
    <cfRule type="expression" dxfId="102" priority="137">
      <formula>$BR$2&lt;&gt;""</formula>
    </cfRule>
  </conditionalFormatting>
  <conditionalFormatting sqref="BH14:BM15">
    <cfRule type="expression" dxfId="101" priority="26">
      <formula>NÍVEL.p&gt;=2</formula>
    </cfRule>
  </conditionalFormatting>
  <conditionalFormatting sqref="BH16:BM17">
    <cfRule type="expression" dxfId="100" priority="25">
      <formula>NÍVEL.p&gt;=4</formula>
    </cfRule>
  </conditionalFormatting>
  <conditionalFormatting sqref="BH18:BM19">
    <cfRule type="expression" dxfId="99" priority="24">
      <formula>NÍVEL.p&gt;=6</formula>
    </cfRule>
  </conditionalFormatting>
  <conditionalFormatting sqref="BH20:BM21">
    <cfRule type="expression" dxfId="98" priority="23">
      <formula>NÍVEL.p&gt;=8</formula>
    </cfRule>
  </conditionalFormatting>
  <conditionalFormatting sqref="BH22:BM23">
    <cfRule type="expression" dxfId="97" priority="22">
      <formula>NÍVEL.p&gt;=10</formula>
    </cfRule>
  </conditionalFormatting>
  <conditionalFormatting sqref="BH24:BM25">
    <cfRule type="expression" dxfId="96" priority="21">
      <formula>NÍVEL.p&gt;=12</formula>
    </cfRule>
  </conditionalFormatting>
  <conditionalFormatting sqref="BH26:BM27">
    <cfRule type="expression" dxfId="95" priority="20">
      <formula>NÍVEL.p&gt;=14</formula>
    </cfRule>
  </conditionalFormatting>
  <conditionalFormatting sqref="BH28:BM29">
    <cfRule type="expression" dxfId="94" priority="19">
      <formula>NÍVEL.p&gt;=16</formula>
    </cfRule>
  </conditionalFormatting>
  <conditionalFormatting sqref="BH30:BM31">
    <cfRule type="expression" dxfId="93" priority="18">
      <formula>NÍVEL.p&gt;=18</formula>
    </cfRule>
  </conditionalFormatting>
  <conditionalFormatting sqref="BH32:BM33">
    <cfRule type="expression" dxfId="92" priority="17">
      <formula>NÍVEL.p&gt;=20</formula>
    </cfRule>
  </conditionalFormatting>
  <conditionalFormatting sqref="BO14:BT15">
    <cfRule type="expression" dxfId="91" priority="16">
      <formula>NÍVEL.p&gt;=22</formula>
    </cfRule>
  </conditionalFormatting>
  <conditionalFormatting sqref="BO16:BT17">
    <cfRule type="expression" dxfId="90" priority="15">
      <formula>NÍVEL.p&gt;=24</formula>
    </cfRule>
  </conditionalFormatting>
  <conditionalFormatting sqref="BO18:BT19">
    <cfRule type="expression" dxfId="89" priority="14">
      <formula>NÍVEL.p&gt;=26</formula>
    </cfRule>
  </conditionalFormatting>
  <conditionalFormatting sqref="BO20:BT21">
    <cfRule type="expression" dxfId="88" priority="13">
      <formula>NÍVEL.p&gt;=28</formula>
    </cfRule>
  </conditionalFormatting>
  <conditionalFormatting sqref="Q9">
    <cfRule type="expression" dxfId="87" priority="165">
      <formula>$J$9&lt;0</formula>
    </cfRule>
    <cfRule type="expression" dxfId="86" priority="166">
      <formula>$J$9&gt;0</formula>
    </cfRule>
    <cfRule type="expression" dxfId="85" priority="167">
      <formula>$J$9=0</formula>
    </cfRule>
    <cfRule type="expression" dxfId="84" priority="168">
      <formula>"pool=0"</formula>
    </cfRule>
  </conditionalFormatting>
  <conditionalFormatting sqref="BO24:BT25">
    <cfRule type="expression" dxfId="83" priority="11">
      <formula>NÍVEL.p&gt;=32</formula>
    </cfRule>
  </conditionalFormatting>
  <conditionalFormatting sqref="BO26:BT27">
    <cfRule type="expression" dxfId="82" priority="10">
      <formula>NÍVEL.p&gt;=34</formula>
    </cfRule>
  </conditionalFormatting>
  <conditionalFormatting sqref="BO28:BT29">
    <cfRule type="expression" dxfId="81" priority="9">
      <formula>NÍVEL.p&gt;=36</formula>
    </cfRule>
  </conditionalFormatting>
  <conditionalFormatting sqref="BO30:BT31">
    <cfRule type="expression" dxfId="80" priority="8">
      <formula>NÍVEL.p&gt;=38</formula>
    </cfRule>
  </conditionalFormatting>
  <conditionalFormatting sqref="BO32:BT33">
    <cfRule type="expression" dxfId="79" priority="7">
      <formula>NÍVEL.p&gt;=40</formula>
    </cfRule>
  </conditionalFormatting>
  <conditionalFormatting sqref="BO22:BT23">
    <cfRule type="expression" dxfId="78" priority="6">
      <formula>NÍVEL.p&gt;=30</formula>
    </cfRule>
  </conditionalFormatting>
  <conditionalFormatting sqref="AT12:AT33 AU33:BC33 BD12:BD33 AZ12 AY12:AY32 AU12">
    <cfRule type="expression" dxfId="77" priority="206">
      <formula>$J$9=0</formula>
    </cfRule>
    <cfRule type="expression" dxfId="76" priority="207">
      <formula>$J$9&lt;0</formula>
    </cfRule>
    <cfRule type="expression" dxfId="75" priority="208">
      <formula>$J$9&gt;0</formula>
    </cfRule>
  </conditionalFormatting>
  <conditionalFormatting sqref="AU18 AZ18 AZ15 AU30 AZ21 AU21 AU15 AZ27 AZ30 AZ24 AU24 AU27">
    <cfRule type="expression" dxfId="74" priority="224">
      <formula>$J$9=0</formula>
    </cfRule>
    <cfRule type="expression" dxfId="73" priority="225">
      <formula>$J$9&lt;0</formula>
    </cfRule>
    <cfRule type="expression" dxfId="72" priority="226">
      <formula>$J$9&gt;0</formula>
    </cfRule>
  </conditionalFormatting>
  <conditionalFormatting sqref="CB2:CJ3">
    <cfRule type="expression" dxfId="71" priority="2">
      <formula>$BY$2&lt;&gt;""</formula>
    </cfRule>
  </conditionalFormatting>
  <conditionalFormatting sqref="CQ5:CW6">
    <cfRule type="expression" dxfId="70" priority="1">
      <formula>$BZ$5&lt;&gt;""</formula>
    </cfRule>
  </conditionalFormatting>
  <dataValidations count="26">
    <dataValidation type="list" showInputMessage="1" showErrorMessage="1" sqref="BR24:BT25">
      <formula1>IF(NÍVEL.p&gt;=32,Habilidade,"")</formula1>
    </dataValidation>
    <dataValidation type="list" showInputMessage="1" showErrorMessage="1" sqref="BR26:BT27">
      <formula1>IF(NÍVEL.p&gt;=34,Habilidade,"")</formula1>
    </dataValidation>
    <dataValidation type="list" showInputMessage="1" showErrorMessage="1" sqref="BR28:BT29">
      <formula1>IF(NÍVEL.p&gt;=36,Habilidade,"")</formula1>
    </dataValidation>
    <dataValidation type="list" showInputMessage="1" showErrorMessage="1" sqref="BR30:BT31">
      <formula1>IF(NÍVEL.p&gt;=38,Habilidade,"")</formula1>
    </dataValidation>
    <dataValidation type="list" showInputMessage="1" showErrorMessage="1" sqref="BR32:BT33">
      <formula1>IF(NÍVEL.p&gt;=40,Habilidade,"")</formula1>
    </dataValidation>
    <dataValidation type="list" showInputMessage="1" showErrorMessage="1" sqref="BR14:BT15">
      <formula1>IF(NÍVEL.p&gt;=22,Habilidade,"")</formula1>
    </dataValidation>
    <dataValidation type="list" showInputMessage="1" showErrorMessage="1" sqref="BR16:BT17">
      <formula1>IF(NÍVEL.p&gt;=24,Habilidade,"")</formula1>
    </dataValidation>
    <dataValidation type="list" showInputMessage="1" showErrorMessage="1" sqref="BR18:BT19">
      <formula1>IF(NÍVEL.p&gt;=26,Habilidade,"")</formula1>
    </dataValidation>
    <dataValidation type="list" showInputMessage="1" showErrorMessage="1" sqref="BR20:BT21">
      <formula1>IF(NÍVEL.p&gt;=28,Habilidade,"")</formula1>
    </dataValidation>
    <dataValidation type="list" showInputMessage="1" showErrorMessage="1" sqref="BR22:BT23">
      <formula1>IF(NÍVEL.p&gt;=30,Habilidade,"")</formula1>
    </dataValidation>
    <dataValidation type="list" showInputMessage="1" showErrorMessage="1" sqref="BK24:BM25">
      <formula1>IF(NÍVEL.p&gt;=12,Habilidade,"")</formula1>
    </dataValidation>
    <dataValidation type="list" showInputMessage="1" showErrorMessage="1" sqref="BK26:BM27">
      <formula1>IF(NÍVEL.p&gt;=14,Habilidade,"")</formula1>
    </dataValidation>
    <dataValidation type="list" showInputMessage="1" showErrorMessage="1" sqref="BK28:BM29">
      <formula1>IF(NÍVEL.p&gt;=16,Habilidade,"")</formula1>
    </dataValidation>
    <dataValidation type="list" showInputMessage="1" showErrorMessage="1" sqref="BK30:BM31">
      <formula1>IF(NÍVEL.p&gt;=18,Habilidade,"")</formula1>
    </dataValidation>
    <dataValidation type="list" showInputMessage="1" showErrorMessage="1" sqref="BK32:BM33">
      <formula1>IF(NÍVEL.p&gt;=20,Habilidade,"")</formula1>
    </dataValidation>
    <dataValidation type="list" showInputMessage="1" showErrorMessage="1" sqref="BK14:BM15">
      <formula1>IF(NÍVEL.p&gt;=2,Habilidade,"")</formula1>
    </dataValidation>
    <dataValidation type="list" showInputMessage="1" showErrorMessage="1" sqref="BK16:BM17">
      <formula1>IF(NÍVEL.p&gt;=4,Habilidade,"")</formula1>
    </dataValidation>
    <dataValidation type="list" showInputMessage="1" showErrorMessage="1" sqref="BK18:BM19">
      <formula1>IF(NÍVEL.p&gt;=6,Habilidade,"")</formula1>
    </dataValidation>
    <dataValidation type="list" showInputMessage="1" showErrorMessage="1" sqref="BK20:BM21">
      <formula1>IF(NÍVEL.p&gt;=8,Habilidade,"")</formula1>
    </dataValidation>
    <dataValidation type="list" showInputMessage="1" showErrorMessage="1" sqref="BK22:BM23">
      <formula1>IF(NÍVEL.p&gt;=10,Habilidade,"")</formula1>
    </dataValidation>
    <dataValidation type="list" allowBlank="1" showInputMessage="1" showErrorMessage="1" sqref="AJ2:AT3">
      <formula1>LISTA.raças</formula1>
    </dataValidation>
    <dataValidation type="list" allowBlank="1" showInputMessage="1" showErrorMessage="1" sqref="BU2:BX3">
      <formula1>IF(OR(RAÇA.p="Humano",RAÇA.p="Meio-elfo",RAÇA.p="Meio-orc",RAÇA.p="Lefou",RAÇA.p="Moreau",RAÇA.p="Minauro",RAÇA.p="Meio-elfo-do-mar"),LISTA.coringa1,"")</formula1>
    </dataValidation>
    <dataValidation type="list" showInputMessage="1" showErrorMessage="1" sqref="CB2">
      <formula1>IF(RAÇA.p="Humano",LISTA.coringa2,IF(RAÇA.p="Lefou",LISTA.coringa2,IF(RAÇA.p="Moreau",LISTA.moreau,"")))</formula1>
    </dataValidation>
    <dataValidation type="list" showInputMessage="1" showErrorMessage="1" sqref="CQ5:CW6">
      <formula1>IF(OR(RAÇA.p="Aggelus",RAÇA.p="Sulfure"),LISTA.tam_tocados,IF(raça.nova.controle="sim",LISTA.tamanho,""))</formula1>
    </dataValidation>
    <dataValidation type="list" allowBlank="1" showInputMessage="1" showErrorMessage="1" sqref="AI5:AS6">
      <formula1>LISTA.idades</formula1>
    </dataValidation>
    <dataValidation type="list" allowBlank="1" showInputMessage="1" showErrorMessage="1" sqref="D4:Q5">
      <formula1>Estilo.pontos</formula1>
    </dataValidation>
  </dataValidations>
  <pageMargins left="0.39370078740157483" right="0.39370078740157483" top="0.39370078740157483" bottom="0.39370078740157483" header="0" footer="0"/>
  <pageSetup paperSize="9" orientation="landscape" r:id="rId3"/>
  <ignoredErrors>
    <ignoredError sqref="AU21" formula="1"/>
  </ignoredErrors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0" r:id="rId6" name="Spinner_For">
              <controlPr locked="0" defaultSize="0" autoPict="0">
                <anchor moveWithCells="1" sizeWithCells="1">
                  <from>
                    <xdr:col>15</xdr:col>
                    <xdr:colOff>19050</xdr:colOff>
                    <xdr:row>14</xdr:row>
                    <xdr:rowOff>47625</xdr:rowOff>
                  </from>
                  <to>
                    <xdr:col>16</xdr:col>
                    <xdr:colOff>47625</xdr:colOff>
                    <xdr:row>16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7" name="Spinner_Des">
              <controlPr locked="0" defaultSize="0" autoPict="0">
                <anchor moveWithCells="1" sizeWithCells="1">
                  <from>
                    <xdr:col>15</xdr:col>
                    <xdr:colOff>19050</xdr:colOff>
                    <xdr:row>17</xdr:row>
                    <xdr:rowOff>47625</xdr:rowOff>
                  </from>
                  <to>
                    <xdr:col>16</xdr:col>
                    <xdr:colOff>47625</xdr:colOff>
                    <xdr:row>19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8" name="Spinner_Con">
              <controlPr locked="0" defaultSize="0" autoPict="0">
                <anchor moveWithCells="1" sizeWithCells="1">
                  <from>
                    <xdr:col>15</xdr:col>
                    <xdr:colOff>19050</xdr:colOff>
                    <xdr:row>20</xdr:row>
                    <xdr:rowOff>47625</xdr:rowOff>
                  </from>
                  <to>
                    <xdr:col>16</xdr:col>
                    <xdr:colOff>47625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9" name="Spinner_Int">
              <controlPr locked="0" defaultSize="0" autoPict="0">
                <anchor moveWithCells="1" sizeWithCells="1">
                  <from>
                    <xdr:col>15</xdr:col>
                    <xdr:colOff>19050</xdr:colOff>
                    <xdr:row>23</xdr:row>
                    <xdr:rowOff>47625</xdr:rowOff>
                  </from>
                  <to>
                    <xdr:col>16</xdr:col>
                    <xdr:colOff>47625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0" name="Spinner_Sab">
              <controlPr locked="0" defaultSize="0" autoPict="0">
                <anchor moveWithCells="1" sizeWithCells="1">
                  <from>
                    <xdr:col>15</xdr:col>
                    <xdr:colOff>19050</xdr:colOff>
                    <xdr:row>26</xdr:row>
                    <xdr:rowOff>47625</xdr:rowOff>
                  </from>
                  <to>
                    <xdr:col>16</xdr:col>
                    <xdr:colOff>47625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1" name="Spinner_Car">
              <controlPr locked="0" defaultSize="0" autoPict="0">
                <anchor moveWithCells="1" sizeWithCells="1">
                  <from>
                    <xdr:col>15</xdr:col>
                    <xdr:colOff>19050</xdr:colOff>
                    <xdr:row>29</xdr:row>
                    <xdr:rowOff>47625</xdr:rowOff>
                  </from>
                  <to>
                    <xdr:col>16</xdr:col>
                    <xdr:colOff>47625</xdr:colOff>
                    <xdr:row>31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2" name="sem valor For">
              <controlPr locked="0" defaultSize="0" autoFill="0" autoLine="0" autoPict="0">
                <anchor moveWithCells="1">
                  <from>
                    <xdr:col>6</xdr:col>
                    <xdr:colOff>9525</xdr:colOff>
                    <xdr:row>15</xdr:row>
                    <xdr:rowOff>76200</xdr:rowOff>
                  </from>
                  <to>
                    <xdr:col>8</xdr:col>
                    <xdr:colOff>85725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13" name="sem valor Des">
              <controlPr locked="0" defaultSize="0" autoFill="0" autoLine="0" autoPict="0">
                <anchor moveWithCells="1">
                  <from>
                    <xdr:col>6</xdr:col>
                    <xdr:colOff>9525</xdr:colOff>
                    <xdr:row>18</xdr:row>
                    <xdr:rowOff>76200</xdr:rowOff>
                  </from>
                  <to>
                    <xdr:col>8</xdr:col>
                    <xdr:colOff>85725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14" name="sem valor Con">
              <controlPr locked="0" defaultSize="0" autoFill="0" autoLine="0" autoPict="0">
                <anchor moveWithCells="1">
                  <from>
                    <xdr:col>2</xdr:col>
                    <xdr:colOff>0</xdr:colOff>
                    <xdr:row>20</xdr:row>
                    <xdr:rowOff>76200</xdr:rowOff>
                  </from>
                  <to>
                    <xdr:col>4</xdr:col>
                    <xdr:colOff>76200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15" name="sem valor Int">
              <controlPr locked="0" defaultSize="0" autoFill="0" autoLine="0" autoPict="0">
                <anchor moveWithCells="1">
                  <from>
                    <xdr:col>6</xdr:col>
                    <xdr:colOff>9525</xdr:colOff>
                    <xdr:row>24</xdr:row>
                    <xdr:rowOff>76200</xdr:rowOff>
                  </from>
                  <to>
                    <xdr:col>8</xdr:col>
                    <xdr:colOff>85725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16" name="sem valor Sab">
              <controlPr locked="0" defaultSize="0" autoFill="0" autoLine="0" autoPict="0">
                <anchor moveWithCells="1">
                  <from>
                    <xdr:col>6</xdr:col>
                    <xdr:colOff>9525</xdr:colOff>
                    <xdr:row>27</xdr:row>
                    <xdr:rowOff>76200</xdr:rowOff>
                  </from>
                  <to>
                    <xdr:col>8</xdr:col>
                    <xdr:colOff>85725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17" name="sem valor Car">
              <controlPr locked="0" defaultSize="0" autoFill="0" autoLine="0" autoPict="0">
                <anchor moveWithCells="1">
                  <from>
                    <xdr:col>6</xdr:col>
                    <xdr:colOff>9525</xdr:colOff>
                    <xdr:row>30</xdr:row>
                    <xdr:rowOff>76200</xdr:rowOff>
                  </from>
                  <to>
                    <xdr:col>8</xdr:col>
                    <xdr:colOff>85725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18" name="Spinner 39">
              <controlPr defaultSize="0" print="0" autoPict="0">
                <anchor moveWithCells="1" sizeWithCells="1">
                  <from>
                    <xdr:col>76</xdr:col>
                    <xdr:colOff>28575</xdr:colOff>
                    <xdr:row>3</xdr:row>
                    <xdr:rowOff>104775</xdr:rowOff>
                  </from>
                  <to>
                    <xdr:col>77</xdr:col>
                    <xdr:colOff>57150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19" name="Check Box 41">
              <controlPr locked="0" defaultSize="0" autoFill="0" autoLine="0" autoPict="0">
                <anchor moveWithCells="1">
                  <from>
                    <xdr:col>2</xdr:col>
                    <xdr:colOff>9525</xdr:colOff>
                    <xdr:row>23</xdr:row>
                    <xdr:rowOff>85725</xdr:rowOff>
                  </from>
                  <to>
                    <xdr:col>4</xdr:col>
                    <xdr:colOff>85725</xdr:colOff>
                    <xdr:row>25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>
    <tabColor rgb="FFCCECFF"/>
  </sheetPr>
  <dimension ref="A1:BG110"/>
  <sheetViews>
    <sheetView workbookViewId="0">
      <pane xSplit="1" ySplit="10" topLeftCell="B29" activePane="bottomRight" state="frozen"/>
      <selection activeCell="AN21" sqref="AN21"/>
      <selection pane="topRight" activeCell="AN21" sqref="AN21"/>
      <selection pane="bottomLeft" activeCell="AN21" sqref="AN21"/>
      <selection pane="bottomRight" activeCell="A39" sqref="A39"/>
    </sheetView>
  </sheetViews>
  <sheetFormatPr defaultRowHeight="12.75" x14ac:dyDescent="0.2"/>
  <cols>
    <col min="1" max="1" width="32.42578125" style="314" bestFit="1" customWidth="1"/>
    <col min="2" max="3" width="9.140625" style="312"/>
    <col min="4" max="4" width="15.42578125" style="312" bestFit="1" customWidth="1"/>
    <col min="5" max="5" width="13.5703125" style="312" bestFit="1" customWidth="1"/>
    <col min="6" max="6" width="14.5703125" style="312" bestFit="1" customWidth="1"/>
    <col min="7" max="7" width="14.42578125" style="312" bestFit="1" customWidth="1"/>
    <col min="8" max="28" width="5.7109375" style="312" customWidth="1"/>
    <col min="29" max="29" width="125.140625" style="313" bestFit="1" customWidth="1"/>
    <col min="30" max="30" width="11.85546875" style="312" bestFit="1" customWidth="1"/>
    <col min="31" max="31" width="23.28515625" style="312" bestFit="1" customWidth="1"/>
    <col min="32" max="32" width="16.5703125" style="312" bestFit="1" customWidth="1"/>
    <col min="33" max="37" width="16.7109375" style="312" customWidth="1"/>
    <col min="38" max="47" width="4.7109375" style="312" customWidth="1"/>
    <col min="48" max="16384" width="9.140625" style="314"/>
  </cols>
  <sheetData>
    <row r="1" spans="1:47" s="321" customFormat="1" ht="11.25" x14ac:dyDescent="0.2">
      <c r="A1" s="320">
        <v>1</v>
      </c>
      <c r="B1" s="320">
        <v>2</v>
      </c>
      <c r="C1" s="320">
        <v>3</v>
      </c>
      <c r="D1" s="320">
        <v>4</v>
      </c>
      <c r="E1" s="320">
        <v>5</v>
      </c>
      <c r="F1" s="320">
        <v>6</v>
      </c>
      <c r="G1" s="320">
        <v>7</v>
      </c>
      <c r="H1" s="320">
        <v>8</v>
      </c>
      <c r="I1" s="320">
        <v>9</v>
      </c>
      <c r="J1" s="320">
        <v>10</v>
      </c>
      <c r="K1" s="320">
        <v>11</v>
      </c>
      <c r="L1" s="320">
        <v>12</v>
      </c>
      <c r="M1" s="320">
        <v>13</v>
      </c>
      <c r="N1" s="320">
        <v>14</v>
      </c>
      <c r="O1" s="320">
        <v>15</v>
      </c>
      <c r="P1" s="320">
        <v>16</v>
      </c>
      <c r="Q1" s="320">
        <v>17</v>
      </c>
      <c r="R1" s="320">
        <v>18</v>
      </c>
      <c r="S1" s="320">
        <v>19</v>
      </c>
      <c r="T1" s="320">
        <v>20</v>
      </c>
      <c r="U1" s="320">
        <v>21</v>
      </c>
      <c r="V1" s="320">
        <v>22</v>
      </c>
      <c r="W1" s="320">
        <v>23</v>
      </c>
      <c r="X1" s="320">
        <v>24</v>
      </c>
      <c r="Y1" s="320">
        <v>25</v>
      </c>
      <c r="Z1" s="320">
        <v>26</v>
      </c>
      <c r="AA1" s="320">
        <v>27</v>
      </c>
      <c r="AB1" s="320">
        <v>28</v>
      </c>
      <c r="AC1" s="320">
        <v>29</v>
      </c>
      <c r="AD1" s="320">
        <v>30</v>
      </c>
      <c r="AE1" s="320">
        <v>31</v>
      </c>
      <c r="AF1" s="320">
        <v>32</v>
      </c>
      <c r="AG1" s="320">
        <v>33</v>
      </c>
      <c r="AH1" s="320">
        <v>34</v>
      </c>
      <c r="AI1" s="320">
        <v>35</v>
      </c>
      <c r="AJ1" s="320">
        <v>36</v>
      </c>
      <c r="AK1" s="320">
        <v>37</v>
      </c>
      <c r="AL1" s="320">
        <v>38</v>
      </c>
      <c r="AM1" s="320">
        <v>39</v>
      </c>
      <c r="AN1" s="320">
        <v>40</v>
      </c>
      <c r="AO1" s="320">
        <v>41</v>
      </c>
      <c r="AP1" s="320">
        <v>42</v>
      </c>
      <c r="AQ1" s="320">
        <v>43</v>
      </c>
      <c r="AR1" s="320">
        <v>44</v>
      </c>
      <c r="AS1" s="320">
        <v>45</v>
      </c>
      <c r="AT1" s="320">
        <v>46</v>
      </c>
      <c r="AU1" s="320">
        <v>47</v>
      </c>
    </row>
    <row r="2" spans="1:47" s="322" customFormat="1" x14ac:dyDescent="0.2">
      <c r="A2" s="322" t="s">
        <v>253</v>
      </c>
      <c r="B2" s="323" t="s">
        <v>31</v>
      </c>
      <c r="C2" s="323" t="s">
        <v>238</v>
      </c>
      <c r="D2" s="323" t="s">
        <v>246</v>
      </c>
      <c r="E2" s="323" t="s">
        <v>239</v>
      </c>
      <c r="F2" s="323" t="s">
        <v>240</v>
      </c>
      <c r="G2" s="323" t="s">
        <v>241</v>
      </c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3"/>
      <c r="X2" s="323"/>
      <c r="Y2" s="323"/>
      <c r="Z2" s="323"/>
      <c r="AA2" s="323"/>
      <c r="AB2" s="323"/>
      <c r="AC2" s="324" t="s">
        <v>289</v>
      </c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323"/>
      <c r="AP2" s="323"/>
      <c r="AQ2" s="323"/>
      <c r="AR2" s="323"/>
      <c r="AS2" s="323"/>
      <c r="AT2" s="323"/>
      <c r="AU2" s="323"/>
    </row>
    <row r="3" spans="1:47" x14ac:dyDescent="0.2">
      <c r="A3" s="311" t="s">
        <v>256</v>
      </c>
      <c r="B3" s="312" t="s">
        <v>64</v>
      </c>
      <c r="C3" s="312">
        <v>4</v>
      </c>
      <c r="D3" s="312">
        <v>2</v>
      </c>
      <c r="E3" s="312">
        <v>2</v>
      </c>
      <c r="F3" s="312">
        <v>2</v>
      </c>
      <c r="G3" s="312">
        <v>0</v>
      </c>
      <c r="AC3" s="313" t="s">
        <v>290</v>
      </c>
    </row>
    <row r="4" spans="1:47" x14ac:dyDescent="0.2">
      <c r="A4" s="311" t="s">
        <v>257</v>
      </c>
      <c r="B4" s="312" t="s">
        <v>64</v>
      </c>
      <c r="C4" s="312">
        <v>5</v>
      </c>
      <c r="D4" s="312">
        <v>2</v>
      </c>
      <c r="E4" s="312">
        <v>0</v>
      </c>
      <c r="F4" s="312">
        <v>0</v>
      </c>
      <c r="G4" s="312">
        <v>0</v>
      </c>
      <c r="AC4" s="313" t="s">
        <v>306</v>
      </c>
    </row>
    <row r="5" spans="1:47" x14ac:dyDescent="0.2">
      <c r="A5" s="311" t="s">
        <v>260</v>
      </c>
      <c r="B5" s="312" t="s">
        <v>207</v>
      </c>
      <c r="C5" s="312">
        <v>4</v>
      </c>
      <c r="D5" s="312">
        <v>4</v>
      </c>
      <c r="E5" s="312">
        <v>2</v>
      </c>
      <c r="F5" s="312">
        <v>2</v>
      </c>
      <c r="G5" s="312">
        <v>2</v>
      </c>
      <c r="AC5" s="313" t="s">
        <v>292</v>
      </c>
    </row>
    <row r="6" spans="1:47" x14ac:dyDescent="0.2">
      <c r="A6" s="311" t="s">
        <v>255</v>
      </c>
      <c r="B6" s="312" t="s">
        <v>64</v>
      </c>
      <c r="C6" s="312">
        <v>3</v>
      </c>
      <c r="D6" s="312">
        <v>2</v>
      </c>
      <c r="E6" s="312">
        <v>0</v>
      </c>
      <c r="F6" s="312">
        <v>0</v>
      </c>
      <c r="G6" s="312">
        <v>0</v>
      </c>
      <c r="AC6" s="313" t="s">
        <v>306</v>
      </c>
    </row>
    <row r="7" spans="1:47" x14ac:dyDescent="0.2">
      <c r="A7" s="311" t="s">
        <v>258</v>
      </c>
      <c r="B7" s="312" t="s">
        <v>207</v>
      </c>
      <c r="C7" s="312">
        <v>6</v>
      </c>
      <c r="D7" s="312">
        <v>2</v>
      </c>
      <c r="E7" s="312">
        <v>2</v>
      </c>
      <c r="F7" s="312">
        <v>2</v>
      </c>
      <c r="G7" s="312">
        <v>0</v>
      </c>
      <c r="AC7" s="313" t="s">
        <v>290</v>
      </c>
    </row>
    <row r="8" spans="1:47" x14ac:dyDescent="0.2">
      <c r="A8" s="311" t="s">
        <v>259</v>
      </c>
      <c r="B8" s="312" t="s">
        <v>208</v>
      </c>
      <c r="C8" s="312">
        <v>6</v>
      </c>
      <c r="D8" s="312">
        <v>4</v>
      </c>
      <c r="E8" s="312">
        <v>0</v>
      </c>
      <c r="F8" s="312">
        <v>0</v>
      </c>
      <c r="G8" s="312">
        <v>2</v>
      </c>
      <c r="AC8" s="313" t="s">
        <v>291</v>
      </c>
    </row>
    <row r="9" spans="1:47" s="327" customFormat="1" x14ac:dyDescent="0.2">
      <c r="A9" s="325">
        <v>0</v>
      </c>
      <c r="B9" s="326">
        <v>0</v>
      </c>
      <c r="C9" s="326">
        <v>0</v>
      </c>
      <c r="D9" s="326">
        <v>0</v>
      </c>
      <c r="E9" s="326">
        <v>0</v>
      </c>
      <c r="F9" s="326">
        <v>0</v>
      </c>
      <c r="G9" s="326">
        <v>0</v>
      </c>
      <c r="H9" s="326"/>
      <c r="I9" s="326"/>
      <c r="J9" s="326"/>
      <c r="K9" s="326"/>
      <c r="L9" s="326"/>
      <c r="M9" s="326"/>
      <c r="N9" s="326"/>
      <c r="O9" s="326"/>
      <c r="P9" s="326"/>
      <c r="Q9" s="326"/>
      <c r="R9" s="326"/>
      <c r="S9" s="326"/>
      <c r="T9" s="326"/>
      <c r="U9" s="326"/>
      <c r="V9" s="326"/>
      <c r="W9" s="326"/>
      <c r="X9" s="326"/>
      <c r="Y9" s="326"/>
      <c r="Z9" s="326"/>
      <c r="AA9" s="326"/>
      <c r="AB9" s="326"/>
      <c r="AC9" s="325" t="s">
        <v>306</v>
      </c>
      <c r="AD9" s="326"/>
      <c r="AE9" s="326"/>
      <c r="AF9" s="326"/>
      <c r="AG9" s="326"/>
      <c r="AH9" s="326"/>
      <c r="AI9" s="326"/>
      <c r="AJ9" s="326"/>
      <c r="AK9" s="326"/>
      <c r="AL9" s="326"/>
      <c r="AM9" s="326"/>
      <c r="AN9" s="326"/>
      <c r="AO9" s="326"/>
      <c r="AP9" s="326"/>
      <c r="AQ9" s="326"/>
      <c r="AR9" s="326"/>
      <c r="AS9" s="326"/>
      <c r="AT9" s="326"/>
      <c r="AU9" s="326"/>
    </row>
    <row r="10" spans="1:47" s="322" customFormat="1" x14ac:dyDescent="0.2">
      <c r="A10" s="322" t="s">
        <v>254</v>
      </c>
      <c r="B10" s="323" t="s">
        <v>31</v>
      </c>
      <c r="C10" s="323" t="s">
        <v>238</v>
      </c>
      <c r="D10" s="323" t="s">
        <v>246</v>
      </c>
      <c r="E10" s="323" t="s">
        <v>239</v>
      </c>
      <c r="F10" s="323" t="s">
        <v>240</v>
      </c>
      <c r="G10" s="323" t="s">
        <v>241</v>
      </c>
      <c r="H10" s="323" t="s">
        <v>331</v>
      </c>
      <c r="I10" s="323" t="s">
        <v>541</v>
      </c>
      <c r="J10" s="323" t="s">
        <v>332</v>
      </c>
      <c r="K10" s="323" t="s">
        <v>345</v>
      </c>
      <c r="L10" s="323" t="s">
        <v>324</v>
      </c>
      <c r="M10" s="323" t="s">
        <v>343</v>
      </c>
      <c r="N10" s="323" t="s">
        <v>333</v>
      </c>
      <c r="O10" s="323" t="s">
        <v>334</v>
      </c>
      <c r="P10" s="323" t="s">
        <v>325</v>
      </c>
      <c r="Q10" s="323" t="s">
        <v>335</v>
      </c>
      <c r="R10" s="323" t="s">
        <v>326</v>
      </c>
      <c r="S10" s="323" t="s">
        <v>336</v>
      </c>
      <c r="T10" s="323" t="s">
        <v>328</v>
      </c>
      <c r="U10" s="323" t="s">
        <v>327</v>
      </c>
      <c r="V10" s="323" t="s">
        <v>329</v>
      </c>
      <c r="W10" s="323" t="s">
        <v>330</v>
      </c>
      <c r="X10" s="323" t="s">
        <v>344</v>
      </c>
      <c r="Y10" s="323" t="s">
        <v>338</v>
      </c>
      <c r="Z10" s="323" t="s">
        <v>337</v>
      </c>
      <c r="AA10" s="328" t="s">
        <v>525</v>
      </c>
      <c r="AB10" s="323" t="s">
        <v>526</v>
      </c>
      <c r="AC10" s="324" t="s">
        <v>289</v>
      </c>
      <c r="AD10" s="323" t="s">
        <v>242</v>
      </c>
      <c r="AE10" s="323" t="s">
        <v>179</v>
      </c>
      <c r="AF10" s="323" t="s">
        <v>243</v>
      </c>
      <c r="AG10" s="323" t="s">
        <v>244</v>
      </c>
      <c r="AH10" s="323" t="s">
        <v>245</v>
      </c>
      <c r="AI10" s="323" t="s">
        <v>578</v>
      </c>
      <c r="AJ10" s="323" t="s">
        <v>579</v>
      </c>
      <c r="AK10" s="323" t="s">
        <v>580</v>
      </c>
      <c r="AL10" s="323">
        <v>0</v>
      </c>
      <c r="AM10" s="323" t="s">
        <v>581</v>
      </c>
      <c r="AN10" s="323" t="s">
        <v>120</v>
      </c>
      <c r="AO10" s="323" t="s">
        <v>582</v>
      </c>
      <c r="AP10" s="323" t="s">
        <v>121</v>
      </c>
      <c r="AQ10" s="323" t="s">
        <v>583</v>
      </c>
      <c r="AR10" s="323" t="s">
        <v>122</v>
      </c>
      <c r="AS10" s="323" t="s">
        <v>584</v>
      </c>
      <c r="AT10" s="323" t="s">
        <v>123</v>
      </c>
      <c r="AU10" s="323" t="s">
        <v>585</v>
      </c>
    </row>
    <row r="11" spans="1:47" s="327" customFormat="1" x14ac:dyDescent="0.2">
      <c r="A11" s="325">
        <v>0</v>
      </c>
      <c r="B11" s="326">
        <v>0</v>
      </c>
      <c r="C11" s="326">
        <v>0</v>
      </c>
      <c r="D11" s="326">
        <v>0</v>
      </c>
      <c r="E11" s="326">
        <v>0</v>
      </c>
      <c r="F11" s="326">
        <v>0</v>
      </c>
      <c r="G11" s="326">
        <v>0</v>
      </c>
      <c r="H11" s="326"/>
      <c r="I11" s="326"/>
      <c r="J11" s="326"/>
      <c r="K11" s="326"/>
      <c r="L11" s="326"/>
      <c r="M11" s="326"/>
      <c r="N11" s="326"/>
      <c r="O11" s="326"/>
      <c r="P11" s="326"/>
      <c r="Q11" s="326"/>
      <c r="R11" s="326"/>
      <c r="S11" s="326"/>
      <c r="T11" s="326"/>
      <c r="U11" s="326"/>
      <c r="V11" s="326"/>
      <c r="W11" s="326"/>
      <c r="X11" s="326"/>
      <c r="Y11" s="326"/>
      <c r="Z11" s="326"/>
      <c r="AA11" s="329"/>
      <c r="AB11" s="326"/>
      <c r="AC11" s="325"/>
      <c r="AD11" s="326"/>
      <c r="AE11" s="326"/>
      <c r="AF11" s="326">
        <v>0</v>
      </c>
      <c r="AG11" s="326"/>
      <c r="AH11" s="326"/>
      <c r="AI11" s="326"/>
      <c r="AJ11" s="326"/>
      <c r="AK11" s="326"/>
      <c r="AL11" s="326"/>
      <c r="AM11" s="326"/>
      <c r="AN11" s="326"/>
      <c r="AO11" s="326"/>
      <c r="AP11" s="326"/>
      <c r="AQ11" s="326"/>
      <c r="AR11" s="326"/>
      <c r="AS11" s="326"/>
      <c r="AT11" s="326"/>
      <c r="AU11" s="326"/>
    </row>
    <row r="12" spans="1:47" x14ac:dyDescent="0.2">
      <c r="A12" s="311" t="s">
        <v>232</v>
      </c>
      <c r="B12" s="312" t="s">
        <v>64</v>
      </c>
      <c r="C12" s="312">
        <v>4</v>
      </c>
      <c r="D12" s="312">
        <v>2</v>
      </c>
      <c r="E12" s="312">
        <v>2</v>
      </c>
      <c r="F12" s="312">
        <v>0</v>
      </c>
      <c r="G12" s="312">
        <v>2</v>
      </c>
      <c r="M12" s="312" t="s">
        <v>342</v>
      </c>
      <c r="N12" s="312" t="s">
        <v>342</v>
      </c>
      <c r="R12" s="312" t="s">
        <v>342</v>
      </c>
      <c r="S12" s="312" t="s">
        <v>342</v>
      </c>
      <c r="U12" s="312" t="s">
        <v>342</v>
      </c>
      <c r="X12" s="312" t="s">
        <v>342</v>
      </c>
      <c r="Y12" s="312" t="s">
        <v>342</v>
      </c>
      <c r="AC12" s="313" t="s">
        <v>297</v>
      </c>
      <c r="AD12" s="312" t="s">
        <v>247</v>
      </c>
      <c r="AE12" s="312" t="s">
        <v>573</v>
      </c>
      <c r="AF12" s="312" t="s">
        <v>99</v>
      </c>
      <c r="AG12" s="312">
        <f>1</f>
        <v>1</v>
      </c>
      <c r="AH12" s="312">
        <v>3</v>
      </c>
      <c r="AI12" s="312">
        <v>4</v>
      </c>
      <c r="AJ12" s="312">
        <v>1</v>
      </c>
      <c r="AK12" s="312">
        <v>1</v>
      </c>
      <c r="AL12" s="312">
        <v>1</v>
      </c>
      <c r="AM12" s="312">
        <v>1</v>
      </c>
      <c r="AN12" s="312">
        <v>3</v>
      </c>
      <c r="AO12" s="312">
        <v>5</v>
      </c>
      <c r="AP12" s="312">
        <v>7</v>
      </c>
      <c r="AQ12" s="312">
        <v>9</v>
      </c>
      <c r="AR12" s="312">
        <v>11</v>
      </c>
      <c r="AS12" s="312">
        <v>13</v>
      </c>
      <c r="AT12" s="312">
        <v>15</v>
      </c>
      <c r="AU12" s="312">
        <v>17</v>
      </c>
    </row>
    <row r="13" spans="1:47" x14ac:dyDescent="0.2">
      <c r="A13" s="311" t="s">
        <v>186</v>
      </c>
      <c r="B13" s="312" t="s">
        <v>207</v>
      </c>
      <c r="C13" s="312">
        <v>6</v>
      </c>
      <c r="D13" s="312">
        <v>4</v>
      </c>
      <c r="E13" s="312">
        <v>2</v>
      </c>
      <c r="F13" s="312">
        <v>0</v>
      </c>
      <c r="G13" s="312">
        <v>0</v>
      </c>
      <c r="I13" s="312" t="s">
        <v>342</v>
      </c>
      <c r="J13" s="312" t="s">
        <v>342</v>
      </c>
      <c r="L13" s="312" t="s">
        <v>342</v>
      </c>
      <c r="S13" s="312" t="s">
        <v>342</v>
      </c>
      <c r="T13" s="312" t="s">
        <v>342</v>
      </c>
      <c r="X13" s="312" t="s">
        <v>342</v>
      </c>
      <c r="Y13" s="312" t="s">
        <v>342</v>
      </c>
      <c r="Z13" s="312" t="s">
        <v>342</v>
      </c>
      <c r="AC13" s="313" t="s">
        <v>293</v>
      </c>
      <c r="AD13" s="315" t="s">
        <v>248</v>
      </c>
      <c r="AE13" s="315"/>
      <c r="AF13" s="315"/>
      <c r="AG13" s="315"/>
      <c r="AH13" s="315"/>
      <c r="AI13" s="315"/>
      <c r="AJ13" s="315"/>
      <c r="AK13" s="315"/>
      <c r="AL13" s="315"/>
      <c r="AM13" s="315"/>
      <c r="AN13" s="315"/>
      <c r="AO13" s="315"/>
      <c r="AP13" s="315"/>
      <c r="AQ13" s="315"/>
      <c r="AR13" s="315"/>
      <c r="AS13" s="315"/>
      <c r="AT13" s="315"/>
      <c r="AU13" s="315"/>
    </row>
    <row r="14" spans="1:47" x14ac:dyDescent="0.2">
      <c r="A14" s="311" t="s">
        <v>984</v>
      </c>
      <c r="B14" s="312" t="s">
        <v>207</v>
      </c>
      <c r="C14" s="312">
        <v>6</v>
      </c>
      <c r="D14" s="312">
        <v>4</v>
      </c>
      <c r="E14" s="312">
        <v>2</v>
      </c>
      <c r="F14" s="312">
        <v>0</v>
      </c>
      <c r="G14" s="312">
        <v>0</v>
      </c>
      <c r="I14" s="312" t="s">
        <v>342</v>
      </c>
      <c r="J14" s="312" t="s">
        <v>342</v>
      </c>
      <c r="S14" s="312" t="s">
        <v>342</v>
      </c>
      <c r="T14" s="312" t="s">
        <v>342</v>
      </c>
      <c r="X14" s="312" t="s">
        <v>342</v>
      </c>
      <c r="Y14" s="312" t="s">
        <v>342</v>
      </c>
      <c r="Z14" s="312" t="s">
        <v>342</v>
      </c>
      <c r="AC14" s="313" t="s">
        <v>986</v>
      </c>
      <c r="AD14" s="315" t="s">
        <v>248</v>
      </c>
      <c r="AE14" s="315"/>
      <c r="AF14" s="315"/>
      <c r="AG14" s="315"/>
      <c r="AH14" s="315"/>
      <c r="AI14" s="315"/>
      <c r="AJ14" s="315"/>
      <c r="AK14" s="315"/>
      <c r="AL14" s="315"/>
      <c r="AM14" s="315"/>
      <c r="AN14" s="315"/>
      <c r="AO14" s="315"/>
      <c r="AP14" s="315"/>
      <c r="AQ14" s="315"/>
      <c r="AR14" s="315"/>
      <c r="AS14" s="315"/>
      <c r="AT14" s="315"/>
      <c r="AU14" s="315"/>
    </row>
    <row r="15" spans="1:47" x14ac:dyDescent="0.2">
      <c r="A15" s="311" t="s">
        <v>982</v>
      </c>
      <c r="B15" s="312" t="s">
        <v>207</v>
      </c>
      <c r="C15" s="312">
        <v>6</v>
      </c>
      <c r="D15" s="312">
        <v>3</v>
      </c>
      <c r="E15" s="312">
        <v>2</v>
      </c>
      <c r="F15" s="312">
        <v>0</v>
      </c>
      <c r="G15" s="312">
        <v>0</v>
      </c>
      <c r="I15" s="312" t="s">
        <v>342</v>
      </c>
      <c r="J15" s="312" t="s">
        <v>342</v>
      </c>
      <c r="L15" s="312" t="s">
        <v>342</v>
      </c>
      <c r="S15" s="312" t="s">
        <v>342</v>
      </c>
      <c r="T15" s="312" t="s">
        <v>342</v>
      </c>
      <c r="X15" s="312" t="s">
        <v>342</v>
      </c>
      <c r="Y15" s="312" t="s">
        <v>342</v>
      </c>
      <c r="Z15" s="312" t="s">
        <v>342</v>
      </c>
      <c r="AC15" s="313" t="s">
        <v>985</v>
      </c>
      <c r="AD15" s="315" t="s">
        <v>248</v>
      </c>
      <c r="AE15" s="315"/>
      <c r="AF15" s="315"/>
      <c r="AG15" s="315"/>
      <c r="AH15" s="315"/>
      <c r="AI15" s="315"/>
      <c r="AJ15" s="315"/>
      <c r="AK15" s="315"/>
      <c r="AL15" s="315"/>
      <c r="AM15" s="315"/>
      <c r="AN15" s="315"/>
      <c r="AO15" s="315"/>
      <c r="AP15" s="315"/>
      <c r="AQ15" s="315"/>
      <c r="AR15" s="315"/>
      <c r="AS15" s="315"/>
      <c r="AT15" s="315"/>
      <c r="AU15" s="315"/>
    </row>
    <row r="16" spans="1:47" x14ac:dyDescent="0.2">
      <c r="A16" s="311" t="s">
        <v>983</v>
      </c>
      <c r="B16" s="312" t="s">
        <v>207</v>
      </c>
      <c r="C16" s="312">
        <v>6</v>
      </c>
      <c r="D16" s="312">
        <v>4</v>
      </c>
      <c r="E16" s="312">
        <v>2</v>
      </c>
      <c r="F16" s="312">
        <v>0</v>
      </c>
      <c r="G16" s="312">
        <v>0</v>
      </c>
      <c r="I16" s="312" t="s">
        <v>342</v>
      </c>
      <c r="J16" s="312" t="s">
        <v>342</v>
      </c>
      <c r="L16" s="312" t="s">
        <v>342</v>
      </c>
      <c r="S16" s="312" t="s">
        <v>342</v>
      </c>
      <c r="T16" s="312" t="s">
        <v>342</v>
      </c>
      <c r="X16" s="312" t="s">
        <v>342</v>
      </c>
      <c r="Y16" s="312" t="s">
        <v>342</v>
      </c>
      <c r="Z16" s="312" t="s">
        <v>342</v>
      </c>
      <c r="AC16" s="313" t="s">
        <v>293</v>
      </c>
      <c r="AD16" s="315" t="s">
        <v>248</v>
      </c>
      <c r="AE16" s="315"/>
      <c r="AF16" s="315"/>
      <c r="AG16" s="315"/>
      <c r="AH16" s="315"/>
      <c r="AI16" s="315"/>
      <c r="AJ16" s="315"/>
      <c r="AK16" s="315"/>
      <c r="AL16" s="315"/>
      <c r="AM16" s="315"/>
      <c r="AN16" s="315"/>
      <c r="AO16" s="315"/>
      <c r="AP16" s="315"/>
      <c r="AQ16" s="315"/>
      <c r="AR16" s="315"/>
      <c r="AS16" s="315"/>
      <c r="AT16" s="315"/>
      <c r="AU16" s="315"/>
    </row>
    <row r="17" spans="1:47" x14ac:dyDescent="0.2">
      <c r="A17" s="311" t="s">
        <v>187</v>
      </c>
      <c r="B17" s="312" t="s">
        <v>64</v>
      </c>
      <c r="C17" s="312">
        <v>3</v>
      </c>
      <c r="D17" s="312">
        <v>6</v>
      </c>
      <c r="E17" s="312">
        <v>0</v>
      </c>
      <c r="F17" s="312">
        <v>2</v>
      </c>
      <c r="G17" s="312">
        <v>2</v>
      </c>
      <c r="H17" s="312" t="s">
        <v>342</v>
      </c>
      <c r="J17" s="312" t="s">
        <v>342</v>
      </c>
      <c r="K17" s="312" t="s">
        <v>342</v>
      </c>
      <c r="L17" s="312" t="s">
        <v>342</v>
      </c>
      <c r="M17" s="312" t="s">
        <v>342</v>
      </c>
      <c r="O17" s="312" t="s">
        <v>342</v>
      </c>
      <c r="P17" s="312" t="s">
        <v>342</v>
      </c>
      <c r="Q17" s="312" t="s">
        <v>342</v>
      </c>
      <c r="R17" s="312" t="s">
        <v>342</v>
      </c>
      <c r="S17" s="312" t="s">
        <v>342</v>
      </c>
      <c r="U17" s="312" t="s">
        <v>342</v>
      </c>
      <c r="V17" s="312" t="s">
        <v>342</v>
      </c>
      <c r="W17" s="312" t="s">
        <v>342</v>
      </c>
      <c r="Y17" s="312" t="s">
        <v>342</v>
      </c>
      <c r="AC17" s="313" t="s">
        <v>299</v>
      </c>
      <c r="AD17" s="312" t="s">
        <v>247</v>
      </c>
      <c r="AE17" s="312" t="s">
        <v>574</v>
      </c>
      <c r="AF17" s="312" t="s">
        <v>100</v>
      </c>
      <c r="AG17" s="312">
        <v>1</v>
      </c>
      <c r="AH17" s="312">
        <v>2</v>
      </c>
      <c r="AI17" s="312">
        <v>4</v>
      </c>
      <c r="AJ17" s="312">
        <v>1</v>
      </c>
      <c r="AK17" s="312">
        <v>1</v>
      </c>
      <c r="AL17" s="312">
        <v>1</v>
      </c>
      <c r="AM17" s="312">
        <v>1</v>
      </c>
      <c r="AN17" s="312">
        <v>4</v>
      </c>
      <c r="AO17" s="312">
        <v>7</v>
      </c>
      <c r="AP17" s="312">
        <v>10</v>
      </c>
      <c r="AQ17" s="312">
        <v>13</v>
      </c>
      <c r="AR17" s="312">
        <v>16</v>
      </c>
      <c r="AS17" s="312" t="s">
        <v>342</v>
      </c>
      <c r="AT17" s="312" t="s">
        <v>342</v>
      </c>
      <c r="AU17" s="312" t="s">
        <v>342</v>
      </c>
    </row>
    <row r="18" spans="1:47" x14ac:dyDescent="0.2">
      <c r="A18" s="311" t="s">
        <v>989</v>
      </c>
      <c r="B18" s="312" t="s">
        <v>64</v>
      </c>
      <c r="C18" s="312">
        <v>3</v>
      </c>
      <c r="D18" s="312">
        <v>6</v>
      </c>
      <c r="E18" s="312">
        <v>0</v>
      </c>
      <c r="F18" s="312">
        <v>2</v>
      </c>
      <c r="G18" s="312">
        <v>2</v>
      </c>
      <c r="K18" s="312" t="s">
        <v>342</v>
      </c>
      <c r="L18" s="312" t="s">
        <v>342</v>
      </c>
      <c r="M18" s="312" t="s">
        <v>342</v>
      </c>
      <c r="O18" s="312" t="s">
        <v>342</v>
      </c>
      <c r="P18" s="312" t="s">
        <v>342</v>
      </c>
      <c r="R18" s="312" t="s">
        <v>342</v>
      </c>
      <c r="S18" s="312" t="s">
        <v>342</v>
      </c>
      <c r="U18" s="312" t="s">
        <v>342</v>
      </c>
      <c r="V18" s="312" t="s">
        <v>342</v>
      </c>
      <c r="W18" s="312" t="s">
        <v>342</v>
      </c>
      <c r="Y18" s="312" t="s">
        <v>342</v>
      </c>
      <c r="AC18" s="313" t="s">
        <v>299</v>
      </c>
      <c r="AD18" s="312" t="s">
        <v>247</v>
      </c>
      <c r="AE18" s="312" t="s">
        <v>574</v>
      </c>
      <c r="AF18" s="312" t="s">
        <v>100</v>
      </c>
      <c r="AG18" s="312">
        <v>1</v>
      </c>
      <c r="AH18" s="312">
        <v>2</v>
      </c>
      <c r="AI18" s="312">
        <v>4</v>
      </c>
      <c r="AJ18" s="312">
        <v>1</v>
      </c>
      <c r="AK18" s="312">
        <v>1</v>
      </c>
      <c r="AL18" s="312">
        <v>1</v>
      </c>
      <c r="AM18" s="312">
        <v>1</v>
      </c>
      <c r="AN18" s="312">
        <v>4</v>
      </c>
      <c r="AO18" s="312">
        <v>7</v>
      </c>
      <c r="AP18" s="312">
        <v>10</v>
      </c>
      <c r="AQ18" s="312">
        <v>13</v>
      </c>
      <c r="AR18" s="312">
        <v>16</v>
      </c>
      <c r="AS18" s="312" t="s">
        <v>342</v>
      </c>
      <c r="AT18" s="312" t="s">
        <v>342</v>
      </c>
      <c r="AU18" s="312" t="s">
        <v>342</v>
      </c>
    </row>
    <row r="19" spans="1:47" x14ac:dyDescent="0.2">
      <c r="A19" s="311" t="s">
        <v>988</v>
      </c>
      <c r="B19" s="312" t="s">
        <v>64</v>
      </c>
      <c r="C19" s="312">
        <v>3</v>
      </c>
      <c r="D19" s="312">
        <v>6</v>
      </c>
      <c r="E19" s="312">
        <v>0</v>
      </c>
      <c r="F19" s="312">
        <v>2</v>
      </c>
      <c r="G19" s="312">
        <v>2</v>
      </c>
      <c r="H19" s="312" t="s">
        <v>342</v>
      </c>
      <c r="J19" s="312" t="s">
        <v>342</v>
      </c>
      <c r="K19" s="312" t="s">
        <v>342</v>
      </c>
      <c r="L19" s="312" t="s">
        <v>342</v>
      </c>
      <c r="M19" s="312" t="s">
        <v>342</v>
      </c>
      <c r="O19" s="312" t="s">
        <v>342</v>
      </c>
      <c r="P19" s="312" t="s">
        <v>342</v>
      </c>
      <c r="Q19" s="312" t="s">
        <v>342</v>
      </c>
      <c r="R19" s="312" t="s">
        <v>342</v>
      </c>
      <c r="S19" s="312" t="s">
        <v>342</v>
      </c>
      <c r="U19" s="312" t="s">
        <v>342</v>
      </c>
      <c r="V19" s="312" t="s">
        <v>342</v>
      </c>
      <c r="W19" s="312" t="s">
        <v>342</v>
      </c>
      <c r="Y19" s="312" t="s">
        <v>342</v>
      </c>
      <c r="AC19" s="313" t="s">
        <v>299</v>
      </c>
      <c r="AD19" s="315" t="s">
        <v>248</v>
      </c>
      <c r="AE19" s="315"/>
      <c r="AF19" s="315"/>
      <c r="AG19" s="315"/>
      <c r="AH19" s="315"/>
      <c r="AI19" s="315"/>
      <c r="AJ19" s="315"/>
      <c r="AK19" s="315"/>
      <c r="AL19" s="315"/>
      <c r="AM19" s="315"/>
      <c r="AN19" s="315"/>
      <c r="AO19" s="315"/>
      <c r="AP19" s="315"/>
      <c r="AQ19" s="315"/>
      <c r="AR19" s="315"/>
      <c r="AS19" s="315"/>
      <c r="AT19" s="315"/>
      <c r="AU19" s="315"/>
    </row>
    <row r="20" spans="1:47" x14ac:dyDescent="0.2">
      <c r="A20" s="311" t="s">
        <v>1014</v>
      </c>
      <c r="B20" s="312" t="s">
        <v>208</v>
      </c>
      <c r="C20" s="312">
        <v>2</v>
      </c>
      <c r="D20" s="312">
        <v>2</v>
      </c>
      <c r="E20" s="312">
        <v>0</v>
      </c>
      <c r="F20" s="312">
        <v>0</v>
      </c>
      <c r="G20" s="312">
        <v>2</v>
      </c>
      <c r="M20" s="312" t="s">
        <v>342</v>
      </c>
      <c r="R20" s="312" t="s">
        <v>342</v>
      </c>
      <c r="X20" s="312" t="s">
        <v>342</v>
      </c>
      <c r="Y20" s="312" t="s">
        <v>342</v>
      </c>
      <c r="AC20" s="313" t="s">
        <v>296</v>
      </c>
      <c r="AD20" s="312" t="s">
        <v>247</v>
      </c>
      <c r="AE20" s="312" t="s">
        <v>577</v>
      </c>
      <c r="AF20" s="312" t="s">
        <v>98</v>
      </c>
      <c r="AG20" s="312">
        <v>1</v>
      </c>
      <c r="AH20" s="312">
        <v>3</v>
      </c>
      <c r="AI20" s="312">
        <v>4</v>
      </c>
      <c r="AJ20" s="312">
        <v>2</v>
      </c>
      <c r="AK20" s="312">
        <v>2</v>
      </c>
      <c r="AL20" s="312">
        <v>1</v>
      </c>
      <c r="AM20" s="312">
        <v>1</v>
      </c>
      <c r="AN20" s="312">
        <v>3</v>
      </c>
      <c r="AO20" s="312">
        <v>5</v>
      </c>
      <c r="AP20" s="312">
        <v>7</v>
      </c>
      <c r="AQ20" s="312">
        <v>9</v>
      </c>
      <c r="AR20" s="312">
        <v>11</v>
      </c>
      <c r="AS20" s="312">
        <v>13</v>
      </c>
      <c r="AT20" s="312">
        <v>15</v>
      </c>
      <c r="AU20" s="312">
        <v>17</v>
      </c>
    </row>
    <row r="21" spans="1:47" x14ac:dyDescent="0.2">
      <c r="A21" s="311" t="s">
        <v>608</v>
      </c>
      <c r="B21" s="312" t="s">
        <v>207</v>
      </c>
      <c r="C21" s="312">
        <v>5</v>
      </c>
      <c r="D21" s="312">
        <v>2</v>
      </c>
      <c r="E21" s="312">
        <v>2</v>
      </c>
      <c r="F21" s="312">
        <v>0</v>
      </c>
      <c r="G21" s="312">
        <v>0</v>
      </c>
      <c r="I21" s="312" t="s">
        <v>342</v>
      </c>
      <c r="J21" s="312" t="s">
        <v>342</v>
      </c>
      <c r="L21" s="312" t="s">
        <v>342</v>
      </c>
      <c r="M21" s="312" t="s">
        <v>342</v>
      </c>
      <c r="O21" s="312" t="s">
        <v>342</v>
      </c>
      <c r="S21" s="312" t="s">
        <v>342</v>
      </c>
      <c r="T21" s="312" t="s">
        <v>342</v>
      </c>
      <c r="Y21" s="312" t="s">
        <v>342</v>
      </c>
      <c r="AC21" s="313" t="s">
        <v>298</v>
      </c>
      <c r="AD21" s="315" t="s">
        <v>248</v>
      </c>
      <c r="AE21" s="315"/>
      <c r="AF21" s="315"/>
      <c r="AG21" s="315"/>
      <c r="AH21" s="315"/>
      <c r="AI21" s="315"/>
      <c r="AJ21" s="315"/>
      <c r="AK21" s="315"/>
      <c r="AL21" s="315"/>
      <c r="AM21" s="315"/>
      <c r="AN21" s="315"/>
      <c r="AO21" s="315"/>
      <c r="AP21" s="315"/>
      <c r="AQ21" s="315"/>
      <c r="AR21" s="315"/>
      <c r="AS21" s="315"/>
      <c r="AT21" s="315"/>
      <c r="AU21" s="315"/>
    </row>
    <row r="22" spans="1:47" x14ac:dyDescent="0.2">
      <c r="A22" s="311" t="s">
        <v>188</v>
      </c>
      <c r="B22" s="312" t="s">
        <v>64</v>
      </c>
      <c r="C22" s="312">
        <v>4</v>
      </c>
      <c r="D22" s="312">
        <v>2</v>
      </c>
      <c r="E22" s="312">
        <v>2</v>
      </c>
      <c r="F22" s="312">
        <v>0</v>
      </c>
      <c r="G22" s="312">
        <v>2</v>
      </c>
      <c r="M22" s="312" t="s">
        <v>342</v>
      </c>
      <c r="N22" s="312" t="s">
        <v>342</v>
      </c>
      <c r="O22" s="312" t="s">
        <v>342</v>
      </c>
      <c r="R22" s="312" t="s">
        <v>342</v>
      </c>
      <c r="U22" s="312" t="s">
        <v>342</v>
      </c>
      <c r="X22" s="312" t="s">
        <v>342</v>
      </c>
      <c r="AC22" s="313" t="s">
        <v>294</v>
      </c>
      <c r="AD22" s="312" t="s">
        <v>247</v>
      </c>
      <c r="AE22" s="312" t="s">
        <v>575</v>
      </c>
      <c r="AF22" s="312" t="s">
        <v>99</v>
      </c>
      <c r="AG22" s="312">
        <v>1</v>
      </c>
      <c r="AH22" s="312">
        <v>3</v>
      </c>
      <c r="AI22" s="312">
        <v>4</v>
      </c>
      <c r="AJ22" s="312">
        <v>1</v>
      </c>
      <c r="AK22" s="312">
        <v>2</v>
      </c>
      <c r="AL22" s="312">
        <v>1</v>
      </c>
      <c r="AM22" s="312">
        <v>1</v>
      </c>
      <c r="AN22" s="312">
        <v>3</v>
      </c>
      <c r="AO22" s="312">
        <v>5</v>
      </c>
      <c r="AP22" s="312">
        <v>7</v>
      </c>
      <c r="AQ22" s="312">
        <v>9</v>
      </c>
      <c r="AR22" s="312">
        <v>11</v>
      </c>
      <c r="AS22" s="312">
        <v>13</v>
      </c>
      <c r="AT22" s="312">
        <v>15</v>
      </c>
      <c r="AU22" s="312">
        <v>17</v>
      </c>
    </row>
    <row r="23" spans="1:47" x14ac:dyDescent="0.2">
      <c r="A23" s="311" t="s">
        <v>998</v>
      </c>
      <c r="B23" s="312" t="s">
        <v>64</v>
      </c>
      <c r="C23" s="312">
        <v>4</v>
      </c>
      <c r="D23" s="312">
        <v>2</v>
      </c>
      <c r="E23" s="312">
        <v>2</v>
      </c>
      <c r="F23" s="312">
        <v>0</v>
      </c>
      <c r="G23" s="312">
        <v>2</v>
      </c>
      <c r="I23" s="312" t="s">
        <v>342</v>
      </c>
      <c r="M23" s="312" t="s">
        <v>342</v>
      </c>
      <c r="N23" s="312" t="s">
        <v>342</v>
      </c>
      <c r="R23" s="312" t="s">
        <v>342</v>
      </c>
      <c r="U23" s="312" t="s">
        <v>342</v>
      </c>
      <c r="X23" s="312" t="s">
        <v>342</v>
      </c>
      <c r="AC23" s="313" t="s">
        <v>1007</v>
      </c>
      <c r="AD23" s="312" t="s">
        <v>247</v>
      </c>
      <c r="AE23" s="312" t="s">
        <v>575</v>
      </c>
      <c r="AF23" s="312" t="s">
        <v>99</v>
      </c>
      <c r="AG23" s="312">
        <v>1</v>
      </c>
      <c r="AH23" s="312">
        <v>2</v>
      </c>
      <c r="AI23" s="312">
        <v>4</v>
      </c>
      <c r="AJ23" s="312">
        <v>1</v>
      </c>
      <c r="AK23" s="312">
        <v>1</v>
      </c>
      <c r="AL23" s="312">
        <v>1</v>
      </c>
      <c r="AM23" s="312">
        <v>1</v>
      </c>
      <c r="AN23" s="312">
        <v>3</v>
      </c>
      <c r="AO23" s="312">
        <v>5</v>
      </c>
      <c r="AP23" s="312">
        <v>7</v>
      </c>
      <c r="AQ23" s="312">
        <v>9</v>
      </c>
      <c r="AR23" s="312">
        <v>11</v>
      </c>
      <c r="AS23" s="312">
        <v>13</v>
      </c>
      <c r="AT23" s="312">
        <v>15</v>
      </c>
      <c r="AU23" s="312">
        <v>17</v>
      </c>
    </row>
    <row r="24" spans="1:47" x14ac:dyDescent="0.2">
      <c r="A24" s="311" t="s">
        <v>999</v>
      </c>
      <c r="B24" s="312" t="s">
        <v>64</v>
      </c>
      <c r="C24" s="312">
        <v>4</v>
      </c>
      <c r="D24" s="312">
        <v>4</v>
      </c>
      <c r="E24" s="312">
        <v>2</v>
      </c>
      <c r="F24" s="312">
        <v>0</v>
      </c>
      <c r="G24" s="312">
        <v>2</v>
      </c>
      <c r="M24" s="312" t="s">
        <v>342</v>
      </c>
      <c r="N24" s="312" t="s">
        <v>342</v>
      </c>
      <c r="O24" s="312" t="s">
        <v>342</v>
      </c>
      <c r="R24" s="312" t="s">
        <v>342</v>
      </c>
      <c r="U24" s="312" t="s">
        <v>342</v>
      </c>
      <c r="X24" s="312" t="s">
        <v>342</v>
      </c>
      <c r="AC24" s="313" t="s">
        <v>1008</v>
      </c>
      <c r="AD24" s="312" t="s">
        <v>247</v>
      </c>
      <c r="AE24" s="312" t="s">
        <v>575</v>
      </c>
      <c r="AF24" s="312" t="s">
        <v>99</v>
      </c>
      <c r="AG24" s="312">
        <v>1</v>
      </c>
      <c r="AH24" s="312">
        <v>3</v>
      </c>
      <c r="AI24" s="312">
        <v>4</v>
      </c>
      <c r="AJ24" s="312">
        <v>1</v>
      </c>
      <c r="AK24" s="312">
        <v>3</v>
      </c>
      <c r="AL24" s="312">
        <v>1</v>
      </c>
      <c r="AM24" s="312">
        <v>1</v>
      </c>
      <c r="AN24" s="312">
        <v>3</v>
      </c>
      <c r="AO24" s="312">
        <v>5</v>
      </c>
      <c r="AP24" s="312">
        <v>7</v>
      </c>
      <c r="AQ24" s="312">
        <v>9</v>
      </c>
      <c r="AR24" s="312">
        <v>11</v>
      </c>
      <c r="AS24" s="312">
        <v>13</v>
      </c>
      <c r="AT24" s="312">
        <v>15</v>
      </c>
      <c r="AU24" s="312">
        <v>17</v>
      </c>
    </row>
    <row r="25" spans="1:47" x14ac:dyDescent="0.2">
      <c r="A25" s="311" t="s">
        <v>1000</v>
      </c>
      <c r="B25" s="312" t="s">
        <v>64</v>
      </c>
      <c r="C25" s="312">
        <v>4</v>
      </c>
      <c r="D25" s="312">
        <v>2</v>
      </c>
      <c r="E25" s="312">
        <v>2</v>
      </c>
      <c r="F25" s="312">
        <v>0</v>
      </c>
      <c r="G25" s="312">
        <v>2</v>
      </c>
      <c r="M25" s="312" t="s">
        <v>342</v>
      </c>
      <c r="P25" s="312" t="s">
        <v>342</v>
      </c>
      <c r="Q25" s="312" t="s">
        <v>342</v>
      </c>
      <c r="R25" s="312" t="s">
        <v>342</v>
      </c>
      <c r="U25" s="312" t="s">
        <v>342</v>
      </c>
      <c r="X25" s="312" t="s">
        <v>342</v>
      </c>
      <c r="AC25" s="313" t="s">
        <v>1009</v>
      </c>
      <c r="AD25" s="312" t="s">
        <v>247</v>
      </c>
      <c r="AE25" s="312" t="s">
        <v>575</v>
      </c>
      <c r="AF25" s="312" t="s">
        <v>100</v>
      </c>
      <c r="AG25" s="312">
        <v>1</v>
      </c>
      <c r="AH25" s="312">
        <v>3</v>
      </c>
      <c r="AI25" s="312">
        <v>4</v>
      </c>
      <c r="AJ25" s="312">
        <v>1</v>
      </c>
      <c r="AK25" s="312">
        <v>2</v>
      </c>
      <c r="AL25" s="312">
        <v>1</v>
      </c>
      <c r="AM25" s="312">
        <v>1</v>
      </c>
      <c r="AN25" s="312">
        <v>3</v>
      </c>
      <c r="AO25" s="312">
        <v>5</v>
      </c>
      <c r="AP25" s="312">
        <v>7</v>
      </c>
      <c r="AQ25" s="312">
        <v>9</v>
      </c>
      <c r="AR25" s="312">
        <v>11</v>
      </c>
      <c r="AS25" s="312">
        <v>13</v>
      </c>
      <c r="AT25" s="312">
        <v>15</v>
      </c>
      <c r="AU25" s="312">
        <v>17</v>
      </c>
    </row>
    <row r="26" spans="1:47" x14ac:dyDescent="0.2">
      <c r="A26" s="311" t="s">
        <v>189</v>
      </c>
      <c r="B26" s="312" t="s">
        <v>64</v>
      </c>
      <c r="C26" s="312">
        <v>4</v>
      </c>
      <c r="D26" s="312">
        <v>4</v>
      </c>
      <c r="E26" s="312">
        <v>2</v>
      </c>
      <c r="F26" s="312">
        <v>0</v>
      </c>
      <c r="G26" s="312">
        <v>2</v>
      </c>
      <c r="I26" s="312" t="s">
        <v>342</v>
      </c>
      <c r="J26" s="312" t="s">
        <v>342</v>
      </c>
      <c r="L26" s="312" t="s">
        <v>342</v>
      </c>
      <c r="M26" s="312" t="s">
        <v>342</v>
      </c>
      <c r="N26" s="312" t="s">
        <v>342</v>
      </c>
      <c r="O26" s="312" t="s">
        <v>342</v>
      </c>
      <c r="R26" s="312" t="s">
        <v>342</v>
      </c>
      <c r="X26" s="312" t="s">
        <v>342</v>
      </c>
      <c r="Y26" s="312" t="s">
        <v>342</v>
      </c>
      <c r="Z26" s="312" t="s">
        <v>342</v>
      </c>
      <c r="AC26" s="313" t="s">
        <v>295</v>
      </c>
      <c r="AD26" s="312" t="s">
        <v>247</v>
      </c>
      <c r="AE26" s="312" t="s">
        <v>575</v>
      </c>
      <c r="AF26" s="312" t="s">
        <v>99</v>
      </c>
      <c r="AG26" s="312">
        <v>1</v>
      </c>
      <c r="AH26" s="312">
        <v>3</v>
      </c>
      <c r="AI26" s="312">
        <v>4</v>
      </c>
      <c r="AJ26" s="312">
        <v>1</v>
      </c>
      <c r="AK26" s="312">
        <v>2</v>
      </c>
      <c r="AL26" s="312">
        <v>1</v>
      </c>
      <c r="AM26" s="312">
        <v>1</v>
      </c>
      <c r="AN26" s="312">
        <v>3</v>
      </c>
      <c r="AO26" s="312">
        <v>5</v>
      </c>
      <c r="AP26" s="312">
        <v>7</v>
      </c>
      <c r="AQ26" s="312">
        <v>9</v>
      </c>
      <c r="AR26" s="312">
        <v>11</v>
      </c>
      <c r="AS26" s="312">
        <v>13</v>
      </c>
      <c r="AT26" s="312">
        <v>15</v>
      </c>
      <c r="AU26" s="312">
        <v>17</v>
      </c>
    </row>
    <row r="27" spans="1:47" x14ac:dyDescent="0.2">
      <c r="A27" s="311" t="s">
        <v>1001</v>
      </c>
      <c r="B27" s="312" t="s">
        <v>64</v>
      </c>
      <c r="C27" s="312">
        <v>4</v>
      </c>
      <c r="D27" s="312">
        <v>4</v>
      </c>
      <c r="E27" s="312">
        <v>2</v>
      </c>
      <c r="F27" s="312">
        <v>0</v>
      </c>
      <c r="G27" s="312">
        <v>2</v>
      </c>
      <c r="I27" s="312" t="s">
        <v>342</v>
      </c>
      <c r="J27" s="312" t="s">
        <v>342</v>
      </c>
      <c r="L27" s="312" t="s">
        <v>342</v>
      </c>
      <c r="M27" s="312" t="s">
        <v>342</v>
      </c>
      <c r="N27" s="312" t="s">
        <v>342</v>
      </c>
      <c r="O27" s="312" t="s">
        <v>342</v>
      </c>
      <c r="R27" s="312" t="s">
        <v>342</v>
      </c>
      <c r="X27" s="312" t="s">
        <v>342</v>
      </c>
      <c r="Y27" s="312" t="s">
        <v>342</v>
      </c>
      <c r="Z27" s="312" t="s">
        <v>342</v>
      </c>
      <c r="AC27" s="313" t="s">
        <v>295</v>
      </c>
      <c r="AD27" s="312" t="s">
        <v>247</v>
      </c>
      <c r="AE27" s="312" t="s">
        <v>575</v>
      </c>
      <c r="AF27" s="312" t="s">
        <v>99</v>
      </c>
      <c r="AG27" s="312">
        <v>1</v>
      </c>
      <c r="AH27" s="312">
        <v>3</v>
      </c>
      <c r="AI27" s="312">
        <v>4</v>
      </c>
      <c r="AJ27" s="312">
        <v>1</v>
      </c>
      <c r="AK27" s="312">
        <v>3</v>
      </c>
      <c r="AL27" s="312">
        <v>1</v>
      </c>
      <c r="AM27" s="312">
        <v>1</v>
      </c>
      <c r="AN27" s="312">
        <v>3</v>
      </c>
      <c r="AO27" s="312">
        <v>5</v>
      </c>
      <c r="AP27" s="312">
        <v>7</v>
      </c>
      <c r="AQ27" s="312">
        <v>9</v>
      </c>
      <c r="AR27" s="312">
        <v>11</v>
      </c>
      <c r="AS27" s="312">
        <v>13</v>
      </c>
      <c r="AT27" s="312">
        <v>15</v>
      </c>
      <c r="AU27" s="312">
        <v>17</v>
      </c>
    </row>
    <row r="28" spans="1:47" x14ac:dyDescent="0.2">
      <c r="A28" s="311" t="s">
        <v>1002</v>
      </c>
      <c r="B28" s="312" t="s">
        <v>64</v>
      </c>
      <c r="C28" s="312">
        <v>4</v>
      </c>
      <c r="D28" s="312">
        <v>4</v>
      </c>
      <c r="E28" s="312">
        <v>2</v>
      </c>
      <c r="F28" s="312">
        <v>0</v>
      </c>
      <c r="G28" s="312">
        <v>2</v>
      </c>
      <c r="I28" s="312" t="s">
        <v>342</v>
      </c>
      <c r="J28" s="312" t="s">
        <v>342</v>
      </c>
      <c r="L28" s="312" t="s">
        <v>342</v>
      </c>
      <c r="M28" s="312" t="s">
        <v>342</v>
      </c>
      <c r="N28" s="312" t="s">
        <v>342</v>
      </c>
      <c r="Q28" s="312" t="s">
        <v>342</v>
      </c>
      <c r="Y28" s="312" t="s">
        <v>342</v>
      </c>
      <c r="Z28" s="312" t="s">
        <v>342</v>
      </c>
      <c r="AC28" s="313" t="s">
        <v>1010</v>
      </c>
      <c r="AD28" s="315" t="s">
        <v>248</v>
      </c>
      <c r="AE28" s="315"/>
      <c r="AF28" s="315"/>
      <c r="AG28" s="315"/>
      <c r="AH28" s="315"/>
      <c r="AI28" s="315"/>
      <c r="AJ28" s="315"/>
      <c r="AK28" s="315"/>
      <c r="AL28" s="315"/>
      <c r="AM28" s="315"/>
      <c r="AN28" s="315"/>
      <c r="AO28" s="315"/>
      <c r="AP28" s="315"/>
      <c r="AQ28" s="315"/>
      <c r="AR28" s="315"/>
      <c r="AS28" s="315"/>
      <c r="AT28" s="315"/>
      <c r="AU28" s="315"/>
    </row>
    <row r="29" spans="1:47" x14ac:dyDescent="0.2">
      <c r="A29" s="311" t="s">
        <v>1003</v>
      </c>
      <c r="B29" s="312" t="s">
        <v>64</v>
      </c>
      <c r="C29" s="312">
        <v>4</v>
      </c>
      <c r="D29" s="312">
        <v>4</v>
      </c>
      <c r="E29" s="312">
        <v>2</v>
      </c>
      <c r="F29" s="312">
        <v>0</v>
      </c>
      <c r="G29" s="312">
        <v>2</v>
      </c>
      <c r="I29" s="312" t="s">
        <v>342</v>
      </c>
      <c r="J29" s="312" t="s">
        <v>342</v>
      </c>
      <c r="L29" s="312" t="s">
        <v>342</v>
      </c>
      <c r="M29" s="312" t="s">
        <v>342</v>
      </c>
      <c r="N29" s="312" t="s">
        <v>342</v>
      </c>
      <c r="O29" s="312" t="s">
        <v>342</v>
      </c>
      <c r="R29" s="312" t="s">
        <v>342</v>
      </c>
      <c r="X29" s="312" t="s">
        <v>342</v>
      </c>
      <c r="Y29" s="312" t="s">
        <v>342</v>
      </c>
      <c r="Z29" s="312" t="s">
        <v>342</v>
      </c>
      <c r="AC29" s="313" t="s">
        <v>295</v>
      </c>
      <c r="AD29" s="312" t="s">
        <v>247</v>
      </c>
      <c r="AE29" s="312" t="s">
        <v>575</v>
      </c>
      <c r="AF29" s="312" t="s">
        <v>99</v>
      </c>
      <c r="AG29" s="312">
        <v>1</v>
      </c>
      <c r="AH29" s="312">
        <v>3</v>
      </c>
      <c r="AI29" s="312">
        <v>4</v>
      </c>
      <c r="AJ29" s="312">
        <v>1</v>
      </c>
      <c r="AK29" s="312">
        <v>1</v>
      </c>
      <c r="AL29" s="312">
        <v>1</v>
      </c>
      <c r="AM29" s="312">
        <v>1</v>
      </c>
      <c r="AN29" s="312">
        <v>3</v>
      </c>
      <c r="AO29" s="312">
        <v>5</v>
      </c>
      <c r="AP29" s="312">
        <v>7</v>
      </c>
      <c r="AQ29" s="312">
        <v>9</v>
      </c>
      <c r="AR29" s="312">
        <v>11</v>
      </c>
      <c r="AS29" s="312">
        <v>13</v>
      </c>
      <c r="AT29" s="312">
        <v>15</v>
      </c>
      <c r="AU29" s="312">
        <v>17</v>
      </c>
    </row>
    <row r="30" spans="1:47" x14ac:dyDescent="0.2">
      <c r="A30" s="311" t="s">
        <v>190</v>
      </c>
      <c r="B30" s="312" t="s">
        <v>208</v>
      </c>
      <c r="C30" s="312">
        <v>2</v>
      </c>
      <c r="D30" s="312">
        <v>2</v>
      </c>
      <c r="E30" s="312">
        <v>0</v>
      </c>
      <c r="F30" s="312">
        <v>0</v>
      </c>
      <c r="G30" s="312">
        <v>2</v>
      </c>
      <c r="M30" s="312" t="s">
        <v>342</v>
      </c>
      <c r="P30" s="312" t="s">
        <v>342</v>
      </c>
      <c r="R30" s="312" t="s">
        <v>342</v>
      </c>
      <c r="T30" s="312" t="s">
        <v>342</v>
      </c>
      <c r="X30" s="312" t="s">
        <v>342</v>
      </c>
      <c r="AC30" s="313" t="s">
        <v>296</v>
      </c>
      <c r="AD30" s="312" t="s">
        <v>247</v>
      </c>
      <c r="AE30" s="312" t="s">
        <v>576</v>
      </c>
      <c r="AF30" s="312" t="s">
        <v>100</v>
      </c>
      <c r="AG30" s="312">
        <v>3</v>
      </c>
      <c r="AH30" s="312">
        <v>3</v>
      </c>
      <c r="AI30" s="312">
        <v>4</v>
      </c>
      <c r="AJ30" s="312">
        <v>1</v>
      </c>
      <c r="AK30" s="312">
        <v>1</v>
      </c>
      <c r="AL30" s="312">
        <v>1</v>
      </c>
      <c r="AM30" s="312">
        <v>1</v>
      </c>
      <c r="AN30" s="312">
        <v>3</v>
      </c>
      <c r="AO30" s="312">
        <v>5</v>
      </c>
      <c r="AP30" s="312">
        <v>7</v>
      </c>
      <c r="AQ30" s="312">
        <v>9</v>
      </c>
      <c r="AR30" s="312">
        <v>11</v>
      </c>
      <c r="AS30" s="312">
        <v>13</v>
      </c>
      <c r="AT30" s="312">
        <v>15</v>
      </c>
      <c r="AU30" s="312">
        <v>17</v>
      </c>
    </row>
    <row r="31" spans="1:47" x14ac:dyDescent="0.2">
      <c r="A31" s="311" t="s">
        <v>1023</v>
      </c>
      <c r="B31" s="312" t="s">
        <v>208</v>
      </c>
      <c r="C31" s="312">
        <v>2</v>
      </c>
      <c r="D31" s="312">
        <v>2</v>
      </c>
      <c r="E31" s="312">
        <v>0</v>
      </c>
      <c r="F31" s="312">
        <v>0</v>
      </c>
      <c r="G31" s="312">
        <v>2</v>
      </c>
      <c r="M31" s="312" t="s">
        <v>342</v>
      </c>
      <c r="P31" s="312" t="s">
        <v>342</v>
      </c>
      <c r="R31" s="312" t="s">
        <v>342</v>
      </c>
      <c r="T31" s="312" t="s">
        <v>342</v>
      </c>
      <c r="X31" s="312" t="s">
        <v>342</v>
      </c>
      <c r="AC31" s="313" t="s">
        <v>296</v>
      </c>
      <c r="AD31" s="312" t="s">
        <v>247</v>
      </c>
      <c r="AE31" s="312" t="s">
        <v>576</v>
      </c>
      <c r="AF31" s="312" t="s">
        <v>100</v>
      </c>
      <c r="AG31" s="312">
        <v>3</v>
      </c>
      <c r="AH31" s="312">
        <v>3</v>
      </c>
      <c r="AI31" s="312">
        <v>4</v>
      </c>
      <c r="AJ31" s="312">
        <v>1</v>
      </c>
      <c r="AK31" s="312">
        <v>1</v>
      </c>
      <c r="AL31" s="312">
        <v>1</v>
      </c>
      <c r="AM31" s="312">
        <v>1</v>
      </c>
      <c r="AN31" s="312">
        <v>3</v>
      </c>
      <c r="AO31" s="312">
        <v>5</v>
      </c>
      <c r="AP31" s="312">
        <v>7</v>
      </c>
      <c r="AQ31" s="312">
        <v>9</v>
      </c>
      <c r="AR31" s="312">
        <v>11</v>
      </c>
      <c r="AS31" s="312">
        <v>13</v>
      </c>
      <c r="AT31" s="312">
        <v>15</v>
      </c>
      <c r="AU31" s="312">
        <v>17</v>
      </c>
    </row>
    <row r="32" spans="1:47" x14ac:dyDescent="0.2">
      <c r="A32" s="311" t="s">
        <v>1024</v>
      </c>
      <c r="B32" s="312" t="s">
        <v>208</v>
      </c>
      <c r="C32" s="312">
        <v>2</v>
      </c>
      <c r="D32" s="312">
        <v>2</v>
      </c>
      <c r="E32" s="312">
        <v>0</v>
      </c>
      <c r="F32" s="312">
        <v>0</v>
      </c>
      <c r="G32" s="312">
        <v>2</v>
      </c>
      <c r="M32" s="312" t="s">
        <v>342</v>
      </c>
      <c r="P32" s="312" t="s">
        <v>342</v>
      </c>
      <c r="R32" s="312" t="s">
        <v>342</v>
      </c>
      <c r="T32" s="312" t="s">
        <v>342</v>
      </c>
      <c r="X32" s="312" t="s">
        <v>342</v>
      </c>
      <c r="AC32" s="313" t="s">
        <v>296</v>
      </c>
      <c r="AD32" s="312" t="s">
        <v>247</v>
      </c>
      <c r="AE32" s="312" t="s">
        <v>576</v>
      </c>
      <c r="AF32" s="312" t="s">
        <v>100</v>
      </c>
      <c r="AG32" s="312">
        <v>3</v>
      </c>
      <c r="AH32" s="312">
        <v>3</v>
      </c>
      <c r="AI32" s="312">
        <v>4</v>
      </c>
      <c r="AJ32" s="312">
        <v>1</v>
      </c>
      <c r="AK32" s="312">
        <v>1</v>
      </c>
      <c r="AL32" s="312">
        <v>1</v>
      </c>
      <c r="AM32" s="312">
        <v>1</v>
      </c>
      <c r="AN32" s="312">
        <v>3</v>
      </c>
      <c r="AO32" s="312">
        <v>5</v>
      </c>
      <c r="AP32" s="312">
        <v>7</v>
      </c>
      <c r="AQ32" s="312">
        <v>9</v>
      </c>
      <c r="AR32" s="312">
        <v>11</v>
      </c>
      <c r="AS32" s="312">
        <v>13</v>
      </c>
      <c r="AT32" s="312">
        <v>15</v>
      </c>
      <c r="AU32" s="312">
        <v>17</v>
      </c>
    </row>
    <row r="33" spans="1:59" x14ac:dyDescent="0.2">
      <c r="A33" s="311" t="s">
        <v>1025</v>
      </c>
      <c r="B33" s="312" t="s">
        <v>208</v>
      </c>
      <c r="C33" s="312">
        <v>2</v>
      </c>
      <c r="D33" s="312">
        <v>2</v>
      </c>
      <c r="E33" s="312">
        <v>0</v>
      </c>
      <c r="F33" s="312">
        <v>0</v>
      </c>
      <c r="G33" s="312">
        <v>2</v>
      </c>
      <c r="M33" s="312" t="s">
        <v>342</v>
      </c>
      <c r="P33" s="312" t="s">
        <v>342</v>
      </c>
      <c r="R33" s="312" t="s">
        <v>342</v>
      </c>
      <c r="T33" s="312" t="s">
        <v>342</v>
      </c>
      <c r="X33" s="312" t="s">
        <v>342</v>
      </c>
      <c r="AC33" s="313" t="s">
        <v>296</v>
      </c>
      <c r="AD33" s="312" t="s">
        <v>247</v>
      </c>
      <c r="AE33" s="312" t="s">
        <v>576</v>
      </c>
      <c r="AF33" s="312" t="s">
        <v>100</v>
      </c>
      <c r="AG33" s="312">
        <v>3</v>
      </c>
      <c r="AH33" s="312">
        <v>3</v>
      </c>
      <c r="AI33" s="312">
        <v>4</v>
      </c>
      <c r="AJ33" s="312">
        <v>1</v>
      </c>
      <c r="AK33" s="312">
        <v>1</v>
      </c>
      <c r="AL33" s="312">
        <v>1</v>
      </c>
      <c r="AM33" s="312">
        <v>1</v>
      </c>
      <c r="AN33" s="312">
        <v>3</v>
      </c>
      <c r="AO33" s="312">
        <v>5</v>
      </c>
      <c r="AP33" s="312">
        <v>7</v>
      </c>
      <c r="AQ33" s="312">
        <v>9</v>
      </c>
      <c r="AR33" s="312">
        <v>11</v>
      </c>
      <c r="AS33" s="312">
        <v>13</v>
      </c>
      <c r="AT33" s="312">
        <v>15</v>
      </c>
      <c r="AU33" s="312">
        <v>17</v>
      </c>
    </row>
    <row r="34" spans="1:59" x14ac:dyDescent="0.2">
      <c r="A34" s="311" t="s">
        <v>1026</v>
      </c>
      <c r="B34" s="312" t="s">
        <v>208</v>
      </c>
      <c r="C34" s="312">
        <v>2</v>
      </c>
      <c r="D34" s="312">
        <v>2</v>
      </c>
      <c r="E34" s="312">
        <v>0</v>
      </c>
      <c r="F34" s="312">
        <v>0</v>
      </c>
      <c r="G34" s="312">
        <v>2</v>
      </c>
      <c r="M34" s="312" t="s">
        <v>342</v>
      </c>
      <c r="P34" s="312" t="s">
        <v>342</v>
      </c>
      <c r="R34" s="312" t="s">
        <v>342</v>
      </c>
      <c r="T34" s="312" t="s">
        <v>342</v>
      </c>
      <c r="X34" s="312" t="s">
        <v>342</v>
      </c>
      <c r="AC34" s="313" t="s">
        <v>296</v>
      </c>
      <c r="AD34" s="312" t="s">
        <v>247</v>
      </c>
      <c r="AE34" s="312" t="s">
        <v>576</v>
      </c>
      <c r="AF34" s="312" t="s">
        <v>100</v>
      </c>
      <c r="AG34" s="312">
        <v>3</v>
      </c>
      <c r="AH34" s="312">
        <v>3</v>
      </c>
      <c r="AI34" s="312">
        <v>4</v>
      </c>
      <c r="AJ34" s="312">
        <v>1</v>
      </c>
      <c r="AK34" s="312">
        <v>1</v>
      </c>
      <c r="AL34" s="312">
        <v>1</v>
      </c>
      <c r="AM34" s="312">
        <v>1</v>
      </c>
      <c r="AN34" s="312">
        <v>3</v>
      </c>
      <c r="AO34" s="312">
        <v>5</v>
      </c>
      <c r="AP34" s="312">
        <v>7</v>
      </c>
      <c r="AQ34" s="312">
        <v>9</v>
      </c>
      <c r="AR34" s="312">
        <v>11</v>
      </c>
      <c r="AS34" s="312">
        <v>13</v>
      </c>
      <c r="AT34" s="312">
        <v>15</v>
      </c>
      <c r="AU34" s="312">
        <v>17</v>
      </c>
    </row>
    <row r="35" spans="1:59" x14ac:dyDescent="0.2">
      <c r="A35" s="311" t="s">
        <v>1132</v>
      </c>
      <c r="B35" s="312" t="s">
        <v>208</v>
      </c>
      <c r="C35" s="312">
        <v>2</v>
      </c>
      <c r="D35" s="312">
        <v>2</v>
      </c>
      <c r="E35" s="312">
        <v>0</v>
      </c>
      <c r="F35" s="312">
        <v>0</v>
      </c>
      <c r="G35" s="312">
        <v>2</v>
      </c>
      <c r="M35" s="312" t="s">
        <v>342</v>
      </c>
      <c r="P35" s="312" t="s">
        <v>342</v>
      </c>
      <c r="R35" s="312" t="s">
        <v>342</v>
      </c>
      <c r="T35" s="312" t="s">
        <v>342</v>
      </c>
      <c r="X35" s="312" t="s">
        <v>342</v>
      </c>
      <c r="AC35" s="313" t="s">
        <v>296</v>
      </c>
      <c r="AD35" s="312" t="s">
        <v>247</v>
      </c>
      <c r="AE35" s="312" t="s">
        <v>576</v>
      </c>
      <c r="AF35" s="312" t="s">
        <v>100</v>
      </c>
      <c r="AG35" s="312">
        <v>3</v>
      </c>
      <c r="AH35" s="312">
        <v>3</v>
      </c>
      <c r="AI35" s="312">
        <v>4</v>
      </c>
      <c r="AJ35" s="312">
        <v>1</v>
      </c>
      <c r="AK35" s="312">
        <v>1</v>
      </c>
      <c r="AL35" s="312">
        <v>1</v>
      </c>
      <c r="AM35" s="312">
        <v>1</v>
      </c>
      <c r="AN35" s="312">
        <v>3</v>
      </c>
      <c r="AO35" s="312">
        <v>5</v>
      </c>
      <c r="AP35" s="312">
        <v>7</v>
      </c>
      <c r="AQ35" s="312">
        <v>9</v>
      </c>
      <c r="AR35" s="312">
        <v>11</v>
      </c>
      <c r="AS35" s="312">
        <v>13</v>
      </c>
      <c r="AT35" s="312">
        <v>15</v>
      </c>
      <c r="AU35" s="312">
        <v>17</v>
      </c>
    </row>
    <row r="36" spans="1:59" x14ac:dyDescent="0.2">
      <c r="A36" s="311" t="s">
        <v>1027</v>
      </c>
      <c r="B36" s="312" t="s">
        <v>208</v>
      </c>
      <c r="C36" s="312">
        <v>2</v>
      </c>
      <c r="D36" s="312">
        <v>2</v>
      </c>
      <c r="E36" s="312">
        <v>0</v>
      </c>
      <c r="F36" s="312">
        <v>0</v>
      </c>
      <c r="G36" s="312">
        <v>2</v>
      </c>
      <c r="M36" s="312" t="s">
        <v>342</v>
      </c>
      <c r="P36" s="312" t="s">
        <v>342</v>
      </c>
      <c r="R36" s="312" t="s">
        <v>342</v>
      </c>
      <c r="T36" s="312" t="s">
        <v>342</v>
      </c>
      <c r="X36" s="312" t="s">
        <v>342</v>
      </c>
      <c r="AC36" s="313" t="s">
        <v>296</v>
      </c>
      <c r="AD36" s="312" t="s">
        <v>247</v>
      </c>
      <c r="AE36" s="312" t="s">
        <v>576</v>
      </c>
      <c r="AF36" s="312" t="s">
        <v>100</v>
      </c>
      <c r="AG36" s="312">
        <v>3</v>
      </c>
      <c r="AH36" s="312">
        <v>3</v>
      </c>
      <c r="AI36" s="312">
        <v>4</v>
      </c>
      <c r="AJ36" s="312">
        <v>1</v>
      </c>
      <c r="AK36" s="312">
        <v>1</v>
      </c>
      <c r="AL36" s="312">
        <v>1</v>
      </c>
      <c r="AM36" s="312">
        <v>1</v>
      </c>
      <c r="AN36" s="312">
        <v>3</v>
      </c>
      <c r="AO36" s="312">
        <v>5</v>
      </c>
      <c r="AP36" s="312">
        <v>7</v>
      </c>
      <c r="AQ36" s="312">
        <v>9</v>
      </c>
      <c r="AR36" s="312">
        <v>11</v>
      </c>
      <c r="AS36" s="312">
        <v>13</v>
      </c>
      <c r="AT36" s="312">
        <v>15</v>
      </c>
      <c r="AU36" s="312">
        <v>17</v>
      </c>
    </row>
    <row r="37" spans="1:59" x14ac:dyDescent="0.2">
      <c r="A37" s="311" t="s">
        <v>1028</v>
      </c>
      <c r="B37" s="312" t="s">
        <v>208</v>
      </c>
      <c r="C37" s="312">
        <v>2</v>
      </c>
      <c r="D37" s="312">
        <v>2</v>
      </c>
      <c r="E37" s="312">
        <v>0</v>
      </c>
      <c r="F37" s="312">
        <v>0</v>
      </c>
      <c r="G37" s="312">
        <v>2</v>
      </c>
      <c r="M37" s="312" t="s">
        <v>342</v>
      </c>
      <c r="P37" s="312" t="s">
        <v>342</v>
      </c>
      <c r="R37" s="312" t="s">
        <v>342</v>
      </c>
      <c r="T37" s="312" t="s">
        <v>342</v>
      </c>
      <c r="X37" s="312" t="s">
        <v>342</v>
      </c>
      <c r="AC37" s="313" t="s">
        <v>296</v>
      </c>
      <c r="AD37" s="312" t="s">
        <v>247</v>
      </c>
      <c r="AE37" s="312" t="s">
        <v>576</v>
      </c>
      <c r="AF37" s="312" t="s">
        <v>100</v>
      </c>
      <c r="AG37" s="312">
        <v>3</v>
      </c>
      <c r="AH37" s="312">
        <v>3</v>
      </c>
      <c r="AI37" s="312">
        <v>4</v>
      </c>
      <c r="AJ37" s="312">
        <v>1</v>
      </c>
      <c r="AK37" s="312">
        <v>1</v>
      </c>
      <c r="AL37" s="312">
        <v>1</v>
      </c>
      <c r="AM37" s="312">
        <v>1</v>
      </c>
      <c r="AN37" s="312">
        <v>3</v>
      </c>
      <c r="AO37" s="312">
        <v>5</v>
      </c>
      <c r="AP37" s="312">
        <v>7</v>
      </c>
      <c r="AQ37" s="312">
        <v>9</v>
      </c>
      <c r="AR37" s="312">
        <v>11</v>
      </c>
      <c r="AS37" s="312">
        <v>13</v>
      </c>
      <c r="AT37" s="312">
        <v>15</v>
      </c>
      <c r="AU37" s="312">
        <v>17</v>
      </c>
    </row>
    <row r="38" spans="1:59" x14ac:dyDescent="0.2">
      <c r="A38" s="311" t="s">
        <v>1029</v>
      </c>
      <c r="B38" s="312" t="s">
        <v>208</v>
      </c>
      <c r="C38" s="312">
        <v>2</v>
      </c>
      <c r="D38" s="312">
        <v>2</v>
      </c>
      <c r="E38" s="312">
        <v>0</v>
      </c>
      <c r="F38" s="312">
        <v>0</v>
      </c>
      <c r="G38" s="312">
        <v>2</v>
      </c>
      <c r="M38" s="312" t="s">
        <v>342</v>
      </c>
      <c r="P38" s="312" t="s">
        <v>342</v>
      </c>
      <c r="R38" s="312" t="s">
        <v>342</v>
      </c>
      <c r="T38" s="312" t="s">
        <v>342</v>
      </c>
      <c r="X38" s="312" t="s">
        <v>342</v>
      </c>
      <c r="AC38" s="313" t="s">
        <v>296</v>
      </c>
      <c r="AD38" s="312" t="s">
        <v>247</v>
      </c>
      <c r="AE38" s="312" t="s">
        <v>576</v>
      </c>
      <c r="AF38" s="312" t="s">
        <v>100</v>
      </c>
      <c r="AG38" s="312">
        <v>3</v>
      </c>
      <c r="AH38" s="312">
        <v>3</v>
      </c>
      <c r="AI38" s="312">
        <v>4</v>
      </c>
      <c r="AJ38" s="312">
        <v>1</v>
      </c>
      <c r="AK38" s="312">
        <v>1</v>
      </c>
      <c r="AL38" s="312">
        <v>1</v>
      </c>
      <c r="AM38" s="312">
        <v>1</v>
      </c>
      <c r="AN38" s="312">
        <v>3</v>
      </c>
      <c r="AO38" s="312">
        <v>5</v>
      </c>
      <c r="AP38" s="312">
        <v>7</v>
      </c>
      <c r="AQ38" s="312">
        <v>9</v>
      </c>
      <c r="AR38" s="312">
        <v>11</v>
      </c>
      <c r="AS38" s="312">
        <v>13</v>
      </c>
      <c r="AT38" s="312">
        <v>15</v>
      </c>
      <c r="AU38" s="312">
        <v>17</v>
      </c>
    </row>
    <row r="39" spans="1:59" x14ac:dyDescent="0.2">
      <c r="A39" s="311" t="s">
        <v>1030</v>
      </c>
      <c r="B39" s="312" t="s">
        <v>208</v>
      </c>
      <c r="C39" s="312">
        <v>2</v>
      </c>
      <c r="D39" s="312">
        <v>2</v>
      </c>
      <c r="E39" s="312">
        <v>0</v>
      </c>
      <c r="F39" s="312">
        <v>0</v>
      </c>
      <c r="G39" s="312">
        <v>2</v>
      </c>
      <c r="I39" s="312" t="s">
        <v>342</v>
      </c>
      <c r="M39" s="312" t="s">
        <v>342</v>
      </c>
      <c r="R39" s="312" t="s">
        <v>342</v>
      </c>
      <c r="T39" s="312" t="s">
        <v>342</v>
      </c>
      <c r="X39" s="312" t="s">
        <v>342</v>
      </c>
      <c r="AC39" s="313" t="s">
        <v>296</v>
      </c>
      <c r="AD39" s="312" t="s">
        <v>247</v>
      </c>
      <c r="AE39" s="312" t="s">
        <v>576</v>
      </c>
      <c r="AF39" s="312" t="s">
        <v>100</v>
      </c>
      <c r="AG39" s="312">
        <v>3</v>
      </c>
      <c r="AH39" s="312">
        <v>3</v>
      </c>
      <c r="AI39" s="312">
        <v>4</v>
      </c>
      <c r="AJ39" s="312">
        <v>1</v>
      </c>
      <c r="AK39" s="312">
        <v>1</v>
      </c>
      <c r="AL39" s="312">
        <v>1</v>
      </c>
      <c r="AM39" s="312">
        <v>1</v>
      </c>
      <c r="AN39" s="312">
        <v>3</v>
      </c>
      <c r="AO39" s="312">
        <v>5</v>
      </c>
      <c r="AP39" s="312">
        <v>7</v>
      </c>
      <c r="AQ39" s="312">
        <v>9</v>
      </c>
      <c r="AR39" s="312">
        <v>11</v>
      </c>
      <c r="AS39" s="312">
        <v>13</v>
      </c>
      <c r="AT39" s="312">
        <v>15</v>
      </c>
      <c r="AU39" s="312">
        <v>17</v>
      </c>
    </row>
    <row r="40" spans="1:59" x14ac:dyDescent="0.2">
      <c r="A40" s="311" t="s">
        <v>1133</v>
      </c>
      <c r="B40" s="312" t="s">
        <v>208</v>
      </c>
      <c r="C40" s="312">
        <v>2</v>
      </c>
      <c r="D40" s="312">
        <v>2</v>
      </c>
      <c r="E40" s="312">
        <v>0</v>
      </c>
      <c r="F40" s="312">
        <v>0</v>
      </c>
      <c r="G40" s="312">
        <v>2</v>
      </c>
      <c r="M40" s="312" t="s">
        <v>342</v>
      </c>
      <c r="P40" s="312" t="s">
        <v>342</v>
      </c>
      <c r="R40" s="312" t="s">
        <v>342</v>
      </c>
      <c r="T40" s="312" t="s">
        <v>342</v>
      </c>
      <c r="X40" s="312" t="s">
        <v>342</v>
      </c>
      <c r="AC40" s="313" t="s">
        <v>296</v>
      </c>
      <c r="AD40" s="312" t="s">
        <v>247</v>
      </c>
      <c r="AE40" s="312" t="s">
        <v>576</v>
      </c>
      <c r="AF40" s="312" t="s">
        <v>100</v>
      </c>
      <c r="AG40" s="312">
        <v>3</v>
      </c>
      <c r="AH40" s="312">
        <v>3</v>
      </c>
      <c r="AI40" s="312">
        <v>4</v>
      </c>
      <c r="AJ40" s="312">
        <v>1</v>
      </c>
      <c r="AK40" s="312">
        <v>1</v>
      </c>
      <c r="AL40" s="312">
        <v>1</v>
      </c>
      <c r="AM40" s="312">
        <v>1</v>
      </c>
      <c r="AN40" s="312">
        <v>3</v>
      </c>
      <c r="AO40" s="312">
        <v>5</v>
      </c>
      <c r="AP40" s="312">
        <v>7</v>
      </c>
      <c r="AQ40" s="312">
        <v>9</v>
      </c>
      <c r="AR40" s="312">
        <v>11</v>
      </c>
      <c r="AS40" s="312">
        <v>13</v>
      </c>
      <c r="AT40" s="312">
        <v>15</v>
      </c>
      <c r="AU40" s="312">
        <v>17</v>
      </c>
    </row>
    <row r="41" spans="1:59" x14ac:dyDescent="0.2">
      <c r="A41" s="311" t="s">
        <v>185</v>
      </c>
      <c r="B41" s="312" t="s">
        <v>207</v>
      </c>
      <c r="C41" s="312">
        <v>5</v>
      </c>
      <c r="D41" s="312">
        <v>2</v>
      </c>
      <c r="E41" s="312">
        <v>2</v>
      </c>
      <c r="F41" s="312">
        <v>0</v>
      </c>
      <c r="G41" s="312">
        <v>0</v>
      </c>
      <c r="I41" s="312" t="s">
        <v>342</v>
      </c>
      <c r="J41" s="312" t="s">
        <v>342</v>
      </c>
      <c r="L41" s="312" t="s">
        <v>342</v>
      </c>
      <c r="S41" s="312" t="s">
        <v>342</v>
      </c>
      <c r="T41" s="312" t="s">
        <v>342</v>
      </c>
      <c r="X41" s="312" t="s">
        <v>342</v>
      </c>
      <c r="Y41" s="312" t="s">
        <v>342</v>
      </c>
      <c r="AC41" s="313" t="s">
        <v>298</v>
      </c>
      <c r="AD41" s="315" t="s">
        <v>248</v>
      </c>
      <c r="AE41" s="315"/>
      <c r="AF41" s="315"/>
      <c r="AG41" s="315"/>
      <c r="AH41" s="315"/>
      <c r="AI41" s="315"/>
      <c r="AJ41" s="315"/>
      <c r="AK41" s="315"/>
      <c r="AL41" s="315"/>
      <c r="AM41" s="315"/>
      <c r="AN41" s="315"/>
      <c r="AO41" s="315"/>
      <c r="AP41" s="315"/>
      <c r="AQ41" s="315"/>
      <c r="AR41" s="315"/>
      <c r="AS41" s="315"/>
      <c r="AT41" s="315"/>
      <c r="AU41" s="315"/>
    </row>
    <row r="42" spans="1:59" s="318" customFormat="1" x14ac:dyDescent="0.2">
      <c r="A42" s="311" t="s">
        <v>969</v>
      </c>
      <c r="B42" s="312" t="s">
        <v>207</v>
      </c>
      <c r="C42" s="312">
        <v>6</v>
      </c>
      <c r="D42" s="312">
        <v>2</v>
      </c>
      <c r="E42" s="312">
        <v>2</v>
      </c>
      <c r="F42" s="312">
        <v>0</v>
      </c>
      <c r="G42" s="312">
        <v>0</v>
      </c>
      <c r="H42" s="312"/>
      <c r="I42" s="312"/>
      <c r="J42" s="312" t="s">
        <v>342</v>
      </c>
      <c r="K42" s="312"/>
      <c r="L42" s="312"/>
      <c r="M42" s="312"/>
      <c r="N42" s="312"/>
      <c r="O42" s="312"/>
      <c r="P42" s="312"/>
      <c r="Q42" s="312"/>
      <c r="R42" s="312"/>
      <c r="S42" s="312" t="s">
        <v>342</v>
      </c>
      <c r="T42" s="312" t="s">
        <v>342</v>
      </c>
      <c r="U42" s="312"/>
      <c r="V42" s="312"/>
      <c r="W42" s="312"/>
      <c r="X42" s="312" t="s">
        <v>342</v>
      </c>
      <c r="Y42" s="312" t="s">
        <v>342</v>
      </c>
      <c r="Z42" s="312"/>
      <c r="AA42" s="312"/>
      <c r="AB42" s="312"/>
      <c r="AC42" s="313" t="s">
        <v>298</v>
      </c>
      <c r="AD42" s="315" t="s">
        <v>248</v>
      </c>
      <c r="AE42" s="315"/>
      <c r="AF42" s="315"/>
      <c r="AG42" s="315"/>
      <c r="AH42" s="315"/>
      <c r="AI42" s="315"/>
      <c r="AJ42" s="315"/>
      <c r="AK42" s="315"/>
      <c r="AL42" s="315"/>
      <c r="AM42" s="315"/>
      <c r="AN42" s="315"/>
      <c r="AO42" s="315"/>
      <c r="AP42" s="315"/>
      <c r="AQ42" s="315"/>
      <c r="AR42" s="315"/>
      <c r="AS42" s="315"/>
      <c r="AT42" s="315"/>
      <c r="AU42" s="315"/>
    </row>
    <row r="43" spans="1:59" s="319" customFormat="1" x14ac:dyDescent="0.2">
      <c r="A43" s="311" t="s">
        <v>967</v>
      </c>
      <c r="B43" s="312" t="s">
        <v>207</v>
      </c>
      <c r="C43" s="312">
        <v>5</v>
      </c>
      <c r="D43" s="312">
        <v>2</v>
      </c>
      <c r="E43" s="312">
        <v>2</v>
      </c>
      <c r="F43" s="312">
        <v>0</v>
      </c>
      <c r="G43" s="312">
        <v>0</v>
      </c>
      <c r="H43" s="312"/>
      <c r="I43" s="312"/>
      <c r="J43" s="312" t="s">
        <v>342</v>
      </c>
      <c r="K43" s="312"/>
      <c r="L43" s="312" t="s">
        <v>342</v>
      </c>
      <c r="M43" s="312"/>
      <c r="N43" s="312"/>
      <c r="O43" s="312"/>
      <c r="P43" s="312"/>
      <c r="Q43" s="312"/>
      <c r="R43" s="312"/>
      <c r="S43" s="312" t="s">
        <v>342</v>
      </c>
      <c r="T43" s="312" t="s">
        <v>342</v>
      </c>
      <c r="U43" s="312"/>
      <c r="V43" s="312"/>
      <c r="W43" s="312"/>
      <c r="X43" s="312" t="s">
        <v>342</v>
      </c>
      <c r="Y43" s="312" t="s">
        <v>342</v>
      </c>
      <c r="Z43" s="312"/>
      <c r="AA43" s="312"/>
      <c r="AB43" s="312"/>
      <c r="AC43" s="313" t="s">
        <v>965</v>
      </c>
      <c r="AD43" s="315" t="s">
        <v>248</v>
      </c>
      <c r="AE43" s="315"/>
      <c r="AF43" s="315"/>
      <c r="AG43" s="315"/>
      <c r="AH43" s="315"/>
      <c r="AI43" s="315"/>
      <c r="AJ43" s="315"/>
      <c r="AK43" s="315"/>
      <c r="AL43" s="315"/>
      <c r="AM43" s="315"/>
      <c r="AN43" s="315"/>
      <c r="AO43" s="315"/>
      <c r="AP43" s="315"/>
      <c r="AQ43" s="315"/>
      <c r="AR43" s="315"/>
      <c r="AS43" s="315"/>
      <c r="AT43" s="315"/>
      <c r="AU43" s="315"/>
      <c r="AV43" s="316"/>
      <c r="AW43" s="316"/>
      <c r="AX43" s="316"/>
      <c r="AY43" s="316"/>
      <c r="AZ43" s="316"/>
      <c r="BA43" s="316"/>
      <c r="BB43" s="316"/>
      <c r="BC43" s="316"/>
      <c r="BD43" s="317"/>
      <c r="BE43" s="316"/>
      <c r="BF43" s="316"/>
      <c r="BG43" s="316"/>
    </row>
    <row r="44" spans="1:59" x14ac:dyDescent="0.2">
      <c r="A44" s="311" t="s">
        <v>968</v>
      </c>
      <c r="B44" s="312" t="s">
        <v>207</v>
      </c>
      <c r="C44" s="312">
        <v>5</v>
      </c>
      <c r="D44" s="312">
        <v>2</v>
      </c>
      <c r="E44" s="312">
        <v>2</v>
      </c>
      <c r="F44" s="312">
        <v>0</v>
      </c>
      <c r="G44" s="312">
        <v>0</v>
      </c>
      <c r="I44" s="312" t="s">
        <v>342</v>
      </c>
      <c r="J44" s="312" t="s">
        <v>342</v>
      </c>
      <c r="S44" s="312" t="s">
        <v>342</v>
      </c>
      <c r="T44" s="312" t="s">
        <v>342</v>
      </c>
      <c r="X44" s="312" t="s">
        <v>342</v>
      </c>
      <c r="Y44" s="312" t="s">
        <v>342</v>
      </c>
      <c r="AC44" s="313" t="s">
        <v>966</v>
      </c>
      <c r="AD44" s="315" t="s">
        <v>248</v>
      </c>
      <c r="AE44" s="315"/>
      <c r="AF44" s="315"/>
      <c r="AG44" s="315"/>
      <c r="AH44" s="315"/>
      <c r="AI44" s="315"/>
      <c r="AJ44" s="315"/>
      <c r="AK44" s="315"/>
      <c r="AL44" s="315"/>
      <c r="AM44" s="315"/>
      <c r="AN44" s="315"/>
      <c r="AO44" s="315"/>
      <c r="AP44" s="315"/>
      <c r="AQ44" s="315"/>
      <c r="AR44" s="315"/>
      <c r="AS44" s="315"/>
      <c r="AT44" s="315"/>
      <c r="AU44" s="315"/>
      <c r="AV44" s="316"/>
      <c r="AW44" s="316"/>
      <c r="AX44" s="316"/>
      <c r="AY44" s="316"/>
      <c r="AZ44" s="316"/>
      <c r="BA44" s="316"/>
      <c r="BB44" s="316"/>
      <c r="BC44" s="316"/>
      <c r="BD44" s="317"/>
      <c r="BE44" s="316"/>
      <c r="BF44" s="316"/>
      <c r="BG44" s="316"/>
    </row>
    <row r="45" spans="1:59" x14ac:dyDescent="0.2">
      <c r="A45" s="311" t="s">
        <v>197</v>
      </c>
      <c r="B45" s="312" t="s">
        <v>64</v>
      </c>
      <c r="C45" s="312">
        <v>3</v>
      </c>
      <c r="D45" s="312">
        <v>8</v>
      </c>
      <c r="E45" s="312">
        <v>0</v>
      </c>
      <c r="F45" s="312">
        <v>2</v>
      </c>
      <c r="G45" s="312">
        <v>0</v>
      </c>
      <c r="H45" s="312" t="s">
        <v>342</v>
      </c>
      <c r="J45" s="312" t="s">
        <v>342</v>
      </c>
      <c r="K45" s="312" t="s">
        <v>342</v>
      </c>
      <c r="L45" s="312" t="s">
        <v>342</v>
      </c>
      <c r="M45" s="312" t="s">
        <v>342</v>
      </c>
      <c r="O45" s="312" t="s">
        <v>342</v>
      </c>
      <c r="P45" s="312" t="s">
        <v>342</v>
      </c>
      <c r="Q45" s="312" t="s">
        <v>342</v>
      </c>
      <c r="S45" s="312" t="s">
        <v>342</v>
      </c>
      <c r="T45" s="312" t="s">
        <v>342</v>
      </c>
      <c r="U45" s="312" t="s">
        <v>342</v>
      </c>
      <c r="V45" s="312" t="s">
        <v>342</v>
      </c>
      <c r="W45" s="312" t="s">
        <v>342</v>
      </c>
      <c r="X45" s="312" t="s">
        <v>342</v>
      </c>
      <c r="Y45" s="312" t="s">
        <v>342</v>
      </c>
      <c r="AC45" s="313" t="s">
        <v>300</v>
      </c>
      <c r="AD45" s="315" t="s">
        <v>248</v>
      </c>
      <c r="AE45" s="315"/>
      <c r="AF45" s="315"/>
      <c r="AG45" s="315"/>
      <c r="AH45" s="315"/>
      <c r="AI45" s="315"/>
      <c r="AJ45" s="315"/>
      <c r="AK45" s="315"/>
      <c r="AL45" s="315"/>
      <c r="AM45" s="315"/>
      <c r="AN45" s="315"/>
      <c r="AO45" s="315"/>
      <c r="AP45" s="315"/>
      <c r="AQ45" s="315"/>
      <c r="AR45" s="315"/>
      <c r="AS45" s="315"/>
      <c r="AT45" s="315"/>
      <c r="AU45" s="315"/>
      <c r="AV45" s="316"/>
      <c r="AW45" s="316"/>
      <c r="AX45" s="316"/>
      <c r="AY45" s="316"/>
      <c r="AZ45" s="316"/>
      <c r="BA45" s="316"/>
      <c r="BB45" s="316"/>
      <c r="BC45" s="316"/>
      <c r="BD45" s="317"/>
      <c r="BE45" s="316"/>
      <c r="BF45" s="316"/>
      <c r="BG45" s="316"/>
    </row>
    <row r="46" spans="1:59" x14ac:dyDescent="0.2">
      <c r="A46" s="311" t="s">
        <v>990</v>
      </c>
      <c r="B46" s="312" t="s">
        <v>207</v>
      </c>
      <c r="C46" s="312">
        <v>4</v>
      </c>
      <c r="D46" s="312">
        <v>8</v>
      </c>
      <c r="E46" s="312">
        <v>0</v>
      </c>
      <c r="F46" s="312">
        <v>2</v>
      </c>
      <c r="G46" s="312">
        <v>0</v>
      </c>
      <c r="H46" s="312" t="s">
        <v>342</v>
      </c>
      <c r="J46" s="312" t="s">
        <v>342</v>
      </c>
      <c r="K46" s="312" t="s">
        <v>342</v>
      </c>
      <c r="L46" s="312" t="s">
        <v>342</v>
      </c>
      <c r="M46" s="312" t="s">
        <v>342</v>
      </c>
      <c r="O46" s="312" t="s">
        <v>342</v>
      </c>
      <c r="P46" s="312" t="s">
        <v>342</v>
      </c>
      <c r="Q46" s="312" t="s">
        <v>342</v>
      </c>
      <c r="S46" s="312" t="s">
        <v>342</v>
      </c>
      <c r="T46" s="312" t="s">
        <v>342</v>
      </c>
      <c r="U46" s="312" t="s">
        <v>342</v>
      </c>
      <c r="V46" s="312" t="s">
        <v>342</v>
      </c>
      <c r="W46" s="312" t="s">
        <v>342</v>
      </c>
      <c r="X46" s="312" t="s">
        <v>342</v>
      </c>
      <c r="Y46" s="312" t="s">
        <v>342</v>
      </c>
      <c r="AC46" s="313" t="s">
        <v>300</v>
      </c>
      <c r="AD46" s="315" t="s">
        <v>248</v>
      </c>
      <c r="AE46" s="315"/>
      <c r="AF46" s="315"/>
      <c r="AG46" s="315"/>
      <c r="AH46" s="315"/>
      <c r="AI46" s="315"/>
      <c r="AJ46" s="315"/>
      <c r="AK46" s="315"/>
      <c r="AL46" s="315"/>
      <c r="AM46" s="315"/>
      <c r="AN46" s="315"/>
      <c r="AO46" s="315"/>
      <c r="AP46" s="315"/>
      <c r="AQ46" s="315"/>
      <c r="AR46" s="315"/>
      <c r="AS46" s="315"/>
      <c r="AT46" s="315"/>
      <c r="AU46" s="315"/>
      <c r="AV46" s="316"/>
      <c r="AW46" s="316"/>
      <c r="AX46" s="316"/>
      <c r="AY46" s="316"/>
      <c r="AZ46" s="316"/>
      <c r="BA46" s="316"/>
      <c r="BB46" s="316"/>
      <c r="BC46" s="316"/>
      <c r="BD46" s="317"/>
      <c r="BE46" s="316"/>
      <c r="BF46" s="316"/>
      <c r="BG46" s="316"/>
    </row>
    <row r="47" spans="1:59" x14ac:dyDescent="0.2">
      <c r="A47" s="311" t="s">
        <v>991</v>
      </c>
      <c r="B47" s="312" t="s">
        <v>64</v>
      </c>
      <c r="C47" s="312">
        <v>3</v>
      </c>
      <c r="D47" s="312">
        <v>8</v>
      </c>
      <c r="E47" s="312">
        <v>0</v>
      </c>
      <c r="F47" s="312">
        <v>2</v>
      </c>
      <c r="G47" s="312">
        <v>0</v>
      </c>
      <c r="H47" s="312" t="s">
        <v>342</v>
      </c>
      <c r="J47" s="312" t="s">
        <v>342</v>
      </c>
      <c r="K47" s="312" t="s">
        <v>342</v>
      </c>
      <c r="L47" s="312" t="s">
        <v>342</v>
      </c>
      <c r="M47" s="312" t="s">
        <v>342</v>
      </c>
      <c r="O47" s="312" t="s">
        <v>342</v>
      </c>
      <c r="P47" s="312" t="s">
        <v>342</v>
      </c>
      <c r="Q47" s="312" t="s">
        <v>342</v>
      </c>
      <c r="S47" s="312" t="s">
        <v>342</v>
      </c>
      <c r="T47" s="312" t="s">
        <v>342</v>
      </c>
      <c r="U47" s="312" t="s">
        <v>342</v>
      </c>
      <c r="V47" s="312" t="s">
        <v>342</v>
      </c>
      <c r="W47" s="312" t="s">
        <v>342</v>
      </c>
      <c r="X47" s="312" t="s">
        <v>342</v>
      </c>
      <c r="Y47" s="312" t="s">
        <v>342</v>
      </c>
      <c r="AC47" s="313" t="s">
        <v>996</v>
      </c>
      <c r="AD47" s="315" t="s">
        <v>248</v>
      </c>
      <c r="AE47" s="315"/>
      <c r="AF47" s="315"/>
      <c r="AG47" s="315"/>
      <c r="AH47" s="315"/>
      <c r="AI47" s="315"/>
      <c r="AJ47" s="315"/>
      <c r="AK47" s="315"/>
      <c r="AL47" s="315"/>
      <c r="AM47" s="315"/>
      <c r="AN47" s="315"/>
      <c r="AO47" s="315"/>
      <c r="AP47" s="315"/>
      <c r="AQ47" s="315"/>
      <c r="AR47" s="315"/>
      <c r="AS47" s="315"/>
      <c r="AT47" s="315"/>
      <c r="AU47" s="315"/>
      <c r="AV47" s="316"/>
      <c r="AW47" s="316"/>
      <c r="AX47" s="316"/>
      <c r="AY47" s="316"/>
      <c r="AZ47" s="316"/>
      <c r="BA47" s="316"/>
      <c r="BB47" s="316"/>
      <c r="BC47" s="316"/>
      <c r="BD47" s="317"/>
      <c r="BE47" s="316"/>
      <c r="BF47" s="316"/>
      <c r="BG47" s="316"/>
    </row>
    <row r="48" spans="1:59" x14ac:dyDescent="0.2">
      <c r="A48" s="311" t="s">
        <v>607</v>
      </c>
      <c r="B48" s="312" t="s">
        <v>207</v>
      </c>
      <c r="C48" s="312">
        <v>5</v>
      </c>
      <c r="D48" s="312">
        <v>4</v>
      </c>
      <c r="E48" s="312">
        <v>2</v>
      </c>
      <c r="F48" s="312">
        <v>2</v>
      </c>
      <c r="G48" s="312">
        <v>0</v>
      </c>
      <c r="H48" s="312" t="s">
        <v>342</v>
      </c>
      <c r="I48" s="312" t="s">
        <v>342</v>
      </c>
      <c r="J48" s="312" t="s">
        <v>342</v>
      </c>
      <c r="P48" s="312" t="s">
        <v>342</v>
      </c>
      <c r="Q48" s="312" t="s">
        <v>342</v>
      </c>
      <c r="S48" s="312" t="s">
        <v>342</v>
      </c>
      <c r="T48" s="312" t="s">
        <v>342</v>
      </c>
      <c r="X48" s="312" t="s">
        <v>342</v>
      </c>
      <c r="Y48" s="312" t="s">
        <v>342</v>
      </c>
      <c r="AC48" s="313" t="s">
        <v>609</v>
      </c>
      <c r="AD48" s="315" t="s">
        <v>248</v>
      </c>
      <c r="AE48" s="315"/>
      <c r="AF48" s="315"/>
      <c r="AG48" s="315"/>
      <c r="AH48" s="315"/>
      <c r="AI48" s="315"/>
      <c r="AJ48" s="315"/>
      <c r="AK48" s="315"/>
      <c r="AL48" s="315"/>
      <c r="AM48" s="315"/>
      <c r="AN48" s="315"/>
      <c r="AO48" s="315"/>
      <c r="AP48" s="315"/>
      <c r="AQ48" s="315"/>
      <c r="AR48" s="315"/>
      <c r="AS48" s="315"/>
      <c r="AT48" s="315"/>
      <c r="AU48" s="315"/>
      <c r="AV48" s="316"/>
      <c r="AW48" s="316"/>
      <c r="AX48" s="316"/>
      <c r="AY48" s="316"/>
      <c r="AZ48" s="316"/>
      <c r="BA48" s="316"/>
      <c r="BB48" s="316"/>
      <c r="BC48" s="316"/>
      <c r="BD48" s="317"/>
      <c r="BE48" s="316"/>
      <c r="BF48" s="316"/>
      <c r="BG48" s="316"/>
    </row>
    <row r="49" spans="1:59" x14ac:dyDescent="0.2">
      <c r="A49" s="311" t="s">
        <v>194</v>
      </c>
      <c r="B49" s="312" t="s">
        <v>208</v>
      </c>
      <c r="C49" s="312">
        <v>2</v>
      </c>
      <c r="D49" s="312">
        <v>2</v>
      </c>
      <c r="E49" s="312">
        <v>0</v>
      </c>
      <c r="F49" s="312">
        <v>0</v>
      </c>
      <c r="G49" s="312">
        <v>2</v>
      </c>
      <c r="M49" s="312" t="s">
        <v>342</v>
      </c>
      <c r="R49" s="312" t="s">
        <v>342</v>
      </c>
      <c r="X49" s="312" t="s">
        <v>342</v>
      </c>
      <c r="Y49" s="312" t="s">
        <v>342</v>
      </c>
      <c r="AC49" s="313" t="s">
        <v>296</v>
      </c>
      <c r="AD49" s="312" t="s">
        <v>247</v>
      </c>
      <c r="AE49" s="312" t="s">
        <v>577</v>
      </c>
      <c r="AF49" s="312" t="s">
        <v>98</v>
      </c>
      <c r="AG49" s="312">
        <v>1</v>
      </c>
      <c r="AH49" s="312">
        <v>3</v>
      </c>
      <c r="AI49" s="312">
        <v>4</v>
      </c>
      <c r="AJ49" s="312">
        <v>3</v>
      </c>
      <c r="AK49" s="312">
        <v>2</v>
      </c>
      <c r="AL49" s="312">
        <v>1</v>
      </c>
      <c r="AM49" s="312">
        <v>1</v>
      </c>
      <c r="AN49" s="312">
        <v>3</v>
      </c>
      <c r="AO49" s="312">
        <v>5</v>
      </c>
      <c r="AP49" s="312">
        <v>7</v>
      </c>
      <c r="AQ49" s="312">
        <v>9</v>
      </c>
      <c r="AR49" s="312">
        <v>11</v>
      </c>
      <c r="AS49" s="312">
        <v>13</v>
      </c>
      <c r="AT49" s="312">
        <v>15</v>
      </c>
      <c r="AU49" s="312">
        <v>17</v>
      </c>
      <c r="AV49" s="316"/>
      <c r="AW49" s="316"/>
      <c r="AX49" s="316"/>
      <c r="AY49" s="316"/>
      <c r="AZ49" s="316"/>
      <c r="BA49" s="316"/>
      <c r="BB49" s="316"/>
      <c r="BC49" s="316"/>
      <c r="BD49" s="317"/>
      <c r="BE49" s="316"/>
      <c r="BF49" s="316"/>
      <c r="BG49" s="316"/>
    </row>
    <row r="50" spans="1:59" x14ac:dyDescent="0.2">
      <c r="A50" s="311" t="s">
        <v>1012</v>
      </c>
      <c r="B50" s="312" t="s">
        <v>208</v>
      </c>
      <c r="C50" s="312">
        <v>2</v>
      </c>
      <c r="D50" s="312">
        <v>2</v>
      </c>
      <c r="E50" s="312">
        <v>0</v>
      </c>
      <c r="F50" s="312">
        <v>0</v>
      </c>
      <c r="G50" s="312">
        <v>2</v>
      </c>
      <c r="M50" s="312" t="s">
        <v>342</v>
      </c>
      <c r="R50" s="312" t="s">
        <v>342</v>
      </c>
      <c r="X50" s="312" t="s">
        <v>342</v>
      </c>
      <c r="Y50" s="312" t="s">
        <v>342</v>
      </c>
      <c r="AC50" s="313" t="s">
        <v>296</v>
      </c>
      <c r="AD50" s="312" t="s">
        <v>247</v>
      </c>
      <c r="AE50" s="312" t="s">
        <v>577</v>
      </c>
      <c r="AF50" s="312" t="s">
        <v>98</v>
      </c>
      <c r="AG50" s="312">
        <v>1</v>
      </c>
      <c r="AH50" s="312">
        <v>3</v>
      </c>
      <c r="AI50" s="312">
        <v>4</v>
      </c>
      <c r="AJ50" s="312">
        <v>3</v>
      </c>
      <c r="AK50" s="312">
        <v>2</v>
      </c>
      <c r="AL50" s="312">
        <v>1</v>
      </c>
      <c r="AM50" s="312">
        <v>1</v>
      </c>
      <c r="AN50" s="312">
        <v>3</v>
      </c>
      <c r="AO50" s="312">
        <v>5</v>
      </c>
      <c r="AP50" s="312">
        <v>7</v>
      </c>
      <c r="AQ50" s="312">
        <v>9</v>
      </c>
      <c r="AR50" s="312">
        <v>11</v>
      </c>
      <c r="AS50" s="312">
        <v>13</v>
      </c>
      <c r="AT50" s="312">
        <v>15</v>
      </c>
      <c r="AU50" s="312">
        <v>17</v>
      </c>
      <c r="AV50" s="316"/>
      <c r="AW50" s="316"/>
      <c r="AX50" s="316"/>
      <c r="AY50" s="316"/>
      <c r="AZ50" s="316"/>
      <c r="BA50" s="316"/>
      <c r="BB50" s="316"/>
      <c r="BC50" s="316"/>
      <c r="BD50" s="317"/>
      <c r="BE50" s="316"/>
      <c r="BF50" s="316"/>
      <c r="BG50" s="316"/>
    </row>
    <row r="51" spans="1:59" x14ac:dyDescent="0.2">
      <c r="A51" s="311" t="s">
        <v>1013</v>
      </c>
      <c r="B51" s="312" t="s">
        <v>208</v>
      </c>
      <c r="C51" s="312">
        <v>2</v>
      </c>
      <c r="D51" s="312">
        <v>2</v>
      </c>
      <c r="E51" s="312">
        <v>0</v>
      </c>
      <c r="F51" s="312">
        <v>0</v>
      </c>
      <c r="G51" s="312">
        <v>2</v>
      </c>
      <c r="M51" s="312" t="s">
        <v>342</v>
      </c>
      <c r="R51" s="312" t="s">
        <v>342</v>
      </c>
      <c r="X51" s="312" t="s">
        <v>342</v>
      </c>
      <c r="Y51" s="312" t="s">
        <v>342</v>
      </c>
      <c r="AC51" s="313" t="s">
        <v>296</v>
      </c>
      <c r="AD51" s="312" t="s">
        <v>247</v>
      </c>
      <c r="AE51" s="312" t="s">
        <v>577</v>
      </c>
      <c r="AF51" s="312" t="s">
        <v>98</v>
      </c>
      <c r="AG51" s="312">
        <v>1</v>
      </c>
      <c r="AH51" s="312">
        <v>3</v>
      </c>
      <c r="AI51" s="312">
        <v>4</v>
      </c>
      <c r="AJ51" s="312">
        <v>3</v>
      </c>
      <c r="AK51" s="312">
        <v>2</v>
      </c>
      <c r="AL51" s="312">
        <v>1</v>
      </c>
      <c r="AM51" s="312">
        <v>1</v>
      </c>
      <c r="AN51" s="312">
        <v>3</v>
      </c>
      <c r="AO51" s="312">
        <v>5</v>
      </c>
      <c r="AP51" s="312">
        <v>7</v>
      </c>
      <c r="AQ51" s="312">
        <v>9</v>
      </c>
      <c r="AR51" s="312">
        <v>11</v>
      </c>
      <c r="AS51" s="312">
        <v>13</v>
      </c>
      <c r="AT51" s="312">
        <v>15</v>
      </c>
      <c r="AU51" s="312">
        <v>17</v>
      </c>
      <c r="AV51" s="316"/>
      <c r="AW51" s="316"/>
      <c r="AX51" s="316"/>
      <c r="AY51" s="316"/>
      <c r="AZ51" s="316"/>
      <c r="BA51" s="316"/>
      <c r="BB51" s="316"/>
      <c r="BC51" s="316"/>
      <c r="BD51" s="317"/>
      <c r="BE51" s="316"/>
      <c r="BF51" s="316"/>
      <c r="BG51" s="316"/>
    </row>
    <row r="52" spans="1:59" x14ac:dyDescent="0.2">
      <c r="A52" s="311" t="s">
        <v>1015</v>
      </c>
      <c r="B52" s="312" t="s">
        <v>208</v>
      </c>
      <c r="C52" s="312">
        <v>2</v>
      </c>
      <c r="D52" s="312">
        <v>2</v>
      </c>
      <c r="E52" s="312">
        <v>0</v>
      </c>
      <c r="F52" s="312">
        <v>0</v>
      </c>
      <c r="G52" s="312">
        <v>2</v>
      </c>
      <c r="M52" s="312" t="s">
        <v>342</v>
      </c>
      <c r="R52" s="312" t="s">
        <v>342</v>
      </c>
      <c r="X52" s="312" t="s">
        <v>342</v>
      </c>
      <c r="Y52" s="312" t="s">
        <v>342</v>
      </c>
      <c r="AC52" s="313" t="s">
        <v>296</v>
      </c>
      <c r="AD52" s="312" t="s">
        <v>247</v>
      </c>
      <c r="AE52" s="312" t="s">
        <v>577</v>
      </c>
      <c r="AF52" s="312" t="s">
        <v>98</v>
      </c>
      <c r="AG52" s="312">
        <v>1</v>
      </c>
      <c r="AH52" s="312">
        <v>3</v>
      </c>
      <c r="AI52" s="312">
        <v>4</v>
      </c>
      <c r="AJ52" s="312">
        <v>2</v>
      </c>
      <c r="AK52" s="312">
        <v>2</v>
      </c>
      <c r="AL52" s="312">
        <v>1</v>
      </c>
      <c r="AM52" s="312">
        <v>1</v>
      </c>
      <c r="AN52" s="312">
        <v>3</v>
      </c>
      <c r="AO52" s="312">
        <v>5</v>
      </c>
      <c r="AP52" s="312">
        <v>7</v>
      </c>
      <c r="AQ52" s="312">
        <v>9</v>
      </c>
      <c r="AR52" s="312">
        <v>11</v>
      </c>
      <c r="AS52" s="312">
        <v>13</v>
      </c>
      <c r="AT52" s="312">
        <v>15</v>
      </c>
      <c r="AU52" s="312">
        <v>17</v>
      </c>
      <c r="AV52" s="316"/>
      <c r="AW52" s="316"/>
      <c r="AX52" s="316"/>
      <c r="AY52" s="316"/>
      <c r="AZ52" s="316"/>
      <c r="BA52" s="316"/>
      <c r="BB52" s="316"/>
      <c r="BC52" s="316"/>
      <c r="BD52" s="317"/>
      <c r="BE52" s="316"/>
      <c r="BF52" s="316"/>
      <c r="BG52" s="316"/>
    </row>
    <row r="53" spans="1:59" x14ac:dyDescent="0.2">
      <c r="A53" s="311" t="s">
        <v>1016</v>
      </c>
      <c r="B53" s="312" t="s">
        <v>208</v>
      </c>
      <c r="C53" s="312">
        <v>2</v>
      </c>
      <c r="D53" s="312">
        <v>2</v>
      </c>
      <c r="E53" s="312">
        <v>0</v>
      </c>
      <c r="F53" s="312">
        <v>0</v>
      </c>
      <c r="G53" s="312">
        <v>2</v>
      </c>
      <c r="M53" s="312" t="s">
        <v>342</v>
      </c>
      <c r="R53" s="312" t="s">
        <v>342</v>
      </c>
      <c r="X53" s="312" t="s">
        <v>342</v>
      </c>
      <c r="Y53" s="312" t="s">
        <v>342</v>
      </c>
      <c r="AC53" s="313" t="s">
        <v>296</v>
      </c>
      <c r="AD53" s="312" t="s">
        <v>247</v>
      </c>
      <c r="AE53" s="312" t="s">
        <v>577</v>
      </c>
      <c r="AF53" s="312" t="s">
        <v>98</v>
      </c>
      <c r="AG53" s="312">
        <v>1</v>
      </c>
      <c r="AH53" s="312">
        <v>3</v>
      </c>
      <c r="AI53" s="312">
        <v>4</v>
      </c>
      <c r="AJ53" s="312">
        <v>3</v>
      </c>
      <c r="AK53" s="312">
        <v>2</v>
      </c>
      <c r="AL53" s="312">
        <v>1</v>
      </c>
      <c r="AM53" s="312">
        <v>1</v>
      </c>
      <c r="AN53" s="312">
        <v>3</v>
      </c>
      <c r="AO53" s="312">
        <v>5</v>
      </c>
      <c r="AP53" s="312">
        <v>7</v>
      </c>
      <c r="AQ53" s="312">
        <v>9</v>
      </c>
      <c r="AR53" s="312">
        <v>11</v>
      </c>
      <c r="AS53" s="312">
        <v>13</v>
      </c>
      <c r="AT53" s="312">
        <v>15</v>
      </c>
      <c r="AU53" s="312">
        <v>17</v>
      </c>
      <c r="AV53" s="316"/>
      <c r="AW53" s="316"/>
      <c r="AX53" s="316"/>
      <c r="AY53" s="316"/>
      <c r="AZ53" s="316"/>
      <c r="BA53" s="316"/>
      <c r="BB53" s="316"/>
      <c r="BC53" s="316"/>
      <c r="BD53" s="317"/>
      <c r="BE53" s="316"/>
      <c r="BF53" s="316"/>
      <c r="BG53" s="316"/>
    </row>
    <row r="54" spans="1:59" x14ac:dyDescent="0.2">
      <c r="A54" s="311" t="s">
        <v>1017</v>
      </c>
      <c r="B54" s="312" t="s">
        <v>208</v>
      </c>
      <c r="C54" s="312">
        <v>2</v>
      </c>
      <c r="D54" s="312">
        <v>2</v>
      </c>
      <c r="E54" s="312">
        <v>0</v>
      </c>
      <c r="F54" s="312">
        <v>0</v>
      </c>
      <c r="G54" s="312">
        <v>2</v>
      </c>
      <c r="M54" s="312" t="s">
        <v>342</v>
      </c>
      <c r="R54" s="312" t="s">
        <v>342</v>
      </c>
      <c r="X54" s="312" t="s">
        <v>342</v>
      </c>
      <c r="Y54" s="312" t="s">
        <v>342</v>
      </c>
      <c r="AC54" s="313" t="s">
        <v>296</v>
      </c>
      <c r="AD54" s="312" t="s">
        <v>247</v>
      </c>
      <c r="AE54" s="312" t="s">
        <v>577</v>
      </c>
      <c r="AF54" s="312" t="s">
        <v>98</v>
      </c>
      <c r="AG54" s="312">
        <v>1</v>
      </c>
      <c r="AH54" s="312">
        <v>3</v>
      </c>
      <c r="AI54" s="312">
        <v>4</v>
      </c>
      <c r="AJ54" s="312">
        <v>3</v>
      </c>
      <c r="AK54" s="312">
        <v>2</v>
      </c>
      <c r="AL54" s="312">
        <v>1</v>
      </c>
      <c r="AM54" s="312">
        <v>1</v>
      </c>
      <c r="AN54" s="312">
        <v>3</v>
      </c>
      <c r="AO54" s="312">
        <v>5</v>
      </c>
      <c r="AP54" s="312">
        <v>7</v>
      </c>
      <c r="AQ54" s="312">
        <v>9</v>
      </c>
      <c r="AR54" s="312">
        <v>11</v>
      </c>
      <c r="AS54" s="312">
        <v>13</v>
      </c>
      <c r="AT54" s="312">
        <v>15</v>
      </c>
      <c r="AU54" s="312">
        <v>17</v>
      </c>
      <c r="AV54" s="316"/>
      <c r="AW54" s="316"/>
      <c r="AX54" s="316"/>
      <c r="AY54" s="316"/>
      <c r="AZ54" s="316"/>
      <c r="BA54" s="316"/>
      <c r="BB54" s="316"/>
      <c r="BC54" s="316"/>
      <c r="BD54" s="317"/>
      <c r="BE54" s="316"/>
      <c r="BF54" s="316"/>
      <c r="BG54" s="316"/>
    </row>
    <row r="55" spans="1:59" x14ac:dyDescent="0.2">
      <c r="A55" s="311" t="s">
        <v>1018</v>
      </c>
      <c r="B55" s="312" t="s">
        <v>208</v>
      </c>
      <c r="C55" s="312">
        <v>2</v>
      </c>
      <c r="D55" s="312">
        <v>2</v>
      </c>
      <c r="E55" s="312">
        <v>0</v>
      </c>
      <c r="F55" s="312">
        <v>0</v>
      </c>
      <c r="G55" s="312">
        <v>2</v>
      </c>
      <c r="M55" s="312" t="s">
        <v>342</v>
      </c>
      <c r="R55" s="312" t="s">
        <v>342</v>
      </c>
      <c r="X55" s="312" t="s">
        <v>342</v>
      </c>
      <c r="Y55" s="312" t="s">
        <v>342</v>
      </c>
      <c r="AC55" s="313" t="s">
        <v>296</v>
      </c>
      <c r="AD55" s="312" t="s">
        <v>247</v>
      </c>
      <c r="AE55" s="312" t="s">
        <v>577</v>
      </c>
      <c r="AF55" s="312" t="s">
        <v>98</v>
      </c>
      <c r="AG55" s="312">
        <v>1</v>
      </c>
      <c r="AH55" s="312">
        <v>3</v>
      </c>
      <c r="AI55" s="312">
        <v>4</v>
      </c>
      <c r="AJ55" s="312">
        <v>2</v>
      </c>
      <c r="AK55" s="312">
        <v>2</v>
      </c>
      <c r="AL55" s="312">
        <v>1</v>
      </c>
      <c r="AM55" s="312">
        <v>1</v>
      </c>
      <c r="AN55" s="312">
        <v>3</v>
      </c>
      <c r="AO55" s="312">
        <v>5</v>
      </c>
      <c r="AP55" s="312">
        <v>7</v>
      </c>
      <c r="AQ55" s="312">
        <v>9</v>
      </c>
      <c r="AR55" s="312">
        <v>11</v>
      </c>
      <c r="AS55" s="312">
        <v>13</v>
      </c>
      <c r="AT55" s="312">
        <v>15</v>
      </c>
      <c r="AU55" s="312">
        <v>17</v>
      </c>
      <c r="AV55" s="316"/>
      <c r="AW55" s="316"/>
      <c r="AX55" s="316"/>
      <c r="AY55" s="316"/>
      <c r="AZ55" s="316"/>
      <c r="BA55" s="316"/>
      <c r="BB55" s="316"/>
      <c r="BC55" s="316"/>
      <c r="BD55" s="317"/>
      <c r="BE55" s="316"/>
      <c r="BF55" s="316"/>
      <c r="BG55" s="316"/>
    </row>
    <row r="56" spans="1:59" x14ac:dyDescent="0.2">
      <c r="A56" s="311" t="s">
        <v>1019</v>
      </c>
      <c r="B56" s="312" t="s">
        <v>208</v>
      </c>
      <c r="C56" s="312">
        <v>2</v>
      </c>
      <c r="D56" s="312">
        <v>2</v>
      </c>
      <c r="E56" s="312">
        <v>0</v>
      </c>
      <c r="F56" s="312">
        <v>0</v>
      </c>
      <c r="G56" s="312">
        <v>2</v>
      </c>
      <c r="M56" s="312" t="s">
        <v>342</v>
      </c>
      <c r="R56" s="312" t="s">
        <v>342</v>
      </c>
      <c r="X56" s="312" t="s">
        <v>342</v>
      </c>
      <c r="Y56" s="312" t="s">
        <v>342</v>
      </c>
      <c r="AC56" s="313" t="s">
        <v>296</v>
      </c>
      <c r="AD56" s="312" t="s">
        <v>247</v>
      </c>
      <c r="AE56" s="312" t="s">
        <v>577</v>
      </c>
      <c r="AF56" s="312" t="s">
        <v>98</v>
      </c>
      <c r="AG56" s="312">
        <v>1</v>
      </c>
      <c r="AH56" s="312">
        <v>3</v>
      </c>
      <c r="AI56" s="312">
        <v>4</v>
      </c>
      <c r="AJ56" s="312">
        <v>3</v>
      </c>
      <c r="AK56" s="312">
        <v>2</v>
      </c>
      <c r="AL56" s="312">
        <v>1</v>
      </c>
      <c r="AM56" s="312">
        <v>1</v>
      </c>
      <c r="AN56" s="312">
        <v>3</v>
      </c>
      <c r="AO56" s="312">
        <v>5</v>
      </c>
      <c r="AP56" s="312">
        <v>7</v>
      </c>
      <c r="AQ56" s="312">
        <v>9</v>
      </c>
      <c r="AR56" s="312">
        <v>11</v>
      </c>
      <c r="AS56" s="312">
        <v>13</v>
      </c>
      <c r="AT56" s="312">
        <v>15</v>
      </c>
      <c r="AU56" s="312">
        <v>17</v>
      </c>
      <c r="AV56" s="316"/>
      <c r="AW56" s="316"/>
      <c r="AX56" s="316"/>
      <c r="AY56" s="316"/>
      <c r="AZ56" s="316"/>
      <c r="BA56" s="316"/>
      <c r="BB56" s="316"/>
      <c r="BC56" s="316"/>
      <c r="BD56" s="317"/>
      <c r="BE56" s="316"/>
      <c r="BF56" s="316"/>
      <c r="BG56" s="316"/>
    </row>
    <row r="57" spans="1:59" x14ac:dyDescent="0.2">
      <c r="A57" s="311" t="s">
        <v>1020</v>
      </c>
      <c r="B57" s="312" t="s">
        <v>208</v>
      </c>
      <c r="C57" s="312">
        <v>2</v>
      </c>
      <c r="D57" s="312">
        <v>2</v>
      </c>
      <c r="E57" s="312">
        <v>0</v>
      </c>
      <c r="F57" s="312">
        <v>0</v>
      </c>
      <c r="G57" s="312">
        <v>2</v>
      </c>
      <c r="M57" s="312" t="s">
        <v>342</v>
      </c>
      <c r="R57" s="312" t="s">
        <v>342</v>
      </c>
      <c r="X57" s="312" t="s">
        <v>342</v>
      </c>
      <c r="Y57" s="312" t="s">
        <v>342</v>
      </c>
      <c r="AC57" s="313" t="s">
        <v>296</v>
      </c>
      <c r="AD57" s="312" t="s">
        <v>247</v>
      </c>
      <c r="AE57" s="312" t="s">
        <v>577</v>
      </c>
      <c r="AF57" s="312" t="s">
        <v>98</v>
      </c>
      <c r="AG57" s="312">
        <v>1</v>
      </c>
      <c r="AH57" s="312">
        <v>3</v>
      </c>
      <c r="AI57" s="312">
        <v>4</v>
      </c>
      <c r="AJ57" s="312">
        <v>3</v>
      </c>
      <c r="AK57" s="312">
        <v>2</v>
      </c>
      <c r="AL57" s="312">
        <v>1</v>
      </c>
      <c r="AM57" s="312">
        <v>1</v>
      </c>
      <c r="AN57" s="312">
        <v>3</v>
      </c>
      <c r="AO57" s="312">
        <v>5</v>
      </c>
      <c r="AP57" s="312">
        <v>7</v>
      </c>
      <c r="AQ57" s="312">
        <v>9</v>
      </c>
      <c r="AR57" s="312">
        <v>11</v>
      </c>
      <c r="AS57" s="312">
        <v>13</v>
      </c>
      <c r="AT57" s="312">
        <v>15</v>
      </c>
      <c r="AU57" s="312">
        <v>17</v>
      </c>
      <c r="AV57" s="316"/>
      <c r="AW57" s="316"/>
      <c r="AX57" s="316"/>
      <c r="AY57" s="316"/>
      <c r="AZ57" s="316"/>
      <c r="BA57" s="316"/>
      <c r="BB57" s="316"/>
      <c r="BC57" s="316"/>
      <c r="BD57" s="317"/>
      <c r="BE57" s="316"/>
      <c r="BF57" s="316"/>
      <c r="BG57" s="316"/>
    </row>
    <row r="58" spans="1:59" x14ac:dyDescent="0.2">
      <c r="A58" s="311" t="s">
        <v>1021</v>
      </c>
      <c r="B58" s="312" t="s">
        <v>208</v>
      </c>
      <c r="C58" s="312">
        <v>2</v>
      </c>
      <c r="D58" s="312">
        <v>2</v>
      </c>
      <c r="E58" s="312">
        <v>0</v>
      </c>
      <c r="F58" s="312">
        <v>0</v>
      </c>
      <c r="G58" s="312">
        <v>2</v>
      </c>
      <c r="M58" s="312" t="s">
        <v>342</v>
      </c>
      <c r="R58" s="312" t="s">
        <v>342</v>
      </c>
      <c r="X58" s="312" t="s">
        <v>342</v>
      </c>
      <c r="Y58" s="312" t="s">
        <v>342</v>
      </c>
      <c r="AC58" s="313" t="s">
        <v>296</v>
      </c>
      <c r="AD58" s="312" t="s">
        <v>247</v>
      </c>
      <c r="AE58" s="312" t="s">
        <v>577</v>
      </c>
      <c r="AF58" s="312" t="s">
        <v>98</v>
      </c>
      <c r="AG58" s="312">
        <v>1</v>
      </c>
      <c r="AH58" s="312">
        <v>3</v>
      </c>
      <c r="AI58" s="312">
        <v>4</v>
      </c>
      <c r="AJ58" s="312">
        <v>3</v>
      </c>
      <c r="AK58" s="312">
        <v>2</v>
      </c>
      <c r="AL58" s="312">
        <v>1</v>
      </c>
      <c r="AM58" s="312">
        <v>1</v>
      </c>
      <c r="AN58" s="312">
        <v>3</v>
      </c>
      <c r="AO58" s="312">
        <v>5</v>
      </c>
      <c r="AP58" s="312">
        <v>7</v>
      </c>
      <c r="AQ58" s="312">
        <v>9</v>
      </c>
      <c r="AR58" s="312">
        <v>11</v>
      </c>
      <c r="AS58" s="312">
        <v>13</v>
      </c>
      <c r="AT58" s="312">
        <v>15</v>
      </c>
      <c r="AU58" s="312">
        <v>17</v>
      </c>
      <c r="AV58" s="316"/>
      <c r="AW58" s="316"/>
      <c r="AX58" s="316"/>
      <c r="AY58" s="316"/>
      <c r="AZ58" s="316"/>
      <c r="BA58" s="316"/>
      <c r="BB58" s="316"/>
      <c r="BC58" s="316"/>
      <c r="BD58" s="317"/>
      <c r="BE58" s="316"/>
      <c r="BF58" s="316"/>
      <c r="BG58" s="316"/>
    </row>
    <row r="59" spans="1:59" x14ac:dyDescent="0.2">
      <c r="A59" s="311" t="s">
        <v>1022</v>
      </c>
      <c r="B59" s="312" t="s">
        <v>208</v>
      </c>
      <c r="C59" s="312">
        <v>2</v>
      </c>
      <c r="D59" s="312">
        <v>2</v>
      </c>
      <c r="E59" s="312">
        <v>0</v>
      </c>
      <c r="F59" s="312">
        <v>0</v>
      </c>
      <c r="G59" s="312">
        <v>2</v>
      </c>
      <c r="M59" s="312" t="s">
        <v>342</v>
      </c>
      <c r="R59" s="312" t="s">
        <v>342</v>
      </c>
      <c r="X59" s="312" t="s">
        <v>342</v>
      </c>
      <c r="Y59" s="312" t="s">
        <v>342</v>
      </c>
      <c r="AC59" s="313" t="s">
        <v>296</v>
      </c>
      <c r="AD59" s="312" t="s">
        <v>247</v>
      </c>
      <c r="AE59" s="312" t="s">
        <v>577</v>
      </c>
      <c r="AF59" s="312" t="s">
        <v>98</v>
      </c>
      <c r="AG59" s="312">
        <v>1</v>
      </c>
      <c r="AH59" s="312">
        <v>3</v>
      </c>
      <c r="AI59" s="312">
        <v>4</v>
      </c>
      <c r="AJ59" s="312">
        <v>3</v>
      </c>
      <c r="AK59" s="312">
        <v>2</v>
      </c>
      <c r="AL59" s="312">
        <v>1</v>
      </c>
      <c r="AM59" s="312">
        <v>1</v>
      </c>
      <c r="AN59" s="312">
        <v>3</v>
      </c>
      <c r="AO59" s="312">
        <v>5</v>
      </c>
      <c r="AP59" s="312">
        <v>7</v>
      </c>
      <c r="AQ59" s="312">
        <v>9</v>
      </c>
      <c r="AR59" s="312">
        <v>11</v>
      </c>
      <c r="AS59" s="312">
        <v>13</v>
      </c>
      <c r="AT59" s="312">
        <v>15</v>
      </c>
      <c r="AU59" s="312">
        <v>17</v>
      </c>
      <c r="AV59" s="316"/>
      <c r="AW59" s="316"/>
      <c r="AX59" s="316"/>
      <c r="AY59" s="316"/>
      <c r="AZ59" s="316"/>
      <c r="BA59" s="316"/>
      <c r="BB59" s="316"/>
      <c r="BC59" s="316"/>
      <c r="BD59" s="317"/>
      <c r="BE59" s="316"/>
      <c r="BF59" s="316"/>
      <c r="BG59" s="316"/>
    </row>
    <row r="60" spans="1:59" x14ac:dyDescent="0.2">
      <c r="A60" s="311" t="s">
        <v>193</v>
      </c>
      <c r="B60" s="312" t="s">
        <v>207</v>
      </c>
      <c r="C60" s="312">
        <v>4</v>
      </c>
      <c r="D60" s="312">
        <v>4</v>
      </c>
      <c r="E60" s="312">
        <v>2</v>
      </c>
      <c r="F60" s="312">
        <v>2</v>
      </c>
      <c r="G60" s="312">
        <v>2</v>
      </c>
      <c r="H60" s="312" t="s">
        <v>342</v>
      </c>
      <c r="J60" s="312" t="s">
        <v>342</v>
      </c>
      <c r="M60" s="312" t="s">
        <v>342</v>
      </c>
      <c r="N60" s="312" t="s">
        <v>342</v>
      </c>
      <c r="O60" s="312" t="s">
        <v>342</v>
      </c>
      <c r="Q60" s="312" t="s">
        <v>342</v>
      </c>
      <c r="S60" s="312" t="s">
        <v>342</v>
      </c>
      <c r="U60" s="312" t="s">
        <v>342</v>
      </c>
      <c r="X60" s="312" t="s">
        <v>342</v>
      </c>
      <c r="Y60" s="312" t="s">
        <v>342</v>
      </c>
      <c r="AC60" s="313" t="s">
        <v>301</v>
      </c>
      <c r="AD60" s="315" t="s">
        <v>248</v>
      </c>
      <c r="AE60" s="315"/>
      <c r="AF60" s="315"/>
      <c r="AG60" s="315"/>
      <c r="AH60" s="315"/>
      <c r="AI60" s="315"/>
      <c r="AJ60" s="315"/>
      <c r="AK60" s="315"/>
      <c r="AL60" s="315"/>
      <c r="AM60" s="315"/>
      <c r="AN60" s="315"/>
      <c r="AO60" s="315"/>
      <c r="AP60" s="315"/>
      <c r="AQ60" s="315"/>
      <c r="AR60" s="315"/>
      <c r="AS60" s="315"/>
      <c r="AT60" s="315"/>
      <c r="AU60" s="315"/>
      <c r="AV60" s="316"/>
      <c r="AW60" s="316"/>
      <c r="AX60" s="316"/>
      <c r="AY60" s="316"/>
      <c r="AZ60" s="316"/>
      <c r="BA60" s="316"/>
      <c r="BB60" s="316"/>
      <c r="BC60" s="316"/>
      <c r="BD60" s="317"/>
      <c r="BE60" s="316"/>
      <c r="BF60" s="316"/>
      <c r="BG60" s="316"/>
    </row>
    <row r="61" spans="1:59" x14ac:dyDescent="0.2">
      <c r="A61" s="311" t="s">
        <v>974</v>
      </c>
      <c r="B61" s="312" t="s">
        <v>207</v>
      </c>
      <c r="C61" s="312">
        <v>5</v>
      </c>
      <c r="D61" s="312">
        <v>4</v>
      </c>
      <c r="E61" s="312">
        <v>2</v>
      </c>
      <c r="F61" s="312">
        <v>2</v>
      </c>
      <c r="G61" s="312">
        <v>2</v>
      </c>
      <c r="H61" s="312" t="s">
        <v>342</v>
      </c>
      <c r="J61" s="312" t="s">
        <v>342</v>
      </c>
      <c r="N61" s="312" t="s">
        <v>342</v>
      </c>
      <c r="O61" s="312" t="s">
        <v>342</v>
      </c>
      <c r="Q61" s="312" t="s">
        <v>342</v>
      </c>
      <c r="S61" s="312" t="s">
        <v>342</v>
      </c>
      <c r="U61" s="312" t="s">
        <v>342</v>
      </c>
      <c r="X61" s="312" t="s">
        <v>342</v>
      </c>
      <c r="Y61" s="312" t="s">
        <v>342</v>
      </c>
      <c r="AC61" s="313" t="s">
        <v>975</v>
      </c>
      <c r="AD61" s="315" t="s">
        <v>248</v>
      </c>
      <c r="AE61" s="315"/>
      <c r="AF61" s="315"/>
      <c r="AG61" s="315"/>
      <c r="AH61" s="315"/>
      <c r="AI61" s="315"/>
      <c r="AJ61" s="315"/>
      <c r="AK61" s="315"/>
      <c r="AL61" s="315"/>
      <c r="AM61" s="315"/>
      <c r="AN61" s="315"/>
      <c r="AO61" s="315"/>
      <c r="AP61" s="315"/>
      <c r="AQ61" s="315"/>
      <c r="AR61" s="315"/>
      <c r="AS61" s="315"/>
      <c r="AT61" s="315"/>
      <c r="AU61" s="315"/>
      <c r="AV61" s="316"/>
      <c r="AW61" s="316"/>
      <c r="AX61" s="316"/>
      <c r="AY61" s="316"/>
      <c r="AZ61" s="316"/>
      <c r="BA61" s="316"/>
      <c r="BB61" s="316"/>
      <c r="BC61" s="316"/>
      <c r="BD61" s="317"/>
      <c r="BE61" s="316"/>
      <c r="BF61" s="316"/>
      <c r="BG61" s="316"/>
    </row>
    <row r="62" spans="1:59" x14ac:dyDescent="0.2">
      <c r="A62" s="311" t="s">
        <v>970</v>
      </c>
      <c r="B62" s="312" t="s">
        <v>207</v>
      </c>
      <c r="C62" s="312">
        <v>4</v>
      </c>
      <c r="D62" s="312">
        <v>4</v>
      </c>
      <c r="E62" s="312">
        <v>2</v>
      </c>
      <c r="F62" s="312">
        <v>2</v>
      </c>
      <c r="G62" s="312">
        <v>2</v>
      </c>
      <c r="M62" s="312" t="s">
        <v>342</v>
      </c>
      <c r="N62" s="312" t="s">
        <v>342</v>
      </c>
      <c r="O62" s="312" t="s">
        <v>342</v>
      </c>
      <c r="Q62" s="312" t="s">
        <v>342</v>
      </c>
      <c r="U62" s="312" t="s">
        <v>342</v>
      </c>
      <c r="X62" s="312" t="s">
        <v>342</v>
      </c>
      <c r="Y62" s="312" t="s">
        <v>342</v>
      </c>
      <c r="AC62" s="313" t="s">
        <v>971</v>
      </c>
      <c r="AD62" s="315" t="s">
        <v>248</v>
      </c>
      <c r="AE62" s="315"/>
      <c r="AF62" s="315"/>
      <c r="AG62" s="315"/>
      <c r="AH62" s="315"/>
      <c r="AI62" s="315"/>
      <c r="AJ62" s="315"/>
      <c r="AK62" s="315"/>
      <c r="AL62" s="315"/>
      <c r="AM62" s="315"/>
      <c r="AN62" s="315"/>
      <c r="AO62" s="315"/>
      <c r="AP62" s="315"/>
      <c r="AQ62" s="315"/>
      <c r="AR62" s="315"/>
      <c r="AS62" s="315"/>
      <c r="AT62" s="315"/>
      <c r="AU62" s="315"/>
      <c r="AV62" s="316"/>
      <c r="AW62" s="316"/>
      <c r="AX62" s="316"/>
      <c r="AY62" s="316"/>
      <c r="AZ62" s="316"/>
      <c r="BA62" s="316"/>
      <c r="BB62" s="316"/>
      <c r="BC62" s="316"/>
      <c r="BD62" s="317"/>
      <c r="BE62" s="316"/>
      <c r="BF62" s="316"/>
      <c r="BG62" s="316"/>
    </row>
    <row r="63" spans="1:59" x14ac:dyDescent="0.2">
      <c r="A63" s="311" t="s">
        <v>972</v>
      </c>
      <c r="B63" s="312" t="s">
        <v>207</v>
      </c>
      <c r="C63" s="312">
        <v>4</v>
      </c>
      <c r="D63" s="312">
        <v>4</v>
      </c>
      <c r="E63" s="312">
        <v>2</v>
      </c>
      <c r="F63" s="312">
        <v>2</v>
      </c>
      <c r="G63" s="312">
        <v>2</v>
      </c>
      <c r="H63" s="312" t="s">
        <v>342</v>
      </c>
      <c r="J63" s="312" t="s">
        <v>342</v>
      </c>
      <c r="M63" s="312" t="s">
        <v>342</v>
      </c>
      <c r="N63" s="312" t="s">
        <v>342</v>
      </c>
      <c r="S63" s="312" t="s">
        <v>342</v>
      </c>
      <c r="U63" s="312" t="s">
        <v>342</v>
      </c>
      <c r="X63" s="312" t="s">
        <v>342</v>
      </c>
      <c r="Y63" s="312" t="s">
        <v>342</v>
      </c>
      <c r="AC63" s="313" t="s">
        <v>973</v>
      </c>
      <c r="AD63" s="315" t="s">
        <v>248</v>
      </c>
      <c r="AE63" s="315"/>
      <c r="AF63" s="315"/>
      <c r="AG63" s="315"/>
      <c r="AH63" s="315"/>
      <c r="AI63" s="315"/>
      <c r="AJ63" s="315"/>
      <c r="AK63" s="315"/>
      <c r="AL63" s="315"/>
      <c r="AM63" s="315"/>
      <c r="AN63" s="315"/>
      <c r="AO63" s="315"/>
      <c r="AP63" s="315"/>
      <c r="AQ63" s="315"/>
      <c r="AR63" s="315"/>
      <c r="AS63" s="315"/>
      <c r="AT63" s="315"/>
      <c r="AU63" s="315"/>
      <c r="AV63" s="316"/>
      <c r="AW63" s="316"/>
      <c r="AX63" s="316"/>
      <c r="AY63" s="316"/>
      <c r="AZ63" s="316"/>
      <c r="BA63" s="316"/>
      <c r="BB63" s="316"/>
      <c r="BC63" s="316"/>
      <c r="BD63" s="317"/>
      <c r="BE63" s="316"/>
      <c r="BF63" s="316"/>
      <c r="BG63" s="316"/>
    </row>
    <row r="64" spans="1:59" x14ac:dyDescent="0.2">
      <c r="A64" s="311" t="s">
        <v>936</v>
      </c>
      <c r="B64" s="312" t="s">
        <v>64</v>
      </c>
      <c r="C64" s="312">
        <v>3</v>
      </c>
      <c r="D64" s="312">
        <v>6</v>
      </c>
      <c r="E64" s="312">
        <v>0</v>
      </c>
      <c r="F64" s="312">
        <v>2</v>
      </c>
      <c r="G64" s="312">
        <v>2</v>
      </c>
      <c r="H64" s="312" t="s">
        <v>342</v>
      </c>
      <c r="J64" s="312" t="s">
        <v>342</v>
      </c>
      <c r="K64" s="312" t="s">
        <v>342</v>
      </c>
      <c r="L64" s="312" t="s">
        <v>342</v>
      </c>
      <c r="N64" s="312" t="s">
        <v>342</v>
      </c>
      <c r="P64" s="312" t="s">
        <v>342</v>
      </c>
      <c r="Q64" s="312" t="s">
        <v>342</v>
      </c>
      <c r="S64" s="312" t="s">
        <v>342</v>
      </c>
      <c r="U64" s="312" t="s">
        <v>342</v>
      </c>
      <c r="V64" s="312" t="s">
        <v>342</v>
      </c>
      <c r="W64" s="312" t="s">
        <v>342</v>
      </c>
      <c r="Y64" s="312" t="s">
        <v>342</v>
      </c>
      <c r="Z64" s="312" t="s">
        <v>342</v>
      </c>
      <c r="AC64" s="313" t="s">
        <v>987</v>
      </c>
      <c r="AD64" s="315" t="s">
        <v>248</v>
      </c>
      <c r="AE64" s="315"/>
      <c r="AF64" s="315"/>
      <c r="AG64" s="315"/>
      <c r="AH64" s="315"/>
      <c r="AI64" s="315"/>
      <c r="AJ64" s="315"/>
      <c r="AK64" s="315"/>
      <c r="AL64" s="315"/>
      <c r="AM64" s="315"/>
      <c r="AN64" s="315"/>
      <c r="AO64" s="315"/>
      <c r="AP64" s="315"/>
      <c r="AQ64" s="315"/>
      <c r="AR64" s="315"/>
      <c r="AS64" s="315"/>
      <c r="AT64" s="315"/>
      <c r="AU64" s="315"/>
      <c r="AV64" s="316"/>
      <c r="AW64" s="316"/>
      <c r="AX64" s="316"/>
      <c r="AY64" s="316"/>
      <c r="AZ64" s="316"/>
      <c r="BA64" s="316"/>
      <c r="BB64" s="316"/>
      <c r="BC64" s="316"/>
      <c r="BD64" s="317"/>
      <c r="BE64" s="316"/>
      <c r="BF64" s="316"/>
      <c r="BG64" s="316"/>
    </row>
    <row r="65" spans="1:47" x14ac:dyDescent="0.2">
      <c r="A65" s="311" t="s">
        <v>230</v>
      </c>
      <c r="B65" s="312" t="s">
        <v>64</v>
      </c>
      <c r="C65" s="312">
        <v>4</v>
      </c>
      <c r="D65" s="312">
        <v>6</v>
      </c>
      <c r="E65" s="312">
        <v>2</v>
      </c>
      <c r="F65" s="312">
        <v>0</v>
      </c>
      <c r="G65" s="312">
        <v>2</v>
      </c>
      <c r="I65" s="312" t="s">
        <v>342</v>
      </c>
      <c r="K65" s="312" t="s">
        <v>342</v>
      </c>
      <c r="L65" s="312" t="s">
        <v>342</v>
      </c>
      <c r="M65" s="312" t="s">
        <v>342</v>
      </c>
      <c r="O65" s="312" t="s">
        <v>342</v>
      </c>
      <c r="P65" s="312" t="s">
        <v>342</v>
      </c>
      <c r="S65" s="312" t="s">
        <v>342</v>
      </c>
      <c r="T65" s="312" t="s">
        <v>342</v>
      </c>
      <c r="U65" s="312" t="s">
        <v>342</v>
      </c>
      <c r="W65" s="312" t="s">
        <v>342</v>
      </c>
      <c r="X65" s="312" t="s">
        <v>342</v>
      </c>
      <c r="Y65" s="312" t="s">
        <v>342</v>
      </c>
      <c r="AC65" s="313" t="s">
        <v>305</v>
      </c>
      <c r="AD65" s="315" t="s">
        <v>248</v>
      </c>
      <c r="AE65" s="315"/>
      <c r="AF65" s="315"/>
      <c r="AG65" s="315"/>
      <c r="AH65" s="315"/>
      <c r="AI65" s="315"/>
      <c r="AJ65" s="315"/>
      <c r="AK65" s="315"/>
      <c r="AL65" s="315"/>
      <c r="AM65" s="315"/>
      <c r="AN65" s="315"/>
      <c r="AO65" s="315"/>
      <c r="AP65" s="315"/>
      <c r="AQ65" s="315"/>
      <c r="AR65" s="315"/>
      <c r="AS65" s="315"/>
      <c r="AT65" s="315"/>
      <c r="AU65" s="315"/>
    </row>
    <row r="66" spans="1:47" x14ac:dyDescent="0.2">
      <c r="A66" s="311" t="s">
        <v>1130</v>
      </c>
      <c r="B66" s="312" t="s">
        <v>208</v>
      </c>
      <c r="C66" s="312">
        <v>2</v>
      </c>
      <c r="D66" s="312">
        <v>2</v>
      </c>
      <c r="E66" s="312">
        <v>0</v>
      </c>
      <c r="F66" s="312">
        <v>0</v>
      </c>
      <c r="G66" s="312">
        <v>2</v>
      </c>
      <c r="M66" s="312" t="s">
        <v>342</v>
      </c>
      <c r="R66" s="312" t="s">
        <v>342</v>
      </c>
      <c r="X66" s="312" t="s">
        <v>342</v>
      </c>
      <c r="Y66" s="312" t="s">
        <v>342</v>
      </c>
      <c r="AC66" s="313" t="s">
        <v>296</v>
      </c>
      <c r="AD66" s="312" t="s">
        <v>247</v>
      </c>
      <c r="AE66" s="312" t="s">
        <v>577</v>
      </c>
      <c r="AF66" s="312" t="s">
        <v>98</v>
      </c>
      <c r="AG66" s="312">
        <v>1</v>
      </c>
      <c r="AH66" s="312">
        <v>3</v>
      </c>
      <c r="AI66" s="312">
        <v>4</v>
      </c>
      <c r="AJ66" s="312">
        <v>3</v>
      </c>
      <c r="AK66" s="312">
        <v>2</v>
      </c>
      <c r="AL66" s="312">
        <v>1</v>
      </c>
      <c r="AM66" s="312">
        <v>1</v>
      </c>
      <c r="AN66" s="312">
        <v>3</v>
      </c>
      <c r="AO66" s="312">
        <v>5</v>
      </c>
      <c r="AP66" s="312">
        <v>7</v>
      </c>
      <c r="AQ66" s="312">
        <v>9</v>
      </c>
      <c r="AR66" s="312">
        <v>11</v>
      </c>
      <c r="AS66" s="312">
        <v>13</v>
      </c>
      <c r="AT66" s="312">
        <v>15</v>
      </c>
      <c r="AU66" s="312">
        <v>17</v>
      </c>
    </row>
    <row r="67" spans="1:47" x14ac:dyDescent="0.2">
      <c r="A67" s="311" t="s">
        <v>191</v>
      </c>
      <c r="B67" s="312" t="s">
        <v>207</v>
      </c>
      <c r="C67" s="312">
        <v>5</v>
      </c>
      <c r="D67" s="312">
        <v>2</v>
      </c>
      <c r="E67" s="312">
        <v>2</v>
      </c>
      <c r="F67" s="312">
        <v>0</v>
      </c>
      <c r="G67" s="312">
        <v>0</v>
      </c>
      <c r="I67" s="312" t="s">
        <v>342</v>
      </c>
      <c r="J67" s="312" t="s">
        <v>342</v>
      </c>
      <c r="L67" s="312" t="s">
        <v>342</v>
      </c>
      <c r="M67" s="312" t="s">
        <v>342</v>
      </c>
      <c r="N67" s="312" t="s">
        <v>342</v>
      </c>
      <c r="O67" s="312" t="s">
        <v>342</v>
      </c>
      <c r="S67" s="312" t="s">
        <v>342</v>
      </c>
      <c r="U67" s="312" t="s">
        <v>342</v>
      </c>
      <c r="X67" s="312" t="s">
        <v>342</v>
      </c>
      <c r="AC67" s="313" t="s">
        <v>298</v>
      </c>
      <c r="AD67" s="312" t="s">
        <v>249</v>
      </c>
      <c r="AE67" s="312" t="s">
        <v>575</v>
      </c>
      <c r="AF67" s="312" t="s">
        <v>99</v>
      </c>
      <c r="AG67" s="312">
        <v>1</v>
      </c>
      <c r="AH67" s="312">
        <v>1</v>
      </c>
      <c r="AI67" s="312">
        <v>0</v>
      </c>
      <c r="AJ67" s="312">
        <v>1</v>
      </c>
      <c r="AK67" s="312">
        <v>1</v>
      </c>
      <c r="AM67" s="312">
        <v>5</v>
      </c>
      <c r="AN67" s="312">
        <v>9</v>
      </c>
      <c r="AO67" s="312">
        <v>13</v>
      </c>
      <c r="AP67" s="312">
        <v>17</v>
      </c>
      <c r="AQ67" s="312" t="s">
        <v>342</v>
      </c>
      <c r="AR67" s="312" t="s">
        <v>342</v>
      </c>
      <c r="AS67" s="312" t="s">
        <v>342</v>
      </c>
      <c r="AT67" s="312" t="s">
        <v>342</v>
      </c>
      <c r="AU67" s="312" t="s">
        <v>342</v>
      </c>
    </row>
    <row r="68" spans="1:47" x14ac:dyDescent="0.2">
      <c r="A68" s="311" t="s">
        <v>1004</v>
      </c>
      <c r="B68" s="312" t="s">
        <v>207</v>
      </c>
      <c r="C68" s="312">
        <v>5</v>
      </c>
      <c r="D68" s="312">
        <v>2</v>
      </c>
      <c r="E68" s="312">
        <v>2</v>
      </c>
      <c r="F68" s="312">
        <v>2</v>
      </c>
      <c r="G68" s="312">
        <v>0</v>
      </c>
      <c r="I68" s="312" t="s">
        <v>342</v>
      </c>
      <c r="J68" s="312" t="s">
        <v>342</v>
      </c>
      <c r="L68" s="312" t="s">
        <v>342</v>
      </c>
      <c r="M68" s="312" t="s">
        <v>342</v>
      </c>
      <c r="N68" s="312" t="s">
        <v>342</v>
      </c>
      <c r="O68" s="312" t="s">
        <v>342</v>
      </c>
      <c r="S68" s="312" t="s">
        <v>342</v>
      </c>
      <c r="U68" s="312" t="s">
        <v>342</v>
      </c>
      <c r="X68" s="312" t="s">
        <v>342</v>
      </c>
      <c r="Z68" s="312" t="s">
        <v>342</v>
      </c>
      <c r="AC68" s="313" t="s">
        <v>1011</v>
      </c>
      <c r="AD68" s="315" t="s">
        <v>248</v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5"/>
      <c r="AQ68" s="315"/>
      <c r="AR68" s="315"/>
      <c r="AS68" s="315"/>
      <c r="AT68" s="315"/>
      <c r="AU68" s="315"/>
    </row>
    <row r="69" spans="1:47" x14ac:dyDescent="0.2">
      <c r="A69" s="311" t="s">
        <v>1005</v>
      </c>
      <c r="B69" s="312" t="s">
        <v>207</v>
      </c>
      <c r="C69" s="312">
        <v>5</v>
      </c>
      <c r="D69" s="312">
        <v>2</v>
      </c>
      <c r="E69" s="312">
        <v>2</v>
      </c>
      <c r="F69" s="312">
        <v>0</v>
      </c>
      <c r="G69" s="312">
        <v>0</v>
      </c>
      <c r="I69" s="312" t="s">
        <v>342</v>
      </c>
      <c r="J69" s="312" t="s">
        <v>342</v>
      </c>
      <c r="L69" s="312" t="s">
        <v>342</v>
      </c>
      <c r="M69" s="312" t="s">
        <v>342</v>
      </c>
      <c r="N69" s="312" t="s">
        <v>342</v>
      </c>
      <c r="O69" s="312" t="s">
        <v>342</v>
      </c>
      <c r="S69" s="312" t="s">
        <v>342</v>
      </c>
      <c r="U69" s="312" t="s">
        <v>342</v>
      </c>
      <c r="X69" s="312" t="s">
        <v>342</v>
      </c>
      <c r="AC69" s="313" t="s">
        <v>298</v>
      </c>
      <c r="AD69" s="315" t="s">
        <v>248</v>
      </c>
      <c r="AE69" s="315"/>
      <c r="AF69" s="315"/>
      <c r="AG69" s="315"/>
      <c r="AH69" s="315"/>
      <c r="AI69" s="315"/>
      <c r="AJ69" s="315"/>
      <c r="AK69" s="315"/>
      <c r="AL69" s="315"/>
      <c r="AM69" s="315"/>
      <c r="AN69" s="315"/>
      <c r="AO69" s="315"/>
      <c r="AP69" s="315"/>
      <c r="AQ69" s="315"/>
      <c r="AR69" s="315"/>
      <c r="AS69" s="315"/>
      <c r="AT69" s="315"/>
      <c r="AU69" s="315"/>
    </row>
    <row r="70" spans="1:47" x14ac:dyDescent="0.2">
      <c r="A70" s="311" t="s">
        <v>1006</v>
      </c>
      <c r="B70" s="312" t="s">
        <v>207</v>
      </c>
      <c r="C70" s="312">
        <v>5</v>
      </c>
      <c r="D70" s="312">
        <v>2</v>
      </c>
      <c r="E70" s="312">
        <v>2</v>
      </c>
      <c r="F70" s="312">
        <v>0</v>
      </c>
      <c r="G70" s="312">
        <v>0</v>
      </c>
      <c r="I70" s="312" t="s">
        <v>342</v>
      </c>
      <c r="J70" s="312" t="s">
        <v>342</v>
      </c>
      <c r="L70" s="312" t="s">
        <v>342</v>
      </c>
      <c r="M70" s="312" t="s">
        <v>342</v>
      </c>
      <c r="N70" s="312" t="s">
        <v>342</v>
      </c>
      <c r="O70" s="312" t="s">
        <v>342</v>
      </c>
      <c r="S70" s="312" t="s">
        <v>342</v>
      </c>
      <c r="U70" s="312" t="s">
        <v>342</v>
      </c>
      <c r="X70" s="312" t="s">
        <v>342</v>
      </c>
      <c r="AC70" s="313" t="s">
        <v>298</v>
      </c>
      <c r="AD70" s="315" t="s">
        <v>248</v>
      </c>
      <c r="AE70" s="315"/>
      <c r="AF70" s="315"/>
      <c r="AG70" s="315"/>
      <c r="AH70" s="315"/>
      <c r="AI70" s="315"/>
      <c r="AJ70" s="315"/>
      <c r="AK70" s="315"/>
      <c r="AL70" s="315"/>
      <c r="AM70" s="315"/>
      <c r="AN70" s="315"/>
      <c r="AO70" s="315"/>
      <c r="AP70" s="315"/>
      <c r="AQ70" s="315"/>
      <c r="AR70" s="315"/>
      <c r="AS70" s="315"/>
      <c r="AT70" s="315"/>
      <c r="AU70" s="315"/>
    </row>
    <row r="71" spans="1:47" x14ac:dyDescent="0.2">
      <c r="A71" s="311" t="s">
        <v>1131</v>
      </c>
      <c r="B71" s="312" t="s">
        <v>64</v>
      </c>
      <c r="C71" s="312">
        <v>3</v>
      </c>
      <c r="D71" s="312">
        <v>2</v>
      </c>
      <c r="E71" s="312">
        <v>0</v>
      </c>
      <c r="F71" s="312">
        <v>0</v>
      </c>
      <c r="G71" s="312">
        <v>2</v>
      </c>
      <c r="M71" s="312" t="s">
        <v>342</v>
      </c>
      <c r="R71" s="312" t="s">
        <v>342</v>
      </c>
      <c r="S71" s="312" t="s">
        <v>342</v>
      </c>
      <c r="X71" s="312" t="s">
        <v>342</v>
      </c>
      <c r="Y71" s="312" t="s">
        <v>342</v>
      </c>
      <c r="AC71" s="313" t="s">
        <v>296</v>
      </c>
      <c r="AD71" s="312" t="s">
        <v>247</v>
      </c>
      <c r="AE71" s="312" t="s">
        <v>577</v>
      </c>
      <c r="AF71" s="312" t="s">
        <v>98</v>
      </c>
      <c r="AG71" s="312">
        <v>1</v>
      </c>
      <c r="AH71" s="312">
        <v>2</v>
      </c>
      <c r="AI71" s="312">
        <v>4</v>
      </c>
      <c r="AJ71" s="312">
        <v>1</v>
      </c>
      <c r="AK71" s="312">
        <v>1</v>
      </c>
      <c r="AL71" s="312">
        <v>1</v>
      </c>
      <c r="AM71" s="312">
        <v>1</v>
      </c>
      <c r="AN71" s="312">
        <v>3</v>
      </c>
      <c r="AO71" s="312">
        <v>5</v>
      </c>
      <c r="AP71" s="312">
        <v>7</v>
      </c>
      <c r="AQ71" s="312">
        <v>9</v>
      </c>
      <c r="AR71" s="312">
        <v>11</v>
      </c>
      <c r="AS71" s="312">
        <v>13</v>
      </c>
      <c r="AT71" s="312">
        <v>15</v>
      </c>
      <c r="AU71" s="312">
        <v>17</v>
      </c>
    </row>
    <row r="72" spans="1:47" x14ac:dyDescent="0.2">
      <c r="A72" s="311" t="s">
        <v>1036</v>
      </c>
      <c r="B72" s="312" t="s">
        <v>64</v>
      </c>
      <c r="C72" s="312">
        <v>3</v>
      </c>
      <c r="D72" s="312">
        <v>2</v>
      </c>
      <c r="E72" s="312">
        <v>0</v>
      </c>
      <c r="F72" s="312">
        <v>0</v>
      </c>
      <c r="G72" s="312">
        <v>0</v>
      </c>
      <c r="H72" s="312" t="s">
        <v>342</v>
      </c>
      <c r="I72" s="312" t="s">
        <v>342</v>
      </c>
      <c r="J72" s="312" t="s">
        <v>342</v>
      </c>
      <c r="K72" s="312" t="s">
        <v>342</v>
      </c>
      <c r="L72" s="312" t="s">
        <v>342</v>
      </c>
      <c r="M72" s="312" t="s">
        <v>342</v>
      </c>
      <c r="N72" s="312" t="s">
        <v>342</v>
      </c>
      <c r="O72" s="312" t="s">
        <v>342</v>
      </c>
      <c r="P72" s="312" t="s">
        <v>342</v>
      </c>
      <c r="Q72" s="312" t="s">
        <v>342</v>
      </c>
      <c r="R72" s="312" t="s">
        <v>342</v>
      </c>
      <c r="S72" s="312" t="s">
        <v>342</v>
      </c>
      <c r="T72" s="312" t="s">
        <v>342</v>
      </c>
      <c r="U72" s="312" t="s">
        <v>342</v>
      </c>
      <c r="V72" s="312" t="s">
        <v>342</v>
      </c>
      <c r="W72" s="312" t="s">
        <v>342</v>
      </c>
      <c r="X72" s="312" t="s">
        <v>342</v>
      </c>
      <c r="Y72" s="312" t="s">
        <v>342</v>
      </c>
      <c r="Z72" s="312" t="s">
        <v>342</v>
      </c>
      <c r="AC72" s="313" t="s">
        <v>1044</v>
      </c>
      <c r="AD72" s="315" t="s">
        <v>248</v>
      </c>
      <c r="AE72" s="315"/>
      <c r="AF72" s="315"/>
      <c r="AG72" s="315"/>
      <c r="AH72" s="315"/>
      <c r="AI72" s="315"/>
      <c r="AJ72" s="315"/>
      <c r="AK72" s="315"/>
      <c r="AL72" s="315"/>
      <c r="AM72" s="315"/>
      <c r="AN72" s="315"/>
      <c r="AO72" s="315"/>
      <c r="AP72" s="315"/>
      <c r="AQ72" s="315"/>
      <c r="AR72" s="315"/>
      <c r="AS72" s="315"/>
      <c r="AT72" s="315"/>
      <c r="AU72" s="315"/>
    </row>
    <row r="73" spans="1:47" x14ac:dyDescent="0.2">
      <c r="A73" s="311" t="s">
        <v>192</v>
      </c>
      <c r="B73" s="312" t="s">
        <v>207</v>
      </c>
      <c r="C73" s="312">
        <v>4</v>
      </c>
      <c r="D73" s="312">
        <v>6</v>
      </c>
      <c r="E73" s="312">
        <v>2</v>
      </c>
      <c r="F73" s="312">
        <v>2</v>
      </c>
      <c r="G73" s="312">
        <v>0</v>
      </c>
      <c r="I73" s="312" t="s">
        <v>342</v>
      </c>
      <c r="J73" s="312" t="s">
        <v>342</v>
      </c>
      <c r="L73" s="312" t="s">
        <v>342</v>
      </c>
      <c r="M73" s="312" t="s">
        <v>342</v>
      </c>
      <c r="N73" s="312" t="s">
        <v>342</v>
      </c>
      <c r="Q73" s="312" t="s">
        <v>342</v>
      </c>
      <c r="S73" s="312" t="s">
        <v>342</v>
      </c>
      <c r="X73" s="312" t="s">
        <v>342</v>
      </c>
      <c r="Y73" s="312" t="s">
        <v>342</v>
      </c>
      <c r="Z73" s="312" t="s">
        <v>342</v>
      </c>
      <c r="AC73" s="313" t="s">
        <v>302</v>
      </c>
      <c r="AD73" s="312" t="s">
        <v>249</v>
      </c>
      <c r="AE73" s="312" t="s">
        <v>575</v>
      </c>
      <c r="AF73" s="312" t="s">
        <v>99</v>
      </c>
      <c r="AG73" s="312">
        <v>1</v>
      </c>
      <c r="AH73" s="312">
        <v>1</v>
      </c>
      <c r="AI73" s="312">
        <v>0</v>
      </c>
      <c r="AJ73" s="312">
        <v>1</v>
      </c>
      <c r="AK73" s="312">
        <v>1</v>
      </c>
      <c r="AM73" s="312">
        <v>5</v>
      </c>
      <c r="AN73" s="312">
        <v>9</v>
      </c>
      <c r="AO73" s="312">
        <v>13</v>
      </c>
      <c r="AP73" s="312">
        <v>17</v>
      </c>
      <c r="AQ73" s="312" t="s">
        <v>342</v>
      </c>
      <c r="AR73" s="312" t="s">
        <v>342</v>
      </c>
      <c r="AS73" s="312" t="s">
        <v>342</v>
      </c>
      <c r="AT73" s="312" t="s">
        <v>342</v>
      </c>
      <c r="AU73" s="312" t="s">
        <v>342</v>
      </c>
    </row>
    <row r="74" spans="1:47" x14ac:dyDescent="0.2">
      <c r="A74" s="311" t="s">
        <v>992</v>
      </c>
      <c r="B74" s="312" t="s">
        <v>207</v>
      </c>
      <c r="C74" s="312">
        <v>4</v>
      </c>
      <c r="D74" s="312">
        <v>6</v>
      </c>
      <c r="E74" s="312">
        <v>2</v>
      </c>
      <c r="F74" s="312">
        <v>2</v>
      </c>
      <c r="G74" s="312">
        <v>0</v>
      </c>
      <c r="H74" s="312" t="s">
        <v>342</v>
      </c>
      <c r="J74" s="312" t="s">
        <v>342</v>
      </c>
      <c r="L74" s="312" t="s">
        <v>342</v>
      </c>
      <c r="M74" s="312" t="s">
        <v>342</v>
      </c>
      <c r="N74" s="312" t="s">
        <v>342</v>
      </c>
      <c r="Q74" s="312" t="s">
        <v>342</v>
      </c>
      <c r="S74" s="312" t="s">
        <v>342</v>
      </c>
      <c r="X74" s="312" t="s">
        <v>342</v>
      </c>
      <c r="Y74" s="312" t="s">
        <v>342</v>
      </c>
      <c r="Z74" s="312" t="s">
        <v>342</v>
      </c>
      <c r="AC74" s="313" t="s">
        <v>997</v>
      </c>
      <c r="AD74" s="315" t="s">
        <v>248</v>
      </c>
      <c r="AE74" s="315"/>
      <c r="AF74" s="315"/>
      <c r="AG74" s="315"/>
      <c r="AH74" s="315"/>
      <c r="AI74" s="315"/>
      <c r="AJ74" s="315"/>
      <c r="AK74" s="315"/>
      <c r="AL74" s="315"/>
      <c r="AM74" s="315"/>
      <c r="AN74" s="315"/>
      <c r="AO74" s="315"/>
      <c r="AP74" s="315"/>
      <c r="AQ74" s="315"/>
      <c r="AR74" s="315"/>
      <c r="AS74" s="315"/>
      <c r="AT74" s="315"/>
      <c r="AU74" s="315"/>
    </row>
    <row r="75" spans="1:47" x14ac:dyDescent="0.2">
      <c r="A75" s="311" t="s">
        <v>993</v>
      </c>
      <c r="B75" s="312" t="s">
        <v>207</v>
      </c>
      <c r="C75" s="312">
        <v>4</v>
      </c>
      <c r="D75" s="312">
        <v>6</v>
      </c>
      <c r="E75" s="312">
        <v>2</v>
      </c>
      <c r="F75" s="312">
        <v>2</v>
      </c>
      <c r="G75" s="312">
        <v>0</v>
      </c>
      <c r="J75" s="312" t="s">
        <v>342</v>
      </c>
      <c r="L75" s="312" t="s">
        <v>342</v>
      </c>
      <c r="M75" s="312" t="s">
        <v>342</v>
      </c>
      <c r="N75" s="312" t="s">
        <v>342</v>
      </c>
      <c r="Q75" s="312" t="s">
        <v>342</v>
      </c>
      <c r="S75" s="312" t="s">
        <v>342</v>
      </c>
      <c r="X75" s="312" t="s">
        <v>342</v>
      </c>
      <c r="Y75" s="312" t="s">
        <v>342</v>
      </c>
      <c r="Z75" s="312" t="s">
        <v>342</v>
      </c>
      <c r="AC75" s="313" t="s">
        <v>302</v>
      </c>
      <c r="AD75" s="315" t="s">
        <v>248</v>
      </c>
      <c r="AE75" s="315"/>
      <c r="AF75" s="315"/>
      <c r="AG75" s="315"/>
      <c r="AH75" s="315"/>
      <c r="AI75" s="315"/>
      <c r="AJ75" s="315"/>
      <c r="AK75" s="315"/>
      <c r="AL75" s="315"/>
      <c r="AM75" s="315"/>
      <c r="AN75" s="315"/>
      <c r="AO75" s="315"/>
      <c r="AP75" s="315"/>
      <c r="AQ75" s="315"/>
      <c r="AR75" s="315"/>
      <c r="AS75" s="315"/>
      <c r="AT75" s="315"/>
      <c r="AU75" s="315"/>
    </row>
    <row r="76" spans="1:47" x14ac:dyDescent="0.2">
      <c r="A76" s="311" t="s">
        <v>231</v>
      </c>
      <c r="B76" s="312" t="s">
        <v>208</v>
      </c>
      <c r="C76" s="312">
        <v>4</v>
      </c>
      <c r="D76" s="312">
        <v>4</v>
      </c>
      <c r="E76" s="312">
        <v>2</v>
      </c>
      <c r="F76" s="312">
        <v>0</v>
      </c>
      <c r="G76" s="312">
        <v>2</v>
      </c>
      <c r="I76" s="312" t="s">
        <v>342</v>
      </c>
      <c r="M76" s="312" t="s">
        <v>342</v>
      </c>
      <c r="N76" s="312" t="s">
        <v>342</v>
      </c>
      <c r="O76" s="312" t="s">
        <v>342</v>
      </c>
      <c r="S76" s="312" t="s">
        <v>342</v>
      </c>
      <c r="U76" s="312" t="s">
        <v>342</v>
      </c>
      <c r="X76" s="312" t="s">
        <v>342</v>
      </c>
      <c r="Y76" s="312" t="s">
        <v>342</v>
      </c>
      <c r="Z76" s="312" t="s">
        <v>342</v>
      </c>
      <c r="AC76" s="313" t="s">
        <v>943</v>
      </c>
      <c r="AD76" s="312" t="s">
        <v>247</v>
      </c>
      <c r="AE76" s="312" t="s">
        <v>575</v>
      </c>
      <c r="AF76" s="312" t="s">
        <v>99</v>
      </c>
      <c r="AG76" s="312">
        <v>1</v>
      </c>
      <c r="AH76" s="312">
        <v>3</v>
      </c>
      <c r="AI76" s="312">
        <v>4</v>
      </c>
      <c r="AJ76" s="312">
        <v>1</v>
      </c>
      <c r="AK76" s="312">
        <v>2</v>
      </c>
      <c r="AL76" s="312">
        <v>1</v>
      </c>
      <c r="AM76" s="312">
        <v>1</v>
      </c>
      <c r="AN76" s="312">
        <v>3</v>
      </c>
      <c r="AO76" s="312">
        <v>5</v>
      </c>
      <c r="AP76" s="312">
        <v>7</v>
      </c>
      <c r="AQ76" s="312">
        <v>9</v>
      </c>
      <c r="AR76" s="312">
        <v>11</v>
      </c>
      <c r="AS76" s="312">
        <v>13</v>
      </c>
      <c r="AT76" s="312">
        <v>15</v>
      </c>
      <c r="AU76" s="312">
        <v>17</v>
      </c>
    </row>
    <row r="77" spans="1:47" x14ac:dyDescent="0.2">
      <c r="A77" s="311" t="s">
        <v>195</v>
      </c>
      <c r="B77" s="312" t="s">
        <v>207</v>
      </c>
      <c r="C77" s="312">
        <v>5</v>
      </c>
      <c r="D77" s="312">
        <v>4</v>
      </c>
      <c r="E77" s="312">
        <v>2</v>
      </c>
      <c r="F77" s="312">
        <v>0</v>
      </c>
      <c r="G77" s="312">
        <v>2</v>
      </c>
      <c r="H77" s="312" t="s">
        <v>342</v>
      </c>
      <c r="I77" s="312" t="s">
        <v>342</v>
      </c>
      <c r="J77" s="312" t="s">
        <v>342</v>
      </c>
      <c r="K77" s="312" t="s">
        <v>342</v>
      </c>
      <c r="L77" s="312" t="s">
        <v>342</v>
      </c>
      <c r="M77" s="312" t="s">
        <v>342</v>
      </c>
      <c r="O77" s="312" t="s">
        <v>342</v>
      </c>
      <c r="S77" s="312" t="s">
        <v>342</v>
      </c>
      <c r="T77" s="312" t="s">
        <v>342</v>
      </c>
      <c r="U77" s="312" t="s">
        <v>342</v>
      </c>
      <c r="X77" s="312" t="s">
        <v>342</v>
      </c>
      <c r="Y77" s="312" t="s">
        <v>342</v>
      </c>
      <c r="AC77" s="313" t="s">
        <v>303</v>
      </c>
      <c r="AD77" s="315" t="s">
        <v>248</v>
      </c>
      <c r="AE77" s="315"/>
      <c r="AF77" s="315"/>
      <c r="AG77" s="315"/>
      <c r="AH77" s="315"/>
      <c r="AI77" s="315"/>
      <c r="AJ77" s="315"/>
      <c r="AK77" s="315"/>
      <c r="AL77" s="315"/>
      <c r="AM77" s="315"/>
      <c r="AN77" s="315"/>
      <c r="AO77" s="315"/>
      <c r="AP77" s="315"/>
      <c r="AQ77" s="315"/>
      <c r="AR77" s="315"/>
      <c r="AS77" s="315"/>
      <c r="AT77" s="315"/>
      <c r="AU77" s="315"/>
    </row>
    <row r="78" spans="1:47" x14ac:dyDescent="0.2">
      <c r="A78" s="311" t="s">
        <v>976</v>
      </c>
      <c r="B78" s="312" t="s">
        <v>207</v>
      </c>
      <c r="C78" s="312">
        <v>5</v>
      </c>
      <c r="D78" s="312">
        <v>4</v>
      </c>
      <c r="E78" s="312">
        <v>2</v>
      </c>
      <c r="F78" s="312">
        <v>0</v>
      </c>
      <c r="G78" s="312">
        <v>0</v>
      </c>
      <c r="I78" s="312" t="s">
        <v>342</v>
      </c>
      <c r="J78" s="312" t="s">
        <v>342</v>
      </c>
      <c r="L78" s="312" t="s">
        <v>342</v>
      </c>
      <c r="M78" s="312" t="s">
        <v>342</v>
      </c>
      <c r="S78" s="312" t="s">
        <v>342</v>
      </c>
      <c r="T78" s="312" t="s">
        <v>342</v>
      </c>
      <c r="U78" s="312" t="s">
        <v>342</v>
      </c>
      <c r="X78" s="312" t="s">
        <v>342</v>
      </c>
      <c r="Y78" s="312" t="s">
        <v>342</v>
      </c>
      <c r="AC78" s="313" t="s">
        <v>979</v>
      </c>
      <c r="AD78" s="315" t="s">
        <v>248</v>
      </c>
      <c r="AE78" s="315"/>
      <c r="AF78" s="315"/>
      <c r="AG78" s="315"/>
      <c r="AH78" s="315"/>
      <c r="AI78" s="315"/>
      <c r="AJ78" s="315"/>
      <c r="AK78" s="315"/>
      <c r="AL78" s="315"/>
      <c r="AM78" s="315"/>
      <c r="AN78" s="315"/>
      <c r="AO78" s="315"/>
      <c r="AP78" s="315"/>
      <c r="AQ78" s="315"/>
      <c r="AR78" s="315"/>
      <c r="AS78" s="315"/>
      <c r="AT78" s="315"/>
      <c r="AU78" s="315"/>
    </row>
    <row r="79" spans="1:47" x14ac:dyDescent="0.2">
      <c r="A79" s="311" t="s">
        <v>977</v>
      </c>
      <c r="B79" s="312" t="s">
        <v>207</v>
      </c>
      <c r="C79" s="312">
        <v>5</v>
      </c>
      <c r="D79" s="312">
        <v>4</v>
      </c>
      <c r="E79" s="312">
        <v>0</v>
      </c>
      <c r="F79" s="312">
        <v>0</v>
      </c>
      <c r="G79" s="312">
        <v>2</v>
      </c>
      <c r="H79" s="312" t="s">
        <v>342</v>
      </c>
      <c r="I79" s="312" t="s">
        <v>342</v>
      </c>
      <c r="K79" s="312" t="s">
        <v>342</v>
      </c>
      <c r="L79" s="312" t="s">
        <v>342</v>
      </c>
      <c r="M79" s="312" t="s">
        <v>342</v>
      </c>
      <c r="O79" s="312" t="s">
        <v>342</v>
      </c>
      <c r="S79" s="312" t="s">
        <v>342</v>
      </c>
      <c r="U79" s="312" t="s">
        <v>342</v>
      </c>
      <c r="X79" s="312" t="s">
        <v>342</v>
      </c>
      <c r="Y79" s="312" t="s">
        <v>342</v>
      </c>
      <c r="AC79" s="313" t="s">
        <v>980</v>
      </c>
      <c r="AD79" s="315" t="s">
        <v>248</v>
      </c>
      <c r="AE79" s="315"/>
      <c r="AF79" s="315"/>
      <c r="AG79" s="315"/>
      <c r="AH79" s="315"/>
      <c r="AI79" s="315"/>
      <c r="AJ79" s="315"/>
      <c r="AK79" s="315"/>
      <c r="AL79" s="315"/>
      <c r="AM79" s="315"/>
      <c r="AN79" s="315"/>
      <c r="AO79" s="315"/>
      <c r="AP79" s="315"/>
      <c r="AQ79" s="315"/>
      <c r="AR79" s="315"/>
      <c r="AS79" s="315"/>
      <c r="AT79" s="315"/>
      <c r="AU79" s="315"/>
    </row>
    <row r="80" spans="1:47" x14ac:dyDescent="0.2">
      <c r="A80" s="311" t="s">
        <v>978</v>
      </c>
      <c r="B80" s="312" t="s">
        <v>207</v>
      </c>
      <c r="C80" s="312">
        <v>5</v>
      </c>
      <c r="D80" s="312">
        <v>4</v>
      </c>
      <c r="E80" s="312">
        <v>0</v>
      </c>
      <c r="F80" s="312">
        <v>2</v>
      </c>
      <c r="G80" s="312">
        <v>0</v>
      </c>
      <c r="H80" s="312" t="s">
        <v>342</v>
      </c>
      <c r="I80" s="312" t="s">
        <v>342</v>
      </c>
      <c r="J80" s="312" t="s">
        <v>342</v>
      </c>
      <c r="K80" s="312" t="s">
        <v>342</v>
      </c>
      <c r="L80" s="312" t="s">
        <v>342</v>
      </c>
      <c r="M80" s="312" t="s">
        <v>342</v>
      </c>
      <c r="O80" s="312" t="s">
        <v>342</v>
      </c>
      <c r="S80" s="312" t="s">
        <v>342</v>
      </c>
      <c r="U80" s="312" t="s">
        <v>342</v>
      </c>
      <c r="X80" s="312" t="s">
        <v>342</v>
      </c>
      <c r="Y80" s="312" t="s">
        <v>342</v>
      </c>
      <c r="AC80" s="313" t="s">
        <v>981</v>
      </c>
      <c r="AD80" s="315" t="s">
        <v>248</v>
      </c>
      <c r="AE80" s="315"/>
      <c r="AF80" s="315"/>
      <c r="AG80" s="315"/>
      <c r="AH80" s="315"/>
      <c r="AI80" s="315"/>
      <c r="AJ80" s="315"/>
      <c r="AK80" s="315"/>
      <c r="AL80" s="315"/>
      <c r="AM80" s="315"/>
      <c r="AN80" s="315"/>
      <c r="AO80" s="315"/>
      <c r="AP80" s="315"/>
      <c r="AQ80" s="315"/>
      <c r="AR80" s="315"/>
      <c r="AS80" s="315"/>
      <c r="AT80" s="315"/>
      <c r="AU80" s="315"/>
    </row>
    <row r="81" spans="1:47" x14ac:dyDescent="0.2">
      <c r="A81" s="311" t="s">
        <v>196</v>
      </c>
      <c r="B81" s="312" t="s">
        <v>207</v>
      </c>
      <c r="C81" s="312">
        <v>4</v>
      </c>
      <c r="D81" s="312">
        <v>4</v>
      </c>
      <c r="E81" s="312">
        <v>0</v>
      </c>
      <c r="F81" s="312">
        <v>2</v>
      </c>
      <c r="G81" s="312">
        <v>0</v>
      </c>
      <c r="H81" s="312" t="s">
        <v>342</v>
      </c>
      <c r="J81" s="312" t="s">
        <v>342</v>
      </c>
      <c r="K81" s="312" t="s">
        <v>342</v>
      </c>
      <c r="L81" s="312" t="s">
        <v>342</v>
      </c>
      <c r="O81" s="312" t="s">
        <v>342</v>
      </c>
      <c r="P81" s="312" t="s">
        <v>342</v>
      </c>
      <c r="Q81" s="312" t="s">
        <v>342</v>
      </c>
      <c r="S81" s="312" t="s">
        <v>342</v>
      </c>
      <c r="T81" s="312" t="s">
        <v>342</v>
      </c>
      <c r="W81" s="312" t="s">
        <v>342</v>
      </c>
      <c r="X81" s="312" t="s">
        <v>342</v>
      </c>
      <c r="Y81" s="312" t="s">
        <v>342</v>
      </c>
      <c r="AC81" s="313" t="s">
        <v>304</v>
      </c>
      <c r="AD81" s="315" t="s">
        <v>248</v>
      </c>
      <c r="AE81" s="315"/>
      <c r="AF81" s="315"/>
      <c r="AG81" s="315"/>
      <c r="AH81" s="315"/>
      <c r="AI81" s="315"/>
      <c r="AJ81" s="315"/>
      <c r="AK81" s="315"/>
      <c r="AL81" s="315"/>
      <c r="AM81" s="315"/>
      <c r="AN81" s="315"/>
      <c r="AO81" s="315"/>
      <c r="AP81" s="315"/>
      <c r="AQ81" s="315"/>
      <c r="AR81" s="315"/>
      <c r="AS81" s="315"/>
      <c r="AT81" s="315"/>
      <c r="AU81" s="315"/>
    </row>
    <row r="82" spans="1:47" x14ac:dyDescent="0.2">
      <c r="A82" s="311" t="s">
        <v>994</v>
      </c>
      <c r="B82" s="312" t="s">
        <v>207</v>
      </c>
      <c r="C82" s="312">
        <v>4</v>
      </c>
      <c r="D82" s="312">
        <v>4</v>
      </c>
      <c r="E82" s="312">
        <v>0</v>
      </c>
      <c r="F82" s="312">
        <v>2</v>
      </c>
      <c r="G82" s="312">
        <v>0</v>
      </c>
      <c r="H82" s="312" t="s">
        <v>342</v>
      </c>
      <c r="J82" s="312" t="s">
        <v>342</v>
      </c>
      <c r="K82" s="312" t="s">
        <v>342</v>
      </c>
      <c r="L82" s="312" t="s">
        <v>342</v>
      </c>
      <c r="O82" s="312" t="s">
        <v>342</v>
      </c>
      <c r="Q82" s="312" t="s">
        <v>342</v>
      </c>
      <c r="S82" s="312" t="s">
        <v>342</v>
      </c>
      <c r="T82" s="312" t="s">
        <v>342</v>
      </c>
      <c r="W82" s="312" t="s">
        <v>342</v>
      </c>
      <c r="X82" s="312" t="s">
        <v>342</v>
      </c>
      <c r="Y82" s="312" t="s">
        <v>342</v>
      </c>
      <c r="AC82" s="313" t="s">
        <v>304</v>
      </c>
      <c r="AD82" s="315" t="s">
        <v>248</v>
      </c>
      <c r="AE82" s="315"/>
      <c r="AF82" s="315"/>
      <c r="AG82" s="315"/>
      <c r="AH82" s="315"/>
      <c r="AI82" s="315"/>
      <c r="AJ82" s="315"/>
      <c r="AK82" s="315"/>
      <c r="AL82" s="315"/>
      <c r="AM82" s="315"/>
      <c r="AN82" s="315"/>
      <c r="AO82" s="315"/>
      <c r="AP82" s="315"/>
      <c r="AQ82" s="315"/>
      <c r="AR82" s="315"/>
      <c r="AS82" s="315"/>
      <c r="AT82" s="315"/>
      <c r="AU82" s="315"/>
    </row>
    <row r="83" spans="1:47" x14ac:dyDescent="0.2">
      <c r="A83" s="311" t="s">
        <v>995</v>
      </c>
      <c r="B83" s="312" t="s">
        <v>207</v>
      </c>
      <c r="C83" s="312">
        <v>4</v>
      </c>
      <c r="D83" s="312">
        <v>4</v>
      </c>
      <c r="E83" s="312">
        <v>0</v>
      </c>
      <c r="F83" s="312">
        <v>2</v>
      </c>
      <c r="G83" s="312">
        <v>0</v>
      </c>
      <c r="H83" s="312" t="s">
        <v>342</v>
      </c>
      <c r="J83" s="312" t="s">
        <v>342</v>
      </c>
      <c r="K83" s="312" t="s">
        <v>342</v>
      </c>
      <c r="L83" s="312" t="s">
        <v>342</v>
      </c>
      <c r="O83" s="312" t="s">
        <v>342</v>
      </c>
      <c r="P83" s="312" t="s">
        <v>342</v>
      </c>
      <c r="Q83" s="312" t="s">
        <v>342</v>
      </c>
      <c r="S83" s="312" t="s">
        <v>342</v>
      </c>
      <c r="T83" s="312" t="s">
        <v>342</v>
      </c>
      <c r="W83" s="312" t="s">
        <v>342</v>
      </c>
      <c r="X83" s="312" t="s">
        <v>342</v>
      </c>
      <c r="Y83" s="312" t="s">
        <v>342</v>
      </c>
      <c r="AC83" s="313" t="s">
        <v>304</v>
      </c>
      <c r="AD83" s="315" t="s">
        <v>248</v>
      </c>
      <c r="AE83" s="315"/>
      <c r="AF83" s="315"/>
      <c r="AG83" s="315"/>
      <c r="AH83" s="315"/>
      <c r="AI83" s="315"/>
      <c r="AJ83" s="315"/>
      <c r="AK83" s="315"/>
      <c r="AL83" s="315"/>
      <c r="AM83" s="315"/>
      <c r="AN83" s="315"/>
      <c r="AO83" s="315"/>
      <c r="AP83" s="315"/>
      <c r="AQ83" s="315"/>
      <c r="AR83" s="315"/>
      <c r="AS83" s="315"/>
      <c r="AT83" s="315"/>
      <c r="AU83" s="315"/>
    </row>
    <row r="84" spans="1:47" x14ac:dyDescent="0.2">
      <c r="A84" s="311"/>
    </row>
    <row r="85" spans="1:47" x14ac:dyDescent="0.2">
      <c r="A85" s="311"/>
    </row>
    <row r="86" spans="1:47" x14ac:dyDescent="0.2">
      <c r="A86" s="311"/>
    </row>
    <row r="87" spans="1:47" x14ac:dyDescent="0.2">
      <c r="A87" s="311"/>
    </row>
    <row r="88" spans="1:47" x14ac:dyDescent="0.2">
      <c r="A88" s="311"/>
    </row>
    <row r="89" spans="1:47" x14ac:dyDescent="0.2">
      <c r="A89" s="311"/>
    </row>
    <row r="90" spans="1:47" x14ac:dyDescent="0.2">
      <c r="A90" s="311"/>
    </row>
    <row r="91" spans="1:47" x14ac:dyDescent="0.2">
      <c r="A91" s="311"/>
    </row>
    <row r="92" spans="1:47" x14ac:dyDescent="0.2">
      <c r="A92" s="311"/>
    </row>
    <row r="93" spans="1:47" x14ac:dyDescent="0.2">
      <c r="A93" s="311"/>
    </row>
    <row r="94" spans="1:47" x14ac:dyDescent="0.2">
      <c r="A94" s="311"/>
    </row>
    <row r="95" spans="1:47" x14ac:dyDescent="0.2">
      <c r="A95" s="311"/>
    </row>
    <row r="96" spans="1:47" x14ac:dyDescent="0.2">
      <c r="A96" s="311"/>
    </row>
    <row r="97" spans="1:1" x14ac:dyDescent="0.2">
      <c r="A97" s="311"/>
    </row>
    <row r="98" spans="1:1" x14ac:dyDescent="0.2">
      <c r="A98" s="311"/>
    </row>
    <row r="99" spans="1:1" x14ac:dyDescent="0.2">
      <c r="A99" s="311"/>
    </row>
    <row r="100" spans="1:1" x14ac:dyDescent="0.2">
      <c r="A100" s="311"/>
    </row>
    <row r="101" spans="1:1" x14ac:dyDescent="0.2">
      <c r="A101" s="311"/>
    </row>
    <row r="102" spans="1:1" x14ac:dyDescent="0.2">
      <c r="A102" s="311"/>
    </row>
    <row r="103" spans="1:1" x14ac:dyDescent="0.2">
      <c r="A103" s="311"/>
    </row>
    <row r="104" spans="1:1" x14ac:dyDescent="0.2">
      <c r="A104" s="311"/>
    </row>
    <row r="105" spans="1:1" x14ac:dyDescent="0.2">
      <c r="A105" s="311"/>
    </row>
    <row r="106" spans="1:1" x14ac:dyDescent="0.2">
      <c r="A106" s="311"/>
    </row>
    <row r="107" spans="1:1" x14ac:dyDescent="0.2">
      <c r="A107" s="311"/>
    </row>
    <row r="108" spans="1:1" x14ac:dyDescent="0.2">
      <c r="A108" s="311"/>
    </row>
    <row r="109" spans="1:1" x14ac:dyDescent="0.2">
      <c r="A109" s="311"/>
    </row>
    <row r="110" spans="1:1" x14ac:dyDescent="0.2">
      <c r="A110" s="311"/>
    </row>
  </sheetData>
  <sortState ref="A12:AU79">
    <sortCondition ref="A12"/>
  </sortState>
  <conditionalFormatting sqref="N28:O30">
    <cfRule type="expression" priority="7">
      <formula>VLOOKUP($B$7,TABELA.classes,35,FALSE)</formula>
    </cfRule>
  </conditionalFormatting>
  <conditionalFormatting sqref="N38:O38">
    <cfRule type="expression" priority="6">
      <formula>VLOOKUP($B$7,TABELA.classes,35,FALSE)</formula>
    </cfRule>
  </conditionalFormatting>
  <conditionalFormatting sqref="N39:O39">
    <cfRule type="expression" priority="5">
      <formula>VLOOKUP($B$7,TABELA.classes,35,FALSE)</formula>
    </cfRule>
  </conditionalFormatting>
  <conditionalFormatting sqref="N41:O41">
    <cfRule type="expression" priority="4">
      <formula>VLOOKUP($B$7,TABELA.classes,35,FALSE)</formula>
    </cfRule>
  </conditionalFormatting>
  <conditionalFormatting sqref="N62:O65 N67:O70 N72:O74">
    <cfRule type="expression" priority="3">
      <formula>VLOOKUP($B$7,TABELA.classes,35,FALSE)</formula>
    </cfRule>
  </conditionalFormatting>
  <conditionalFormatting sqref="N40:O40">
    <cfRule type="expression" priority="2">
      <formula>VLOOKUP($B$7,TABELA.classes,35,FALSE)</formula>
    </cfRule>
  </conditionalFormatting>
  <conditionalFormatting sqref="N35:O35">
    <cfRule type="expression" priority="1">
      <formula>VLOOKUP($B$7,TABELA.classes,35,FALSE)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>
    <tabColor rgb="FFCCECFF"/>
  </sheetPr>
  <dimension ref="A1:F307"/>
  <sheetViews>
    <sheetView topLeftCell="B1" workbookViewId="0">
      <pane ySplit="1" topLeftCell="A2" activePane="bottomLeft" state="frozen"/>
      <selection activeCell="AN21" sqref="AN21"/>
      <selection pane="bottomLeft" activeCell="B20" sqref="B20"/>
    </sheetView>
  </sheetViews>
  <sheetFormatPr defaultRowHeight="12.75" x14ac:dyDescent="0.2"/>
  <cols>
    <col min="1" max="1" width="9.140625" style="330"/>
    <col min="2" max="2" width="29.7109375" style="330" bestFit="1" customWidth="1"/>
    <col min="3" max="5" width="9.140625" style="332"/>
    <col min="6" max="6" width="204.5703125" style="330" bestFit="1" customWidth="1"/>
    <col min="7" max="16384" width="9.140625" style="330"/>
  </cols>
  <sheetData>
    <row r="1" spans="1:6" s="342" customFormat="1" x14ac:dyDescent="0.2">
      <c r="A1" s="340" t="s">
        <v>262</v>
      </c>
      <c r="B1" s="340" t="s">
        <v>261</v>
      </c>
      <c r="C1" s="341" t="s">
        <v>31</v>
      </c>
      <c r="D1" s="341" t="s">
        <v>238</v>
      </c>
      <c r="E1" s="341" t="s">
        <v>311</v>
      </c>
      <c r="F1" s="340" t="s">
        <v>266</v>
      </c>
    </row>
    <row r="2" spans="1:6" s="343" customFormat="1" x14ac:dyDescent="0.2">
      <c r="B2" s="343">
        <v>0</v>
      </c>
      <c r="C2" s="343">
        <v>0</v>
      </c>
      <c r="D2" s="343">
        <v>0</v>
      </c>
      <c r="E2" s="343">
        <v>20</v>
      </c>
    </row>
    <row r="3" spans="1:6" x14ac:dyDescent="0.2">
      <c r="A3" s="330" t="s">
        <v>215</v>
      </c>
      <c r="B3" s="331" t="s">
        <v>806</v>
      </c>
      <c r="C3" s="332" t="s">
        <v>64</v>
      </c>
      <c r="D3" s="332">
        <v>3</v>
      </c>
      <c r="E3" s="332">
        <v>5</v>
      </c>
      <c r="F3" s="330" t="s">
        <v>807</v>
      </c>
    </row>
    <row r="4" spans="1:6" x14ac:dyDescent="0.2">
      <c r="A4" s="330" t="s">
        <v>378</v>
      </c>
      <c r="B4" s="331" t="s">
        <v>264</v>
      </c>
      <c r="C4" s="332" t="s">
        <v>207</v>
      </c>
      <c r="D4" s="332">
        <v>5</v>
      </c>
      <c r="E4" s="332">
        <v>10</v>
      </c>
      <c r="F4" s="330" t="s">
        <v>267</v>
      </c>
    </row>
    <row r="5" spans="1:6" x14ac:dyDescent="0.2">
      <c r="A5" s="330" t="s">
        <v>410</v>
      </c>
      <c r="B5" s="331" t="s">
        <v>414</v>
      </c>
      <c r="C5" s="332" t="s">
        <v>207</v>
      </c>
      <c r="D5" s="332">
        <v>5</v>
      </c>
      <c r="E5" s="332">
        <v>10</v>
      </c>
      <c r="F5" s="330" t="s">
        <v>467</v>
      </c>
    </row>
    <row r="6" spans="1:6" x14ac:dyDescent="0.2">
      <c r="A6" s="330" t="s">
        <v>427</v>
      </c>
      <c r="B6" s="331" t="s">
        <v>428</v>
      </c>
      <c r="C6" s="332" t="s">
        <v>64</v>
      </c>
      <c r="D6" s="332">
        <v>3</v>
      </c>
      <c r="E6" s="332">
        <v>10</v>
      </c>
      <c r="F6" s="330" t="s">
        <v>458</v>
      </c>
    </row>
    <row r="7" spans="1:6" x14ac:dyDescent="0.2">
      <c r="A7" s="330" t="s">
        <v>785</v>
      </c>
      <c r="B7" s="331" t="s">
        <v>786</v>
      </c>
      <c r="C7" s="332" t="s">
        <v>207</v>
      </c>
      <c r="D7" s="332">
        <v>5</v>
      </c>
      <c r="E7" s="332">
        <v>10</v>
      </c>
      <c r="F7" s="330" t="s">
        <v>787</v>
      </c>
    </row>
    <row r="8" spans="1:6" x14ac:dyDescent="0.2">
      <c r="A8" s="330" t="s">
        <v>378</v>
      </c>
      <c r="B8" s="331" t="s">
        <v>265</v>
      </c>
      <c r="C8" s="332" t="s">
        <v>207</v>
      </c>
      <c r="D8" s="332">
        <v>6</v>
      </c>
      <c r="E8" s="332">
        <v>10</v>
      </c>
      <c r="F8" s="330" t="s">
        <v>268</v>
      </c>
    </row>
    <row r="9" spans="1:6" x14ac:dyDescent="0.2">
      <c r="A9" s="330" t="s">
        <v>1135</v>
      </c>
      <c r="B9" s="331" t="s">
        <v>1134</v>
      </c>
      <c r="C9" s="332" t="s">
        <v>64</v>
      </c>
      <c r="D9" s="332">
        <v>4</v>
      </c>
      <c r="E9" s="332">
        <v>10</v>
      </c>
      <c r="F9" s="330" t="s">
        <v>1136</v>
      </c>
    </row>
    <row r="10" spans="1:6" x14ac:dyDescent="0.2">
      <c r="A10" s="330" t="s">
        <v>427</v>
      </c>
      <c r="B10" s="331" t="s">
        <v>429</v>
      </c>
      <c r="C10" s="332" t="s">
        <v>208</v>
      </c>
      <c r="D10" s="332">
        <v>2</v>
      </c>
      <c r="E10" s="332">
        <v>10</v>
      </c>
      <c r="F10" s="330" t="s">
        <v>459</v>
      </c>
    </row>
    <row r="11" spans="1:6" x14ac:dyDescent="0.2">
      <c r="A11" s="330" t="s">
        <v>437</v>
      </c>
      <c r="B11" s="331" t="s">
        <v>438</v>
      </c>
      <c r="C11" s="332" t="s">
        <v>64</v>
      </c>
      <c r="D11" s="332">
        <v>3</v>
      </c>
      <c r="E11" s="332">
        <v>10</v>
      </c>
      <c r="F11" s="330" t="s">
        <v>440</v>
      </c>
    </row>
    <row r="12" spans="1:6" x14ac:dyDescent="0.2">
      <c r="A12" s="330" t="s">
        <v>378</v>
      </c>
      <c r="B12" s="331" t="s">
        <v>263</v>
      </c>
      <c r="C12" s="332" t="s">
        <v>207</v>
      </c>
      <c r="D12" s="332">
        <v>4</v>
      </c>
      <c r="E12" s="332">
        <v>10</v>
      </c>
      <c r="F12" s="330" t="s">
        <v>269</v>
      </c>
    </row>
    <row r="13" spans="1:6" x14ac:dyDescent="0.2">
      <c r="A13" s="330" t="s">
        <v>287</v>
      </c>
      <c r="B13" s="331" t="s">
        <v>370</v>
      </c>
      <c r="C13" s="332" t="s">
        <v>207</v>
      </c>
      <c r="D13" s="332">
        <v>4</v>
      </c>
      <c r="E13" s="332">
        <v>10</v>
      </c>
      <c r="F13" s="330" t="s">
        <v>373</v>
      </c>
    </row>
    <row r="14" spans="1:6" x14ac:dyDescent="0.2">
      <c r="A14" s="330" t="s">
        <v>378</v>
      </c>
      <c r="B14" s="331" t="s">
        <v>270</v>
      </c>
      <c r="C14" s="332" t="s">
        <v>208</v>
      </c>
      <c r="D14" s="332">
        <v>2</v>
      </c>
      <c r="E14" s="332">
        <v>5</v>
      </c>
      <c r="F14" s="330" t="s">
        <v>372</v>
      </c>
    </row>
    <row r="15" spans="1:6" x14ac:dyDescent="0.2">
      <c r="A15" s="330" t="s">
        <v>378</v>
      </c>
      <c r="B15" s="331" t="s">
        <v>271</v>
      </c>
      <c r="C15" s="332" t="s">
        <v>207</v>
      </c>
      <c r="D15" s="332">
        <v>4</v>
      </c>
      <c r="E15" s="332">
        <v>10</v>
      </c>
      <c r="F15" s="330" t="s">
        <v>371</v>
      </c>
    </row>
    <row r="16" spans="1:6" x14ac:dyDescent="0.2">
      <c r="A16" s="330" t="s">
        <v>410</v>
      </c>
      <c r="B16" s="331" t="s">
        <v>415</v>
      </c>
      <c r="C16" s="332" t="s">
        <v>208</v>
      </c>
      <c r="D16" s="332">
        <v>2</v>
      </c>
      <c r="E16" s="332">
        <v>10</v>
      </c>
      <c r="F16" s="330" t="s">
        <v>468</v>
      </c>
    </row>
    <row r="17" spans="1:6" x14ac:dyDescent="0.2">
      <c r="A17" s="330" t="s">
        <v>1048</v>
      </c>
      <c r="B17" s="331" t="s">
        <v>1049</v>
      </c>
      <c r="C17" s="332" t="s">
        <v>64</v>
      </c>
      <c r="D17" s="332">
        <v>3</v>
      </c>
      <c r="E17" s="332">
        <v>10</v>
      </c>
      <c r="F17" s="330" t="s">
        <v>1050</v>
      </c>
    </row>
    <row r="18" spans="1:6" x14ac:dyDescent="0.2">
      <c r="A18" s="330" t="s">
        <v>785</v>
      </c>
      <c r="B18" s="331" t="s">
        <v>798</v>
      </c>
      <c r="C18" s="332" t="s">
        <v>207</v>
      </c>
      <c r="D18" s="332">
        <v>5</v>
      </c>
      <c r="E18" s="332">
        <v>10</v>
      </c>
      <c r="F18" s="330" t="s">
        <v>799</v>
      </c>
    </row>
    <row r="19" spans="1:6" x14ac:dyDescent="0.2">
      <c r="A19" s="330" t="s">
        <v>215</v>
      </c>
      <c r="B19" s="331" t="s">
        <v>808</v>
      </c>
      <c r="C19" s="332" t="s">
        <v>64</v>
      </c>
      <c r="D19" s="332">
        <v>4</v>
      </c>
      <c r="E19" s="332">
        <v>10</v>
      </c>
      <c r="F19" s="330" t="s">
        <v>809</v>
      </c>
    </row>
    <row r="20" spans="1:6" x14ac:dyDescent="0.2">
      <c r="A20" s="330" t="s">
        <v>1135</v>
      </c>
      <c r="B20" s="331" t="s">
        <v>1137</v>
      </c>
      <c r="C20" s="332" t="s">
        <v>207</v>
      </c>
      <c r="D20" s="332">
        <v>4</v>
      </c>
      <c r="E20" s="332">
        <v>10</v>
      </c>
      <c r="F20" s="330" t="s">
        <v>1138</v>
      </c>
    </row>
    <row r="21" spans="1:6" x14ac:dyDescent="0.2">
      <c r="A21" s="330" t="s">
        <v>391</v>
      </c>
      <c r="B21" s="331" t="s">
        <v>394</v>
      </c>
      <c r="C21" s="332" t="s">
        <v>207</v>
      </c>
      <c r="D21" s="332">
        <v>4</v>
      </c>
      <c r="E21" s="332">
        <v>10</v>
      </c>
      <c r="F21" s="330" t="s">
        <v>400</v>
      </c>
    </row>
    <row r="22" spans="1:6" x14ac:dyDescent="0.2">
      <c r="A22" s="330" t="s">
        <v>785</v>
      </c>
      <c r="B22" s="331" t="s">
        <v>788</v>
      </c>
      <c r="C22" s="332" t="s">
        <v>207</v>
      </c>
      <c r="D22" s="332">
        <v>5</v>
      </c>
      <c r="E22" s="332">
        <v>10</v>
      </c>
      <c r="F22" s="330" t="s">
        <v>789</v>
      </c>
    </row>
    <row r="23" spans="1:6" x14ac:dyDescent="0.2">
      <c r="A23" s="330" t="s">
        <v>1048</v>
      </c>
      <c r="B23" s="331" t="s">
        <v>1051</v>
      </c>
      <c r="C23" s="332" t="s">
        <v>64</v>
      </c>
      <c r="D23" s="332">
        <v>3</v>
      </c>
      <c r="E23" s="332">
        <v>5</v>
      </c>
      <c r="F23" s="330" t="s">
        <v>1052</v>
      </c>
    </row>
    <row r="24" spans="1:6" x14ac:dyDescent="0.2">
      <c r="A24" s="330" t="s">
        <v>410</v>
      </c>
      <c r="B24" s="331" t="s">
        <v>416</v>
      </c>
      <c r="C24" s="332" t="s">
        <v>207</v>
      </c>
      <c r="D24" s="332">
        <v>5</v>
      </c>
      <c r="E24" s="332">
        <v>10</v>
      </c>
      <c r="F24" s="330" t="s">
        <v>469</v>
      </c>
    </row>
    <row r="25" spans="1:6" x14ac:dyDescent="0.2">
      <c r="A25" s="330" t="s">
        <v>917</v>
      </c>
      <c r="B25" s="331" t="s">
        <v>918</v>
      </c>
      <c r="C25" s="332" t="s">
        <v>207</v>
      </c>
      <c r="D25" s="332">
        <v>5</v>
      </c>
      <c r="E25" s="332">
        <v>10</v>
      </c>
      <c r="F25" s="330" t="s">
        <v>927</v>
      </c>
    </row>
    <row r="26" spans="1:6" x14ac:dyDescent="0.2">
      <c r="A26" s="330" t="s">
        <v>410</v>
      </c>
      <c r="B26" s="331" t="s">
        <v>417</v>
      </c>
      <c r="C26" s="332" t="s">
        <v>207</v>
      </c>
      <c r="D26" s="332">
        <v>5</v>
      </c>
      <c r="E26" s="332">
        <v>10</v>
      </c>
      <c r="F26" s="330" t="s">
        <v>471</v>
      </c>
    </row>
    <row r="27" spans="1:6" x14ac:dyDescent="0.2">
      <c r="A27" s="330" t="s">
        <v>215</v>
      </c>
      <c r="B27" s="331" t="s">
        <v>810</v>
      </c>
      <c r="C27" s="332" t="s">
        <v>207</v>
      </c>
      <c r="D27" s="332">
        <v>5</v>
      </c>
      <c r="E27" s="332">
        <v>10</v>
      </c>
      <c r="F27" s="330" t="s">
        <v>811</v>
      </c>
    </row>
    <row r="28" spans="1:6" x14ac:dyDescent="0.2">
      <c r="A28" s="330" t="s">
        <v>917</v>
      </c>
      <c r="B28" s="331" t="s">
        <v>919</v>
      </c>
      <c r="C28" s="332" t="s">
        <v>64</v>
      </c>
      <c r="D28" s="332">
        <v>4</v>
      </c>
      <c r="E28" s="332">
        <v>10</v>
      </c>
      <c r="F28" s="330" t="s">
        <v>920</v>
      </c>
    </row>
    <row r="29" spans="1:6" x14ac:dyDescent="0.2">
      <c r="A29" s="330" t="s">
        <v>287</v>
      </c>
      <c r="B29" s="331" t="s">
        <v>374</v>
      </c>
      <c r="C29" s="332" t="s">
        <v>207</v>
      </c>
      <c r="D29" s="332">
        <v>6</v>
      </c>
      <c r="E29" s="332">
        <v>10</v>
      </c>
      <c r="F29" s="330" t="s">
        <v>375</v>
      </c>
    </row>
    <row r="30" spans="1:6" x14ac:dyDescent="0.2">
      <c r="A30" s="330" t="s">
        <v>1048</v>
      </c>
      <c r="B30" s="331" t="s">
        <v>1053</v>
      </c>
      <c r="C30" s="332" t="s">
        <v>207</v>
      </c>
      <c r="D30" s="332">
        <v>5</v>
      </c>
      <c r="E30" s="332">
        <v>10</v>
      </c>
      <c r="F30" s="330" t="s">
        <v>1054</v>
      </c>
    </row>
    <row r="31" spans="1:6" x14ac:dyDescent="0.2">
      <c r="A31" s="330" t="s">
        <v>287</v>
      </c>
      <c r="B31" s="331" t="s">
        <v>376</v>
      </c>
      <c r="C31" s="332" t="s">
        <v>208</v>
      </c>
      <c r="D31" s="332">
        <v>4</v>
      </c>
      <c r="E31" s="332">
        <v>10</v>
      </c>
      <c r="F31" s="330" t="s">
        <v>377</v>
      </c>
    </row>
    <row r="32" spans="1:6" x14ac:dyDescent="0.2">
      <c r="A32" s="330" t="s">
        <v>917</v>
      </c>
      <c r="B32" s="331" t="s">
        <v>921</v>
      </c>
      <c r="C32" s="332" t="s">
        <v>208</v>
      </c>
      <c r="D32" s="332">
        <v>3</v>
      </c>
      <c r="E32" s="332">
        <v>10</v>
      </c>
      <c r="F32" s="330" t="s">
        <v>922</v>
      </c>
    </row>
    <row r="33" spans="1:6" x14ac:dyDescent="0.2">
      <c r="A33" s="330" t="s">
        <v>411</v>
      </c>
      <c r="B33" s="331" t="s">
        <v>412</v>
      </c>
      <c r="C33" s="332" t="s">
        <v>208</v>
      </c>
      <c r="D33" s="332">
        <v>3</v>
      </c>
      <c r="E33" s="332">
        <v>5</v>
      </c>
      <c r="F33" s="330" t="s">
        <v>413</v>
      </c>
    </row>
    <row r="34" spans="1:6" x14ac:dyDescent="0.2">
      <c r="A34" s="330" t="s">
        <v>378</v>
      </c>
      <c r="B34" s="331" t="s">
        <v>272</v>
      </c>
      <c r="C34" s="332" t="s">
        <v>64</v>
      </c>
      <c r="D34" s="332">
        <v>3</v>
      </c>
      <c r="E34" s="332">
        <v>10</v>
      </c>
      <c r="F34" s="330" t="s">
        <v>273</v>
      </c>
    </row>
    <row r="35" spans="1:6" x14ac:dyDescent="0.2">
      <c r="A35" s="330" t="s">
        <v>391</v>
      </c>
      <c r="B35" s="331" t="s">
        <v>395</v>
      </c>
      <c r="C35" s="332" t="s">
        <v>207</v>
      </c>
      <c r="D35" s="332">
        <v>4</v>
      </c>
      <c r="E35" s="332">
        <v>10</v>
      </c>
      <c r="F35" s="330" t="s">
        <v>396</v>
      </c>
    </row>
    <row r="36" spans="1:6" x14ac:dyDescent="0.2">
      <c r="A36" s="330" t="s">
        <v>378</v>
      </c>
      <c r="B36" s="331" t="s">
        <v>276</v>
      </c>
      <c r="C36" s="332" t="s">
        <v>64</v>
      </c>
      <c r="D36" s="332">
        <v>6</v>
      </c>
      <c r="E36" s="332">
        <v>10</v>
      </c>
      <c r="F36" s="330" t="s">
        <v>274</v>
      </c>
    </row>
    <row r="37" spans="1:6" x14ac:dyDescent="0.2">
      <c r="A37" s="330" t="s">
        <v>378</v>
      </c>
      <c r="B37" s="331" t="s">
        <v>275</v>
      </c>
      <c r="C37" s="332" t="s">
        <v>207</v>
      </c>
      <c r="D37" s="332">
        <v>6</v>
      </c>
      <c r="E37" s="332">
        <v>10</v>
      </c>
      <c r="F37" s="330" t="s">
        <v>274</v>
      </c>
    </row>
    <row r="38" spans="1:6" x14ac:dyDescent="0.2">
      <c r="A38" s="330" t="s">
        <v>1048</v>
      </c>
      <c r="B38" s="331" t="s">
        <v>1055</v>
      </c>
      <c r="C38" s="332" t="s">
        <v>208</v>
      </c>
      <c r="D38" s="332">
        <v>4</v>
      </c>
      <c r="E38" s="332">
        <v>10</v>
      </c>
      <c r="F38" s="330" t="s">
        <v>1056</v>
      </c>
    </row>
    <row r="39" spans="1:6" x14ac:dyDescent="0.2">
      <c r="A39" s="330" t="s">
        <v>215</v>
      </c>
      <c r="B39" s="331" t="s">
        <v>812</v>
      </c>
      <c r="C39" s="332" t="s">
        <v>64</v>
      </c>
      <c r="D39" s="332">
        <v>4</v>
      </c>
      <c r="E39" s="332">
        <v>10</v>
      </c>
      <c r="F39" s="330" t="s">
        <v>813</v>
      </c>
    </row>
    <row r="40" spans="1:6" x14ac:dyDescent="0.2">
      <c r="A40" s="330" t="s">
        <v>391</v>
      </c>
      <c r="B40" s="331" t="s">
        <v>397</v>
      </c>
      <c r="C40" s="332" t="s">
        <v>64</v>
      </c>
      <c r="D40" s="332">
        <v>4</v>
      </c>
      <c r="E40" s="332">
        <v>5</v>
      </c>
      <c r="F40" s="330" t="s">
        <v>398</v>
      </c>
    </row>
    <row r="41" spans="1:6" x14ac:dyDescent="0.2">
      <c r="A41" s="330" t="s">
        <v>287</v>
      </c>
      <c r="B41" s="331" t="s">
        <v>379</v>
      </c>
      <c r="C41" s="332" t="s">
        <v>64</v>
      </c>
      <c r="D41" s="332">
        <v>4</v>
      </c>
      <c r="E41" s="332">
        <v>10</v>
      </c>
      <c r="F41" s="330" t="s">
        <v>380</v>
      </c>
    </row>
    <row r="42" spans="1:6" x14ac:dyDescent="0.2">
      <c r="A42" s="330" t="s">
        <v>215</v>
      </c>
      <c r="B42" s="331" t="s">
        <v>814</v>
      </c>
      <c r="C42" s="332" t="s">
        <v>208</v>
      </c>
      <c r="D42" s="332">
        <v>2</v>
      </c>
      <c r="E42" s="332">
        <v>10</v>
      </c>
      <c r="F42" s="330" t="s">
        <v>815</v>
      </c>
    </row>
    <row r="43" spans="1:6" x14ac:dyDescent="0.2">
      <c r="A43" s="330" t="s">
        <v>410</v>
      </c>
      <c r="B43" s="331" t="s">
        <v>418</v>
      </c>
      <c r="C43" s="332" t="s">
        <v>208</v>
      </c>
      <c r="D43" s="332">
        <v>3</v>
      </c>
      <c r="E43" s="332">
        <v>10</v>
      </c>
      <c r="F43" s="330" t="s">
        <v>472</v>
      </c>
    </row>
    <row r="44" spans="1:6" x14ac:dyDescent="0.2">
      <c r="A44" s="330" t="s">
        <v>1048</v>
      </c>
      <c r="B44" s="331" t="s">
        <v>1057</v>
      </c>
      <c r="C44" s="332" t="s">
        <v>207</v>
      </c>
      <c r="D44" s="332">
        <v>4</v>
      </c>
      <c r="E44" s="332">
        <v>10</v>
      </c>
      <c r="F44" s="330" t="s">
        <v>1058</v>
      </c>
    </row>
    <row r="45" spans="1:6" x14ac:dyDescent="0.2">
      <c r="A45" s="330" t="s">
        <v>391</v>
      </c>
      <c r="B45" s="331" t="s">
        <v>399</v>
      </c>
      <c r="C45" s="332" t="s">
        <v>208</v>
      </c>
      <c r="D45" s="332">
        <v>2</v>
      </c>
      <c r="E45" s="332">
        <v>10</v>
      </c>
      <c r="F45" s="330" t="s">
        <v>401</v>
      </c>
    </row>
    <row r="46" spans="1:6" x14ac:dyDescent="0.2">
      <c r="A46" s="330" t="s">
        <v>1135</v>
      </c>
      <c r="B46" s="331" t="s">
        <v>1139</v>
      </c>
      <c r="C46" s="332" t="s">
        <v>64</v>
      </c>
      <c r="D46" s="332">
        <v>4</v>
      </c>
      <c r="E46" s="332">
        <v>10</v>
      </c>
      <c r="F46" s="330" t="s">
        <v>1140</v>
      </c>
    </row>
    <row r="47" spans="1:6" x14ac:dyDescent="0.2">
      <c r="A47" s="330" t="s">
        <v>215</v>
      </c>
      <c r="B47" s="331" t="s">
        <v>816</v>
      </c>
      <c r="C47" s="332" t="s">
        <v>208</v>
      </c>
      <c r="D47" s="332">
        <v>2</v>
      </c>
      <c r="E47" s="332">
        <v>5</v>
      </c>
      <c r="F47" s="330" t="s">
        <v>817</v>
      </c>
    </row>
    <row r="48" spans="1:6" x14ac:dyDescent="0.2">
      <c r="A48" s="330" t="s">
        <v>287</v>
      </c>
      <c r="B48" s="331" t="s">
        <v>381</v>
      </c>
      <c r="C48" s="332" t="s">
        <v>64</v>
      </c>
      <c r="D48" s="332">
        <v>4</v>
      </c>
      <c r="E48" s="332">
        <v>10</v>
      </c>
      <c r="F48" s="330" t="s">
        <v>382</v>
      </c>
    </row>
    <row r="49" spans="1:6" x14ac:dyDescent="0.2">
      <c r="A49" s="330" t="s">
        <v>785</v>
      </c>
      <c r="B49" s="331" t="s">
        <v>790</v>
      </c>
      <c r="C49" s="332" t="s">
        <v>207</v>
      </c>
      <c r="D49" s="332">
        <v>4</v>
      </c>
      <c r="E49" s="332">
        <v>10</v>
      </c>
      <c r="F49" s="330" t="s">
        <v>791</v>
      </c>
    </row>
    <row r="50" spans="1:6" x14ac:dyDescent="0.2">
      <c r="A50" s="330" t="s">
        <v>215</v>
      </c>
      <c r="B50" s="331" t="s">
        <v>818</v>
      </c>
      <c r="C50" s="332" t="s">
        <v>64</v>
      </c>
      <c r="D50" s="332">
        <v>3</v>
      </c>
      <c r="E50" s="332">
        <v>10</v>
      </c>
      <c r="F50" s="330" t="s">
        <v>819</v>
      </c>
    </row>
    <row r="51" spans="1:6" x14ac:dyDescent="0.2">
      <c r="A51" s="330" t="s">
        <v>427</v>
      </c>
      <c r="B51" s="331" t="s">
        <v>430</v>
      </c>
      <c r="C51" s="332" t="s">
        <v>208</v>
      </c>
      <c r="D51" s="332">
        <v>2</v>
      </c>
      <c r="E51" s="332">
        <v>10</v>
      </c>
      <c r="F51" s="330" t="s">
        <v>460</v>
      </c>
    </row>
    <row r="52" spans="1:6" x14ac:dyDescent="0.2">
      <c r="A52" s="330" t="s">
        <v>785</v>
      </c>
      <c r="B52" s="331" t="s">
        <v>794</v>
      </c>
      <c r="C52" s="332" t="s">
        <v>207</v>
      </c>
      <c r="D52" s="332">
        <v>6</v>
      </c>
      <c r="E52" s="332">
        <v>10</v>
      </c>
      <c r="F52" s="330" t="s">
        <v>795</v>
      </c>
    </row>
    <row r="53" spans="1:6" x14ac:dyDescent="0.2">
      <c r="A53" s="330" t="s">
        <v>410</v>
      </c>
      <c r="B53" s="331" t="s">
        <v>419</v>
      </c>
      <c r="C53" s="332" t="s">
        <v>207</v>
      </c>
      <c r="D53" s="332">
        <v>5</v>
      </c>
      <c r="E53" s="332">
        <v>5</v>
      </c>
      <c r="F53" s="330" t="s">
        <v>473</v>
      </c>
    </row>
    <row r="54" spans="1:6" x14ac:dyDescent="0.2">
      <c r="A54" s="330" t="s">
        <v>391</v>
      </c>
      <c r="B54" s="331" t="s">
        <v>402</v>
      </c>
      <c r="C54" s="332" t="s">
        <v>207</v>
      </c>
      <c r="D54" s="332">
        <v>5</v>
      </c>
      <c r="E54" s="332">
        <v>10</v>
      </c>
      <c r="F54" s="330" t="s">
        <v>403</v>
      </c>
    </row>
    <row r="55" spans="1:6" x14ac:dyDescent="0.2">
      <c r="A55" s="330" t="s">
        <v>215</v>
      </c>
      <c r="B55" s="331" t="s">
        <v>820</v>
      </c>
      <c r="C55" s="332" t="s">
        <v>207</v>
      </c>
      <c r="D55" s="332">
        <v>6</v>
      </c>
      <c r="E55" s="332">
        <v>10</v>
      </c>
      <c r="F55" s="330" t="s">
        <v>821</v>
      </c>
    </row>
    <row r="56" spans="1:6" x14ac:dyDescent="0.2">
      <c r="A56" s="330" t="s">
        <v>917</v>
      </c>
      <c r="B56" s="331" t="s">
        <v>923</v>
      </c>
      <c r="C56" s="332" t="s">
        <v>207</v>
      </c>
      <c r="D56" s="332">
        <v>5</v>
      </c>
      <c r="E56" s="332">
        <v>10</v>
      </c>
      <c r="F56" s="330" t="s">
        <v>928</v>
      </c>
    </row>
    <row r="57" spans="1:6" x14ac:dyDescent="0.2">
      <c r="A57" s="330" t="s">
        <v>1135</v>
      </c>
      <c r="B57" s="331" t="s">
        <v>1141</v>
      </c>
      <c r="C57" s="332" t="s">
        <v>207</v>
      </c>
      <c r="D57" s="332">
        <v>6</v>
      </c>
      <c r="E57" s="332">
        <v>10</v>
      </c>
      <c r="F57" s="330" t="s">
        <v>1142</v>
      </c>
    </row>
    <row r="58" spans="1:6" x14ac:dyDescent="0.2">
      <c r="A58" s="330" t="s">
        <v>427</v>
      </c>
      <c r="B58" s="331" t="s">
        <v>431</v>
      </c>
      <c r="C58" s="332" t="s">
        <v>207</v>
      </c>
      <c r="D58" s="332">
        <v>4</v>
      </c>
      <c r="E58" s="332">
        <v>10</v>
      </c>
      <c r="F58" s="330" t="s">
        <v>461</v>
      </c>
    </row>
    <row r="59" spans="1:6" x14ac:dyDescent="0.2">
      <c r="A59" s="330" t="s">
        <v>785</v>
      </c>
      <c r="B59" s="331" t="s">
        <v>792</v>
      </c>
      <c r="C59" s="332" t="s">
        <v>207</v>
      </c>
      <c r="D59" s="332">
        <v>6</v>
      </c>
      <c r="E59" s="332">
        <v>10</v>
      </c>
      <c r="F59" s="330" t="s">
        <v>793</v>
      </c>
    </row>
    <row r="60" spans="1:6" x14ac:dyDescent="0.2">
      <c r="A60" s="330" t="s">
        <v>287</v>
      </c>
      <c r="B60" s="331" t="s">
        <v>383</v>
      </c>
      <c r="C60" s="332" t="s">
        <v>207</v>
      </c>
      <c r="D60" s="332">
        <v>5</v>
      </c>
      <c r="E60" s="332">
        <v>10</v>
      </c>
      <c r="F60" s="330" t="s">
        <v>384</v>
      </c>
    </row>
    <row r="61" spans="1:6" x14ac:dyDescent="0.2">
      <c r="A61" s="330" t="s">
        <v>378</v>
      </c>
      <c r="B61" s="331" t="s">
        <v>277</v>
      </c>
      <c r="C61" s="332" t="s">
        <v>208</v>
      </c>
      <c r="D61" s="332">
        <v>4</v>
      </c>
      <c r="E61" s="332">
        <v>5</v>
      </c>
      <c r="F61" s="330" t="s">
        <v>278</v>
      </c>
    </row>
    <row r="62" spans="1:6" x14ac:dyDescent="0.2">
      <c r="A62" s="330" t="s">
        <v>215</v>
      </c>
      <c r="B62" s="331" t="s">
        <v>822</v>
      </c>
      <c r="C62" s="332" t="s">
        <v>208</v>
      </c>
      <c r="D62" s="332">
        <v>4</v>
      </c>
      <c r="E62" s="332">
        <v>10</v>
      </c>
      <c r="F62" s="330" t="s">
        <v>823</v>
      </c>
    </row>
    <row r="63" spans="1:6" x14ac:dyDescent="0.2">
      <c r="A63" s="330" t="s">
        <v>427</v>
      </c>
      <c r="B63" s="331" t="s">
        <v>432</v>
      </c>
      <c r="C63" s="332" t="s">
        <v>207</v>
      </c>
      <c r="D63" s="332">
        <v>5</v>
      </c>
      <c r="E63" s="332">
        <v>10</v>
      </c>
      <c r="F63" s="330" t="s">
        <v>462</v>
      </c>
    </row>
    <row r="64" spans="1:6" x14ac:dyDescent="0.2">
      <c r="A64" s="330" t="s">
        <v>287</v>
      </c>
      <c r="B64" s="331" t="s">
        <v>385</v>
      </c>
      <c r="C64" s="332" t="s">
        <v>64</v>
      </c>
      <c r="D64" s="332">
        <v>3</v>
      </c>
      <c r="E64" s="332">
        <v>5</v>
      </c>
      <c r="F64" s="330" t="s">
        <v>386</v>
      </c>
    </row>
    <row r="65" spans="1:6" x14ac:dyDescent="0.2">
      <c r="A65" s="330" t="s">
        <v>391</v>
      </c>
      <c r="B65" s="331" t="s">
        <v>404</v>
      </c>
      <c r="C65" s="332" t="s">
        <v>207</v>
      </c>
      <c r="D65" s="332">
        <v>5</v>
      </c>
      <c r="E65" s="332">
        <v>10</v>
      </c>
      <c r="F65" s="330" t="s">
        <v>405</v>
      </c>
    </row>
    <row r="66" spans="1:6" x14ac:dyDescent="0.2">
      <c r="A66" s="330" t="s">
        <v>1048</v>
      </c>
      <c r="B66" s="331" t="s">
        <v>1059</v>
      </c>
      <c r="C66" s="332" t="s">
        <v>207</v>
      </c>
      <c r="D66" s="332">
        <v>4</v>
      </c>
      <c r="E66" s="332">
        <v>10</v>
      </c>
      <c r="F66" s="330" t="s">
        <v>1060</v>
      </c>
    </row>
    <row r="67" spans="1:6" x14ac:dyDescent="0.2">
      <c r="A67" s="330" t="s">
        <v>427</v>
      </c>
      <c r="B67" s="331" t="s">
        <v>433</v>
      </c>
      <c r="C67" s="332" t="s">
        <v>207</v>
      </c>
      <c r="D67" s="332">
        <v>4</v>
      </c>
      <c r="E67" s="332">
        <v>10</v>
      </c>
      <c r="F67" s="330" t="s">
        <v>463</v>
      </c>
    </row>
    <row r="68" spans="1:6" x14ac:dyDescent="0.2">
      <c r="A68" s="330" t="s">
        <v>410</v>
      </c>
      <c r="B68" s="331" t="s">
        <v>420</v>
      </c>
      <c r="C68" s="332" t="s">
        <v>207</v>
      </c>
      <c r="D68" s="332">
        <v>4</v>
      </c>
      <c r="E68" s="332">
        <v>10</v>
      </c>
      <c r="F68" s="330" t="s">
        <v>474</v>
      </c>
    </row>
    <row r="69" spans="1:6" x14ac:dyDescent="0.2">
      <c r="A69" s="330" t="s">
        <v>410</v>
      </c>
      <c r="B69" s="331" t="s">
        <v>421</v>
      </c>
      <c r="C69" s="332" t="s">
        <v>64</v>
      </c>
      <c r="D69" s="332">
        <v>4</v>
      </c>
      <c r="E69" s="332">
        <v>5</v>
      </c>
      <c r="F69" s="330" t="s">
        <v>475</v>
      </c>
    </row>
    <row r="70" spans="1:6" x14ac:dyDescent="0.2">
      <c r="A70" s="330" t="s">
        <v>410</v>
      </c>
      <c r="B70" s="331" t="s">
        <v>422</v>
      </c>
      <c r="C70" s="332" t="s">
        <v>64</v>
      </c>
      <c r="D70" s="332">
        <v>4</v>
      </c>
      <c r="E70" s="332">
        <v>10</v>
      </c>
      <c r="F70" s="330" t="s">
        <v>476</v>
      </c>
    </row>
    <row r="71" spans="1:6" x14ac:dyDescent="0.2">
      <c r="A71" s="330" t="s">
        <v>785</v>
      </c>
      <c r="B71" s="331" t="s">
        <v>796</v>
      </c>
      <c r="C71" s="332" t="s">
        <v>207</v>
      </c>
      <c r="D71" s="332">
        <v>4</v>
      </c>
      <c r="E71" s="332">
        <v>10</v>
      </c>
      <c r="F71" s="330" t="s">
        <v>797</v>
      </c>
    </row>
    <row r="72" spans="1:6" x14ac:dyDescent="0.2">
      <c r="A72" s="330" t="s">
        <v>215</v>
      </c>
      <c r="B72" s="331" t="s">
        <v>824</v>
      </c>
      <c r="C72" s="332" t="s">
        <v>208</v>
      </c>
      <c r="D72" s="332">
        <v>2</v>
      </c>
      <c r="E72" s="332">
        <v>10</v>
      </c>
      <c r="F72" s="330" t="s">
        <v>825</v>
      </c>
    </row>
    <row r="73" spans="1:6" x14ac:dyDescent="0.2">
      <c r="A73" s="330" t="s">
        <v>378</v>
      </c>
      <c r="B73" s="331" t="s">
        <v>279</v>
      </c>
      <c r="C73" s="332" t="s">
        <v>208</v>
      </c>
      <c r="D73" s="332">
        <v>2</v>
      </c>
      <c r="E73" s="332">
        <v>10</v>
      </c>
      <c r="F73" s="330" t="s">
        <v>280</v>
      </c>
    </row>
    <row r="74" spans="1:6" x14ac:dyDescent="0.2">
      <c r="A74" s="330" t="s">
        <v>1048</v>
      </c>
      <c r="B74" s="331" t="s">
        <v>1061</v>
      </c>
      <c r="C74" s="332" t="s">
        <v>64</v>
      </c>
      <c r="D74" s="332">
        <v>3</v>
      </c>
      <c r="E74" s="332">
        <v>10</v>
      </c>
      <c r="F74" s="330" t="s">
        <v>1062</v>
      </c>
    </row>
    <row r="75" spans="1:6" x14ac:dyDescent="0.2">
      <c r="A75" s="330" t="s">
        <v>1135</v>
      </c>
      <c r="B75" s="331" t="s">
        <v>1143</v>
      </c>
      <c r="C75" s="332" t="s">
        <v>207</v>
      </c>
      <c r="D75" s="332">
        <v>4</v>
      </c>
      <c r="E75" s="332">
        <v>10</v>
      </c>
      <c r="F75" s="330" t="s">
        <v>1144</v>
      </c>
    </row>
    <row r="76" spans="1:6" x14ac:dyDescent="0.2">
      <c r="A76" s="330" t="s">
        <v>1048</v>
      </c>
      <c r="B76" s="331" t="s">
        <v>1063</v>
      </c>
      <c r="C76" s="332" t="s">
        <v>207</v>
      </c>
      <c r="D76" s="332">
        <v>5</v>
      </c>
      <c r="E76" s="332">
        <v>10</v>
      </c>
      <c r="F76" s="330" t="s">
        <v>1064</v>
      </c>
    </row>
    <row r="77" spans="1:6" x14ac:dyDescent="0.2">
      <c r="A77" s="330" t="s">
        <v>1048</v>
      </c>
      <c r="B77" s="331" t="s">
        <v>1065</v>
      </c>
      <c r="C77" s="332" t="s">
        <v>64</v>
      </c>
      <c r="D77" s="332">
        <v>3</v>
      </c>
      <c r="E77" s="332">
        <v>5</v>
      </c>
      <c r="F77" s="330" t="s">
        <v>1066</v>
      </c>
    </row>
    <row r="78" spans="1:6" x14ac:dyDescent="0.2">
      <c r="A78" s="330" t="s">
        <v>391</v>
      </c>
      <c r="B78" s="331" t="s">
        <v>406</v>
      </c>
      <c r="C78" s="332" t="s">
        <v>64</v>
      </c>
      <c r="D78" s="332">
        <v>3</v>
      </c>
      <c r="E78" s="332">
        <v>5</v>
      </c>
      <c r="F78" s="330" t="s">
        <v>407</v>
      </c>
    </row>
    <row r="79" spans="1:6" x14ac:dyDescent="0.2">
      <c r="A79" s="330" t="s">
        <v>410</v>
      </c>
      <c r="B79" s="331" t="s">
        <v>423</v>
      </c>
      <c r="C79" s="332" t="s">
        <v>207</v>
      </c>
      <c r="D79" s="332">
        <v>4</v>
      </c>
      <c r="E79" s="332">
        <v>5</v>
      </c>
      <c r="F79" s="330" t="s">
        <v>477</v>
      </c>
    </row>
    <row r="80" spans="1:6" x14ac:dyDescent="0.2">
      <c r="A80" s="330" t="s">
        <v>1135</v>
      </c>
      <c r="B80" s="331" t="s">
        <v>1145</v>
      </c>
      <c r="C80" s="332" t="s">
        <v>207</v>
      </c>
      <c r="D80" s="332">
        <v>5</v>
      </c>
      <c r="E80" s="332">
        <v>5</v>
      </c>
      <c r="F80" s="330" t="s">
        <v>1146</v>
      </c>
    </row>
    <row r="81" spans="1:6" x14ac:dyDescent="0.2">
      <c r="A81" s="330" t="s">
        <v>391</v>
      </c>
      <c r="B81" s="331" t="s">
        <v>408</v>
      </c>
      <c r="C81" s="332" t="s">
        <v>208</v>
      </c>
      <c r="D81" s="332">
        <v>3</v>
      </c>
      <c r="E81" s="332">
        <v>10</v>
      </c>
      <c r="F81" s="330" t="s">
        <v>441</v>
      </c>
    </row>
    <row r="82" spans="1:6" x14ac:dyDescent="0.2">
      <c r="A82" s="330" t="s">
        <v>1135</v>
      </c>
      <c r="B82" s="331" t="s">
        <v>1147</v>
      </c>
      <c r="C82" s="332" t="s">
        <v>64</v>
      </c>
      <c r="D82" s="332">
        <v>3</v>
      </c>
      <c r="E82" s="332">
        <v>10</v>
      </c>
      <c r="F82" s="330" t="s">
        <v>1148</v>
      </c>
    </row>
    <row r="83" spans="1:6" x14ac:dyDescent="0.2">
      <c r="A83" s="330" t="s">
        <v>215</v>
      </c>
      <c r="B83" s="331" t="s">
        <v>826</v>
      </c>
      <c r="C83" s="332" t="s">
        <v>207</v>
      </c>
      <c r="D83" s="332">
        <v>6</v>
      </c>
      <c r="E83" s="332">
        <v>10</v>
      </c>
      <c r="F83" s="330" t="s">
        <v>827</v>
      </c>
    </row>
    <row r="84" spans="1:6" x14ac:dyDescent="0.2">
      <c r="A84" s="330" t="s">
        <v>410</v>
      </c>
      <c r="B84" s="331" t="s">
        <v>424</v>
      </c>
      <c r="C84" s="332" t="s">
        <v>64</v>
      </c>
      <c r="D84" s="332">
        <v>3</v>
      </c>
      <c r="E84" s="332">
        <v>10</v>
      </c>
      <c r="F84" s="330" t="s">
        <v>478</v>
      </c>
    </row>
    <row r="85" spans="1:6" x14ac:dyDescent="0.2">
      <c r="A85" s="330" t="s">
        <v>427</v>
      </c>
      <c r="B85" s="331" t="s">
        <v>434</v>
      </c>
      <c r="C85" s="332" t="s">
        <v>208</v>
      </c>
      <c r="D85" s="332">
        <v>2</v>
      </c>
      <c r="E85" s="332">
        <v>10</v>
      </c>
      <c r="F85" s="330" t="s">
        <v>464</v>
      </c>
    </row>
    <row r="86" spans="1:6" x14ac:dyDescent="0.2">
      <c r="A86" s="330" t="s">
        <v>917</v>
      </c>
      <c r="B86" s="331" t="s">
        <v>924</v>
      </c>
      <c r="C86" s="332" t="s">
        <v>64</v>
      </c>
      <c r="D86" s="332">
        <v>4</v>
      </c>
      <c r="E86" s="332">
        <v>10</v>
      </c>
      <c r="F86" s="330" t="s">
        <v>925</v>
      </c>
    </row>
    <row r="87" spans="1:6" x14ac:dyDescent="0.2">
      <c r="A87" s="330" t="s">
        <v>917</v>
      </c>
      <c r="B87" s="331" t="s">
        <v>926</v>
      </c>
      <c r="C87" s="332" t="s">
        <v>64</v>
      </c>
      <c r="D87" s="332">
        <v>4</v>
      </c>
      <c r="E87" s="332">
        <v>10</v>
      </c>
      <c r="F87" s="330" t="s">
        <v>929</v>
      </c>
    </row>
    <row r="88" spans="1:6" x14ac:dyDescent="0.2">
      <c r="A88" s="330" t="s">
        <v>427</v>
      </c>
      <c r="B88" s="331" t="s">
        <v>435</v>
      </c>
      <c r="C88" s="332" t="s">
        <v>208</v>
      </c>
      <c r="D88" s="332">
        <v>2</v>
      </c>
      <c r="E88" s="332">
        <v>10</v>
      </c>
      <c r="F88" s="330" t="s">
        <v>465</v>
      </c>
    </row>
    <row r="89" spans="1:6" x14ac:dyDescent="0.2">
      <c r="A89" s="330" t="s">
        <v>391</v>
      </c>
      <c r="B89" s="331" t="s">
        <v>409</v>
      </c>
      <c r="C89" s="332" t="s">
        <v>64</v>
      </c>
      <c r="D89" s="332">
        <v>4</v>
      </c>
      <c r="E89" s="332">
        <v>10</v>
      </c>
      <c r="F89" s="330" t="s">
        <v>439</v>
      </c>
    </row>
    <row r="90" spans="1:6" x14ac:dyDescent="0.2">
      <c r="A90" s="330" t="s">
        <v>917</v>
      </c>
      <c r="B90" s="331" t="s">
        <v>930</v>
      </c>
      <c r="C90" s="332" t="s">
        <v>207</v>
      </c>
      <c r="D90" s="332">
        <v>5</v>
      </c>
      <c r="E90" s="332">
        <v>10</v>
      </c>
      <c r="F90" s="330" t="s">
        <v>932</v>
      </c>
    </row>
    <row r="91" spans="1:6" x14ac:dyDescent="0.2">
      <c r="A91" s="330" t="s">
        <v>427</v>
      </c>
      <c r="B91" s="331" t="s">
        <v>436</v>
      </c>
      <c r="C91" s="332" t="s">
        <v>207</v>
      </c>
      <c r="D91" s="332">
        <v>6</v>
      </c>
      <c r="E91" s="332">
        <v>5</v>
      </c>
      <c r="F91" s="330" t="s">
        <v>466</v>
      </c>
    </row>
    <row r="92" spans="1:6" x14ac:dyDescent="0.2">
      <c r="A92" s="330" t="s">
        <v>287</v>
      </c>
      <c r="B92" s="331" t="s">
        <v>387</v>
      </c>
      <c r="C92" s="332" t="s">
        <v>208</v>
      </c>
      <c r="D92" s="332">
        <v>2</v>
      </c>
      <c r="E92" s="332">
        <v>10</v>
      </c>
      <c r="F92" s="330" t="s">
        <v>388</v>
      </c>
    </row>
    <row r="93" spans="1:6" x14ac:dyDescent="0.2">
      <c r="A93" s="330" t="s">
        <v>785</v>
      </c>
      <c r="B93" s="331" t="s">
        <v>800</v>
      </c>
      <c r="C93" s="332" t="s">
        <v>207</v>
      </c>
      <c r="D93" s="332">
        <v>5</v>
      </c>
      <c r="E93" s="332">
        <v>10</v>
      </c>
      <c r="F93" s="330" t="s">
        <v>801</v>
      </c>
    </row>
    <row r="94" spans="1:6" x14ac:dyDescent="0.2">
      <c r="A94" s="330" t="s">
        <v>410</v>
      </c>
      <c r="B94" s="331" t="s">
        <v>425</v>
      </c>
      <c r="C94" s="332" t="s">
        <v>207</v>
      </c>
      <c r="D94" s="332">
        <v>5</v>
      </c>
      <c r="E94" s="332">
        <v>10</v>
      </c>
      <c r="F94" s="330" t="s">
        <v>479</v>
      </c>
    </row>
    <row r="95" spans="1:6" x14ac:dyDescent="0.2">
      <c r="A95" s="330" t="s">
        <v>785</v>
      </c>
      <c r="B95" s="331" t="s">
        <v>802</v>
      </c>
      <c r="C95" s="332" t="s">
        <v>207</v>
      </c>
      <c r="D95" s="332">
        <v>6</v>
      </c>
      <c r="E95" s="332">
        <v>10</v>
      </c>
      <c r="F95" s="330" t="s">
        <v>803</v>
      </c>
    </row>
    <row r="96" spans="1:6" x14ac:dyDescent="0.2">
      <c r="A96" s="330" t="s">
        <v>410</v>
      </c>
      <c r="B96" s="331" t="s">
        <v>426</v>
      </c>
      <c r="C96" s="332" t="s">
        <v>207</v>
      </c>
      <c r="D96" s="332">
        <v>3</v>
      </c>
      <c r="E96" s="332">
        <v>3</v>
      </c>
      <c r="F96" s="330" t="s">
        <v>470</v>
      </c>
    </row>
    <row r="97" spans="1:6" x14ac:dyDescent="0.2">
      <c r="A97" s="330" t="s">
        <v>287</v>
      </c>
      <c r="B97" s="331" t="s">
        <v>389</v>
      </c>
      <c r="C97" s="332" t="s">
        <v>64</v>
      </c>
      <c r="D97" s="332">
        <v>4</v>
      </c>
      <c r="E97" s="332">
        <v>10</v>
      </c>
      <c r="F97" s="330" t="s">
        <v>390</v>
      </c>
    </row>
    <row r="98" spans="1:6" x14ac:dyDescent="0.2">
      <c r="A98" s="330" t="s">
        <v>1135</v>
      </c>
      <c r="B98" s="331" t="s">
        <v>1149</v>
      </c>
      <c r="C98" s="332" t="s">
        <v>207</v>
      </c>
      <c r="D98" s="332">
        <v>5</v>
      </c>
      <c r="E98" s="332">
        <v>10</v>
      </c>
      <c r="F98" s="330" t="s">
        <v>1150</v>
      </c>
    </row>
    <row r="99" spans="1:6" x14ac:dyDescent="0.2">
      <c r="A99" s="330" t="s">
        <v>785</v>
      </c>
      <c r="B99" s="331" t="s">
        <v>804</v>
      </c>
      <c r="C99" s="332" t="s">
        <v>207</v>
      </c>
      <c r="D99" s="332">
        <v>5</v>
      </c>
      <c r="E99" s="332">
        <v>10</v>
      </c>
      <c r="F99" s="330" t="s">
        <v>805</v>
      </c>
    </row>
    <row r="100" spans="1:6" s="357" customFormat="1" x14ac:dyDescent="0.2">
      <c r="A100" s="357" t="s">
        <v>378</v>
      </c>
      <c r="B100" s="358" t="s">
        <v>281</v>
      </c>
      <c r="C100" s="359" t="s">
        <v>208</v>
      </c>
      <c r="D100" s="359">
        <v>2</v>
      </c>
      <c r="E100" s="359">
        <v>5</v>
      </c>
      <c r="F100" s="357" t="s">
        <v>282</v>
      </c>
    </row>
    <row r="101" spans="1:6" s="357" customFormat="1" x14ac:dyDescent="0.2">
      <c r="A101" s="357" t="s">
        <v>215</v>
      </c>
      <c r="B101" s="358" t="s">
        <v>828</v>
      </c>
      <c r="C101" s="359" t="s">
        <v>64</v>
      </c>
      <c r="D101" s="359">
        <v>4</v>
      </c>
      <c r="E101" s="359">
        <v>10</v>
      </c>
      <c r="F101" s="357" t="s">
        <v>829</v>
      </c>
    </row>
    <row r="102" spans="1:6" s="357" customFormat="1" x14ac:dyDescent="0.2">
      <c r="A102" s="357" t="s">
        <v>378</v>
      </c>
      <c r="B102" s="358" t="s">
        <v>283</v>
      </c>
      <c r="C102" s="359" t="s">
        <v>208</v>
      </c>
      <c r="D102" s="359">
        <v>2</v>
      </c>
      <c r="E102" s="359">
        <v>10</v>
      </c>
      <c r="F102" s="357" t="s">
        <v>284</v>
      </c>
    </row>
    <row r="103" spans="1:6" s="357" customFormat="1" x14ac:dyDescent="0.2">
      <c r="A103" s="357" t="s">
        <v>917</v>
      </c>
      <c r="B103" s="358" t="s">
        <v>931</v>
      </c>
      <c r="C103" s="359" t="s">
        <v>207</v>
      </c>
      <c r="D103" s="359">
        <v>5</v>
      </c>
      <c r="E103" s="359">
        <v>10</v>
      </c>
      <c r="F103" s="357" t="s">
        <v>933</v>
      </c>
    </row>
    <row r="104" spans="1:6" s="357" customFormat="1" x14ac:dyDescent="0.2">
      <c r="A104" s="357" t="s">
        <v>378</v>
      </c>
      <c r="B104" s="358" t="s">
        <v>285</v>
      </c>
      <c r="C104" s="359" t="s">
        <v>64</v>
      </c>
      <c r="D104" s="359">
        <v>2</v>
      </c>
      <c r="E104" s="359">
        <v>10</v>
      </c>
      <c r="F104" s="357" t="s">
        <v>286</v>
      </c>
    </row>
    <row r="105" spans="1:6" s="335" customFormat="1" x14ac:dyDescent="0.2">
      <c r="B105" s="333"/>
      <c r="C105" s="334"/>
      <c r="D105" s="334"/>
      <c r="E105" s="334"/>
    </row>
    <row r="106" spans="1:6" s="338" customFormat="1" x14ac:dyDescent="0.2">
      <c r="B106" s="336"/>
      <c r="C106" s="337"/>
      <c r="D106" s="337"/>
      <c r="E106" s="337"/>
    </row>
    <row r="107" spans="1:6" x14ac:dyDescent="0.2">
      <c r="B107" s="339"/>
    </row>
    <row r="108" spans="1:6" x14ac:dyDescent="0.2">
      <c r="B108" s="339"/>
    </row>
    <row r="109" spans="1:6" x14ac:dyDescent="0.2">
      <c r="B109" s="339"/>
    </row>
    <row r="110" spans="1:6" x14ac:dyDescent="0.2">
      <c r="B110" s="339"/>
    </row>
    <row r="111" spans="1:6" x14ac:dyDescent="0.2">
      <c r="B111" s="339"/>
    </row>
    <row r="112" spans="1:6" x14ac:dyDescent="0.2">
      <c r="B112" s="339"/>
    </row>
    <row r="113" spans="2:2" x14ac:dyDescent="0.2">
      <c r="B113" s="339"/>
    </row>
    <row r="114" spans="2:2" x14ac:dyDescent="0.2">
      <c r="B114" s="339"/>
    </row>
    <row r="115" spans="2:2" x14ac:dyDescent="0.2">
      <c r="B115" s="339"/>
    </row>
    <row r="116" spans="2:2" x14ac:dyDescent="0.2">
      <c r="B116" s="339"/>
    </row>
    <row r="117" spans="2:2" x14ac:dyDescent="0.2">
      <c r="B117" s="339"/>
    </row>
    <row r="118" spans="2:2" x14ac:dyDescent="0.2">
      <c r="B118" s="339"/>
    </row>
    <row r="119" spans="2:2" x14ac:dyDescent="0.2">
      <c r="B119" s="339"/>
    </row>
    <row r="120" spans="2:2" x14ac:dyDescent="0.2">
      <c r="B120" s="339"/>
    </row>
    <row r="121" spans="2:2" x14ac:dyDescent="0.2">
      <c r="B121" s="339"/>
    </row>
    <row r="122" spans="2:2" x14ac:dyDescent="0.2">
      <c r="B122" s="339"/>
    </row>
    <row r="123" spans="2:2" x14ac:dyDescent="0.2">
      <c r="B123" s="339"/>
    </row>
    <row r="124" spans="2:2" x14ac:dyDescent="0.2">
      <c r="B124" s="339"/>
    </row>
    <row r="125" spans="2:2" x14ac:dyDescent="0.2">
      <c r="B125" s="339"/>
    </row>
    <row r="126" spans="2:2" x14ac:dyDescent="0.2">
      <c r="B126" s="339"/>
    </row>
    <row r="127" spans="2:2" x14ac:dyDescent="0.2">
      <c r="B127" s="339"/>
    </row>
    <row r="128" spans="2:2" x14ac:dyDescent="0.2">
      <c r="B128" s="339"/>
    </row>
    <row r="129" spans="2:2" x14ac:dyDescent="0.2">
      <c r="B129" s="339"/>
    </row>
    <row r="130" spans="2:2" x14ac:dyDescent="0.2">
      <c r="B130" s="339"/>
    </row>
    <row r="131" spans="2:2" x14ac:dyDescent="0.2">
      <c r="B131" s="339"/>
    </row>
    <row r="132" spans="2:2" x14ac:dyDescent="0.2">
      <c r="B132" s="339"/>
    </row>
    <row r="133" spans="2:2" x14ac:dyDescent="0.2">
      <c r="B133" s="339"/>
    </row>
    <row r="134" spans="2:2" x14ac:dyDescent="0.2">
      <c r="B134" s="339"/>
    </row>
    <row r="135" spans="2:2" x14ac:dyDescent="0.2">
      <c r="B135" s="339"/>
    </row>
    <row r="136" spans="2:2" x14ac:dyDescent="0.2">
      <c r="B136" s="339"/>
    </row>
    <row r="137" spans="2:2" x14ac:dyDescent="0.2">
      <c r="B137" s="339"/>
    </row>
    <row r="138" spans="2:2" x14ac:dyDescent="0.2">
      <c r="B138" s="339"/>
    </row>
    <row r="139" spans="2:2" x14ac:dyDescent="0.2">
      <c r="B139" s="339"/>
    </row>
    <row r="140" spans="2:2" x14ac:dyDescent="0.2">
      <c r="B140" s="339"/>
    </row>
    <row r="141" spans="2:2" x14ac:dyDescent="0.2">
      <c r="B141" s="339"/>
    </row>
    <row r="142" spans="2:2" x14ac:dyDescent="0.2">
      <c r="B142" s="339"/>
    </row>
    <row r="143" spans="2:2" x14ac:dyDescent="0.2">
      <c r="B143" s="339"/>
    </row>
    <row r="144" spans="2:2" x14ac:dyDescent="0.2">
      <c r="B144" s="339"/>
    </row>
    <row r="145" spans="2:2" x14ac:dyDescent="0.2">
      <c r="B145" s="339"/>
    </row>
    <row r="146" spans="2:2" x14ac:dyDescent="0.2">
      <c r="B146" s="339"/>
    </row>
    <row r="147" spans="2:2" x14ac:dyDescent="0.2">
      <c r="B147" s="339"/>
    </row>
    <row r="148" spans="2:2" x14ac:dyDescent="0.2">
      <c r="B148" s="339"/>
    </row>
    <row r="149" spans="2:2" x14ac:dyDescent="0.2">
      <c r="B149" s="339"/>
    </row>
    <row r="150" spans="2:2" x14ac:dyDescent="0.2">
      <c r="B150" s="339"/>
    </row>
    <row r="151" spans="2:2" x14ac:dyDescent="0.2">
      <c r="B151" s="339"/>
    </row>
    <row r="152" spans="2:2" x14ac:dyDescent="0.2">
      <c r="B152" s="339"/>
    </row>
    <row r="153" spans="2:2" x14ac:dyDescent="0.2">
      <c r="B153" s="339"/>
    </row>
    <row r="154" spans="2:2" x14ac:dyDescent="0.2">
      <c r="B154" s="339"/>
    </row>
    <row r="155" spans="2:2" x14ac:dyDescent="0.2">
      <c r="B155" s="339"/>
    </row>
    <row r="156" spans="2:2" x14ac:dyDescent="0.2">
      <c r="B156" s="339"/>
    </row>
    <row r="157" spans="2:2" x14ac:dyDescent="0.2">
      <c r="B157" s="339"/>
    </row>
    <row r="158" spans="2:2" x14ac:dyDescent="0.2">
      <c r="B158" s="339"/>
    </row>
    <row r="159" spans="2:2" x14ac:dyDescent="0.2">
      <c r="B159" s="339"/>
    </row>
    <row r="160" spans="2:2" x14ac:dyDescent="0.2">
      <c r="B160" s="339"/>
    </row>
    <row r="161" spans="2:2" x14ac:dyDescent="0.2">
      <c r="B161" s="339"/>
    </row>
    <row r="162" spans="2:2" x14ac:dyDescent="0.2">
      <c r="B162" s="339"/>
    </row>
    <row r="163" spans="2:2" x14ac:dyDescent="0.2">
      <c r="B163" s="339"/>
    </row>
    <row r="164" spans="2:2" x14ac:dyDescent="0.2">
      <c r="B164" s="339"/>
    </row>
    <row r="165" spans="2:2" x14ac:dyDescent="0.2">
      <c r="B165" s="339"/>
    </row>
    <row r="166" spans="2:2" x14ac:dyDescent="0.2">
      <c r="B166" s="339"/>
    </row>
    <row r="167" spans="2:2" x14ac:dyDescent="0.2">
      <c r="B167" s="339"/>
    </row>
    <row r="168" spans="2:2" x14ac:dyDescent="0.2">
      <c r="B168" s="339"/>
    </row>
    <row r="169" spans="2:2" x14ac:dyDescent="0.2">
      <c r="B169" s="339"/>
    </row>
    <row r="170" spans="2:2" x14ac:dyDescent="0.2">
      <c r="B170" s="339"/>
    </row>
    <row r="171" spans="2:2" x14ac:dyDescent="0.2">
      <c r="B171" s="339"/>
    </row>
    <row r="172" spans="2:2" x14ac:dyDescent="0.2">
      <c r="B172" s="339"/>
    </row>
    <row r="173" spans="2:2" x14ac:dyDescent="0.2">
      <c r="B173" s="339"/>
    </row>
    <row r="174" spans="2:2" x14ac:dyDescent="0.2">
      <c r="B174" s="339"/>
    </row>
    <row r="175" spans="2:2" x14ac:dyDescent="0.2">
      <c r="B175" s="339"/>
    </row>
    <row r="176" spans="2:2" x14ac:dyDescent="0.2">
      <c r="B176" s="339"/>
    </row>
    <row r="177" spans="2:2" x14ac:dyDescent="0.2">
      <c r="B177" s="339"/>
    </row>
    <row r="178" spans="2:2" x14ac:dyDescent="0.2">
      <c r="B178" s="339"/>
    </row>
    <row r="179" spans="2:2" x14ac:dyDescent="0.2">
      <c r="B179" s="339"/>
    </row>
    <row r="180" spans="2:2" x14ac:dyDescent="0.2">
      <c r="B180" s="339"/>
    </row>
    <row r="181" spans="2:2" x14ac:dyDescent="0.2">
      <c r="B181" s="339"/>
    </row>
    <row r="182" spans="2:2" x14ac:dyDescent="0.2">
      <c r="B182" s="339"/>
    </row>
    <row r="183" spans="2:2" x14ac:dyDescent="0.2">
      <c r="B183" s="339"/>
    </row>
    <row r="184" spans="2:2" x14ac:dyDescent="0.2">
      <c r="B184" s="339"/>
    </row>
    <row r="185" spans="2:2" x14ac:dyDescent="0.2">
      <c r="B185" s="339"/>
    </row>
    <row r="186" spans="2:2" x14ac:dyDescent="0.2">
      <c r="B186" s="339"/>
    </row>
    <row r="187" spans="2:2" x14ac:dyDescent="0.2">
      <c r="B187" s="339"/>
    </row>
    <row r="188" spans="2:2" x14ac:dyDescent="0.2">
      <c r="B188" s="339"/>
    </row>
    <row r="189" spans="2:2" x14ac:dyDescent="0.2">
      <c r="B189" s="339"/>
    </row>
    <row r="190" spans="2:2" x14ac:dyDescent="0.2">
      <c r="B190" s="339"/>
    </row>
    <row r="191" spans="2:2" x14ac:dyDescent="0.2">
      <c r="B191" s="339"/>
    </row>
    <row r="192" spans="2:2" x14ac:dyDescent="0.2">
      <c r="B192" s="339"/>
    </row>
    <row r="193" spans="2:2" x14ac:dyDescent="0.2">
      <c r="B193" s="339"/>
    </row>
    <row r="194" spans="2:2" x14ac:dyDescent="0.2">
      <c r="B194" s="339"/>
    </row>
    <row r="195" spans="2:2" x14ac:dyDescent="0.2">
      <c r="B195" s="339"/>
    </row>
    <row r="196" spans="2:2" x14ac:dyDescent="0.2">
      <c r="B196" s="339"/>
    </row>
    <row r="197" spans="2:2" x14ac:dyDescent="0.2">
      <c r="B197" s="339"/>
    </row>
    <row r="198" spans="2:2" x14ac:dyDescent="0.2">
      <c r="B198" s="339"/>
    </row>
    <row r="199" spans="2:2" x14ac:dyDescent="0.2">
      <c r="B199" s="339"/>
    </row>
    <row r="200" spans="2:2" x14ac:dyDescent="0.2">
      <c r="B200" s="339"/>
    </row>
    <row r="201" spans="2:2" x14ac:dyDescent="0.2">
      <c r="B201" s="339"/>
    </row>
    <row r="202" spans="2:2" x14ac:dyDescent="0.2">
      <c r="B202" s="339"/>
    </row>
    <row r="203" spans="2:2" x14ac:dyDescent="0.2">
      <c r="B203" s="339"/>
    </row>
    <row r="204" spans="2:2" x14ac:dyDescent="0.2">
      <c r="B204" s="339"/>
    </row>
    <row r="205" spans="2:2" x14ac:dyDescent="0.2">
      <c r="B205" s="339"/>
    </row>
    <row r="206" spans="2:2" x14ac:dyDescent="0.2">
      <c r="B206" s="339"/>
    </row>
    <row r="207" spans="2:2" x14ac:dyDescent="0.2">
      <c r="B207" s="339"/>
    </row>
    <row r="208" spans="2:2" x14ac:dyDescent="0.2">
      <c r="B208" s="339"/>
    </row>
    <row r="209" spans="2:2" x14ac:dyDescent="0.2">
      <c r="B209" s="339"/>
    </row>
    <row r="210" spans="2:2" x14ac:dyDescent="0.2">
      <c r="B210" s="339"/>
    </row>
    <row r="211" spans="2:2" x14ac:dyDescent="0.2">
      <c r="B211" s="339"/>
    </row>
    <row r="212" spans="2:2" x14ac:dyDescent="0.2">
      <c r="B212" s="339"/>
    </row>
    <row r="213" spans="2:2" x14ac:dyDescent="0.2">
      <c r="B213" s="339"/>
    </row>
    <row r="214" spans="2:2" x14ac:dyDescent="0.2">
      <c r="B214" s="339"/>
    </row>
    <row r="215" spans="2:2" x14ac:dyDescent="0.2">
      <c r="B215" s="339"/>
    </row>
    <row r="216" spans="2:2" x14ac:dyDescent="0.2">
      <c r="B216" s="339"/>
    </row>
    <row r="217" spans="2:2" x14ac:dyDescent="0.2">
      <c r="B217" s="339"/>
    </row>
    <row r="218" spans="2:2" x14ac:dyDescent="0.2">
      <c r="B218" s="339"/>
    </row>
    <row r="219" spans="2:2" x14ac:dyDescent="0.2">
      <c r="B219" s="339"/>
    </row>
    <row r="220" spans="2:2" x14ac:dyDescent="0.2">
      <c r="B220" s="339"/>
    </row>
    <row r="221" spans="2:2" x14ac:dyDescent="0.2">
      <c r="B221" s="339"/>
    </row>
    <row r="222" spans="2:2" x14ac:dyDescent="0.2">
      <c r="B222" s="339"/>
    </row>
    <row r="223" spans="2:2" x14ac:dyDescent="0.2">
      <c r="B223" s="339"/>
    </row>
    <row r="224" spans="2:2" x14ac:dyDescent="0.2">
      <c r="B224" s="339"/>
    </row>
    <row r="225" spans="2:2" x14ac:dyDescent="0.2">
      <c r="B225" s="339"/>
    </row>
    <row r="226" spans="2:2" x14ac:dyDescent="0.2">
      <c r="B226" s="339"/>
    </row>
    <row r="227" spans="2:2" x14ac:dyDescent="0.2">
      <c r="B227" s="339"/>
    </row>
    <row r="228" spans="2:2" x14ac:dyDescent="0.2">
      <c r="B228" s="339"/>
    </row>
    <row r="229" spans="2:2" x14ac:dyDescent="0.2">
      <c r="B229" s="339"/>
    </row>
    <row r="230" spans="2:2" x14ac:dyDescent="0.2">
      <c r="B230" s="339"/>
    </row>
    <row r="231" spans="2:2" x14ac:dyDescent="0.2">
      <c r="B231" s="339"/>
    </row>
    <row r="232" spans="2:2" x14ac:dyDescent="0.2">
      <c r="B232" s="339"/>
    </row>
    <row r="233" spans="2:2" x14ac:dyDescent="0.2">
      <c r="B233" s="339"/>
    </row>
    <row r="234" spans="2:2" x14ac:dyDescent="0.2">
      <c r="B234" s="339"/>
    </row>
    <row r="235" spans="2:2" x14ac:dyDescent="0.2">
      <c r="B235" s="339"/>
    </row>
    <row r="236" spans="2:2" x14ac:dyDescent="0.2">
      <c r="B236" s="339"/>
    </row>
    <row r="237" spans="2:2" x14ac:dyDescent="0.2">
      <c r="B237" s="339"/>
    </row>
    <row r="238" spans="2:2" x14ac:dyDescent="0.2">
      <c r="B238" s="339"/>
    </row>
    <row r="239" spans="2:2" x14ac:dyDescent="0.2">
      <c r="B239" s="339"/>
    </row>
    <row r="240" spans="2:2" x14ac:dyDescent="0.2">
      <c r="B240" s="339"/>
    </row>
    <row r="241" spans="2:2" x14ac:dyDescent="0.2">
      <c r="B241" s="339"/>
    </row>
    <row r="242" spans="2:2" x14ac:dyDescent="0.2">
      <c r="B242" s="339"/>
    </row>
    <row r="243" spans="2:2" x14ac:dyDescent="0.2">
      <c r="B243" s="339"/>
    </row>
    <row r="244" spans="2:2" x14ac:dyDescent="0.2">
      <c r="B244" s="339"/>
    </row>
    <row r="245" spans="2:2" x14ac:dyDescent="0.2">
      <c r="B245" s="339"/>
    </row>
    <row r="246" spans="2:2" x14ac:dyDescent="0.2">
      <c r="B246" s="339"/>
    </row>
    <row r="247" spans="2:2" x14ac:dyDescent="0.2">
      <c r="B247" s="339"/>
    </row>
    <row r="248" spans="2:2" x14ac:dyDescent="0.2">
      <c r="B248" s="339"/>
    </row>
    <row r="249" spans="2:2" x14ac:dyDescent="0.2">
      <c r="B249" s="339"/>
    </row>
    <row r="250" spans="2:2" x14ac:dyDescent="0.2">
      <c r="B250" s="339"/>
    </row>
    <row r="251" spans="2:2" x14ac:dyDescent="0.2">
      <c r="B251" s="339"/>
    </row>
    <row r="252" spans="2:2" x14ac:dyDescent="0.2">
      <c r="B252" s="339"/>
    </row>
    <row r="253" spans="2:2" x14ac:dyDescent="0.2">
      <c r="B253" s="339"/>
    </row>
    <row r="254" spans="2:2" x14ac:dyDescent="0.2">
      <c r="B254" s="339"/>
    </row>
    <row r="255" spans="2:2" x14ac:dyDescent="0.2">
      <c r="B255" s="339"/>
    </row>
    <row r="256" spans="2:2" x14ac:dyDescent="0.2">
      <c r="B256" s="339"/>
    </row>
    <row r="257" spans="2:2" x14ac:dyDescent="0.2">
      <c r="B257" s="339"/>
    </row>
    <row r="258" spans="2:2" x14ac:dyDescent="0.2">
      <c r="B258" s="339"/>
    </row>
    <row r="259" spans="2:2" x14ac:dyDescent="0.2">
      <c r="B259" s="339"/>
    </row>
    <row r="260" spans="2:2" x14ac:dyDescent="0.2">
      <c r="B260" s="339"/>
    </row>
    <row r="261" spans="2:2" x14ac:dyDescent="0.2">
      <c r="B261" s="339"/>
    </row>
    <row r="262" spans="2:2" x14ac:dyDescent="0.2">
      <c r="B262" s="339"/>
    </row>
    <row r="263" spans="2:2" x14ac:dyDescent="0.2">
      <c r="B263" s="339"/>
    </row>
    <row r="264" spans="2:2" x14ac:dyDescent="0.2">
      <c r="B264" s="339"/>
    </row>
    <row r="265" spans="2:2" x14ac:dyDescent="0.2">
      <c r="B265" s="339"/>
    </row>
    <row r="266" spans="2:2" x14ac:dyDescent="0.2">
      <c r="B266" s="339"/>
    </row>
    <row r="267" spans="2:2" x14ac:dyDescent="0.2">
      <c r="B267" s="339"/>
    </row>
    <row r="268" spans="2:2" x14ac:dyDescent="0.2">
      <c r="B268" s="339"/>
    </row>
    <row r="269" spans="2:2" x14ac:dyDescent="0.2">
      <c r="B269" s="339"/>
    </row>
    <row r="270" spans="2:2" x14ac:dyDescent="0.2">
      <c r="B270" s="339"/>
    </row>
    <row r="271" spans="2:2" x14ac:dyDescent="0.2">
      <c r="B271" s="339"/>
    </row>
    <row r="272" spans="2:2" x14ac:dyDescent="0.2">
      <c r="B272" s="339"/>
    </row>
    <row r="273" spans="2:2" x14ac:dyDescent="0.2">
      <c r="B273" s="339"/>
    </row>
    <row r="274" spans="2:2" x14ac:dyDescent="0.2">
      <c r="B274" s="339"/>
    </row>
    <row r="275" spans="2:2" x14ac:dyDescent="0.2">
      <c r="B275" s="339"/>
    </row>
    <row r="276" spans="2:2" x14ac:dyDescent="0.2">
      <c r="B276" s="339"/>
    </row>
    <row r="277" spans="2:2" x14ac:dyDescent="0.2">
      <c r="B277" s="339"/>
    </row>
    <row r="278" spans="2:2" x14ac:dyDescent="0.2">
      <c r="B278" s="339"/>
    </row>
    <row r="279" spans="2:2" x14ac:dyDescent="0.2">
      <c r="B279" s="339"/>
    </row>
    <row r="280" spans="2:2" x14ac:dyDescent="0.2">
      <c r="B280" s="339"/>
    </row>
    <row r="281" spans="2:2" x14ac:dyDescent="0.2">
      <c r="B281" s="339"/>
    </row>
    <row r="282" spans="2:2" x14ac:dyDescent="0.2">
      <c r="B282" s="339"/>
    </row>
    <row r="283" spans="2:2" x14ac:dyDescent="0.2">
      <c r="B283" s="339"/>
    </row>
    <row r="284" spans="2:2" x14ac:dyDescent="0.2">
      <c r="B284" s="339"/>
    </row>
    <row r="285" spans="2:2" x14ac:dyDescent="0.2">
      <c r="B285" s="339"/>
    </row>
    <row r="286" spans="2:2" x14ac:dyDescent="0.2">
      <c r="B286" s="339"/>
    </row>
    <row r="287" spans="2:2" x14ac:dyDescent="0.2">
      <c r="B287" s="339"/>
    </row>
    <row r="288" spans="2:2" x14ac:dyDescent="0.2">
      <c r="B288" s="339"/>
    </row>
    <row r="289" spans="2:2" x14ac:dyDescent="0.2">
      <c r="B289" s="339"/>
    </row>
    <row r="290" spans="2:2" x14ac:dyDescent="0.2">
      <c r="B290" s="339"/>
    </row>
    <row r="291" spans="2:2" x14ac:dyDescent="0.2">
      <c r="B291" s="339"/>
    </row>
    <row r="292" spans="2:2" x14ac:dyDescent="0.2">
      <c r="B292" s="339"/>
    </row>
    <row r="293" spans="2:2" x14ac:dyDescent="0.2">
      <c r="B293" s="339"/>
    </row>
    <row r="294" spans="2:2" x14ac:dyDescent="0.2">
      <c r="B294" s="339"/>
    </row>
    <row r="295" spans="2:2" x14ac:dyDescent="0.2">
      <c r="B295" s="339"/>
    </row>
    <row r="296" spans="2:2" x14ac:dyDescent="0.2">
      <c r="B296" s="339"/>
    </row>
    <row r="297" spans="2:2" x14ac:dyDescent="0.2">
      <c r="B297" s="339"/>
    </row>
    <row r="298" spans="2:2" x14ac:dyDescent="0.2">
      <c r="B298" s="339"/>
    </row>
    <row r="299" spans="2:2" x14ac:dyDescent="0.2">
      <c r="B299" s="339"/>
    </row>
    <row r="300" spans="2:2" x14ac:dyDescent="0.2">
      <c r="B300" s="339"/>
    </row>
    <row r="301" spans="2:2" x14ac:dyDescent="0.2">
      <c r="B301" s="339"/>
    </row>
    <row r="302" spans="2:2" x14ac:dyDescent="0.2">
      <c r="B302" s="339"/>
    </row>
    <row r="303" spans="2:2" x14ac:dyDescent="0.2">
      <c r="B303" s="339"/>
    </row>
    <row r="304" spans="2:2" x14ac:dyDescent="0.2">
      <c r="B304" s="339"/>
    </row>
    <row r="305" spans="2:2" x14ac:dyDescent="0.2">
      <c r="B305" s="339"/>
    </row>
    <row r="306" spans="2:2" x14ac:dyDescent="0.2">
      <c r="B306" s="339"/>
    </row>
    <row r="307" spans="2:2" x14ac:dyDescent="0.2">
      <c r="B307" s="339"/>
    </row>
  </sheetData>
  <sheetProtection sheet="1" objects="1" scenarios="1" selectLockedCells="1"/>
  <sortState ref="A3:F104">
    <sortCondition ref="B3:B10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1">
    <tabColor rgb="FFCCECFF"/>
  </sheetPr>
  <dimension ref="A1:AP17"/>
  <sheetViews>
    <sheetView topLeftCell="AN1" workbookViewId="0">
      <selection activeCell="AN13" sqref="AN13"/>
    </sheetView>
  </sheetViews>
  <sheetFormatPr defaultColWidth="68.7109375" defaultRowHeight="12" customHeight="1" x14ac:dyDescent="0.25"/>
  <cols>
    <col min="1" max="34" width="68.7109375" style="81"/>
    <col min="36" max="16384" width="68.7109375" style="81"/>
  </cols>
  <sheetData>
    <row r="1" spans="1:42" s="82" customFormat="1" ht="12" customHeight="1" x14ac:dyDescent="0.2">
      <c r="A1" s="82" t="s">
        <v>610</v>
      </c>
      <c r="B1" s="82" t="s">
        <v>147</v>
      </c>
      <c r="C1" s="82" t="s">
        <v>643</v>
      </c>
      <c r="D1" s="82" t="s">
        <v>158</v>
      </c>
      <c r="E1" s="82" t="s">
        <v>145</v>
      </c>
      <c r="F1" s="82" t="s">
        <v>657</v>
      </c>
      <c r="G1" s="82" t="s">
        <v>159</v>
      </c>
      <c r="H1" s="82" t="s">
        <v>341</v>
      </c>
      <c r="I1" s="82" t="s">
        <v>160</v>
      </c>
      <c r="J1" s="82" t="s">
        <v>157</v>
      </c>
      <c r="K1" s="82" t="s">
        <v>148</v>
      </c>
      <c r="L1" s="82" t="s">
        <v>149</v>
      </c>
      <c r="M1" s="82" t="s">
        <v>154</v>
      </c>
      <c r="N1" s="82" t="s">
        <v>146</v>
      </c>
      <c r="O1" s="82" t="s">
        <v>151</v>
      </c>
      <c r="P1" s="82" t="s">
        <v>612</v>
      </c>
      <c r="Q1" s="82" t="s">
        <v>613</v>
      </c>
      <c r="R1" s="82" t="s">
        <v>155</v>
      </c>
      <c r="S1" s="82" t="s">
        <v>842</v>
      </c>
      <c r="T1" s="82" t="s">
        <v>156</v>
      </c>
      <c r="U1" s="82" t="s">
        <v>632</v>
      </c>
      <c r="V1" s="82" t="s">
        <v>150</v>
      </c>
      <c r="W1" s="82" t="s">
        <v>619</v>
      </c>
      <c r="X1" s="82" t="s">
        <v>165</v>
      </c>
      <c r="Y1" s="82" t="s">
        <v>164</v>
      </c>
      <c r="Z1" s="82" t="s">
        <v>161</v>
      </c>
      <c r="AA1" s="82" t="s">
        <v>743</v>
      </c>
      <c r="AB1" s="82" t="s">
        <v>616</v>
      </c>
      <c r="AC1" s="82" t="s">
        <v>615</v>
      </c>
      <c r="AD1" s="82" t="s">
        <v>617</v>
      </c>
      <c r="AE1" s="82" t="s">
        <v>152</v>
      </c>
      <c r="AF1" s="82" t="s">
        <v>153</v>
      </c>
      <c r="AG1" s="82" t="s">
        <v>618</v>
      </c>
      <c r="AH1" s="82" t="s">
        <v>162</v>
      </c>
      <c r="AI1" s="82" t="s">
        <v>1074</v>
      </c>
      <c r="AJ1" s="82" t="s">
        <v>1075</v>
      </c>
      <c r="AK1" s="82" t="s">
        <v>1089</v>
      </c>
      <c r="AL1" s="82" t="s">
        <v>1106</v>
      </c>
      <c r="AM1" s="82" t="s">
        <v>1107</v>
      </c>
      <c r="AN1" s="82" t="s">
        <v>1116</v>
      </c>
      <c r="AO1" s="82" t="s">
        <v>909</v>
      </c>
      <c r="AP1" s="82" t="s">
        <v>909</v>
      </c>
    </row>
    <row r="2" spans="1:42" ht="12" customHeight="1" x14ac:dyDescent="0.2">
      <c r="A2" s="81" t="s">
        <v>648</v>
      </c>
      <c r="B2" s="81" t="s">
        <v>638</v>
      </c>
      <c r="C2" s="81" t="s">
        <v>647</v>
      </c>
      <c r="D2" s="81" t="s">
        <v>649</v>
      </c>
      <c r="E2" s="81" t="s">
        <v>647</v>
      </c>
      <c r="F2" s="81" t="s">
        <v>658</v>
      </c>
      <c r="G2" s="81" t="s">
        <v>662</v>
      </c>
      <c r="H2" s="81" t="s">
        <v>647</v>
      </c>
      <c r="I2" s="81" t="s">
        <v>679</v>
      </c>
      <c r="J2" s="81" t="s">
        <v>682</v>
      </c>
      <c r="K2" s="81" t="s">
        <v>687</v>
      </c>
      <c r="L2" s="81" t="s">
        <v>682</v>
      </c>
      <c r="M2" s="81" t="s">
        <v>647</v>
      </c>
      <c r="N2" s="81" t="s">
        <v>647</v>
      </c>
      <c r="O2" s="81" t="s">
        <v>647</v>
      </c>
      <c r="P2" s="81" t="s">
        <v>647</v>
      </c>
      <c r="Q2" s="81" t="s">
        <v>647</v>
      </c>
      <c r="R2" s="81" t="s">
        <v>647</v>
      </c>
      <c r="S2" s="81" t="s">
        <v>662</v>
      </c>
      <c r="T2" s="81" t="s">
        <v>647</v>
      </c>
      <c r="U2" s="81" t="s">
        <v>647</v>
      </c>
      <c r="V2" s="81" t="s">
        <v>647</v>
      </c>
      <c r="W2" s="81" t="s">
        <v>647</v>
      </c>
      <c r="X2" s="81" t="s">
        <v>734</v>
      </c>
      <c r="Y2" s="81" t="s">
        <v>734</v>
      </c>
      <c r="Z2" s="81" t="s">
        <v>647</v>
      </c>
      <c r="AA2" s="81" t="s">
        <v>744</v>
      </c>
      <c r="AB2" s="81" t="s">
        <v>647</v>
      </c>
      <c r="AC2" s="81" t="s">
        <v>752</v>
      </c>
      <c r="AD2" s="81" t="s">
        <v>761</v>
      </c>
      <c r="AE2" s="81" t="s">
        <v>647</v>
      </c>
      <c r="AF2" s="81" t="s">
        <v>774</v>
      </c>
      <c r="AG2" s="81" t="s">
        <v>648</v>
      </c>
      <c r="AH2" s="81" t="s">
        <v>647</v>
      </c>
      <c r="AI2" s="81" t="s">
        <v>1070</v>
      </c>
      <c r="AJ2" s="351" t="s">
        <v>1081</v>
      </c>
      <c r="AK2" s="81" t="s">
        <v>647</v>
      </c>
      <c r="AL2" s="81" t="s">
        <v>647</v>
      </c>
      <c r="AM2" s="81" t="s">
        <v>647</v>
      </c>
      <c r="AN2" s="81" t="s">
        <v>1117</v>
      </c>
    </row>
    <row r="3" spans="1:42" ht="12" customHeight="1" x14ac:dyDescent="0.2">
      <c r="A3" s="81" t="s">
        <v>633</v>
      </c>
      <c r="B3" s="81" t="s">
        <v>544</v>
      </c>
      <c r="C3" s="81" t="s">
        <v>644</v>
      </c>
      <c r="D3" s="81" t="s">
        <v>650</v>
      </c>
      <c r="E3" s="81" t="s">
        <v>549</v>
      </c>
      <c r="F3" s="81" t="s">
        <v>549</v>
      </c>
      <c r="G3" s="81" t="s">
        <v>549</v>
      </c>
      <c r="H3" s="81" t="s">
        <v>544</v>
      </c>
      <c r="I3" s="81" t="s">
        <v>680</v>
      </c>
      <c r="J3" s="81" t="s">
        <v>549</v>
      </c>
      <c r="K3" s="81" t="s">
        <v>544</v>
      </c>
      <c r="L3" s="81" t="s">
        <v>691</v>
      </c>
      <c r="M3" s="81" t="s">
        <v>544</v>
      </c>
      <c r="N3" s="81" t="s">
        <v>551</v>
      </c>
      <c r="O3" s="81" t="s">
        <v>697</v>
      </c>
      <c r="P3" s="81" t="s">
        <v>697</v>
      </c>
      <c r="Q3" s="81" t="s">
        <v>713</v>
      </c>
      <c r="R3" s="81" t="s">
        <v>549</v>
      </c>
      <c r="S3" s="81" t="s">
        <v>549</v>
      </c>
      <c r="T3" s="81" t="s">
        <v>544</v>
      </c>
      <c r="U3" s="81" t="s">
        <v>725</v>
      </c>
      <c r="V3" s="81" t="s">
        <v>680</v>
      </c>
      <c r="W3" s="81" t="s">
        <v>719</v>
      </c>
      <c r="X3" s="81" t="s">
        <v>735</v>
      </c>
      <c r="Y3" s="81" t="s">
        <v>735</v>
      </c>
      <c r="Z3" s="81" t="s">
        <v>544</v>
      </c>
      <c r="AA3" s="81" t="s">
        <v>549</v>
      </c>
      <c r="AB3" s="81" t="s">
        <v>731</v>
      </c>
      <c r="AC3" s="81" t="s">
        <v>549</v>
      </c>
      <c r="AD3" s="81" t="s">
        <v>549</v>
      </c>
      <c r="AE3" s="81" t="s">
        <v>766</v>
      </c>
      <c r="AF3" s="81" t="s">
        <v>684</v>
      </c>
      <c r="AG3" s="81" t="s">
        <v>633</v>
      </c>
      <c r="AH3" s="81" t="s">
        <v>697</v>
      </c>
      <c r="AI3" s="81" t="s">
        <v>1071</v>
      </c>
      <c r="AJ3" s="351" t="s">
        <v>1082</v>
      </c>
      <c r="AK3" s="81" t="s">
        <v>1090</v>
      </c>
      <c r="AL3" s="351" t="s">
        <v>1096</v>
      </c>
      <c r="AM3" s="81" t="s">
        <v>1108</v>
      </c>
      <c r="AN3" s="81" t="s">
        <v>1118</v>
      </c>
    </row>
    <row r="4" spans="1:42" ht="12" customHeight="1" x14ac:dyDescent="0.2">
      <c r="A4" s="81" t="s">
        <v>636</v>
      </c>
      <c r="B4" s="81" t="s">
        <v>639</v>
      </c>
      <c r="C4" s="81" t="s">
        <v>544</v>
      </c>
      <c r="D4" s="81" t="s">
        <v>546</v>
      </c>
      <c r="E4" s="81" t="s">
        <v>654</v>
      </c>
      <c r="F4" s="81" t="s">
        <v>659</v>
      </c>
      <c r="G4" s="81" t="s">
        <v>663</v>
      </c>
      <c r="H4" s="81" t="s">
        <v>677</v>
      </c>
      <c r="I4" s="81" t="s">
        <v>645</v>
      </c>
      <c r="J4" s="81" t="s">
        <v>683</v>
      </c>
      <c r="K4" s="81" t="s">
        <v>688</v>
      </c>
      <c r="L4" s="81" t="s">
        <v>692</v>
      </c>
      <c r="M4" s="81" t="s">
        <v>696</v>
      </c>
      <c r="N4" s="81" t="s">
        <v>550</v>
      </c>
      <c r="O4" s="81" t="s">
        <v>544</v>
      </c>
      <c r="P4" s="81" t="s">
        <v>544</v>
      </c>
      <c r="Q4" s="81" t="s">
        <v>714</v>
      </c>
      <c r="R4" s="81" t="s">
        <v>718</v>
      </c>
      <c r="S4" s="81" t="s">
        <v>843</v>
      </c>
      <c r="T4" s="81" t="s">
        <v>722</v>
      </c>
      <c r="U4" s="81" t="s">
        <v>726</v>
      </c>
      <c r="V4" s="81" t="s">
        <v>731</v>
      </c>
      <c r="W4" s="81" t="s">
        <v>733</v>
      </c>
      <c r="X4" s="81" t="s">
        <v>736</v>
      </c>
      <c r="Y4" s="81" t="s">
        <v>736</v>
      </c>
      <c r="Z4" s="81" t="s">
        <v>741</v>
      </c>
      <c r="AA4" s="81" t="s">
        <v>745</v>
      </c>
      <c r="AB4" s="81" t="s">
        <v>736</v>
      </c>
      <c r="AC4" s="81" t="s">
        <v>753</v>
      </c>
      <c r="AD4" s="81" t="s">
        <v>645</v>
      </c>
      <c r="AE4" s="81" t="s">
        <v>767</v>
      </c>
      <c r="AF4" s="81" t="s">
        <v>775</v>
      </c>
      <c r="AG4" s="81" t="s">
        <v>636</v>
      </c>
      <c r="AH4" s="81" t="s">
        <v>544</v>
      </c>
      <c r="AI4" s="81" t="s">
        <v>1072</v>
      </c>
      <c r="AJ4" s="81" t="s">
        <v>1076</v>
      </c>
      <c r="AK4" s="81" t="s">
        <v>1091</v>
      </c>
      <c r="AL4" s="81" t="s">
        <v>1097</v>
      </c>
      <c r="AM4" s="81" t="s">
        <v>1109</v>
      </c>
      <c r="AN4" s="81" t="s">
        <v>1119</v>
      </c>
    </row>
    <row r="5" spans="1:42" ht="12" customHeight="1" x14ac:dyDescent="0.2">
      <c r="A5" s="81" t="s">
        <v>634</v>
      </c>
      <c r="B5" s="81" t="s">
        <v>640</v>
      </c>
      <c r="C5" s="81" t="s">
        <v>645</v>
      </c>
      <c r="D5" s="81" t="s">
        <v>651</v>
      </c>
      <c r="E5" s="81" t="s">
        <v>655</v>
      </c>
      <c r="F5" s="81" t="s">
        <v>661</v>
      </c>
      <c r="G5" s="81" t="s">
        <v>665</v>
      </c>
      <c r="H5" s="81" t="s">
        <v>670</v>
      </c>
      <c r="I5" s="81" t="s">
        <v>681</v>
      </c>
      <c r="J5" s="81" t="s">
        <v>640</v>
      </c>
      <c r="K5" s="81" t="s">
        <v>689</v>
      </c>
      <c r="L5" s="81" t="s">
        <v>693</v>
      </c>
      <c r="M5" s="81" t="s">
        <v>695</v>
      </c>
      <c r="O5" s="81" t="s">
        <v>703</v>
      </c>
      <c r="P5" s="81" t="s">
        <v>706</v>
      </c>
      <c r="Q5" s="81" t="s">
        <v>715</v>
      </c>
      <c r="R5" s="81" t="s">
        <v>719</v>
      </c>
      <c r="S5" s="81" t="s">
        <v>718</v>
      </c>
      <c r="T5" s="81" t="s">
        <v>723</v>
      </c>
      <c r="U5" s="81" t="s">
        <v>727</v>
      </c>
      <c r="V5" s="81" t="s">
        <v>645</v>
      </c>
      <c r="X5" s="81" t="s">
        <v>549</v>
      </c>
      <c r="Y5" s="81" t="s">
        <v>549</v>
      </c>
      <c r="Z5" s="81" t="s">
        <v>742</v>
      </c>
      <c r="AA5" s="81" t="s">
        <v>645</v>
      </c>
      <c r="AB5" s="81" t="s">
        <v>644</v>
      </c>
      <c r="AC5" s="81" t="s">
        <v>754</v>
      </c>
      <c r="AD5" s="81" t="s">
        <v>762</v>
      </c>
      <c r="AE5" s="81" t="s">
        <v>768</v>
      </c>
      <c r="AF5" s="81" t="s">
        <v>686</v>
      </c>
      <c r="AG5" s="81" t="s">
        <v>634</v>
      </c>
      <c r="AH5" s="81" t="s">
        <v>736</v>
      </c>
      <c r="AI5" s="81" t="s">
        <v>1073</v>
      </c>
      <c r="AJ5" s="351" t="s">
        <v>1088</v>
      </c>
      <c r="AK5" s="81" t="s">
        <v>1092</v>
      </c>
      <c r="AL5" s="81" t="s">
        <v>1098</v>
      </c>
      <c r="AM5" s="81" t="s">
        <v>1110</v>
      </c>
      <c r="AN5" s="81" t="s">
        <v>1120</v>
      </c>
    </row>
    <row r="6" spans="1:42" ht="12" customHeight="1" x14ac:dyDescent="0.2">
      <c r="A6" s="81" t="s">
        <v>544</v>
      </c>
      <c r="B6" s="81" t="s">
        <v>545</v>
      </c>
      <c r="C6" s="81" t="s">
        <v>646</v>
      </c>
      <c r="D6" s="81" t="s">
        <v>653</v>
      </c>
      <c r="E6" s="81" t="s">
        <v>656</v>
      </c>
      <c r="F6" s="81" t="s">
        <v>656</v>
      </c>
      <c r="G6" s="81" t="s">
        <v>664</v>
      </c>
      <c r="H6" s="81" t="s">
        <v>671</v>
      </c>
      <c r="J6" s="81" t="s">
        <v>684</v>
      </c>
      <c r="K6" s="81" t="s">
        <v>690</v>
      </c>
      <c r="L6" s="81" t="s">
        <v>694</v>
      </c>
      <c r="O6" s="81" t="s">
        <v>704</v>
      </c>
      <c r="P6" s="81" t="s">
        <v>730</v>
      </c>
      <c r="Q6" s="81" t="s">
        <v>716</v>
      </c>
      <c r="R6" s="81" t="s">
        <v>720</v>
      </c>
      <c r="S6" s="81" t="s">
        <v>719</v>
      </c>
      <c r="T6" s="81" t="s">
        <v>724</v>
      </c>
      <c r="U6" s="81" t="s">
        <v>728</v>
      </c>
      <c r="V6" s="81" t="s">
        <v>732</v>
      </c>
      <c r="X6" s="81" t="s">
        <v>737</v>
      </c>
      <c r="Y6" s="81" t="s">
        <v>737</v>
      </c>
      <c r="Z6" s="104" t="s">
        <v>676</v>
      </c>
      <c r="AA6" s="104" t="s">
        <v>746</v>
      </c>
      <c r="AB6" s="104" t="s">
        <v>750</v>
      </c>
      <c r="AC6" s="104" t="s">
        <v>755</v>
      </c>
      <c r="AD6" s="104" t="s">
        <v>763</v>
      </c>
      <c r="AE6" s="81" t="s">
        <v>769</v>
      </c>
      <c r="AG6" s="81" t="s">
        <v>544</v>
      </c>
      <c r="AH6" s="81" t="s">
        <v>681</v>
      </c>
      <c r="AI6" s="350" t="s">
        <v>1077</v>
      </c>
      <c r="AJ6" s="351" t="s">
        <v>1087</v>
      </c>
      <c r="AK6" s="81" t="s">
        <v>1093</v>
      </c>
      <c r="AL6" s="81" t="s">
        <v>1099</v>
      </c>
      <c r="AM6" s="81" t="s">
        <v>1111</v>
      </c>
      <c r="AN6" s="81" t="s">
        <v>1122</v>
      </c>
    </row>
    <row r="7" spans="1:42" ht="12" customHeight="1" x14ac:dyDescent="0.2">
      <c r="A7" s="81" t="s">
        <v>635</v>
      </c>
      <c r="B7" s="81" t="s">
        <v>641</v>
      </c>
      <c r="D7" s="81" t="s">
        <v>652</v>
      </c>
      <c r="E7" s="81" t="s">
        <v>547</v>
      </c>
      <c r="G7" s="81" t="s">
        <v>666</v>
      </c>
      <c r="H7" s="81" t="s">
        <v>672</v>
      </c>
      <c r="J7" s="81" t="s">
        <v>685</v>
      </c>
      <c r="O7" s="81" t="s">
        <v>698</v>
      </c>
      <c r="P7" s="81" t="s">
        <v>707</v>
      </c>
      <c r="Q7" s="81" t="s">
        <v>717</v>
      </c>
      <c r="R7" s="81" t="s">
        <v>721</v>
      </c>
      <c r="S7" s="81" t="s">
        <v>844</v>
      </c>
      <c r="U7" s="81" t="s">
        <v>729</v>
      </c>
      <c r="V7" s="81" t="s">
        <v>651</v>
      </c>
      <c r="X7" s="81" t="s">
        <v>694</v>
      </c>
      <c r="Y7" s="81" t="s">
        <v>694</v>
      </c>
      <c r="AA7" s="81" t="s">
        <v>747</v>
      </c>
      <c r="AB7" s="81" t="s">
        <v>751</v>
      </c>
      <c r="AC7" s="81" t="s">
        <v>757</v>
      </c>
      <c r="AD7" s="81" t="s">
        <v>764</v>
      </c>
      <c r="AE7" s="81" t="s">
        <v>770</v>
      </c>
      <c r="AG7" s="81" t="s">
        <v>776</v>
      </c>
      <c r="AH7" s="81" t="s">
        <v>779</v>
      </c>
      <c r="AI7" s="350" t="s">
        <v>1078</v>
      </c>
      <c r="AJ7" s="351" t="s">
        <v>1079</v>
      </c>
      <c r="AK7" s="81" t="s">
        <v>1094</v>
      </c>
      <c r="AL7" s="81" t="s">
        <v>1100</v>
      </c>
      <c r="AM7" s="81" t="s">
        <v>1112</v>
      </c>
      <c r="AN7" s="81" t="s">
        <v>1121</v>
      </c>
    </row>
    <row r="8" spans="1:42" ht="12" customHeight="1" x14ac:dyDescent="0.25">
      <c r="A8" s="81" t="s">
        <v>637</v>
      </c>
      <c r="B8" s="81" t="s">
        <v>642</v>
      </c>
      <c r="E8" s="81" t="s">
        <v>660</v>
      </c>
      <c r="G8" s="81" t="s">
        <v>667</v>
      </c>
      <c r="H8" s="81" t="s">
        <v>673</v>
      </c>
      <c r="J8" s="81" t="s">
        <v>686</v>
      </c>
      <c r="O8" s="81" t="s">
        <v>699</v>
      </c>
      <c r="P8" s="81" t="s">
        <v>709</v>
      </c>
      <c r="Q8" s="81" t="s">
        <v>548</v>
      </c>
      <c r="S8" s="81" t="s">
        <v>845</v>
      </c>
      <c r="V8" s="81" t="s">
        <v>653</v>
      </c>
      <c r="X8" s="81" t="s">
        <v>738</v>
      </c>
      <c r="Y8" s="81" t="s">
        <v>738</v>
      </c>
      <c r="AA8" s="81" t="s">
        <v>748</v>
      </c>
      <c r="AB8" s="81" t="s">
        <v>749</v>
      </c>
      <c r="AC8" s="81" t="s">
        <v>756</v>
      </c>
      <c r="AD8" s="81" t="s">
        <v>765</v>
      </c>
      <c r="AE8" s="81" t="s">
        <v>771</v>
      </c>
      <c r="AG8" s="81" t="s">
        <v>777</v>
      </c>
      <c r="AH8" s="81" t="s">
        <v>784</v>
      </c>
      <c r="AJ8" s="351" t="s">
        <v>1080</v>
      </c>
      <c r="AK8" s="81" t="s">
        <v>1095</v>
      </c>
      <c r="AL8" s="81" t="s">
        <v>1101</v>
      </c>
      <c r="AM8" s="81" t="s">
        <v>1113</v>
      </c>
      <c r="AN8" s="81" t="s">
        <v>1123</v>
      </c>
    </row>
    <row r="9" spans="1:42" ht="12" customHeight="1" x14ac:dyDescent="0.25">
      <c r="G9" s="81" t="s">
        <v>668</v>
      </c>
      <c r="H9" s="81" t="s">
        <v>678</v>
      </c>
      <c r="O9" s="81" t="s">
        <v>705</v>
      </c>
      <c r="P9" s="81" t="s">
        <v>708</v>
      </c>
      <c r="V9" s="81" t="s">
        <v>652</v>
      </c>
      <c r="X9" s="81" t="s">
        <v>739</v>
      </c>
      <c r="Y9" s="81" t="s">
        <v>739</v>
      </c>
      <c r="AB9" s="81" t="s">
        <v>651</v>
      </c>
      <c r="AC9" s="81" t="s">
        <v>732</v>
      </c>
      <c r="AE9" s="81" t="s">
        <v>772</v>
      </c>
      <c r="AG9" s="81" t="s">
        <v>778</v>
      </c>
      <c r="AH9" s="81" t="s">
        <v>780</v>
      </c>
      <c r="AJ9" s="81" t="s">
        <v>1083</v>
      </c>
      <c r="AL9" s="81" t="s">
        <v>1102</v>
      </c>
      <c r="AM9" s="81" t="s">
        <v>1114</v>
      </c>
      <c r="AN9" s="81" t="s">
        <v>1124</v>
      </c>
    </row>
    <row r="10" spans="1:42" s="104" customFormat="1" ht="12" customHeight="1" x14ac:dyDescent="0.2">
      <c r="G10" s="104" t="s">
        <v>669</v>
      </c>
      <c r="H10" s="104" t="s">
        <v>675</v>
      </c>
      <c r="O10" s="104" t="s">
        <v>700</v>
      </c>
      <c r="P10" s="81" t="s">
        <v>710</v>
      </c>
      <c r="Q10" s="81"/>
      <c r="X10" s="104" t="s">
        <v>740</v>
      </c>
      <c r="Y10" s="104" t="s">
        <v>740</v>
      </c>
      <c r="AB10" s="81" t="s">
        <v>653</v>
      </c>
      <c r="AC10" s="104" t="s">
        <v>758</v>
      </c>
      <c r="AE10" s="104" t="s">
        <v>773</v>
      </c>
      <c r="AH10" s="104" t="s">
        <v>781</v>
      </c>
      <c r="AJ10" s="352" t="s">
        <v>1084</v>
      </c>
      <c r="AL10" s="104" t="s">
        <v>1103</v>
      </c>
      <c r="AM10" s="104" t="s">
        <v>1115</v>
      </c>
      <c r="AN10" s="104" t="s">
        <v>1125</v>
      </c>
    </row>
    <row r="11" spans="1:42" s="104" customFormat="1" ht="12" customHeight="1" x14ac:dyDescent="0.2">
      <c r="H11" s="104" t="s">
        <v>674</v>
      </c>
      <c r="O11" s="104" t="s">
        <v>701</v>
      </c>
      <c r="P11" s="104" t="s">
        <v>711</v>
      </c>
      <c r="AB11" s="81" t="s">
        <v>652</v>
      </c>
      <c r="AC11" s="81" t="s">
        <v>759</v>
      </c>
      <c r="AH11" s="104" t="s">
        <v>782</v>
      </c>
      <c r="AJ11" s="352" t="s">
        <v>1085</v>
      </c>
      <c r="AL11" s="104" t="s">
        <v>1104</v>
      </c>
      <c r="AN11" s="104" t="s">
        <v>1126</v>
      </c>
    </row>
    <row r="12" spans="1:42" s="104" customFormat="1" ht="12" customHeight="1" x14ac:dyDescent="0.2">
      <c r="AB12" s="81"/>
      <c r="AC12" s="81"/>
      <c r="AJ12" s="352" t="s">
        <v>1086</v>
      </c>
      <c r="AL12" s="104" t="s">
        <v>1105</v>
      </c>
    </row>
    <row r="13" spans="1:42" s="103" customFormat="1" ht="12" customHeight="1" x14ac:dyDescent="0.2">
      <c r="H13" s="103" t="s">
        <v>676</v>
      </c>
      <c r="O13" s="103" t="s">
        <v>702</v>
      </c>
      <c r="P13" s="103" t="s">
        <v>712</v>
      </c>
      <c r="AC13" s="103" t="s">
        <v>760</v>
      </c>
      <c r="AH13" s="103" t="s">
        <v>783</v>
      </c>
      <c r="AJ13" s="353" t="s">
        <v>1129</v>
      </c>
    </row>
    <row r="14" spans="1:42" ht="12" customHeight="1" x14ac:dyDescent="0.25">
      <c r="AI14" s="273" t="s">
        <v>846</v>
      </c>
      <c r="AJ14" s="273" t="s">
        <v>846</v>
      </c>
      <c r="AK14" s="273" t="s">
        <v>846</v>
      </c>
      <c r="AL14" s="273" t="s">
        <v>846</v>
      </c>
      <c r="AM14" s="273" t="s">
        <v>846</v>
      </c>
    </row>
    <row r="15" spans="1:42" ht="12" customHeight="1" x14ac:dyDescent="0.2">
      <c r="AI15" s="274" t="s">
        <v>847</v>
      </c>
      <c r="AJ15" s="274" t="s">
        <v>847</v>
      </c>
      <c r="AK15" s="274" t="s">
        <v>847</v>
      </c>
      <c r="AL15" s="274" t="s">
        <v>847</v>
      </c>
      <c r="AM15" s="274" t="s">
        <v>847</v>
      </c>
    </row>
    <row r="17" spans="35:35" ht="12" customHeight="1" x14ac:dyDescent="0.25">
      <c r="AI17" t="s">
        <v>865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tabColor rgb="FFFF0000"/>
  </sheetPr>
  <dimension ref="B2:FC60"/>
  <sheetViews>
    <sheetView showGridLines="0" zoomScaleNormal="100" workbookViewId="0">
      <selection activeCell="AG22" sqref="AG22:AI23"/>
    </sheetView>
  </sheetViews>
  <sheetFormatPr defaultColWidth="1.7109375" defaultRowHeight="8.1" customHeight="1" x14ac:dyDescent="0.25"/>
  <cols>
    <col min="1" max="15" width="1.7109375" style="157"/>
    <col min="16" max="16" width="1.7109375" style="157" customWidth="1"/>
    <col min="17" max="97" width="1.7109375" style="157"/>
    <col min="98" max="98" width="1.7109375" style="200"/>
    <col min="99" max="16384" width="1.7109375" style="157"/>
  </cols>
  <sheetData>
    <row r="2" spans="2:159" s="106" customFormat="1" ht="8.1" customHeight="1" x14ac:dyDescent="0.25">
      <c r="B2" s="645" t="s">
        <v>347</v>
      </c>
      <c r="C2" s="645"/>
      <c r="D2" s="645"/>
      <c r="E2" s="645"/>
      <c r="F2" s="645"/>
      <c r="G2" s="645"/>
      <c r="H2" s="645"/>
      <c r="I2" s="645"/>
      <c r="J2" s="645"/>
      <c r="K2" s="645"/>
      <c r="L2" s="645"/>
      <c r="M2" s="645"/>
      <c r="N2" s="645"/>
      <c r="O2" s="645"/>
      <c r="P2" s="645"/>
      <c r="Q2" s="645"/>
      <c r="R2" s="645"/>
      <c r="S2" s="645"/>
      <c r="T2" s="645"/>
      <c r="U2" s="645"/>
      <c r="V2" s="645"/>
      <c r="W2" s="645"/>
      <c r="X2" s="645"/>
      <c r="Y2" s="645"/>
      <c r="Z2" s="645"/>
      <c r="AA2" s="645"/>
      <c r="AB2" s="645"/>
      <c r="AC2" s="645"/>
      <c r="AD2" s="645"/>
      <c r="AE2" s="645"/>
      <c r="AF2" s="645"/>
      <c r="AG2" s="645"/>
      <c r="AH2" s="645"/>
      <c r="AI2" s="645"/>
      <c r="AJ2" s="645"/>
      <c r="AK2" s="645"/>
      <c r="AL2" s="645"/>
      <c r="AM2" s="645"/>
      <c r="AN2" s="645"/>
      <c r="AO2" s="645"/>
      <c r="AP2" s="645"/>
      <c r="AQ2" s="645"/>
      <c r="AR2" s="645"/>
      <c r="AS2" s="645"/>
      <c r="AT2" s="645"/>
      <c r="AU2" s="645"/>
      <c r="AV2" s="645"/>
      <c r="AW2" s="645"/>
      <c r="AX2" s="141"/>
      <c r="AY2" s="141"/>
      <c r="AZ2" s="142"/>
      <c r="BA2" s="142"/>
      <c r="BB2" s="142"/>
      <c r="BC2" s="142"/>
      <c r="BD2" s="142"/>
      <c r="BE2" s="142"/>
      <c r="BF2" s="142"/>
      <c r="BG2" s="142"/>
      <c r="BH2" s="142"/>
      <c r="BI2" s="693" t="s">
        <v>837</v>
      </c>
      <c r="BJ2" s="693"/>
      <c r="BK2" s="693"/>
      <c r="BL2" s="693"/>
      <c r="BM2" s="693"/>
      <c r="BN2" s="693"/>
      <c r="BO2" s="693"/>
      <c r="BP2" s="693"/>
      <c r="BQ2" s="693"/>
      <c r="BR2" s="693"/>
      <c r="BS2" s="693"/>
      <c r="BT2" s="693"/>
      <c r="BU2" s="693"/>
      <c r="BV2" s="693"/>
      <c r="BW2" s="693"/>
      <c r="BX2" s="693"/>
      <c r="BY2" s="693"/>
      <c r="BZ2" s="693"/>
      <c r="CA2" s="693"/>
      <c r="CB2" s="693"/>
      <c r="CC2" s="693"/>
      <c r="CD2" s="693"/>
      <c r="CE2" s="693"/>
      <c r="CF2" s="693"/>
      <c r="CG2" s="693"/>
      <c r="CH2" s="693"/>
      <c r="CI2" s="693"/>
      <c r="CJ2" s="693"/>
      <c r="CK2" s="127"/>
      <c r="CL2" s="127"/>
      <c r="CT2" s="108"/>
    </row>
    <row r="3" spans="2:159" s="106" customFormat="1" ht="8.1" customHeight="1" x14ac:dyDescent="0.25">
      <c r="B3" s="645"/>
      <c r="C3" s="645"/>
      <c r="D3" s="645"/>
      <c r="E3" s="645"/>
      <c r="F3" s="645"/>
      <c r="G3" s="645"/>
      <c r="H3" s="645"/>
      <c r="I3" s="645"/>
      <c r="J3" s="645"/>
      <c r="K3" s="645"/>
      <c r="L3" s="645"/>
      <c r="M3" s="645"/>
      <c r="N3" s="645"/>
      <c r="O3" s="645"/>
      <c r="P3" s="645"/>
      <c r="Q3" s="645"/>
      <c r="R3" s="645"/>
      <c r="S3" s="645"/>
      <c r="T3" s="645"/>
      <c r="U3" s="645"/>
      <c r="V3" s="645"/>
      <c r="W3" s="645"/>
      <c r="X3" s="645"/>
      <c r="Y3" s="645"/>
      <c r="Z3" s="645"/>
      <c r="AA3" s="645"/>
      <c r="AB3" s="645"/>
      <c r="AC3" s="645"/>
      <c r="AD3" s="645"/>
      <c r="AE3" s="645"/>
      <c r="AF3" s="645"/>
      <c r="AG3" s="645"/>
      <c r="AH3" s="645"/>
      <c r="AI3" s="645"/>
      <c r="AJ3" s="645"/>
      <c r="AK3" s="645"/>
      <c r="AL3" s="645"/>
      <c r="AM3" s="645"/>
      <c r="AN3" s="645"/>
      <c r="AO3" s="645"/>
      <c r="AP3" s="645"/>
      <c r="AQ3" s="645"/>
      <c r="AR3" s="645"/>
      <c r="AS3" s="645"/>
      <c r="AT3" s="645"/>
      <c r="AU3" s="645"/>
      <c r="AV3" s="645"/>
      <c r="AW3" s="645"/>
      <c r="AX3" s="141"/>
      <c r="AY3" s="141"/>
      <c r="AZ3" s="127"/>
      <c r="BA3" s="143"/>
      <c r="BB3" s="143"/>
      <c r="BC3" s="143"/>
      <c r="BD3" s="143"/>
      <c r="BE3" s="143"/>
      <c r="BF3" s="143"/>
      <c r="BG3" s="143"/>
      <c r="BI3" s="693"/>
      <c r="BJ3" s="693"/>
      <c r="BK3" s="693"/>
      <c r="BL3" s="693"/>
      <c r="BM3" s="693"/>
      <c r="BN3" s="693"/>
      <c r="BO3" s="693"/>
      <c r="BP3" s="693"/>
      <c r="BQ3" s="693"/>
      <c r="BR3" s="693"/>
      <c r="BS3" s="693"/>
      <c r="BT3" s="693"/>
      <c r="BU3" s="693"/>
      <c r="BV3" s="693"/>
      <c r="BW3" s="693"/>
      <c r="BX3" s="693"/>
      <c r="BY3" s="693"/>
      <c r="BZ3" s="693"/>
      <c r="CA3" s="693"/>
      <c r="CB3" s="693"/>
      <c r="CC3" s="693"/>
      <c r="CD3" s="693"/>
      <c r="CE3" s="693"/>
      <c r="CF3" s="693"/>
      <c r="CG3" s="693"/>
      <c r="CH3" s="693"/>
      <c r="CI3" s="693"/>
      <c r="CJ3" s="693"/>
      <c r="CK3" s="143"/>
      <c r="CL3" s="143"/>
      <c r="CT3" s="108"/>
    </row>
    <row r="4" spans="2:159" s="106" customFormat="1" ht="8.1" customHeight="1" x14ac:dyDescent="0.25">
      <c r="B4" s="645"/>
      <c r="C4" s="645"/>
      <c r="D4" s="645"/>
      <c r="E4" s="645"/>
      <c r="F4" s="645"/>
      <c r="G4" s="645"/>
      <c r="H4" s="645"/>
      <c r="I4" s="645"/>
      <c r="J4" s="645"/>
      <c r="K4" s="645"/>
      <c r="L4" s="645"/>
      <c r="M4" s="645"/>
      <c r="N4" s="645"/>
      <c r="O4" s="645"/>
      <c r="P4" s="645"/>
      <c r="Q4" s="645"/>
      <c r="R4" s="645"/>
      <c r="S4" s="645"/>
      <c r="T4" s="645"/>
      <c r="U4" s="645"/>
      <c r="V4" s="645"/>
      <c r="W4" s="645"/>
      <c r="X4" s="645"/>
      <c r="Y4" s="645"/>
      <c r="Z4" s="645"/>
      <c r="AA4" s="645"/>
      <c r="AB4" s="645"/>
      <c r="AC4" s="645"/>
      <c r="AD4" s="645"/>
      <c r="AE4" s="645"/>
      <c r="AF4" s="645"/>
      <c r="AG4" s="645"/>
      <c r="AH4" s="645"/>
      <c r="AI4" s="645"/>
      <c r="AJ4" s="645"/>
      <c r="AK4" s="645"/>
      <c r="AL4" s="645"/>
      <c r="AM4" s="645"/>
      <c r="AN4" s="645"/>
      <c r="AO4" s="645"/>
      <c r="AP4" s="645"/>
      <c r="AQ4" s="645"/>
      <c r="AR4" s="645"/>
      <c r="AS4" s="645"/>
      <c r="AT4" s="645"/>
      <c r="AU4" s="645"/>
      <c r="AV4" s="645"/>
      <c r="AW4" s="645"/>
      <c r="AX4" s="141"/>
      <c r="AY4" s="141"/>
      <c r="AZ4" s="127"/>
      <c r="BA4" s="143"/>
      <c r="BB4" s="143"/>
      <c r="BC4" s="143"/>
      <c r="BD4" s="143"/>
      <c r="BE4" s="143"/>
      <c r="BF4" s="143"/>
      <c r="BG4" s="143"/>
      <c r="BI4" s="693"/>
      <c r="BJ4" s="693"/>
      <c r="BK4" s="693"/>
      <c r="BL4" s="693"/>
      <c r="BM4" s="693"/>
      <c r="BN4" s="693"/>
      <c r="BO4" s="693"/>
      <c r="BP4" s="693"/>
      <c r="BQ4" s="693"/>
      <c r="BR4" s="693"/>
      <c r="BS4" s="693"/>
      <c r="BT4" s="693"/>
      <c r="BU4" s="693"/>
      <c r="BV4" s="693"/>
      <c r="BW4" s="693"/>
      <c r="BX4" s="693"/>
      <c r="BY4" s="693"/>
      <c r="BZ4" s="693"/>
      <c r="CA4" s="693"/>
      <c r="CB4" s="693"/>
      <c r="CC4" s="693"/>
      <c r="CD4" s="693"/>
      <c r="CE4" s="693"/>
      <c r="CF4" s="693"/>
      <c r="CG4" s="693"/>
      <c r="CH4" s="693"/>
      <c r="CI4" s="693"/>
      <c r="CJ4" s="693"/>
      <c r="CK4" s="143"/>
      <c r="CL4" s="143"/>
      <c r="CS4" s="144"/>
      <c r="CT4" s="144"/>
    </row>
    <row r="5" spans="2:159" s="106" customFormat="1" ht="8.1" customHeight="1" thickBot="1" x14ac:dyDescent="0.3"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1"/>
      <c r="AY5" s="141"/>
      <c r="AZ5" s="127"/>
      <c r="BA5" s="143"/>
      <c r="BB5" s="143"/>
      <c r="BC5" s="143"/>
      <c r="BD5" s="143"/>
      <c r="BE5" s="143"/>
      <c r="BF5" s="143"/>
      <c r="BG5" s="143"/>
      <c r="BI5" s="585" t="s">
        <v>494</v>
      </c>
      <c r="BJ5" s="586"/>
      <c r="BK5" s="586"/>
      <c r="BL5" s="586"/>
      <c r="BM5" s="586"/>
      <c r="BN5" s="586"/>
      <c r="BO5" s="586"/>
      <c r="BP5" s="586"/>
      <c r="BQ5" s="586"/>
      <c r="BR5" s="586"/>
      <c r="BS5" s="586"/>
      <c r="BT5" s="586"/>
      <c r="BU5" s="586"/>
      <c r="BV5" s="586"/>
      <c r="BW5" s="586"/>
      <c r="BX5" s="586"/>
      <c r="BY5" s="586"/>
      <c r="BZ5" s="586"/>
      <c r="CA5" s="586"/>
      <c r="CB5" s="586"/>
      <c r="CC5" s="586"/>
      <c r="CD5" s="586"/>
      <c r="CE5" s="586"/>
      <c r="CF5" s="586"/>
      <c r="CG5" s="146"/>
      <c r="CH5" s="146"/>
      <c r="CI5" s="146"/>
      <c r="CJ5" s="146"/>
      <c r="CK5" s="146"/>
      <c r="CL5" s="146"/>
      <c r="CM5" s="146"/>
      <c r="CN5" s="146"/>
      <c r="CO5" s="146"/>
      <c r="CP5" s="146"/>
      <c r="CQ5" s="146"/>
      <c r="CR5" s="146"/>
      <c r="CS5" s="146"/>
      <c r="CT5" s="147"/>
      <c r="CY5" s="148"/>
      <c r="CZ5" s="148"/>
      <c r="DA5" s="148"/>
      <c r="DB5" s="148"/>
      <c r="DC5" s="148"/>
      <c r="DD5" s="148"/>
      <c r="DE5" s="148"/>
      <c r="DF5" s="148"/>
      <c r="DG5" s="148"/>
      <c r="DH5" s="148"/>
      <c r="DI5" s="148"/>
      <c r="DJ5" s="148"/>
      <c r="DK5" s="148"/>
      <c r="DL5" s="148"/>
      <c r="DM5" s="148"/>
      <c r="DN5" s="148"/>
      <c r="DO5" s="148"/>
      <c r="DP5" s="148"/>
      <c r="DQ5" s="148"/>
      <c r="DR5" s="148"/>
      <c r="DS5" s="148"/>
      <c r="DT5" s="148"/>
      <c r="DU5" s="148"/>
      <c r="DV5" s="148"/>
      <c r="DW5" s="148"/>
      <c r="DX5" s="148"/>
      <c r="DY5" s="148"/>
      <c r="DZ5" s="148"/>
      <c r="EA5" s="148"/>
      <c r="EB5" s="148"/>
      <c r="EC5" s="148"/>
      <c r="ED5" s="148"/>
      <c r="EE5" s="148"/>
      <c r="EF5" s="148"/>
      <c r="EG5" s="148"/>
      <c r="EH5" s="148"/>
      <c r="EI5" s="148"/>
      <c r="EJ5" s="148"/>
      <c r="EK5" s="148"/>
      <c r="EL5" s="148"/>
      <c r="EM5" s="148"/>
      <c r="EN5" s="148"/>
      <c r="EO5" s="148"/>
      <c r="EP5" s="148"/>
      <c r="EQ5" s="148"/>
      <c r="ER5" s="148"/>
      <c r="ES5" s="148"/>
      <c r="ET5" s="148"/>
      <c r="EU5" s="148"/>
      <c r="EV5" s="148"/>
      <c r="EW5" s="148"/>
      <c r="EX5" s="148"/>
      <c r="EY5" s="148"/>
      <c r="EZ5" s="148"/>
      <c r="FA5" s="148"/>
      <c r="FB5" s="148"/>
      <c r="FC5" s="148"/>
    </row>
    <row r="6" spans="2:159" s="150" customFormat="1" ht="8.1" customHeight="1" x14ac:dyDescent="0.25"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668">
        <f>NÍVEL.p</f>
        <v>1</v>
      </c>
      <c r="U6" s="669"/>
      <c r="V6" s="669"/>
      <c r="W6" s="670"/>
      <c r="X6" s="149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27"/>
      <c r="BA6" s="143"/>
      <c r="BB6" s="143"/>
      <c r="BC6" s="143"/>
      <c r="BD6" s="143"/>
      <c r="BE6" s="143"/>
      <c r="BF6" s="143"/>
      <c r="BG6" s="143"/>
      <c r="BI6" s="587"/>
      <c r="BJ6" s="588"/>
      <c r="BK6" s="588"/>
      <c r="BL6" s="588"/>
      <c r="BM6" s="588"/>
      <c r="BN6" s="588"/>
      <c r="BO6" s="588"/>
      <c r="BP6" s="588"/>
      <c r="BQ6" s="588"/>
      <c r="BR6" s="588"/>
      <c r="BS6" s="588"/>
      <c r="BT6" s="588"/>
      <c r="BU6" s="588"/>
      <c r="BV6" s="588"/>
      <c r="BW6" s="588"/>
      <c r="BX6" s="588"/>
      <c r="BY6" s="588"/>
      <c r="BZ6" s="588"/>
      <c r="CA6" s="588"/>
      <c r="CB6" s="588"/>
      <c r="CC6" s="588"/>
      <c r="CD6" s="588"/>
      <c r="CE6" s="588"/>
      <c r="CF6" s="588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  <c r="CT6" s="152"/>
      <c r="CY6" s="148"/>
      <c r="CZ6" s="148"/>
      <c r="DA6" s="148"/>
      <c r="DB6" s="148"/>
      <c r="DC6" s="148"/>
      <c r="DD6" s="148"/>
      <c r="DE6" s="148"/>
      <c r="DF6" s="148"/>
      <c r="DG6" s="148"/>
      <c r="DH6" s="148"/>
      <c r="DI6" s="148"/>
      <c r="DJ6" s="148"/>
      <c r="DK6" s="148"/>
      <c r="DL6" s="148"/>
      <c r="DM6" s="148"/>
      <c r="DN6" s="148"/>
      <c r="DO6" s="148"/>
      <c r="DP6" s="148"/>
      <c r="DQ6" s="148"/>
      <c r="DR6" s="148"/>
      <c r="DS6" s="148"/>
      <c r="DT6" s="148"/>
      <c r="DU6" s="148"/>
      <c r="DV6" s="148"/>
      <c r="DW6" s="148"/>
      <c r="DX6" s="148"/>
      <c r="DY6" s="148"/>
      <c r="DZ6" s="148"/>
      <c r="EA6" s="148"/>
      <c r="EB6" s="148"/>
      <c r="EC6" s="148"/>
      <c r="ED6" s="148"/>
      <c r="EE6" s="148"/>
      <c r="EF6" s="148"/>
      <c r="EG6" s="148"/>
      <c r="EH6" s="148"/>
      <c r="EI6" s="148"/>
      <c r="EJ6" s="148"/>
      <c r="EK6" s="148"/>
      <c r="EL6" s="148"/>
      <c r="EM6" s="148"/>
      <c r="EN6" s="148"/>
      <c r="EO6" s="148"/>
      <c r="EP6" s="148"/>
      <c r="EQ6" s="148"/>
      <c r="ER6" s="148"/>
      <c r="ES6" s="148"/>
      <c r="ET6" s="148"/>
      <c r="EU6" s="148"/>
      <c r="EV6" s="148"/>
      <c r="EW6" s="148"/>
      <c r="EX6" s="148"/>
      <c r="EY6" s="148"/>
      <c r="EZ6" s="148"/>
      <c r="FA6" s="148"/>
      <c r="FB6" s="148"/>
      <c r="FC6" s="148"/>
    </row>
    <row r="7" spans="2:159" s="106" customFormat="1" ht="8.1" customHeight="1" x14ac:dyDescent="0.25">
      <c r="B7" s="646" t="s">
        <v>310</v>
      </c>
      <c r="C7" s="646"/>
      <c r="D7" s="646"/>
      <c r="E7" s="646"/>
      <c r="F7" s="646"/>
      <c r="G7" s="646"/>
      <c r="H7" s="646"/>
      <c r="I7" s="646"/>
      <c r="J7" s="646"/>
      <c r="K7" s="646"/>
      <c r="L7" s="646"/>
      <c r="M7" s="646"/>
      <c r="N7" s="646"/>
      <c r="O7" s="646"/>
      <c r="P7" s="646"/>
      <c r="Q7" s="646"/>
      <c r="R7" s="646"/>
      <c r="S7" s="647"/>
      <c r="T7" s="671"/>
      <c r="U7" s="672"/>
      <c r="V7" s="672"/>
      <c r="W7" s="673"/>
      <c r="X7" s="149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2"/>
      <c r="BA7" s="142"/>
      <c r="BB7" s="142"/>
      <c r="BC7" s="142"/>
      <c r="BD7" s="142"/>
      <c r="BE7" s="142"/>
      <c r="BF7" s="142"/>
      <c r="BG7" s="142"/>
      <c r="BI7" s="153"/>
      <c r="BJ7" s="629" t="s">
        <v>10</v>
      </c>
      <c r="BK7" s="627"/>
      <c r="BL7" s="627"/>
      <c r="BM7" s="627"/>
      <c r="BN7" s="627"/>
      <c r="BO7" s="627"/>
      <c r="BP7" s="627" t="s">
        <v>11</v>
      </c>
      <c r="BQ7" s="627"/>
      <c r="BR7" s="627"/>
      <c r="BS7" s="627"/>
      <c r="BT7" s="627"/>
      <c r="BU7" s="627"/>
      <c r="BV7" s="627" t="s">
        <v>12</v>
      </c>
      <c r="BW7" s="627"/>
      <c r="BX7" s="627"/>
      <c r="BY7" s="627"/>
      <c r="BZ7" s="627"/>
      <c r="CA7" s="627"/>
      <c r="CB7" s="627" t="s">
        <v>13</v>
      </c>
      <c r="CC7" s="627"/>
      <c r="CD7" s="627"/>
      <c r="CE7" s="627"/>
      <c r="CF7" s="627"/>
      <c r="CG7" s="627"/>
      <c r="CH7" s="627" t="s">
        <v>14</v>
      </c>
      <c r="CI7" s="627"/>
      <c r="CJ7" s="627"/>
      <c r="CK7" s="627"/>
      <c r="CL7" s="627"/>
      <c r="CM7" s="627"/>
      <c r="CN7" s="627" t="s">
        <v>15</v>
      </c>
      <c r="CO7" s="627"/>
      <c r="CP7" s="627"/>
      <c r="CQ7" s="627"/>
      <c r="CR7" s="627"/>
      <c r="CS7" s="634"/>
      <c r="CT7" s="152"/>
    </row>
    <row r="8" spans="2:159" s="106" customFormat="1" ht="8.1" customHeight="1" thickBot="1" x14ac:dyDescent="0.3">
      <c r="B8" s="646"/>
      <c r="C8" s="646"/>
      <c r="D8" s="646"/>
      <c r="E8" s="646"/>
      <c r="F8" s="646"/>
      <c r="G8" s="646"/>
      <c r="H8" s="646"/>
      <c r="I8" s="646"/>
      <c r="J8" s="646"/>
      <c r="K8" s="646"/>
      <c r="L8" s="646"/>
      <c r="M8" s="646"/>
      <c r="N8" s="646"/>
      <c r="O8" s="646"/>
      <c r="P8" s="646"/>
      <c r="Q8" s="646"/>
      <c r="R8" s="646"/>
      <c r="S8" s="647"/>
      <c r="T8" s="674"/>
      <c r="U8" s="675"/>
      <c r="V8" s="675"/>
      <c r="W8" s="676"/>
      <c r="X8" s="149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2"/>
      <c r="BA8" s="142"/>
      <c r="BB8" s="142"/>
      <c r="BC8" s="142"/>
      <c r="BD8" s="142"/>
      <c r="BE8" s="142"/>
      <c r="BF8" s="142"/>
      <c r="BG8" s="142"/>
      <c r="BI8" s="153"/>
      <c r="BJ8" s="630"/>
      <c r="BK8" s="628"/>
      <c r="BL8" s="628"/>
      <c r="BM8" s="628"/>
      <c r="BN8" s="628"/>
      <c r="BO8" s="628"/>
      <c r="BP8" s="628"/>
      <c r="BQ8" s="628"/>
      <c r="BR8" s="628"/>
      <c r="BS8" s="628"/>
      <c r="BT8" s="628"/>
      <c r="BU8" s="628"/>
      <c r="BV8" s="628"/>
      <c r="BW8" s="628"/>
      <c r="BX8" s="628"/>
      <c r="BY8" s="628"/>
      <c r="BZ8" s="628"/>
      <c r="CA8" s="628"/>
      <c r="CB8" s="628"/>
      <c r="CC8" s="628"/>
      <c r="CD8" s="628"/>
      <c r="CE8" s="628"/>
      <c r="CF8" s="628"/>
      <c r="CG8" s="628"/>
      <c r="CH8" s="628"/>
      <c r="CI8" s="628"/>
      <c r="CJ8" s="628"/>
      <c r="CK8" s="628"/>
      <c r="CL8" s="628"/>
      <c r="CM8" s="628"/>
      <c r="CN8" s="628"/>
      <c r="CO8" s="628"/>
      <c r="CP8" s="628"/>
      <c r="CQ8" s="628"/>
      <c r="CR8" s="628"/>
      <c r="CS8" s="635"/>
      <c r="CT8" s="152"/>
    </row>
    <row r="9" spans="2:159" s="106" customFormat="1" ht="8.1" customHeight="1" x14ac:dyDescent="0.25"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5"/>
      <c r="U9" s="155"/>
      <c r="V9" s="155"/>
      <c r="W9" s="155"/>
      <c r="X9" s="149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27"/>
      <c r="BA9" s="156"/>
      <c r="BB9" s="156"/>
      <c r="BC9" s="156"/>
      <c r="BD9" s="156"/>
      <c r="BE9" s="156"/>
      <c r="BF9" s="156"/>
      <c r="BG9" s="156"/>
      <c r="BI9" s="153"/>
      <c r="BJ9" s="611">
        <f>FORÇA.p</f>
        <v>10</v>
      </c>
      <c r="BK9" s="612"/>
      <c r="BL9" s="612"/>
      <c r="BM9" s="615">
        <f>mod.For.p</f>
        <v>0</v>
      </c>
      <c r="BN9" s="615"/>
      <c r="BO9" s="616"/>
      <c r="BP9" s="636">
        <f>DESTREZA.p</f>
        <v>10</v>
      </c>
      <c r="BQ9" s="612"/>
      <c r="BR9" s="612"/>
      <c r="BS9" s="615">
        <f>mod.Des.p</f>
        <v>0</v>
      </c>
      <c r="BT9" s="615"/>
      <c r="BU9" s="616"/>
      <c r="BV9" s="636">
        <f>CONSTITUIÇÃO.p</f>
        <v>10</v>
      </c>
      <c r="BW9" s="612"/>
      <c r="BX9" s="612"/>
      <c r="BY9" s="638">
        <f>mod.Con.p</f>
        <v>0</v>
      </c>
      <c r="BZ9" s="638"/>
      <c r="CA9" s="639"/>
      <c r="CB9" s="636">
        <f>INTELIGÊNCIA.p</f>
        <v>10</v>
      </c>
      <c r="CC9" s="612"/>
      <c r="CD9" s="612"/>
      <c r="CE9" s="615">
        <f>mod.Int.p</f>
        <v>0</v>
      </c>
      <c r="CF9" s="615"/>
      <c r="CG9" s="616"/>
      <c r="CH9" s="636">
        <f>SABEDORIA.p</f>
        <v>14</v>
      </c>
      <c r="CI9" s="612"/>
      <c r="CJ9" s="612"/>
      <c r="CK9" s="615">
        <f>mod.Sab.p</f>
        <v>2</v>
      </c>
      <c r="CL9" s="615"/>
      <c r="CM9" s="616"/>
      <c r="CN9" s="636">
        <f>CARISMA.p</f>
        <v>12</v>
      </c>
      <c r="CO9" s="612"/>
      <c r="CP9" s="612"/>
      <c r="CQ9" s="615">
        <f>mod.Car.p</f>
        <v>1</v>
      </c>
      <c r="CR9" s="615"/>
      <c r="CS9" s="625"/>
      <c r="CT9" s="152"/>
    </row>
    <row r="10" spans="2:159" s="106" customFormat="1" ht="8.1" customHeight="1" x14ac:dyDescent="0.25">
      <c r="B10" s="694" t="s">
        <v>835</v>
      </c>
      <c r="C10" s="694"/>
      <c r="D10" s="694"/>
      <c r="E10" s="694"/>
      <c r="F10" s="694"/>
      <c r="G10" s="694"/>
      <c r="H10" s="694"/>
      <c r="I10" s="694"/>
      <c r="J10" s="694"/>
      <c r="K10" s="694"/>
      <c r="L10" s="694"/>
      <c r="M10" s="694"/>
      <c r="N10" s="694"/>
      <c r="O10" s="694"/>
      <c r="P10" s="694"/>
      <c r="Q10" s="694"/>
      <c r="R10" s="694"/>
      <c r="S10" s="694"/>
      <c r="T10" s="694"/>
      <c r="U10" s="694"/>
      <c r="V10" s="694"/>
      <c r="W10" s="694"/>
      <c r="X10" s="694"/>
      <c r="Y10" s="694"/>
      <c r="Z10" s="694"/>
      <c r="AA10" s="694"/>
      <c r="AB10" s="694"/>
      <c r="AC10" s="69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27"/>
      <c r="BA10" s="156"/>
      <c r="BB10" s="156"/>
      <c r="BC10" s="156"/>
      <c r="BD10" s="156"/>
      <c r="BE10" s="156"/>
      <c r="BF10" s="156"/>
      <c r="BG10" s="156"/>
      <c r="BI10" s="153"/>
      <c r="BJ10" s="613"/>
      <c r="BK10" s="614"/>
      <c r="BL10" s="614"/>
      <c r="BM10" s="617"/>
      <c r="BN10" s="617"/>
      <c r="BO10" s="618"/>
      <c r="BP10" s="637"/>
      <c r="BQ10" s="614"/>
      <c r="BR10" s="614"/>
      <c r="BS10" s="617"/>
      <c r="BT10" s="617"/>
      <c r="BU10" s="618"/>
      <c r="BV10" s="637"/>
      <c r="BW10" s="614"/>
      <c r="BX10" s="614"/>
      <c r="BY10" s="640"/>
      <c r="BZ10" s="640"/>
      <c r="CA10" s="641"/>
      <c r="CB10" s="637"/>
      <c r="CC10" s="614"/>
      <c r="CD10" s="614"/>
      <c r="CE10" s="617"/>
      <c r="CF10" s="617"/>
      <c r="CG10" s="618"/>
      <c r="CH10" s="637"/>
      <c r="CI10" s="614"/>
      <c r="CJ10" s="614"/>
      <c r="CK10" s="617"/>
      <c r="CL10" s="617"/>
      <c r="CM10" s="618"/>
      <c r="CN10" s="637"/>
      <c r="CO10" s="614"/>
      <c r="CP10" s="614"/>
      <c r="CQ10" s="617"/>
      <c r="CR10" s="617"/>
      <c r="CS10" s="626"/>
      <c r="CT10" s="152"/>
    </row>
    <row r="11" spans="2:159" ht="8.1" customHeight="1" x14ac:dyDescent="0.25">
      <c r="B11" s="694"/>
      <c r="C11" s="694"/>
      <c r="D11" s="694"/>
      <c r="E11" s="694"/>
      <c r="F11" s="694"/>
      <c r="G11" s="694"/>
      <c r="H11" s="694"/>
      <c r="I11" s="694"/>
      <c r="J11" s="694"/>
      <c r="K11" s="694"/>
      <c r="L11" s="694"/>
      <c r="M11" s="694"/>
      <c r="N11" s="694"/>
      <c r="O11" s="694"/>
      <c r="P11" s="694"/>
      <c r="Q11" s="694"/>
      <c r="R11" s="694"/>
      <c r="S11" s="694"/>
      <c r="T11" s="694"/>
      <c r="U11" s="694"/>
      <c r="V11" s="694"/>
      <c r="W11" s="694"/>
      <c r="X11" s="694"/>
      <c r="Y11" s="694"/>
      <c r="Z11" s="694"/>
      <c r="AA11" s="694"/>
      <c r="AB11" s="694"/>
      <c r="AC11" s="694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1"/>
      <c r="BA11" s="159"/>
      <c r="BB11" s="159"/>
      <c r="BC11" s="159"/>
      <c r="BD11" s="159"/>
      <c r="BE11" s="159"/>
      <c r="BF11" s="159"/>
      <c r="BG11" s="159"/>
      <c r="BI11" s="153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  <c r="CT11" s="152"/>
    </row>
    <row r="12" spans="2:159" ht="8.1" customHeight="1" x14ac:dyDescent="0.25">
      <c r="B12" s="694"/>
      <c r="C12" s="694"/>
      <c r="D12" s="694"/>
      <c r="E12" s="694"/>
      <c r="F12" s="694"/>
      <c r="G12" s="694"/>
      <c r="H12" s="694"/>
      <c r="I12" s="694"/>
      <c r="J12" s="694"/>
      <c r="K12" s="694"/>
      <c r="L12" s="694"/>
      <c r="M12" s="694"/>
      <c r="N12" s="694"/>
      <c r="O12" s="694"/>
      <c r="P12" s="694"/>
      <c r="Q12" s="694"/>
      <c r="R12" s="694"/>
      <c r="S12" s="694"/>
      <c r="T12" s="694"/>
      <c r="U12" s="694"/>
      <c r="V12" s="694"/>
      <c r="W12" s="694"/>
      <c r="X12" s="694"/>
      <c r="Y12" s="694"/>
      <c r="Z12" s="694"/>
      <c r="AA12" s="694"/>
      <c r="AB12" s="694"/>
      <c r="AC12" s="694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1"/>
      <c r="BA12" s="159"/>
      <c r="BB12" s="159"/>
      <c r="BC12" s="159"/>
      <c r="BD12" s="159"/>
      <c r="BE12" s="159"/>
      <c r="BF12" s="159"/>
      <c r="BG12" s="159"/>
      <c r="BI12" s="695" t="s">
        <v>481</v>
      </c>
      <c r="BJ12" s="696"/>
      <c r="BK12" s="696"/>
      <c r="BL12" s="696"/>
      <c r="BM12" s="696"/>
      <c r="BN12" s="696"/>
      <c r="BO12" s="696"/>
      <c r="BP12" s="696"/>
      <c r="BQ12" s="696"/>
      <c r="BR12" s="696"/>
      <c r="BS12" s="696"/>
      <c r="BT12" s="696"/>
      <c r="BU12" s="696"/>
      <c r="BV12" s="696"/>
      <c r="BW12" s="696"/>
      <c r="BX12" s="696"/>
      <c r="BY12" s="696"/>
      <c r="BZ12" s="696"/>
      <c r="CA12" s="696"/>
      <c r="CB12" s="696"/>
      <c r="CC12" s="696"/>
      <c r="CD12" s="696"/>
      <c r="CE12" s="696"/>
      <c r="CF12" s="696"/>
      <c r="CG12" s="696"/>
      <c r="CH12" s="696"/>
      <c r="CI12" s="696"/>
      <c r="CJ12" s="696"/>
      <c r="CK12" s="696"/>
      <c r="CL12" s="696"/>
      <c r="CM12" s="696"/>
      <c r="CN12" s="696"/>
      <c r="CO12" s="696"/>
      <c r="CP12" s="696"/>
      <c r="CQ12" s="696"/>
      <c r="CR12" s="696"/>
      <c r="CS12" s="696"/>
      <c r="CT12" s="697"/>
    </row>
    <row r="13" spans="2:159" ht="8.1" customHeight="1" x14ac:dyDescent="0.25">
      <c r="B13" s="160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2"/>
      <c r="AG13" s="161"/>
      <c r="AH13" s="161"/>
      <c r="AI13" s="161"/>
      <c r="AJ13" s="161"/>
      <c r="AK13" s="161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1"/>
      <c r="AY13" s="161"/>
      <c r="AZ13" s="164"/>
      <c r="BA13" s="165"/>
      <c r="BB13" s="165"/>
      <c r="BC13" s="165"/>
      <c r="BD13" s="165"/>
      <c r="BE13" s="165"/>
      <c r="BF13" s="166"/>
      <c r="BG13" s="167"/>
      <c r="BI13" s="695"/>
      <c r="BJ13" s="696"/>
      <c r="BK13" s="696"/>
      <c r="BL13" s="696"/>
      <c r="BM13" s="696"/>
      <c r="BN13" s="696"/>
      <c r="BO13" s="696"/>
      <c r="BP13" s="696"/>
      <c r="BQ13" s="696"/>
      <c r="BR13" s="696"/>
      <c r="BS13" s="696"/>
      <c r="BT13" s="696"/>
      <c r="BU13" s="696"/>
      <c r="BV13" s="696"/>
      <c r="BW13" s="696"/>
      <c r="BX13" s="696"/>
      <c r="BY13" s="696"/>
      <c r="BZ13" s="696"/>
      <c r="CA13" s="696"/>
      <c r="CB13" s="696"/>
      <c r="CC13" s="696"/>
      <c r="CD13" s="696"/>
      <c r="CE13" s="696"/>
      <c r="CF13" s="696"/>
      <c r="CG13" s="696"/>
      <c r="CH13" s="696"/>
      <c r="CI13" s="696"/>
      <c r="CJ13" s="696"/>
      <c r="CK13" s="696"/>
      <c r="CL13" s="696"/>
      <c r="CM13" s="696"/>
      <c r="CN13" s="696"/>
      <c r="CO13" s="696"/>
      <c r="CP13" s="696"/>
      <c r="CQ13" s="696"/>
      <c r="CR13" s="696"/>
      <c r="CS13" s="696"/>
      <c r="CT13" s="697"/>
    </row>
    <row r="14" spans="2:159" ht="8.1" customHeight="1" x14ac:dyDescent="0.25">
      <c r="B14" s="168"/>
      <c r="C14" s="169"/>
      <c r="D14" s="169"/>
      <c r="E14" s="169"/>
      <c r="F14" s="677" t="s">
        <v>831</v>
      </c>
      <c r="G14" s="677"/>
      <c r="H14" s="677"/>
      <c r="I14" s="677"/>
      <c r="J14" s="677"/>
      <c r="K14" s="677"/>
      <c r="L14" s="677"/>
      <c r="M14" s="677"/>
      <c r="N14" s="677"/>
      <c r="O14" s="170"/>
      <c r="P14" s="677" t="s">
        <v>832</v>
      </c>
      <c r="Q14" s="677"/>
      <c r="R14" s="677"/>
      <c r="S14" s="677"/>
      <c r="T14" s="677"/>
      <c r="U14" s="677"/>
      <c r="V14" s="677"/>
      <c r="W14" s="677"/>
      <c r="X14" s="677"/>
      <c r="Y14" s="677"/>
      <c r="Z14" s="677"/>
      <c r="AA14" s="677"/>
      <c r="AB14" s="677"/>
      <c r="AC14" s="677"/>
      <c r="AD14" s="677"/>
      <c r="AE14" s="677"/>
      <c r="AF14" s="601" t="s">
        <v>839</v>
      </c>
      <c r="AG14" s="601"/>
      <c r="AH14" s="601"/>
      <c r="AI14" s="601"/>
      <c r="AJ14" s="601"/>
      <c r="AK14" s="171"/>
      <c r="AL14" s="169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172"/>
      <c r="AZ14" s="172"/>
      <c r="BA14" s="601" t="s">
        <v>834</v>
      </c>
      <c r="BB14" s="601"/>
      <c r="BC14" s="601"/>
      <c r="BD14" s="601"/>
      <c r="BE14" s="601"/>
      <c r="BF14" s="173"/>
      <c r="BG14" s="174"/>
      <c r="BI14" s="695"/>
      <c r="BJ14" s="696"/>
      <c r="BK14" s="696"/>
      <c r="BL14" s="696"/>
      <c r="BM14" s="696"/>
      <c r="BN14" s="696"/>
      <c r="BO14" s="696"/>
      <c r="BP14" s="696"/>
      <c r="BQ14" s="696"/>
      <c r="BR14" s="696"/>
      <c r="BS14" s="696"/>
      <c r="BT14" s="696"/>
      <c r="BU14" s="696"/>
      <c r="BV14" s="696"/>
      <c r="BW14" s="696"/>
      <c r="BX14" s="696"/>
      <c r="BY14" s="696"/>
      <c r="BZ14" s="696"/>
      <c r="CA14" s="696"/>
      <c r="CB14" s="696"/>
      <c r="CC14" s="696"/>
      <c r="CD14" s="696"/>
      <c r="CE14" s="696"/>
      <c r="CF14" s="696"/>
      <c r="CG14" s="696"/>
      <c r="CH14" s="696"/>
      <c r="CI14" s="696"/>
      <c r="CJ14" s="696"/>
      <c r="CK14" s="696"/>
      <c r="CL14" s="696"/>
      <c r="CM14" s="696"/>
      <c r="CN14" s="696"/>
      <c r="CO14" s="696"/>
      <c r="CP14" s="696"/>
      <c r="CQ14" s="696"/>
      <c r="CR14" s="696"/>
      <c r="CS14" s="696"/>
      <c r="CT14" s="697"/>
    </row>
    <row r="15" spans="2:159" ht="8.1" customHeight="1" x14ac:dyDescent="0.25">
      <c r="B15" s="168"/>
      <c r="C15" s="169"/>
      <c r="D15" s="169"/>
      <c r="E15" s="169"/>
      <c r="F15" s="677"/>
      <c r="G15" s="677"/>
      <c r="H15" s="677"/>
      <c r="I15" s="677"/>
      <c r="J15" s="677"/>
      <c r="K15" s="677"/>
      <c r="L15" s="677"/>
      <c r="M15" s="677"/>
      <c r="N15" s="677"/>
      <c r="O15" s="170"/>
      <c r="P15" s="677"/>
      <c r="Q15" s="677"/>
      <c r="R15" s="677"/>
      <c r="S15" s="677"/>
      <c r="T15" s="677"/>
      <c r="U15" s="677"/>
      <c r="V15" s="677"/>
      <c r="W15" s="677"/>
      <c r="X15" s="677"/>
      <c r="Y15" s="677"/>
      <c r="Z15" s="677"/>
      <c r="AA15" s="677"/>
      <c r="AB15" s="677"/>
      <c r="AC15" s="677"/>
      <c r="AD15" s="677"/>
      <c r="AE15" s="677"/>
      <c r="AF15" s="601"/>
      <c r="AG15" s="601"/>
      <c r="AH15" s="601"/>
      <c r="AI15" s="601"/>
      <c r="AJ15" s="601"/>
      <c r="AK15" s="171"/>
      <c r="AL15" s="169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172"/>
      <c r="AZ15" s="172"/>
      <c r="BA15" s="601"/>
      <c r="BB15" s="601"/>
      <c r="BC15" s="601"/>
      <c r="BD15" s="601"/>
      <c r="BE15" s="601"/>
      <c r="BF15" s="175"/>
      <c r="BI15" s="153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550" t="s">
        <v>38</v>
      </c>
      <c r="CA15" s="550"/>
      <c r="CB15" s="550"/>
      <c r="CC15" s="550"/>
      <c r="CD15" s="176"/>
      <c r="CE15" s="550" t="s">
        <v>308</v>
      </c>
      <c r="CF15" s="550"/>
      <c r="CG15" s="550"/>
      <c r="CH15" s="176"/>
      <c r="CI15" s="550" t="s">
        <v>141</v>
      </c>
      <c r="CJ15" s="550"/>
      <c r="CK15" s="550"/>
      <c r="CL15" s="176"/>
      <c r="CM15" s="550" t="s">
        <v>63</v>
      </c>
      <c r="CN15" s="550"/>
      <c r="CO15" s="550"/>
      <c r="CQ15" s="550" t="s">
        <v>836</v>
      </c>
      <c r="CR15" s="550"/>
      <c r="CS15" s="550"/>
      <c r="CT15" s="152"/>
    </row>
    <row r="16" spans="2:159" ht="8.1" customHeight="1" thickBot="1" x14ac:dyDescent="0.3">
      <c r="B16" s="177"/>
      <c r="C16" s="519">
        <v>1</v>
      </c>
      <c r="D16" s="520"/>
      <c r="E16" s="178"/>
      <c r="F16" s="523"/>
      <c r="G16" s="524"/>
      <c r="H16" s="524"/>
      <c r="I16" s="524"/>
      <c r="J16" s="524"/>
      <c r="K16" s="524"/>
      <c r="L16" s="524"/>
      <c r="M16" s="524"/>
      <c r="N16" s="525"/>
      <c r="O16" s="179"/>
      <c r="P16" s="595"/>
      <c r="Q16" s="596"/>
      <c r="R16" s="596"/>
      <c r="S16" s="596"/>
      <c r="T16" s="596"/>
      <c r="U16" s="596"/>
      <c r="V16" s="596"/>
      <c r="W16" s="596"/>
      <c r="X16" s="596"/>
      <c r="Y16" s="596"/>
      <c r="Z16" s="596"/>
      <c r="AA16" s="596"/>
      <c r="AB16" s="596"/>
      <c r="AC16" s="596"/>
      <c r="AD16" s="596"/>
      <c r="AE16" s="597"/>
      <c r="AF16" s="180"/>
      <c r="AG16" s="678"/>
      <c r="AH16" s="679"/>
      <c r="AI16" s="680"/>
      <c r="AJ16" s="181"/>
      <c r="AK16" s="181"/>
      <c r="AL16" s="179"/>
      <c r="AM16" s="593" t="s">
        <v>237</v>
      </c>
      <c r="AN16" s="593"/>
      <c r="AO16" s="593"/>
      <c r="AP16" s="593"/>
      <c r="AQ16" s="593"/>
      <c r="AR16" s="593"/>
      <c r="AS16" s="593"/>
      <c r="AT16" s="593"/>
      <c r="AU16" s="593"/>
      <c r="AV16" s="571">
        <f>VLOOKUP(CLASSE.1,TABELA.classes,4,FALSE)</f>
        <v>0</v>
      </c>
      <c r="AW16" s="571"/>
      <c r="AX16" s="571"/>
      <c r="AY16" s="179"/>
      <c r="AZ16" s="179"/>
      <c r="BA16" s="180"/>
      <c r="BB16" s="705">
        <f>IF(NÍVEL.p&gt;20,nv.Classe.1+nv.Classe.1.épico,)</f>
        <v>0</v>
      </c>
      <c r="BC16" s="705"/>
      <c r="BD16" s="705"/>
      <c r="BE16" s="181"/>
      <c r="BF16" s="182"/>
      <c r="BI16" s="153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551"/>
      <c r="CA16" s="551"/>
      <c r="CB16" s="551"/>
      <c r="CC16" s="551"/>
      <c r="CD16" s="176"/>
      <c r="CE16" s="552"/>
      <c r="CF16" s="552"/>
      <c r="CG16" s="552"/>
      <c r="CH16" s="176"/>
      <c r="CI16" s="552"/>
      <c r="CJ16" s="552"/>
      <c r="CK16" s="552"/>
      <c r="CL16" s="176"/>
      <c r="CM16" s="552"/>
      <c r="CN16" s="552"/>
      <c r="CO16" s="552"/>
      <c r="CQ16" s="552"/>
      <c r="CR16" s="552"/>
      <c r="CS16" s="552"/>
      <c r="CT16" s="152"/>
    </row>
    <row r="17" spans="2:98" ht="8.1" customHeight="1" x14ac:dyDescent="0.25">
      <c r="B17" s="177"/>
      <c r="C17" s="521"/>
      <c r="D17" s="522"/>
      <c r="E17" s="178"/>
      <c r="F17" s="526"/>
      <c r="G17" s="527"/>
      <c r="H17" s="527"/>
      <c r="I17" s="527"/>
      <c r="J17" s="527"/>
      <c r="K17" s="527"/>
      <c r="L17" s="527"/>
      <c r="M17" s="527"/>
      <c r="N17" s="528"/>
      <c r="O17" s="179"/>
      <c r="P17" s="598"/>
      <c r="Q17" s="599"/>
      <c r="R17" s="599"/>
      <c r="S17" s="599"/>
      <c r="T17" s="599"/>
      <c r="U17" s="599"/>
      <c r="V17" s="599"/>
      <c r="W17" s="599"/>
      <c r="X17" s="599"/>
      <c r="Y17" s="599"/>
      <c r="Z17" s="599"/>
      <c r="AA17" s="599"/>
      <c r="AB17" s="599"/>
      <c r="AC17" s="599"/>
      <c r="AD17" s="599"/>
      <c r="AE17" s="600"/>
      <c r="AF17" s="180"/>
      <c r="AG17" s="681"/>
      <c r="AH17" s="682"/>
      <c r="AI17" s="683"/>
      <c r="AJ17" s="181"/>
      <c r="AK17" s="181"/>
      <c r="AL17" s="179"/>
      <c r="AM17" s="593"/>
      <c r="AN17" s="593"/>
      <c r="AO17" s="593"/>
      <c r="AP17" s="593"/>
      <c r="AQ17" s="593"/>
      <c r="AR17" s="593"/>
      <c r="AS17" s="593"/>
      <c r="AT17" s="593"/>
      <c r="AU17" s="593"/>
      <c r="AV17" s="571"/>
      <c r="AW17" s="571"/>
      <c r="AX17" s="571"/>
      <c r="AY17" s="179"/>
      <c r="AZ17" s="179"/>
      <c r="BA17" s="276">
        <v>0</v>
      </c>
      <c r="BB17" s="705"/>
      <c r="BC17" s="705"/>
      <c r="BD17" s="705"/>
      <c r="BE17" s="181"/>
      <c r="BF17" s="182"/>
      <c r="BI17" s="153"/>
      <c r="BJ17" s="602" t="s">
        <v>454</v>
      </c>
      <c r="BK17" s="603"/>
      <c r="BL17" s="603"/>
      <c r="BM17" s="603"/>
      <c r="BN17" s="603"/>
      <c r="BO17" s="603"/>
      <c r="BP17" s="603"/>
      <c r="BQ17" s="603"/>
      <c r="BR17" s="603"/>
      <c r="BS17" s="603"/>
      <c r="BT17" s="603"/>
      <c r="BU17" s="603"/>
      <c r="BV17" s="603"/>
      <c r="BW17" s="603"/>
      <c r="BX17" s="603"/>
      <c r="BY17" s="603"/>
      <c r="BZ17" s="553">
        <f>CE17+CI17+CM17+CQ17</f>
        <v>0</v>
      </c>
      <c r="CA17" s="554"/>
      <c r="CB17" s="554"/>
      <c r="CC17" s="555"/>
      <c r="CD17" s="151"/>
      <c r="CE17" s="562">
        <f>PV.classes</f>
        <v>0</v>
      </c>
      <c r="CF17" s="563"/>
      <c r="CG17" s="564"/>
      <c r="CH17" s="151"/>
      <c r="CI17" s="562">
        <f>IF(OR(mod.Con.p="–",mod.Con.p&lt;1),0,IF(mod.Con&lt;=20,NÍVEL.p*mod.Con.p,NÍVEL.p*20))</f>
        <v>0</v>
      </c>
      <c r="CJ17" s="563"/>
      <c r="CK17" s="564"/>
      <c r="CL17" s="151"/>
      <c r="CM17" s="541"/>
      <c r="CN17" s="542"/>
      <c r="CO17" s="543"/>
      <c r="CP17" s="151"/>
      <c r="CQ17" s="562">
        <f>pv.epico</f>
        <v>0</v>
      </c>
      <c r="CR17" s="563"/>
      <c r="CS17" s="564"/>
      <c r="CT17" s="152"/>
    </row>
    <row r="18" spans="2:98" ht="8.1" customHeight="1" x14ac:dyDescent="0.25">
      <c r="B18" s="16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83"/>
      <c r="AG18" s="3"/>
      <c r="AH18" s="3"/>
      <c r="AI18" s="3"/>
      <c r="AJ18" s="3"/>
      <c r="AK18" s="3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3"/>
      <c r="AZ18" s="3"/>
      <c r="BA18" s="183"/>
      <c r="BB18" s="184"/>
      <c r="BC18" s="184"/>
      <c r="BD18" s="184"/>
      <c r="BE18" s="3"/>
      <c r="BF18" s="175"/>
      <c r="BI18" s="153"/>
      <c r="BJ18" s="604"/>
      <c r="BK18" s="605"/>
      <c r="BL18" s="605"/>
      <c r="BM18" s="605"/>
      <c r="BN18" s="605"/>
      <c r="BO18" s="605"/>
      <c r="BP18" s="605"/>
      <c r="BQ18" s="605"/>
      <c r="BR18" s="605"/>
      <c r="BS18" s="605"/>
      <c r="BT18" s="605"/>
      <c r="BU18" s="605"/>
      <c r="BV18" s="605"/>
      <c r="BW18" s="605"/>
      <c r="BX18" s="605"/>
      <c r="BY18" s="605"/>
      <c r="BZ18" s="556"/>
      <c r="CA18" s="557"/>
      <c r="CB18" s="557"/>
      <c r="CC18" s="558"/>
      <c r="CD18" s="185" t="s">
        <v>20</v>
      </c>
      <c r="CE18" s="565"/>
      <c r="CF18" s="566"/>
      <c r="CG18" s="567"/>
      <c r="CH18" s="185" t="s">
        <v>21</v>
      </c>
      <c r="CI18" s="565"/>
      <c r="CJ18" s="566"/>
      <c r="CK18" s="567"/>
      <c r="CL18" s="185" t="s">
        <v>21</v>
      </c>
      <c r="CM18" s="544"/>
      <c r="CN18" s="545"/>
      <c r="CO18" s="546"/>
      <c r="CP18" s="185" t="s">
        <v>21</v>
      </c>
      <c r="CQ18" s="565"/>
      <c r="CR18" s="566"/>
      <c r="CS18" s="567"/>
      <c r="CT18" s="152"/>
    </row>
    <row r="19" spans="2:98" ht="8.1" customHeight="1" thickBot="1" x14ac:dyDescent="0.3">
      <c r="B19" s="177"/>
      <c r="C19" s="519">
        <v>2</v>
      </c>
      <c r="D19" s="520"/>
      <c r="E19" s="178"/>
      <c r="F19" s="523"/>
      <c r="G19" s="524"/>
      <c r="H19" s="524"/>
      <c r="I19" s="524"/>
      <c r="J19" s="524"/>
      <c r="K19" s="524"/>
      <c r="L19" s="524"/>
      <c r="M19" s="524"/>
      <c r="N19" s="525"/>
      <c r="O19" s="179"/>
      <c r="P19" s="529"/>
      <c r="Q19" s="530"/>
      <c r="R19" s="530"/>
      <c r="S19" s="530"/>
      <c r="T19" s="530"/>
      <c r="U19" s="530"/>
      <c r="V19" s="530"/>
      <c r="W19" s="530"/>
      <c r="X19" s="530"/>
      <c r="Y19" s="530"/>
      <c r="Z19" s="530"/>
      <c r="AA19" s="530"/>
      <c r="AB19" s="530"/>
      <c r="AC19" s="530"/>
      <c r="AD19" s="530"/>
      <c r="AE19" s="531"/>
      <c r="AF19" s="180"/>
      <c r="AG19" s="535"/>
      <c r="AH19" s="536"/>
      <c r="AI19" s="537"/>
      <c r="AJ19" s="181"/>
      <c r="AK19" s="181"/>
      <c r="AL19" s="572" t="str">
        <f>IF(tipo.classe.2="Básica","Talento:","")</f>
        <v/>
      </c>
      <c r="AM19" s="572"/>
      <c r="AN19" s="572"/>
      <c r="AO19" s="572"/>
      <c r="AP19" s="572"/>
      <c r="AQ19" s="594"/>
      <c r="AR19" s="594"/>
      <c r="AS19" s="594"/>
      <c r="AT19" s="594"/>
      <c r="AU19" s="594"/>
      <c r="AV19" s="594"/>
      <c r="AW19" s="594"/>
      <c r="AX19" s="594"/>
      <c r="AY19" s="594"/>
      <c r="AZ19" s="594"/>
      <c r="BA19" s="180"/>
      <c r="BB19" s="705">
        <f>IF(NÍVEL.p&lt;21,0,IF(nv.Classe.2&gt;0,nv.Classe.2+nv.Classe.2.épico,))</f>
        <v>0</v>
      </c>
      <c r="BC19" s="705"/>
      <c r="BD19" s="705"/>
      <c r="BE19" s="181"/>
      <c r="BF19" s="182"/>
      <c r="BI19" s="153"/>
      <c r="BJ19" s="606"/>
      <c r="BK19" s="607"/>
      <c r="BL19" s="607"/>
      <c r="BM19" s="607"/>
      <c r="BN19" s="607"/>
      <c r="BO19" s="607"/>
      <c r="BP19" s="607"/>
      <c r="BQ19" s="607"/>
      <c r="BR19" s="607"/>
      <c r="BS19" s="607"/>
      <c r="BT19" s="607"/>
      <c r="BU19" s="607"/>
      <c r="BV19" s="607"/>
      <c r="BW19" s="607"/>
      <c r="BX19" s="607"/>
      <c r="BY19" s="607"/>
      <c r="BZ19" s="559"/>
      <c r="CA19" s="560"/>
      <c r="CB19" s="560"/>
      <c r="CC19" s="561"/>
      <c r="CD19" s="151"/>
      <c r="CE19" s="568"/>
      <c r="CF19" s="569"/>
      <c r="CG19" s="570"/>
      <c r="CH19" s="151"/>
      <c r="CI19" s="568"/>
      <c r="CJ19" s="569"/>
      <c r="CK19" s="570"/>
      <c r="CL19" s="151"/>
      <c r="CM19" s="547"/>
      <c r="CN19" s="548"/>
      <c r="CO19" s="549"/>
      <c r="CP19" s="151"/>
      <c r="CQ19" s="568"/>
      <c r="CR19" s="569"/>
      <c r="CS19" s="570"/>
      <c r="CT19" s="152"/>
    </row>
    <row r="20" spans="2:98" ht="8.1" customHeight="1" x14ac:dyDescent="0.25">
      <c r="B20" s="177"/>
      <c r="C20" s="521"/>
      <c r="D20" s="522"/>
      <c r="E20" s="178"/>
      <c r="F20" s="526"/>
      <c r="G20" s="527"/>
      <c r="H20" s="527"/>
      <c r="I20" s="527"/>
      <c r="J20" s="527"/>
      <c r="K20" s="527"/>
      <c r="L20" s="527"/>
      <c r="M20" s="527"/>
      <c r="N20" s="528"/>
      <c r="O20" s="179"/>
      <c r="P20" s="532"/>
      <c r="Q20" s="533"/>
      <c r="R20" s="533"/>
      <c r="S20" s="533"/>
      <c r="T20" s="533"/>
      <c r="U20" s="533"/>
      <c r="V20" s="533"/>
      <c r="W20" s="533"/>
      <c r="X20" s="533"/>
      <c r="Y20" s="533"/>
      <c r="Z20" s="533"/>
      <c r="AA20" s="533"/>
      <c r="AB20" s="533"/>
      <c r="AC20" s="533"/>
      <c r="AD20" s="533"/>
      <c r="AE20" s="534"/>
      <c r="AF20" s="180"/>
      <c r="AG20" s="538"/>
      <c r="AH20" s="539"/>
      <c r="AI20" s="540"/>
      <c r="AJ20" s="181"/>
      <c r="AK20" s="181"/>
      <c r="AL20" s="572"/>
      <c r="AM20" s="572"/>
      <c r="AN20" s="572"/>
      <c r="AO20" s="572"/>
      <c r="AP20" s="572"/>
      <c r="AQ20" s="594"/>
      <c r="AR20" s="594"/>
      <c r="AS20" s="594"/>
      <c r="AT20" s="594"/>
      <c r="AU20" s="594"/>
      <c r="AV20" s="594"/>
      <c r="AW20" s="594"/>
      <c r="AX20" s="594"/>
      <c r="AY20" s="594"/>
      <c r="AZ20" s="594"/>
      <c r="BA20" s="276">
        <v>0</v>
      </c>
      <c r="BB20" s="705"/>
      <c r="BC20" s="705"/>
      <c r="BD20" s="705"/>
      <c r="BE20" s="181"/>
      <c r="BF20" s="182"/>
      <c r="BI20" s="153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  <c r="CT20" s="152"/>
    </row>
    <row r="21" spans="2:98" ht="8.1" customHeight="1" thickBot="1" x14ac:dyDescent="0.3">
      <c r="B21" s="16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158"/>
      <c r="AA21" s="158"/>
      <c r="AB21" s="158"/>
      <c r="AC21" s="158"/>
      <c r="AD21" s="158"/>
      <c r="AE21" s="158"/>
      <c r="AF21" s="186"/>
      <c r="AG21" s="158"/>
      <c r="AH21" s="158"/>
      <c r="AI21" s="158"/>
      <c r="AJ21" s="187"/>
      <c r="AK21" s="187"/>
      <c r="AL21" s="187"/>
      <c r="AM21" s="187"/>
      <c r="AN21" s="158"/>
      <c r="AO21" s="158"/>
      <c r="AP21" s="158"/>
      <c r="AQ21" s="158"/>
      <c r="AR21" s="144"/>
      <c r="AS21" s="144"/>
      <c r="AT21" s="144"/>
      <c r="AU21" s="144"/>
      <c r="AV21" s="144"/>
      <c r="AW21" s="144"/>
      <c r="AX21" s="144"/>
      <c r="AY21" s="110"/>
      <c r="AZ21" s="110"/>
      <c r="BA21" s="186"/>
      <c r="BB21" s="188"/>
      <c r="BC21" s="188"/>
      <c r="BD21" s="188"/>
      <c r="BE21" s="187"/>
      <c r="BF21" s="175"/>
      <c r="BI21" s="153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  <c r="CT21" s="152"/>
    </row>
    <row r="22" spans="2:98" ht="8.1" customHeight="1" x14ac:dyDescent="0.25">
      <c r="B22" s="177"/>
      <c r="C22" s="519">
        <v>3</v>
      </c>
      <c r="D22" s="520"/>
      <c r="E22" s="178"/>
      <c r="F22" s="523"/>
      <c r="G22" s="524"/>
      <c r="H22" s="524"/>
      <c r="I22" s="524"/>
      <c r="J22" s="524"/>
      <c r="K22" s="524"/>
      <c r="L22" s="524"/>
      <c r="M22" s="524"/>
      <c r="N22" s="525"/>
      <c r="O22" s="179"/>
      <c r="P22" s="529"/>
      <c r="Q22" s="530"/>
      <c r="R22" s="530"/>
      <c r="S22" s="530"/>
      <c r="T22" s="530"/>
      <c r="U22" s="530"/>
      <c r="V22" s="530"/>
      <c r="W22" s="530"/>
      <c r="X22" s="530"/>
      <c r="Y22" s="530"/>
      <c r="Z22" s="530"/>
      <c r="AA22" s="530"/>
      <c r="AB22" s="530"/>
      <c r="AC22" s="530"/>
      <c r="AD22" s="530"/>
      <c r="AE22" s="531"/>
      <c r="AF22" s="180"/>
      <c r="AG22" s="535"/>
      <c r="AH22" s="536"/>
      <c r="AI22" s="537"/>
      <c r="AJ22" s="181"/>
      <c r="AK22" s="181"/>
      <c r="AL22" s="572" t="str">
        <f>IF(tipo.classe.3="Básica","Talento:","")</f>
        <v/>
      </c>
      <c r="AM22" s="572"/>
      <c r="AN22" s="572"/>
      <c r="AO22" s="572"/>
      <c r="AP22" s="572"/>
      <c r="AQ22" s="594"/>
      <c r="AR22" s="594"/>
      <c r="AS22" s="594"/>
      <c r="AT22" s="594"/>
      <c r="AU22" s="594"/>
      <c r="AV22" s="594"/>
      <c r="AW22" s="594"/>
      <c r="AX22" s="594"/>
      <c r="AY22" s="594"/>
      <c r="AZ22" s="594"/>
      <c r="BA22" s="180"/>
      <c r="BB22" s="705">
        <f>IF(NÍVEL.p&gt;20,nv.Classe.3+nv.Classe.3.épico,)</f>
        <v>0</v>
      </c>
      <c r="BC22" s="705"/>
      <c r="BD22" s="705"/>
      <c r="BE22" s="181"/>
      <c r="BF22" s="182"/>
      <c r="BI22" s="153"/>
      <c r="BJ22" s="151"/>
      <c r="BK22" s="151"/>
      <c r="BL22" s="151"/>
      <c r="BM22" s="151"/>
      <c r="BN22" s="151"/>
      <c r="BO22" s="151"/>
      <c r="BP22" s="651" t="s">
        <v>480</v>
      </c>
      <c r="BQ22" s="652"/>
      <c r="BR22" s="652"/>
      <c r="BS22" s="652"/>
      <c r="BT22" s="652"/>
      <c r="BU22" s="652"/>
      <c r="BV22" s="652"/>
      <c r="BW22" s="652"/>
      <c r="BX22" s="652"/>
      <c r="BY22" s="652"/>
      <c r="BZ22" s="652"/>
      <c r="CA22" s="652"/>
      <c r="CB22" s="652"/>
      <c r="CC22" s="652"/>
      <c r="CD22" s="652"/>
      <c r="CE22" s="652"/>
      <c r="CF22" s="652"/>
      <c r="CG22" s="653"/>
      <c r="CH22" s="575">
        <f>BBA.total.p</f>
        <v>0</v>
      </c>
      <c r="CI22" s="576"/>
      <c r="CJ22" s="576"/>
      <c r="CK22" s="576"/>
      <c r="CL22" s="576"/>
      <c r="CM22" s="577"/>
      <c r="CN22" s="151"/>
      <c r="CO22" s="151"/>
      <c r="CP22" s="151"/>
      <c r="CQ22" s="151"/>
      <c r="CR22" s="151"/>
      <c r="CS22" s="151"/>
      <c r="CT22" s="152"/>
    </row>
    <row r="23" spans="2:98" ht="8.1" customHeight="1" x14ac:dyDescent="0.25">
      <c r="B23" s="177"/>
      <c r="C23" s="521"/>
      <c r="D23" s="522"/>
      <c r="E23" s="178"/>
      <c r="F23" s="526"/>
      <c r="G23" s="527"/>
      <c r="H23" s="527"/>
      <c r="I23" s="527"/>
      <c r="J23" s="527"/>
      <c r="K23" s="527"/>
      <c r="L23" s="527"/>
      <c r="M23" s="527"/>
      <c r="N23" s="528"/>
      <c r="O23" s="179"/>
      <c r="P23" s="532"/>
      <c r="Q23" s="533"/>
      <c r="R23" s="533"/>
      <c r="S23" s="533"/>
      <c r="T23" s="533"/>
      <c r="U23" s="533"/>
      <c r="V23" s="533"/>
      <c r="W23" s="533"/>
      <c r="X23" s="533"/>
      <c r="Y23" s="533"/>
      <c r="Z23" s="533"/>
      <c r="AA23" s="533"/>
      <c r="AB23" s="533"/>
      <c r="AC23" s="533"/>
      <c r="AD23" s="533"/>
      <c r="AE23" s="534"/>
      <c r="AF23" s="180"/>
      <c r="AG23" s="538"/>
      <c r="AH23" s="539"/>
      <c r="AI23" s="540"/>
      <c r="AJ23" s="181"/>
      <c r="AK23" s="181"/>
      <c r="AL23" s="572"/>
      <c r="AM23" s="572"/>
      <c r="AN23" s="572"/>
      <c r="AO23" s="572"/>
      <c r="AP23" s="572"/>
      <c r="AQ23" s="594"/>
      <c r="AR23" s="594"/>
      <c r="AS23" s="594"/>
      <c r="AT23" s="594"/>
      <c r="AU23" s="594"/>
      <c r="AV23" s="594"/>
      <c r="AW23" s="594"/>
      <c r="AX23" s="594"/>
      <c r="AY23" s="594"/>
      <c r="AZ23" s="594"/>
      <c r="BA23" s="276">
        <v>0</v>
      </c>
      <c r="BB23" s="705"/>
      <c r="BC23" s="705"/>
      <c r="BD23" s="705"/>
      <c r="BE23" s="181"/>
      <c r="BF23" s="182"/>
      <c r="BI23" s="153"/>
      <c r="BJ23" s="151"/>
      <c r="BK23" s="151"/>
      <c r="BL23" s="151"/>
      <c r="BM23" s="151"/>
      <c r="BN23" s="151"/>
      <c r="BO23" s="151"/>
      <c r="BP23" s="654"/>
      <c r="BQ23" s="655"/>
      <c r="BR23" s="655"/>
      <c r="BS23" s="655"/>
      <c r="BT23" s="655"/>
      <c r="BU23" s="655"/>
      <c r="BV23" s="655"/>
      <c r="BW23" s="655"/>
      <c r="BX23" s="655"/>
      <c r="BY23" s="655"/>
      <c r="BZ23" s="655"/>
      <c r="CA23" s="655"/>
      <c r="CB23" s="655"/>
      <c r="CC23" s="655"/>
      <c r="CD23" s="655"/>
      <c r="CE23" s="655"/>
      <c r="CF23" s="655"/>
      <c r="CG23" s="656"/>
      <c r="CH23" s="578"/>
      <c r="CI23" s="579"/>
      <c r="CJ23" s="579"/>
      <c r="CK23" s="579"/>
      <c r="CL23" s="579"/>
      <c r="CM23" s="580"/>
      <c r="CN23" s="151"/>
      <c r="CO23" s="151"/>
      <c r="CP23" s="151"/>
      <c r="CQ23" s="151"/>
      <c r="CR23" s="151"/>
      <c r="CS23" s="151"/>
      <c r="CT23" s="152"/>
    </row>
    <row r="24" spans="2:98" ht="8.1" customHeight="1" thickBot="1" x14ac:dyDescent="0.3">
      <c r="B24" s="16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158"/>
      <c r="AA24" s="158"/>
      <c r="AB24" s="158"/>
      <c r="AC24" s="158"/>
      <c r="AD24" s="158"/>
      <c r="AE24" s="158"/>
      <c r="AF24" s="186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44"/>
      <c r="AS24" s="144"/>
      <c r="AT24" s="144"/>
      <c r="AU24" s="144"/>
      <c r="AV24" s="144"/>
      <c r="AW24" s="144"/>
      <c r="AX24" s="144"/>
      <c r="AY24" s="110"/>
      <c r="AZ24" s="110"/>
      <c r="BA24" s="186"/>
      <c r="BB24" s="188"/>
      <c r="BC24" s="188"/>
      <c r="BD24" s="188"/>
      <c r="BE24" s="158"/>
      <c r="BF24" s="175"/>
      <c r="BI24" s="153"/>
      <c r="BJ24" s="151"/>
      <c r="BK24" s="151"/>
      <c r="BL24" s="151"/>
      <c r="BM24" s="151"/>
      <c r="BN24" s="151"/>
      <c r="BO24" s="151"/>
      <c r="BP24" s="657"/>
      <c r="BQ24" s="658"/>
      <c r="BR24" s="658"/>
      <c r="BS24" s="658"/>
      <c r="BT24" s="658"/>
      <c r="BU24" s="658"/>
      <c r="BV24" s="658"/>
      <c r="BW24" s="658"/>
      <c r="BX24" s="658"/>
      <c r="BY24" s="658"/>
      <c r="BZ24" s="658"/>
      <c r="CA24" s="658"/>
      <c r="CB24" s="658"/>
      <c r="CC24" s="658"/>
      <c r="CD24" s="658"/>
      <c r="CE24" s="658"/>
      <c r="CF24" s="658"/>
      <c r="CG24" s="659"/>
      <c r="CH24" s="581"/>
      <c r="CI24" s="582"/>
      <c r="CJ24" s="582"/>
      <c r="CK24" s="582"/>
      <c r="CL24" s="582"/>
      <c r="CM24" s="583"/>
      <c r="CN24" s="151"/>
      <c r="CO24" s="151"/>
      <c r="CP24" s="151"/>
      <c r="CQ24" s="151"/>
      <c r="CR24" s="151"/>
      <c r="CS24" s="151"/>
      <c r="CT24" s="152"/>
    </row>
    <row r="25" spans="2:98" ht="8.1" customHeight="1" x14ac:dyDescent="0.25">
      <c r="B25" s="177"/>
      <c r="C25" s="519">
        <v>4</v>
      </c>
      <c r="D25" s="520"/>
      <c r="E25" s="178"/>
      <c r="F25" s="523"/>
      <c r="G25" s="524"/>
      <c r="H25" s="524"/>
      <c r="I25" s="524"/>
      <c r="J25" s="524"/>
      <c r="K25" s="524"/>
      <c r="L25" s="524"/>
      <c r="M25" s="524"/>
      <c r="N25" s="525"/>
      <c r="O25" s="179"/>
      <c r="P25" s="529"/>
      <c r="Q25" s="530"/>
      <c r="R25" s="530"/>
      <c r="S25" s="530"/>
      <c r="T25" s="530"/>
      <c r="U25" s="530"/>
      <c r="V25" s="530"/>
      <c r="W25" s="530"/>
      <c r="X25" s="530"/>
      <c r="Y25" s="530"/>
      <c r="Z25" s="530"/>
      <c r="AA25" s="530"/>
      <c r="AB25" s="530"/>
      <c r="AC25" s="530"/>
      <c r="AD25" s="530"/>
      <c r="AE25" s="531"/>
      <c r="AF25" s="180"/>
      <c r="AG25" s="535"/>
      <c r="AH25" s="536"/>
      <c r="AI25" s="537"/>
      <c r="AJ25" s="181"/>
      <c r="AK25" s="181"/>
      <c r="AL25" s="572" t="str">
        <f>IF(tipo.classe.4="Básica","Talento:","")</f>
        <v/>
      </c>
      <c r="AM25" s="572"/>
      <c r="AN25" s="572"/>
      <c r="AO25" s="572"/>
      <c r="AP25" s="572"/>
      <c r="AQ25" s="594"/>
      <c r="AR25" s="594"/>
      <c r="AS25" s="594"/>
      <c r="AT25" s="594"/>
      <c r="AU25" s="594"/>
      <c r="AV25" s="594"/>
      <c r="AW25" s="594"/>
      <c r="AX25" s="594"/>
      <c r="AY25" s="594"/>
      <c r="AZ25" s="594"/>
      <c r="BA25" s="180"/>
      <c r="BB25" s="705">
        <f>IF(NÍVEL.p&gt;20,nv.Classe.4+nv.Classe.4.épico,)</f>
        <v>0</v>
      </c>
      <c r="BC25" s="705"/>
      <c r="BD25" s="705"/>
      <c r="BE25" s="181"/>
      <c r="BF25" s="182"/>
      <c r="BI25" s="153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  <c r="CT25" s="152"/>
    </row>
    <row r="26" spans="2:98" ht="8.1" customHeight="1" x14ac:dyDescent="0.2">
      <c r="B26" s="177"/>
      <c r="C26" s="521"/>
      <c r="D26" s="522"/>
      <c r="E26" s="178"/>
      <c r="F26" s="526"/>
      <c r="G26" s="527"/>
      <c r="H26" s="527"/>
      <c r="I26" s="527"/>
      <c r="J26" s="527"/>
      <c r="K26" s="527"/>
      <c r="L26" s="527"/>
      <c r="M26" s="527"/>
      <c r="N26" s="528"/>
      <c r="O26" s="179"/>
      <c r="P26" s="532"/>
      <c r="Q26" s="533"/>
      <c r="R26" s="533"/>
      <c r="S26" s="533"/>
      <c r="T26" s="533"/>
      <c r="U26" s="533"/>
      <c r="V26" s="533"/>
      <c r="W26" s="533"/>
      <c r="X26" s="533"/>
      <c r="Y26" s="533"/>
      <c r="Z26" s="533"/>
      <c r="AA26" s="533"/>
      <c r="AB26" s="533"/>
      <c r="AC26" s="533"/>
      <c r="AD26" s="533"/>
      <c r="AE26" s="534"/>
      <c r="AF26" s="180"/>
      <c r="AG26" s="538"/>
      <c r="AH26" s="539"/>
      <c r="AI26" s="540"/>
      <c r="AJ26" s="181"/>
      <c r="AK26" s="181"/>
      <c r="AL26" s="572"/>
      <c r="AM26" s="572"/>
      <c r="AN26" s="572"/>
      <c r="AO26" s="572"/>
      <c r="AP26" s="572"/>
      <c r="AQ26" s="594"/>
      <c r="AR26" s="594"/>
      <c r="AS26" s="594"/>
      <c r="AT26" s="594"/>
      <c r="AU26" s="594"/>
      <c r="AV26" s="594"/>
      <c r="AW26" s="594"/>
      <c r="AX26" s="594"/>
      <c r="AY26" s="594"/>
      <c r="AZ26" s="594"/>
      <c r="BA26" s="276">
        <v>0</v>
      </c>
      <c r="BB26" s="705"/>
      <c r="BC26" s="705"/>
      <c r="BD26" s="705"/>
      <c r="BE26" s="181"/>
      <c r="BF26" s="182"/>
      <c r="BI26" s="153"/>
      <c r="BJ26" s="151"/>
      <c r="BK26" s="151"/>
      <c r="BL26" s="151"/>
      <c r="BM26" s="666" t="s">
        <v>28</v>
      </c>
      <c r="BN26" s="666"/>
      <c r="BO26" s="666"/>
      <c r="BP26" s="666"/>
      <c r="BQ26" s="666"/>
      <c r="BR26" s="666"/>
      <c r="BS26" s="666"/>
      <c r="BT26" s="666"/>
      <c r="BU26" s="666"/>
      <c r="BV26" s="666"/>
      <c r="BW26" s="550" t="s">
        <v>38</v>
      </c>
      <c r="BX26" s="550"/>
      <c r="BY26" s="550"/>
      <c r="BZ26" s="550"/>
      <c r="CA26" s="151"/>
      <c r="CB26" s="550" t="s">
        <v>105</v>
      </c>
      <c r="CC26" s="550"/>
      <c r="CD26" s="550"/>
      <c r="CE26" s="189"/>
      <c r="CF26" s="550" t="s">
        <v>118</v>
      </c>
      <c r="CG26" s="550"/>
      <c r="CH26" s="550"/>
      <c r="CI26" s="151"/>
      <c r="CJ26" s="550" t="s">
        <v>308</v>
      </c>
      <c r="CK26" s="550"/>
      <c r="CL26" s="550"/>
      <c r="CM26" s="151"/>
      <c r="CN26" s="550" t="s">
        <v>1068</v>
      </c>
      <c r="CO26" s="550"/>
      <c r="CP26" s="550"/>
      <c r="CQ26" s="151"/>
      <c r="CR26" s="550" t="s">
        <v>63</v>
      </c>
      <c r="CS26" s="550"/>
      <c r="CT26" s="550"/>
    </row>
    <row r="27" spans="2:98" ht="8.1" customHeight="1" thickBot="1" x14ac:dyDescent="0.25">
      <c r="B27" s="16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18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110"/>
      <c r="AS27" s="110"/>
      <c r="AT27" s="110"/>
      <c r="AU27" s="144"/>
      <c r="AV27" s="144"/>
      <c r="AW27" s="144"/>
      <c r="AX27" s="144"/>
      <c r="AY27" s="144"/>
      <c r="AZ27" s="110"/>
      <c r="BA27" s="183"/>
      <c r="BB27" s="184"/>
      <c r="BC27" s="184"/>
      <c r="BD27" s="184"/>
      <c r="BE27" s="3"/>
      <c r="BF27" s="175"/>
      <c r="BI27" s="153"/>
      <c r="BJ27" s="151"/>
      <c r="BK27" s="151"/>
      <c r="BL27" s="151"/>
      <c r="BM27" s="667"/>
      <c r="BN27" s="667"/>
      <c r="BO27" s="667"/>
      <c r="BP27" s="667"/>
      <c r="BQ27" s="667"/>
      <c r="BR27" s="667"/>
      <c r="BS27" s="667"/>
      <c r="BT27" s="667"/>
      <c r="BU27" s="667"/>
      <c r="BV27" s="667"/>
      <c r="BW27" s="551"/>
      <c r="BX27" s="551"/>
      <c r="BY27" s="551"/>
      <c r="BZ27" s="551"/>
      <c r="CA27" s="151"/>
      <c r="CB27" s="552"/>
      <c r="CC27" s="552"/>
      <c r="CD27" s="552"/>
      <c r="CE27" s="189"/>
      <c r="CF27" s="552"/>
      <c r="CG27" s="552"/>
      <c r="CH27" s="552"/>
      <c r="CI27" s="151"/>
      <c r="CJ27" s="552"/>
      <c r="CK27" s="552"/>
      <c r="CL27" s="552"/>
      <c r="CM27" s="151"/>
      <c r="CN27" s="552"/>
      <c r="CO27" s="552"/>
      <c r="CP27" s="552"/>
      <c r="CQ27" s="151"/>
      <c r="CR27" s="552"/>
      <c r="CS27" s="552"/>
      <c r="CT27" s="552"/>
    </row>
    <row r="28" spans="2:98" ht="8.1" customHeight="1" x14ac:dyDescent="0.25">
      <c r="B28" s="177"/>
      <c r="C28" s="519">
        <v>5</v>
      </c>
      <c r="D28" s="520"/>
      <c r="E28" s="178"/>
      <c r="F28" s="523"/>
      <c r="G28" s="524"/>
      <c r="H28" s="524"/>
      <c r="I28" s="524"/>
      <c r="J28" s="524"/>
      <c r="K28" s="524"/>
      <c r="L28" s="524"/>
      <c r="M28" s="524"/>
      <c r="N28" s="525"/>
      <c r="O28" s="179"/>
      <c r="P28" s="529"/>
      <c r="Q28" s="530"/>
      <c r="R28" s="530"/>
      <c r="S28" s="530"/>
      <c r="T28" s="530"/>
      <c r="U28" s="530"/>
      <c r="V28" s="530"/>
      <c r="W28" s="530"/>
      <c r="X28" s="530"/>
      <c r="Y28" s="530"/>
      <c r="Z28" s="530"/>
      <c r="AA28" s="530"/>
      <c r="AB28" s="530"/>
      <c r="AC28" s="530"/>
      <c r="AD28" s="530"/>
      <c r="AE28" s="531"/>
      <c r="AF28" s="180"/>
      <c r="AG28" s="535"/>
      <c r="AH28" s="536"/>
      <c r="AI28" s="537"/>
      <c r="AJ28" s="181"/>
      <c r="AK28" s="181"/>
      <c r="AL28" s="572" t="str">
        <f>IF(tipo.classe.5="Básica","Talento:","")</f>
        <v/>
      </c>
      <c r="AM28" s="572"/>
      <c r="AN28" s="572"/>
      <c r="AO28" s="572"/>
      <c r="AP28" s="572"/>
      <c r="AQ28" s="594"/>
      <c r="AR28" s="594"/>
      <c r="AS28" s="594"/>
      <c r="AT28" s="594"/>
      <c r="AU28" s="594"/>
      <c r="AV28" s="594"/>
      <c r="AW28" s="594"/>
      <c r="AX28" s="594"/>
      <c r="AY28" s="594"/>
      <c r="AZ28" s="594"/>
      <c r="BA28" s="180"/>
      <c r="BB28" s="705">
        <f>IF(NÍVEL.p&gt;20,nv.Classe.5+nv.Classe.5.épico,)</f>
        <v>0</v>
      </c>
      <c r="BC28" s="705"/>
      <c r="BD28" s="705"/>
      <c r="BE28" s="181"/>
      <c r="BF28" s="182"/>
      <c r="BI28" s="153"/>
      <c r="BJ28" s="151"/>
      <c r="BK28" s="151"/>
      <c r="BL28" s="151"/>
      <c r="BM28" s="706" t="s">
        <v>316</v>
      </c>
      <c r="BN28" s="707"/>
      <c r="BO28" s="707"/>
      <c r="BP28" s="707"/>
      <c r="BQ28" s="707"/>
      <c r="BR28" s="707"/>
      <c r="BS28" s="707"/>
      <c r="BT28" s="707"/>
      <c r="BU28" s="707"/>
      <c r="BV28" s="707"/>
      <c r="BW28" s="660">
        <f>CB28+CF28+CJ28+CN28+CR28</f>
        <v>0</v>
      </c>
      <c r="BX28" s="660"/>
      <c r="BY28" s="660"/>
      <c r="BZ28" s="661"/>
      <c r="CA28" s="151"/>
      <c r="CB28" s="619">
        <f>MEIO.NÍVEL.p</f>
        <v>0</v>
      </c>
      <c r="CC28" s="620"/>
      <c r="CD28" s="621"/>
      <c r="CE28" s="151"/>
      <c r="CF28" s="619">
        <f>IF(mod.Con.p="–",0,mod.Con.p)</f>
        <v>0</v>
      </c>
      <c r="CG28" s="620"/>
      <c r="CH28" s="621"/>
      <c r="CI28" s="151"/>
      <c r="CJ28" s="619">
        <f>bonus.classe.Fort</f>
        <v>0</v>
      </c>
      <c r="CK28" s="620"/>
      <c r="CL28" s="621"/>
      <c r="CM28" s="151"/>
      <c r="CN28" s="631" t="str">
        <f>IF(RAÇA.p="Halfling",2,"0")</f>
        <v>0</v>
      </c>
      <c r="CO28" s="632"/>
      <c r="CP28" s="633"/>
      <c r="CQ28" s="151"/>
      <c r="CR28" s="584"/>
      <c r="CS28" s="584"/>
      <c r="CT28" s="584"/>
    </row>
    <row r="29" spans="2:98" ht="8.1" customHeight="1" x14ac:dyDescent="0.25">
      <c r="B29" s="177"/>
      <c r="C29" s="521"/>
      <c r="D29" s="522"/>
      <c r="E29" s="178"/>
      <c r="F29" s="526"/>
      <c r="G29" s="527"/>
      <c r="H29" s="527"/>
      <c r="I29" s="527"/>
      <c r="J29" s="527"/>
      <c r="K29" s="527"/>
      <c r="L29" s="527"/>
      <c r="M29" s="527"/>
      <c r="N29" s="528"/>
      <c r="O29" s="179"/>
      <c r="P29" s="532"/>
      <c r="Q29" s="533"/>
      <c r="R29" s="533"/>
      <c r="S29" s="533"/>
      <c r="T29" s="533"/>
      <c r="U29" s="533"/>
      <c r="V29" s="533"/>
      <c r="W29" s="533"/>
      <c r="X29" s="533"/>
      <c r="Y29" s="533"/>
      <c r="Z29" s="533"/>
      <c r="AA29" s="533"/>
      <c r="AB29" s="533"/>
      <c r="AC29" s="533"/>
      <c r="AD29" s="533"/>
      <c r="AE29" s="534"/>
      <c r="AF29" s="180"/>
      <c r="AG29" s="538"/>
      <c r="AH29" s="539"/>
      <c r="AI29" s="540"/>
      <c r="AJ29" s="181"/>
      <c r="AK29" s="181"/>
      <c r="AL29" s="572"/>
      <c r="AM29" s="572"/>
      <c r="AN29" s="572"/>
      <c r="AO29" s="572"/>
      <c r="AP29" s="572"/>
      <c r="AQ29" s="594"/>
      <c r="AR29" s="594"/>
      <c r="AS29" s="594"/>
      <c r="AT29" s="594"/>
      <c r="AU29" s="594"/>
      <c r="AV29" s="594"/>
      <c r="AW29" s="594"/>
      <c r="AX29" s="594"/>
      <c r="AY29" s="594"/>
      <c r="AZ29" s="594"/>
      <c r="BA29" s="276">
        <v>0</v>
      </c>
      <c r="BB29" s="705"/>
      <c r="BC29" s="705"/>
      <c r="BD29" s="705"/>
      <c r="BE29" s="181"/>
      <c r="BF29" s="182"/>
      <c r="BI29" s="153"/>
      <c r="BJ29" s="151"/>
      <c r="BK29" s="151"/>
      <c r="BL29" s="151"/>
      <c r="BM29" s="573"/>
      <c r="BN29" s="574"/>
      <c r="BO29" s="574"/>
      <c r="BP29" s="574"/>
      <c r="BQ29" s="574"/>
      <c r="BR29" s="574"/>
      <c r="BS29" s="574"/>
      <c r="BT29" s="574"/>
      <c r="BU29" s="574"/>
      <c r="BV29" s="574"/>
      <c r="BW29" s="662"/>
      <c r="BX29" s="662"/>
      <c r="BY29" s="662"/>
      <c r="BZ29" s="663"/>
      <c r="CA29" s="185" t="s">
        <v>20</v>
      </c>
      <c r="CB29" s="608"/>
      <c r="CC29" s="609"/>
      <c r="CD29" s="610"/>
      <c r="CE29" s="185" t="s">
        <v>21</v>
      </c>
      <c r="CF29" s="608"/>
      <c r="CG29" s="609"/>
      <c r="CH29" s="610"/>
      <c r="CI29" s="185" t="s">
        <v>21</v>
      </c>
      <c r="CJ29" s="608"/>
      <c r="CK29" s="609"/>
      <c r="CL29" s="610"/>
      <c r="CM29" s="185" t="s">
        <v>21</v>
      </c>
      <c r="CN29" s="622"/>
      <c r="CO29" s="623"/>
      <c r="CP29" s="624"/>
      <c r="CQ29" s="151" t="s">
        <v>21</v>
      </c>
      <c r="CR29" s="584"/>
      <c r="CS29" s="584"/>
      <c r="CT29" s="584"/>
    </row>
    <row r="30" spans="2:98" ht="7.5" customHeight="1" x14ac:dyDescent="0.25">
      <c r="B30" s="16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91" t="s">
        <v>833</v>
      </c>
      <c r="Z30" s="591"/>
      <c r="AA30" s="591"/>
      <c r="AB30" s="591"/>
      <c r="AC30" s="591"/>
      <c r="AD30" s="591"/>
      <c r="AE30" s="591"/>
      <c r="AF30" s="591"/>
      <c r="AG30" s="589">
        <f>SUM(AG28,AG25,AG22,AG19,AG16)</f>
        <v>0</v>
      </c>
      <c r="AH30" s="589"/>
      <c r="AI30" s="589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698" t="s">
        <v>833</v>
      </c>
      <c r="AU30" s="698"/>
      <c r="AV30" s="698"/>
      <c r="AW30" s="698"/>
      <c r="AX30" s="698"/>
      <c r="AY30" s="698"/>
      <c r="AZ30" s="698"/>
      <c r="BA30" s="698"/>
      <c r="BB30" s="703">
        <f>SUM(BB28,BB25,BB22,BB19,BB16)</f>
        <v>0</v>
      </c>
      <c r="BC30" s="703"/>
      <c r="BD30" s="703"/>
      <c r="BE30" s="174"/>
      <c r="BF30" s="175"/>
      <c r="BI30" s="153"/>
      <c r="BJ30" s="151"/>
      <c r="BK30" s="151"/>
      <c r="BL30" s="151"/>
      <c r="BM30" s="573" t="s">
        <v>317</v>
      </c>
      <c r="BN30" s="574"/>
      <c r="BO30" s="574"/>
      <c r="BP30" s="574"/>
      <c r="BQ30" s="574"/>
      <c r="BR30" s="574"/>
      <c r="BS30" s="574"/>
      <c r="BT30" s="574"/>
      <c r="BU30" s="574"/>
      <c r="BV30" s="574"/>
      <c r="BW30" s="662">
        <f>CB30+CF30+CJ30+CN30+CR30</f>
        <v>0</v>
      </c>
      <c r="BX30" s="662"/>
      <c r="BY30" s="662"/>
      <c r="BZ30" s="663"/>
      <c r="CA30" s="185"/>
      <c r="CB30" s="608">
        <f>MEIO.NÍVEL.p</f>
        <v>0</v>
      </c>
      <c r="CC30" s="609"/>
      <c r="CD30" s="610"/>
      <c r="CE30" s="185"/>
      <c r="CF30" s="608">
        <f>mod.Des.p</f>
        <v>0</v>
      </c>
      <c r="CG30" s="609"/>
      <c r="CH30" s="610"/>
      <c r="CI30" s="185"/>
      <c r="CJ30" s="608">
        <f>bonus.classe.Ref</f>
        <v>0</v>
      </c>
      <c r="CK30" s="609"/>
      <c r="CL30" s="610"/>
      <c r="CM30" s="185"/>
      <c r="CN30" s="622" t="str">
        <f>IF(RAÇA.p="Halfling",2,"0")</f>
        <v>0</v>
      </c>
      <c r="CO30" s="623"/>
      <c r="CP30" s="624"/>
      <c r="CQ30" s="151"/>
      <c r="CR30" s="584"/>
      <c r="CS30" s="584"/>
      <c r="CT30" s="584"/>
    </row>
    <row r="31" spans="2:98" ht="8.1" customHeight="1" x14ac:dyDescent="0.25">
      <c r="B31" s="190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592"/>
      <c r="Z31" s="592"/>
      <c r="AA31" s="592"/>
      <c r="AB31" s="592"/>
      <c r="AC31" s="592"/>
      <c r="AD31" s="592"/>
      <c r="AE31" s="592"/>
      <c r="AF31" s="592"/>
      <c r="AG31" s="590"/>
      <c r="AH31" s="590"/>
      <c r="AI31" s="590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699"/>
      <c r="AU31" s="699"/>
      <c r="AV31" s="699"/>
      <c r="AW31" s="699"/>
      <c r="AX31" s="699"/>
      <c r="AY31" s="699"/>
      <c r="AZ31" s="699"/>
      <c r="BA31" s="699"/>
      <c r="BB31" s="704"/>
      <c r="BC31" s="704"/>
      <c r="BD31" s="704"/>
      <c r="BE31" s="192"/>
      <c r="BF31" s="193"/>
      <c r="BI31" s="153"/>
      <c r="BJ31" s="151"/>
      <c r="BK31" s="151"/>
      <c r="BL31" s="151"/>
      <c r="BM31" s="573"/>
      <c r="BN31" s="574"/>
      <c r="BO31" s="574"/>
      <c r="BP31" s="574"/>
      <c r="BQ31" s="574"/>
      <c r="BR31" s="574"/>
      <c r="BS31" s="574"/>
      <c r="BT31" s="574"/>
      <c r="BU31" s="574"/>
      <c r="BV31" s="574"/>
      <c r="BW31" s="662"/>
      <c r="BX31" s="662"/>
      <c r="BY31" s="662"/>
      <c r="BZ31" s="663"/>
      <c r="CA31" s="185" t="s">
        <v>20</v>
      </c>
      <c r="CB31" s="608"/>
      <c r="CC31" s="609"/>
      <c r="CD31" s="610"/>
      <c r="CE31" s="185" t="s">
        <v>21</v>
      </c>
      <c r="CF31" s="608"/>
      <c r="CG31" s="609"/>
      <c r="CH31" s="610"/>
      <c r="CI31" s="185" t="s">
        <v>21</v>
      </c>
      <c r="CJ31" s="608"/>
      <c r="CK31" s="609"/>
      <c r="CL31" s="610"/>
      <c r="CM31" s="185" t="s">
        <v>21</v>
      </c>
      <c r="CN31" s="622"/>
      <c r="CO31" s="623"/>
      <c r="CP31" s="624"/>
      <c r="CQ31" s="151" t="s">
        <v>21</v>
      </c>
      <c r="CR31" s="584"/>
      <c r="CS31" s="584"/>
      <c r="CT31" s="584"/>
    </row>
    <row r="32" spans="2:98" ht="8.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3"/>
      <c r="AZ32" s="3"/>
      <c r="BA32" s="151"/>
      <c r="BB32" s="174"/>
      <c r="BC32" s="174"/>
      <c r="BD32" s="3"/>
      <c r="BE32" s="174"/>
      <c r="BI32" s="153"/>
      <c r="BJ32" s="151"/>
      <c r="BK32" s="151"/>
      <c r="BL32" s="151"/>
      <c r="BM32" s="573" t="s">
        <v>318</v>
      </c>
      <c r="BN32" s="574"/>
      <c r="BO32" s="574"/>
      <c r="BP32" s="574"/>
      <c r="BQ32" s="574"/>
      <c r="BR32" s="574"/>
      <c r="BS32" s="574"/>
      <c r="BT32" s="574"/>
      <c r="BU32" s="574"/>
      <c r="BV32" s="574"/>
      <c r="BW32" s="662">
        <f>CB32+CF32+CJ32+CN32+CR32</f>
        <v>2</v>
      </c>
      <c r="BX32" s="662"/>
      <c r="BY32" s="662"/>
      <c r="BZ32" s="663"/>
      <c r="CA32" s="185"/>
      <c r="CB32" s="608">
        <f>MEIO.NÍVEL.p</f>
        <v>0</v>
      </c>
      <c r="CC32" s="609"/>
      <c r="CD32" s="610"/>
      <c r="CE32" s="185"/>
      <c r="CF32" s="608">
        <f>mod.Sab.p</f>
        <v>2</v>
      </c>
      <c r="CG32" s="609"/>
      <c r="CH32" s="610"/>
      <c r="CI32" s="185"/>
      <c r="CJ32" s="608">
        <f>bonus.classe.Von</f>
        <v>0</v>
      </c>
      <c r="CK32" s="609"/>
      <c r="CL32" s="610"/>
      <c r="CM32" s="185"/>
      <c r="CN32" s="622" t="str">
        <f>IF(RAÇA.p="Halfling",2,"0")</f>
        <v>0</v>
      </c>
      <c r="CO32" s="623"/>
      <c r="CP32" s="624"/>
      <c r="CQ32" s="151"/>
      <c r="CR32" s="584"/>
      <c r="CS32" s="584"/>
      <c r="CT32" s="584"/>
    </row>
    <row r="33" spans="2:98" ht="8.1" customHeight="1" thickBot="1" x14ac:dyDescent="0.3">
      <c r="B33" s="700" t="str">
        <f>IF(NÍVEL.p&lt;21,IF(NÍVEL.classes=NÍVEL.p,mensagem1,IF(NÍVEL.classes&lt;NÍVEL.p,mensagem2,mensagem3)),IF(NÍVEL.classes&gt;20,mensagem4,IF(NÍVEL.classes&lt;20,mensagem6,IF(NÍVEL.total=NÍVEL.p,mensagem1,IF(NÍVEL.total&lt;NÍVEL.p,mensagem2,mensagem3)))))</f>
        <v>Você deve distribuir seus níveis de personagem em uma ou mais classes. Ainda faltam níveis para distribuir!</v>
      </c>
      <c r="C33" s="700"/>
      <c r="D33" s="700"/>
      <c r="E33" s="700"/>
      <c r="F33" s="700"/>
      <c r="G33" s="700"/>
      <c r="H33" s="700"/>
      <c r="I33" s="700"/>
      <c r="J33" s="700"/>
      <c r="K33" s="700"/>
      <c r="L33" s="700"/>
      <c r="M33" s="700"/>
      <c r="N33" s="700"/>
      <c r="O33" s="700"/>
      <c r="P33" s="700"/>
      <c r="Q33" s="700"/>
      <c r="R33" s="700"/>
      <c r="S33" s="700"/>
      <c r="T33" s="700"/>
      <c r="U33" s="700"/>
      <c r="V33" s="700"/>
      <c r="W33" s="700"/>
      <c r="X33" s="700"/>
      <c r="Y33" s="700"/>
      <c r="Z33" s="700"/>
      <c r="AA33" s="700"/>
      <c r="AB33" s="700"/>
      <c r="AC33" s="700"/>
      <c r="AD33" s="700"/>
      <c r="AE33" s="700"/>
      <c r="AF33" s="700"/>
      <c r="AG33" s="700"/>
      <c r="AH33" s="700"/>
      <c r="AI33" s="700"/>
      <c r="AJ33" s="700"/>
      <c r="AK33" s="700"/>
      <c r="AL33" s="700"/>
      <c r="AM33" s="700"/>
      <c r="AN33" s="700"/>
      <c r="AO33" s="700"/>
      <c r="AP33" s="700"/>
      <c r="AQ33" s="700"/>
      <c r="AR33" s="700"/>
      <c r="AS33" s="700"/>
      <c r="AT33" s="700"/>
      <c r="AU33" s="700"/>
      <c r="AV33" s="700"/>
      <c r="AW33" s="700"/>
      <c r="AX33" s="700"/>
      <c r="AY33" s="700"/>
      <c r="AZ33" s="700"/>
      <c r="BA33" s="700"/>
      <c r="BB33" s="700"/>
      <c r="BC33" s="700"/>
      <c r="BD33" s="700"/>
      <c r="BE33" s="700"/>
      <c r="BF33" s="700"/>
      <c r="BI33" s="153"/>
      <c r="BJ33" s="151"/>
      <c r="BK33" s="151"/>
      <c r="BL33" s="151"/>
      <c r="BM33" s="708"/>
      <c r="BN33" s="709"/>
      <c r="BO33" s="709"/>
      <c r="BP33" s="709"/>
      <c r="BQ33" s="709"/>
      <c r="BR33" s="709"/>
      <c r="BS33" s="709"/>
      <c r="BT33" s="709"/>
      <c r="BU33" s="709"/>
      <c r="BV33" s="709"/>
      <c r="BW33" s="664"/>
      <c r="BX33" s="664"/>
      <c r="BY33" s="664"/>
      <c r="BZ33" s="665"/>
      <c r="CA33" s="185" t="s">
        <v>20</v>
      </c>
      <c r="CB33" s="648"/>
      <c r="CC33" s="649"/>
      <c r="CD33" s="650"/>
      <c r="CE33" s="185" t="s">
        <v>21</v>
      </c>
      <c r="CF33" s="648"/>
      <c r="CG33" s="649"/>
      <c r="CH33" s="650"/>
      <c r="CI33" s="185" t="s">
        <v>21</v>
      </c>
      <c r="CJ33" s="648"/>
      <c r="CK33" s="649"/>
      <c r="CL33" s="650"/>
      <c r="CM33" s="185" t="s">
        <v>21</v>
      </c>
      <c r="CN33" s="642"/>
      <c r="CO33" s="643"/>
      <c r="CP33" s="644"/>
      <c r="CQ33" s="151" t="s">
        <v>21</v>
      </c>
      <c r="CR33" s="584"/>
      <c r="CS33" s="584"/>
      <c r="CT33" s="584"/>
    </row>
    <row r="34" spans="2:98" ht="8.1" customHeight="1" x14ac:dyDescent="0.25"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700"/>
      <c r="AB34" s="700"/>
      <c r="AC34" s="700"/>
      <c r="AD34" s="700"/>
      <c r="AE34" s="700"/>
      <c r="AF34" s="700"/>
      <c r="AG34" s="700"/>
      <c r="AH34" s="700"/>
      <c r="AI34" s="700"/>
      <c r="AJ34" s="700"/>
      <c r="AK34" s="700"/>
      <c r="AL34" s="700"/>
      <c r="AM34" s="700"/>
      <c r="AN34" s="700"/>
      <c r="AO34" s="700"/>
      <c r="AP34" s="700"/>
      <c r="AQ34" s="700"/>
      <c r="AR34" s="700"/>
      <c r="AS34" s="700"/>
      <c r="AT34" s="700"/>
      <c r="AU34" s="700"/>
      <c r="AV34" s="700"/>
      <c r="AW34" s="700"/>
      <c r="AX34" s="700"/>
      <c r="AY34" s="700"/>
      <c r="AZ34" s="700"/>
      <c r="BA34" s="700"/>
      <c r="BB34" s="700"/>
      <c r="BC34" s="700"/>
      <c r="BD34" s="700"/>
      <c r="BE34" s="700"/>
      <c r="BF34" s="700"/>
      <c r="BI34" s="153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  <c r="CT34" s="152"/>
    </row>
    <row r="35" spans="2:98" ht="8.1" customHeight="1" x14ac:dyDescent="0.25">
      <c r="B35" s="700" t="str">
        <f>IF(controle.cdp="ok","",mensagem5)</f>
        <v/>
      </c>
      <c r="C35" s="700"/>
      <c r="D35" s="700"/>
      <c r="E35" s="700"/>
      <c r="F35" s="700"/>
      <c r="G35" s="700"/>
      <c r="H35" s="700"/>
      <c r="I35" s="700"/>
      <c r="J35" s="700"/>
      <c r="K35" s="700"/>
      <c r="L35" s="700"/>
      <c r="M35" s="700"/>
      <c r="N35" s="700"/>
      <c r="O35" s="700"/>
      <c r="P35" s="700"/>
      <c r="Q35" s="700"/>
      <c r="R35" s="700"/>
      <c r="S35" s="700"/>
      <c r="T35" s="700"/>
      <c r="U35" s="700"/>
      <c r="V35" s="700"/>
      <c r="W35" s="700"/>
      <c r="X35" s="700"/>
      <c r="Y35" s="700"/>
      <c r="Z35" s="700"/>
      <c r="AA35" s="700"/>
      <c r="AB35" s="700"/>
      <c r="AC35" s="700"/>
      <c r="AD35" s="700"/>
      <c r="AE35" s="700"/>
      <c r="AF35" s="700"/>
      <c r="AG35" s="700"/>
      <c r="AH35" s="700"/>
      <c r="AI35" s="700"/>
      <c r="AJ35" s="700"/>
      <c r="AK35" s="700"/>
      <c r="AL35" s="700"/>
      <c r="AM35" s="700"/>
      <c r="AN35" s="700"/>
      <c r="AO35" s="700"/>
      <c r="AP35" s="700"/>
      <c r="AQ35" s="700"/>
      <c r="AR35" s="700"/>
      <c r="AS35" s="700"/>
      <c r="AT35" s="700"/>
      <c r="AU35" s="700"/>
      <c r="AV35" s="700"/>
      <c r="AW35" s="700"/>
      <c r="AX35" s="700"/>
      <c r="AY35" s="700"/>
      <c r="AZ35" s="700"/>
      <c r="BA35" s="700"/>
      <c r="BB35" s="700"/>
      <c r="BC35" s="700"/>
      <c r="BD35" s="700"/>
      <c r="BE35" s="700"/>
      <c r="BF35" s="700"/>
      <c r="BI35" s="194"/>
      <c r="BJ35" s="195"/>
      <c r="BK35" s="195"/>
      <c r="BL35" s="195"/>
      <c r="BM35" s="195"/>
      <c r="BN35" s="195"/>
      <c r="BO35" s="195"/>
      <c r="BP35" s="195"/>
      <c r="BQ35" s="195"/>
      <c r="BR35" s="195"/>
      <c r="BS35" s="195"/>
      <c r="BT35" s="195"/>
      <c r="BU35" s="195"/>
      <c r="BV35" s="195"/>
      <c r="BW35" s="195"/>
      <c r="BX35" s="195"/>
      <c r="BY35" s="195"/>
      <c r="BZ35" s="195"/>
      <c r="CA35" s="195"/>
      <c r="CB35" s="195"/>
      <c r="CC35" s="195"/>
      <c r="CD35" s="195"/>
      <c r="CE35" s="195"/>
      <c r="CF35" s="195"/>
      <c r="CG35" s="195"/>
      <c r="CH35" s="195"/>
      <c r="CI35" s="195"/>
      <c r="CJ35" s="195"/>
      <c r="CK35" s="196"/>
      <c r="CL35" s="195"/>
      <c r="CM35" s="195"/>
      <c r="CN35" s="195"/>
      <c r="CO35" s="195"/>
      <c r="CP35" s="195"/>
      <c r="CQ35" s="195"/>
      <c r="CR35" s="195"/>
      <c r="CS35" s="195"/>
      <c r="CT35" s="197"/>
    </row>
    <row r="36" spans="2:98" ht="8.1" customHeight="1" x14ac:dyDescent="0.25">
      <c r="B36" s="700"/>
      <c r="C36" s="700"/>
      <c r="D36" s="700"/>
      <c r="E36" s="700"/>
      <c r="F36" s="700"/>
      <c r="G36" s="700"/>
      <c r="H36" s="700"/>
      <c r="I36" s="700"/>
      <c r="J36" s="700"/>
      <c r="K36" s="700"/>
      <c r="L36" s="700"/>
      <c r="M36" s="700"/>
      <c r="N36" s="700"/>
      <c r="O36" s="700"/>
      <c r="P36" s="700"/>
      <c r="Q36" s="700"/>
      <c r="R36" s="700"/>
      <c r="S36" s="700"/>
      <c r="T36" s="700"/>
      <c r="U36" s="700"/>
      <c r="V36" s="700"/>
      <c r="W36" s="700"/>
      <c r="X36" s="700"/>
      <c r="Y36" s="700"/>
      <c r="Z36" s="700"/>
      <c r="AA36" s="700"/>
      <c r="AB36" s="700"/>
      <c r="AC36" s="700"/>
      <c r="AD36" s="700"/>
      <c r="AE36" s="700"/>
      <c r="AF36" s="700"/>
      <c r="AG36" s="700"/>
      <c r="AH36" s="700"/>
      <c r="AI36" s="700"/>
      <c r="AJ36" s="700"/>
      <c r="AK36" s="700"/>
      <c r="AL36" s="700"/>
      <c r="AM36" s="700"/>
      <c r="AN36" s="700"/>
      <c r="AO36" s="700"/>
      <c r="AP36" s="700"/>
      <c r="AQ36" s="700"/>
      <c r="AR36" s="700"/>
      <c r="AS36" s="700"/>
      <c r="AT36" s="700"/>
      <c r="AU36" s="700"/>
      <c r="AV36" s="700"/>
      <c r="AW36" s="700"/>
      <c r="AX36" s="700"/>
      <c r="AY36" s="700"/>
      <c r="AZ36" s="700"/>
      <c r="BA36" s="700"/>
      <c r="BB36" s="700"/>
      <c r="BC36" s="700"/>
      <c r="BD36" s="700"/>
      <c r="BE36" s="700"/>
      <c r="BF36" s="700"/>
      <c r="BI36" s="701" t="str">
        <f>CONCATENATE("Talentos da 1ª Classe Básica: (",CLASSE.1,").")</f>
        <v>Talentos da 1ª Classe Básica: ().</v>
      </c>
      <c r="BJ36" s="701"/>
      <c r="BK36" s="701"/>
      <c r="BL36" s="701"/>
      <c r="BM36" s="701"/>
      <c r="BN36" s="701"/>
      <c r="BO36" s="701"/>
      <c r="BP36" s="701"/>
      <c r="BQ36" s="701"/>
      <c r="BR36" s="701"/>
      <c r="BS36" s="701"/>
      <c r="BT36" s="701"/>
      <c r="BU36" s="701"/>
      <c r="BV36" s="701"/>
      <c r="BW36" s="701"/>
      <c r="BX36" s="701"/>
      <c r="BY36" s="701"/>
      <c r="BZ36" s="701"/>
      <c r="CA36" s="701"/>
      <c r="CB36" s="701"/>
      <c r="CC36" s="701"/>
      <c r="CD36" s="701"/>
      <c r="CE36" s="701"/>
      <c r="CF36" s="701"/>
      <c r="CG36" s="701"/>
      <c r="CH36" s="701"/>
      <c r="CI36" s="701"/>
      <c r="CJ36" s="701"/>
      <c r="CK36" s="701"/>
      <c r="CL36" s="701"/>
      <c r="CM36" s="701"/>
      <c r="CN36" s="701"/>
      <c r="CO36" s="701"/>
      <c r="CP36" s="701"/>
      <c r="CQ36" s="701"/>
      <c r="CR36" s="701"/>
      <c r="CS36" s="701"/>
      <c r="CT36" s="701"/>
    </row>
    <row r="37" spans="2:98" ht="8.1" customHeight="1" x14ac:dyDescent="0.25"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  <c r="BA37" s="148"/>
      <c r="BB37" s="148"/>
      <c r="BC37" s="148"/>
      <c r="BD37" s="148"/>
      <c r="BE37" s="148"/>
      <c r="BF37" s="148"/>
      <c r="BG37" s="148"/>
      <c r="BI37" s="702"/>
      <c r="BJ37" s="702"/>
      <c r="BK37" s="702"/>
      <c r="BL37" s="702"/>
      <c r="BM37" s="702"/>
      <c r="BN37" s="702"/>
      <c r="BO37" s="702"/>
      <c r="BP37" s="702"/>
      <c r="BQ37" s="702"/>
      <c r="BR37" s="702"/>
      <c r="BS37" s="702"/>
      <c r="BT37" s="702"/>
      <c r="BU37" s="702"/>
      <c r="BV37" s="702"/>
      <c r="BW37" s="702"/>
      <c r="BX37" s="702"/>
      <c r="BY37" s="702"/>
      <c r="BZ37" s="702"/>
      <c r="CA37" s="702"/>
      <c r="CB37" s="702"/>
      <c r="CC37" s="702"/>
      <c r="CD37" s="702"/>
      <c r="CE37" s="702"/>
      <c r="CF37" s="702"/>
      <c r="CG37" s="702"/>
      <c r="CH37" s="702"/>
      <c r="CI37" s="702"/>
      <c r="CJ37" s="702"/>
      <c r="CK37" s="702"/>
      <c r="CL37" s="702"/>
      <c r="CM37" s="702"/>
      <c r="CN37" s="702"/>
      <c r="CO37" s="702"/>
      <c r="CP37" s="702"/>
      <c r="CQ37" s="702"/>
      <c r="CR37" s="702"/>
      <c r="CS37" s="702"/>
      <c r="CT37" s="702"/>
    </row>
    <row r="38" spans="2:98" ht="8.1" customHeight="1" x14ac:dyDescent="0.25"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  <c r="AT38" s="148"/>
      <c r="AU38" s="148"/>
      <c r="AV38" s="148"/>
      <c r="AW38" s="148"/>
      <c r="AX38" s="148"/>
      <c r="AY38" s="148"/>
      <c r="AZ38" s="148"/>
      <c r="BA38" s="148"/>
      <c r="BB38" s="148"/>
      <c r="BC38" s="148"/>
      <c r="BD38" s="148"/>
      <c r="BE38" s="148"/>
      <c r="BF38" s="148"/>
      <c r="BG38" s="148"/>
      <c r="BI38" s="702"/>
      <c r="BJ38" s="702"/>
      <c r="BK38" s="702"/>
      <c r="BL38" s="702"/>
      <c r="BM38" s="702"/>
      <c r="BN38" s="702"/>
      <c r="BO38" s="702"/>
      <c r="BP38" s="702"/>
      <c r="BQ38" s="702"/>
      <c r="BR38" s="702"/>
      <c r="BS38" s="702"/>
      <c r="BT38" s="702"/>
      <c r="BU38" s="702"/>
      <c r="BV38" s="702"/>
      <c r="BW38" s="702"/>
      <c r="BX38" s="702"/>
      <c r="BY38" s="702"/>
      <c r="BZ38" s="702"/>
      <c r="CA38" s="702"/>
      <c r="CB38" s="702"/>
      <c r="CC38" s="702"/>
      <c r="CD38" s="702"/>
      <c r="CE38" s="702"/>
      <c r="CF38" s="702"/>
      <c r="CG38" s="702"/>
      <c r="CH38" s="702"/>
      <c r="CI38" s="702"/>
      <c r="CJ38" s="702"/>
      <c r="CK38" s="702"/>
      <c r="CL38" s="702"/>
      <c r="CM38" s="702"/>
      <c r="CN38" s="702"/>
      <c r="CO38" s="702"/>
      <c r="CP38" s="702"/>
      <c r="CQ38" s="702"/>
      <c r="CR38" s="702"/>
      <c r="CS38" s="702"/>
      <c r="CT38" s="702"/>
    </row>
    <row r="39" spans="2:98" ht="8.1" customHeight="1" x14ac:dyDescent="0.25">
      <c r="B39" s="684"/>
      <c r="C39" s="684"/>
      <c r="D39" s="684"/>
      <c r="E39" s="684"/>
      <c r="F39" s="684"/>
      <c r="G39" s="684"/>
      <c r="H39" s="684"/>
      <c r="I39" s="684"/>
      <c r="J39" s="684"/>
      <c r="K39" s="684"/>
      <c r="L39" s="684"/>
      <c r="M39" s="684"/>
      <c r="N39" s="684"/>
      <c r="O39" s="684"/>
      <c r="P39" s="684"/>
      <c r="Q39" s="684"/>
      <c r="R39" s="684"/>
      <c r="S39" s="684"/>
      <c r="T39" s="684"/>
      <c r="U39" s="684"/>
      <c r="V39" s="684"/>
      <c r="W39" s="684"/>
      <c r="X39" s="684"/>
      <c r="Y39" s="684"/>
      <c r="Z39" s="684"/>
      <c r="AA39" s="684"/>
      <c r="AB39" s="684"/>
      <c r="AC39" s="684"/>
      <c r="AD39" s="684"/>
      <c r="AE39" s="684"/>
      <c r="AF39" s="684"/>
      <c r="AG39" s="684"/>
      <c r="AH39" s="684"/>
      <c r="AI39" s="684"/>
      <c r="AJ39" s="684"/>
      <c r="AK39" s="684"/>
      <c r="AL39" s="684"/>
      <c r="AM39" s="684"/>
      <c r="AN39" s="684"/>
      <c r="AO39" s="684"/>
      <c r="AP39" s="684"/>
      <c r="AQ39" s="684"/>
      <c r="AR39" s="684"/>
      <c r="AS39" s="684"/>
      <c r="AT39" s="684"/>
      <c r="AU39" s="684"/>
      <c r="AV39" s="684"/>
      <c r="AW39" s="684"/>
      <c r="AX39" s="684"/>
      <c r="AY39" s="684"/>
      <c r="AZ39" s="684"/>
      <c r="BA39" s="684"/>
      <c r="BB39" s="684"/>
      <c r="BC39" s="684"/>
      <c r="BD39" s="684"/>
      <c r="BE39" s="684"/>
      <c r="BF39" s="684"/>
      <c r="BI39" s="685" t="str">
        <f>VLOOKUP(CLASSE.1,TABELA.classes,29,FALSE)</f>
        <v>–</v>
      </c>
      <c r="BJ39" s="686"/>
      <c r="BK39" s="686"/>
      <c r="BL39" s="686"/>
      <c r="BM39" s="686"/>
      <c r="BN39" s="686"/>
      <c r="BO39" s="686"/>
      <c r="BP39" s="686"/>
      <c r="BQ39" s="686"/>
      <c r="BR39" s="686"/>
      <c r="BS39" s="686"/>
      <c r="BT39" s="686"/>
      <c r="BU39" s="686"/>
      <c r="BV39" s="686"/>
      <c r="BW39" s="686"/>
      <c r="BX39" s="686"/>
      <c r="BY39" s="686"/>
      <c r="BZ39" s="686"/>
      <c r="CA39" s="686"/>
      <c r="CB39" s="686"/>
      <c r="CC39" s="686"/>
      <c r="CD39" s="686"/>
      <c r="CE39" s="686"/>
      <c r="CF39" s="686"/>
      <c r="CG39" s="686"/>
      <c r="CH39" s="686"/>
      <c r="CI39" s="686"/>
      <c r="CJ39" s="686"/>
      <c r="CK39" s="686"/>
      <c r="CL39" s="686"/>
      <c r="CM39" s="686"/>
      <c r="CN39" s="686"/>
      <c r="CO39" s="686"/>
      <c r="CP39" s="686"/>
      <c r="CQ39" s="686"/>
      <c r="CR39" s="686"/>
      <c r="CS39" s="686"/>
      <c r="CT39" s="687"/>
    </row>
    <row r="40" spans="2:98" ht="8.1" customHeight="1" x14ac:dyDescent="0.25"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4"/>
      <c r="P40" s="684"/>
      <c r="Q40" s="684"/>
      <c r="R40" s="684"/>
      <c r="S40" s="684"/>
      <c r="T40" s="684"/>
      <c r="U40" s="684"/>
      <c r="V40" s="684"/>
      <c r="W40" s="684"/>
      <c r="X40" s="684"/>
      <c r="Y40" s="684"/>
      <c r="Z40" s="684"/>
      <c r="AA40" s="684"/>
      <c r="AB40" s="684"/>
      <c r="AC40" s="684"/>
      <c r="AD40" s="684"/>
      <c r="AE40" s="684"/>
      <c r="AF40" s="684"/>
      <c r="AG40" s="684"/>
      <c r="AH40" s="684"/>
      <c r="AI40" s="684"/>
      <c r="AJ40" s="684"/>
      <c r="AK40" s="684"/>
      <c r="AL40" s="684"/>
      <c r="AM40" s="684"/>
      <c r="AN40" s="684"/>
      <c r="AO40" s="684"/>
      <c r="AP40" s="684"/>
      <c r="AQ40" s="684"/>
      <c r="AR40" s="684"/>
      <c r="AS40" s="684"/>
      <c r="AT40" s="684"/>
      <c r="AU40" s="684"/>
      <c r="AV40" s="684"/>
      <c r="AW40" s="684"/>
      <c r="AX40" s="684"/>
      <c r="AY40" s="684"/>
      <c r="AZ40" s="684"/>
      <c r="BA40" s="684"/>
      <c r="BB40" s="684"/>
      <c r="BC40" s="684"/>
      <c r="BD40" s="684"/>
      <c r="BE40" s="684"/>
      <c r="BF40" s="684"/>
      <c r="BI40" s="688"/>
      <c r="BJ40" s="689"/>
      <c r="BK40" s="689"/>
      <c r="BL40" s="689"/>
      <c r="BM40" s="689"/>
      <c r="BN40" s="689"/>
      <c r="BO40" s="689"/>
      <c r="BP40" s="689"/>
      <c r="BQ40" s="689"/>
      <c r="BR40" s="689"/>
      <c r="BS40" s="689"/>
      <c r="BT40" s="689"/>
      <c r="BU40" s="689"/>
      <c r="BV40" s="689"/>
      <c r="BW40" s="689"/>
      <c r="BX40" s="689"/>
      <c r="BY40" s="689"/>
      <c r="BZ40" s="689"/>
      <c r="CA40" s="689"/>
      <c r="CB40" s="689"/>
      <c r="CC40" s="689"/>
      <c r="CD40" s="689"/>
      <c r="CE40" s="689"/>
      <c r="CF40" s="689"/>
      <c r="CG40" s="689"/>
      <c r="CH40" s="689"/>
      <c r="CI40" s="689"/>
      <c r="CJ40" s="689"/>
      <c r="CK40" s="689"/>
      <c r="CL40" s="689"/>
      <c r="CM40" s="689"/>
      <c r="CN40" s="689"/>
      <c r="CO40" s="689"/>
      <c r="CP40" s="689"/>
      <c r="CQ40" s="689"/>
      <c r="CR40" s="689"/>
      <c r="CS40" s="689"/>
      <c r="CT40" s="690"/>
    </row>
    <row r="41" spans="2:98" ht="8.1" customHeight="1" x14ac:dyDescent="0.25"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4"/>
      <c r="P41" s="684"/>
      <c r="Q41" s="684"/>
      <c r="R41" s="684"/>
      <c r="S41" s="684"/>
      <c r="T41" s="684"/>
      <c r="U41" s="684"/>
      <c r="V41" s="684"/>
      <c r="W41" s="684"/>
      <c r="X41" s="684"/>
      <c r="Y41" s="684"/>
      <c r="Z41" s="684"/>
      <c r="AA41" s="684"/>
      <c r="AB41" s="684"/>
      <c r="AC41" s="684"/>
      <c r="AD41" s="684"/>
      <c r="AE41" s="684"/>
      <c r="AF41" s="684"/>
      <c r="AG41" s="684"/>
      <c r="AH41" s="684"/>
      <c r="AI41" s="684"/>
      <c r="AJ41" s="684"/>
      <c r="AK41" s="684"/>
      <c r="AL41" s="684"/>
      <c r="AM41" s="684"/>
      <c r="AN41" s="684"/>
      <c r="AO41" s="684"/>
      <c r="AP41" s="684"/>
      <c r="AQ41" s="684"/>
      <c r="AR41" s="684"/>
      <c r="AS41" s="684"/>
      <c r="AT41" s="684"/>
      <c r="AU41" s="684"/>
      <c r="AV41" s="684"/>
      <c r="AW41" s="684"/>
      <c r="AX41" s="684"/>
      <c r="AY41" s="684"/>
      <c r="AZ41" s="684"/>
      <c r="BA41" s="684"/>
      <c r="BB41" s="684"/>
      <c r="BC41" s="684"/>
      <c r="BD41" s="684"/>
      <c r="BE41" s="684"/>
      <c r="BF41" s="684"/>
      <c r="BI41" s="688"/>
      <c r="BJ41" s="689"/>
      <c r="BK41" s="689"/>
      <c r="BL41" s="689"/>
      <c r="BM41" s="689"/>
      <c r="BN41" s="689"/>
      <c r="BO41" s="689"/>
      <c r="BP41" s="689"/>
      <c r="BQ41" s="689"/>
      <c r="BR41" s="689"/>
      <c r="BS41" s="689"/>
      <c r="BT41" s="689"/>
      <c r="BU41" s="689"/>
      <c r="BV41" s="689"/>
      <c r="BW41" s="689"/>
      <c r="BX41" s="689"/>
      <c r="BY41" s="689"/>
      <c r="BZ41" s="689"/>
      <c r="CA41" s="689"/>
      <c r="CB41" s="689"/>
      <c r="CC41" s="689"/>
      <c r="CD41" s="689"/>
      <c r="CE41" s="689"/>
      <c r="CF41" s="689"/>
      <c r="CG41" s="689"/>
      <c r="CH41" s="689"/>
      <c r="CI41" s="689"/>
      <c r="CJ41" s="689"/>
      <c r="CK41" s="689"/>
      <c r="CL41" s="689"/>
      <c r="CM41" s="689"/>
      <c r="CN41" s="689"/>
      <c r="CO41" s="689"/>
      <c r="CP41" s="689"/>
      <c r="CQ41" s="689"/>
      <c r="CR41" s="689"/>
      <c r="CS41" s="689"/>
      <c r="CT41" s="690"/>
    </row>
    <row r="42" spans="2:98" ht="8.1" customHeight="1" x14ac:dyDescent="0.25"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84"/>
      <c r="AB42" s="684"/>
      <c r="AC42" s="684"/>
      <c r="AD42" s="684"/>
      <c r="AE42" s="684"/>
      <c r="AF42" s="684"/>
      <c r="AG42" s="684"/>
      <c r="AH42" s="684"/>
      <c r="AI42" s="684"/>
      <c r="AJ42" s="684"/>
      <c r="AK42" s="684"/>
      <c r="AL42" s="684"/>
      <c r="AM42" s="684"/>
      <c r="AN42" s="684"/>
      <c r="AO42" s="684"/>
      <c r="AP42" s="684"/>
      <c r="AQ42" s="684"/>
      <c r="AR42" s="684"/>
      <c r="AS42" s="684"/>
      <c r="AT42" s="684"/>
      <c r="AU42" s="684"/>
      <c r="AV42" s="684"/>
      <c r="AW42" s="684"/>
      <c r="AX42" s="684"/>
      <c r="AY42" s="684"/>
      <c r="AZ42" s="684"/>
      <c r="BA42" s="684"/>
      <c r="BB42" s="684"/>
      <c r="BC42" s="684"/>
      <c r="BD42" s="684"/>
      <c r="BE42" s="684"/>
      <c r="BF42" s="684"/>
      <c r="BI42" s="688"/>
      <c r="BJ42" s="689"/>
      <c r="BK42" s="689"/>
      <c r="BL42" s="689"/>
      <c r="BM42" s="689"/>
      <c r="BN42" s="689"/>
      <c r="BO42" s="689"/>
      <c r="BP42" s="689"/>
      <c r="BQ42" s="689"/>
      <c r="BR42" s="689"/>
      <c r="BS42" s="689"/>
      <c r="BT42" s="689"/>
      <c r="BU42" s="689"/>
      <c r="BV42" s="689"/>
      <c r="BW42" s="689"/>
      <c r="BX42" s="689"/>
      <c r="BY42" s="689"/>
      <c r="BZ42" s="689"/>
      <c r="CA42" s="689"/>
      <c r="CB42" s="689"/>
      <c r="CC42" s="689"/>
      <c r="CD42" s="689"/>
      <c r="CE42" s="689"/>
      <c r="CF42" s="689"/>
      <c r="CG42" s="689"/>
      <c r="CH42" s="689"/>
      <c r="CI42" s="689"/>
      <c r="CJ42" s="689"/>
      <c r="CK42" s="689"/>
      <c r="CL42" s="689"/>
      <c r="CM42" s="689"/>
      <c r="CN42" s="689"/>
      <c r="CO42" s="689"/>
      <c r="CP42" s="689"/>
      <c r="CQ42" s="689"/>
      <c r="CR42" s="689"/>
      <c r="CS42" s="689"/>
      <c r="CT42" s="690"/>
    </row>
    <row r="43" spans="2:98" ht="8.1" customHeight="1" x14ac:dyDescent="0.25"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AV43" s="148"/>
      <c r="AW43" s="148"/>
      <c r="AX43" s="148"/>
      <c r="AY43" s="148"/>
      <c r="AZ43" s="148"/>
      <c r="BA43" s="148"/>
      <c r="BB43" s="148"/>
      <c r="BC43" s="148"/>
      <c r="BD43" s="148"/>
      <c r="BE43" s="148"/>
      <c r="BF43" s="148"/>
      <c r="BI43" s="688"/>
      <c r="BJ43" s="689"/>
      <c r="BK43" s="689"/>
      <c r="BL43" s="689"/>
      <c r="BM43" s="689"/>
      <c r="BN43" s="689"/>
      <c r="BO43" s="689"/>
      <c r="BP43" s="689"/>
      <c r="BQ43" s="689"/>
      <c r="BR43" s="689"/>
      <c r="BS43" s="689"/>
      <c r="BT43" s="689"/>
      <c r="BU43" s="689"/>
      <c r="BV43" s="689"/>
      <c r="BW43" s="689"/>
      <c r="BX43" s="689"/>
      <c r="BY43" s="689"/>
      <c r="BZ43" s="689"/>
      <c r="CA43" s="689"/>
      <c r="CB43" s="689"/>
      <c r="CC43" s="689"/>
      <c r="CD43" s="689"/>
      <c r="CE43" s="689"/>
      <c r="CF43" s="689"/>
      <c r="CG43" s="689"/>
      <c r="CH43" s="689"/>
      <c r="CI43" s="689"/>
      <c r="CJ43" s="689"/>
      <c r="CK43" s="689"/>
      <c r="CL43" s="689"/>
      <c r="CM43" s="689"/>
      <c r="CN43" s="689"/>
      <c r="CO43" s="689"/>
      <c r="CP43" s="689"/>
      <c r="CQ43" s="689"/>
      <c r="CR43" s="689"/>
      <c r="CS43" s="689"/>
      <c r="CT43" s="690"/>
    </row>
    <row r="44" spans="2:98" ht="8.1" customHeight="1" x14ac:dyDescent="0.25">
      <c r="B44" s="151"/>
      <c r="C44" s="198"/>
      <c r="D44" s="198"/>
      <c r="E44" s="198"/>
      <c r="F44" s="199"/>
      <c r="G44" s="199"/>
      <c r="H44" s="199"/>
      <c r="I44" s="199"/>
      <c r="J44" s="199"/>
      <c r="K44" s="199"/>
      <c r="L44" s="199"/>
      <c r="M44" s="199"/>
      <c r="N44" s="199"/>
      <c r="AZ44" s="151"/>
      <c r="BA44" s="174"/>
      <c r="BB44" s="174"/>
      <c r="BC44" s="174"/>
      <c r="BD44" s="174"/>
      <c r="BE44" s="174"/>
      <c r="BI44" s="688"/>
      <c r="BJ44" s="689"/>
      <c r="BK44" s="689"/>
      <c r="BL44" s="689"/>
      <c r="BM44" s="689"/>
      <c r="BN44" s="689"/>
      <c r="BO44" s="689"/>
      <c r="BP44" s="689"/>
      <c r="BQ44" s="689"/>
      <c r="BR44" s="689"/>
      <c r="BS44" s="689"/>
      <c r="BT44" s="689"/>
      <c r="BU44" s="689"/>
      <c r="BV44" s="689"/>
      <c r="BW44" s="689"/>
      <c r="BX44" s="689"/>
      <c r="BY44" s="689"/>
      <c r="BZ44" s="689"/>
      <c r="CA44" s="689"/>
      <c r="CB44" s="689"/>
      <c r="CC44" s="689"/>
      <c r="CD44" s="689"/>
      <c r="CE44" s="689"/>
      <c r="CF44" s="689"/>
      <c r="CG44" s="689"/>
      <c r="CH44" s="689"/>
      <c r="CI44" s="689"/>
      <c r="CJ44" s="689"/>
      <c r="CK44" s="689"/>
      <c r="CL44" s="689"/>
      <c r="CM44" s="689"/>
      <c r="CN44" s="689"/>
      <c r="CO44" s="689"/>
      <c r="CP44" s="689"/>
      <c r="CQ44" s="689"/>
      <c r="CR44" s="689"/>
      <c r="CS44" s="689"/>
      <c r="CT44" s="690"/>
    </row>
    <row r="45" spans="2:98" ht="8.1" customHeight="1" x14ac:dyDescent="0.25"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AZ45" s="151"/>
      <c r="BA45" s="174"/>
      <c r="BB45" s="174"/>
      <c r="BC45" s="174"/>
      <c r="BD45" s="174"/>
      <c r="BE45" s="174"/>
      <c r="BI45" s="688"/>
      <c r="BJ45" s="689"/>
      <c r="BK45" s="689"/>
      <c r="BL45" s="689"/>
      <c r="BM45" s="689"/>
      <c r="BN45" s="689"/>
      <c r="BO45" s="689"/>
      <c r="BP45" s="689"/>
      <c r="BQ45" s="689"/>
      <c r="BR45" s="689"/>
      <c r="BS45" s="689"/>
      <c r="BT45" s="689"/>
      <c r="BU45" s="689"/>
      <c r="BV45" s="689"/>
      <c r="BW45" s="689"/>
      <c r="BX45" s="689"/>
      <c r="BY45" s="689"/>
      <c r="BZ45" s="689"/>
      <c r="CA45" s="689"/>
      <c r="CB45" s="689"/>
      <c r="CC45" s="689"/>
      <c r="CD45" s="689"/>
      <c r="CE45" s="689"/>
      <c r="CF45" s="689"/>
      <c r="CG45" s="689"/>
      <c r="CH45" s="689"/>
      <c r="CI45" s="689"/>
      <c r="CJ45" s="689"/>
      <c r="CK45" s="689"/>
      <c r="CL45" s="689"/>
      <c r="CM45" s="689"/>
      <c r="CN45" s="689"/>
      <c r="CO45" s="689"/>
      <c r="CP45" s="689"/>
      <c r="CQ45" s="689"/>
      <c r="CR45" s="689"/>
      <c r="CS45" s="689"/>
      <c r="CT45" s="690"/>
    </row>
    <row r="46" spans="2:98" ht="8.1" customHeight="1" x14ac:dyDescent="0.25">
      <c r="B46" s="151"/>
      <c r="C46" s="198"/>
      <c r="D46" s="198"/>
      <c r="E46" s="198"/>
      <c r="F46" s="199"/>
      <c r="G46" s="199"/>
      <c r="H46" s="199"/>
      <c r="I46" s="199"/>
      <c r="J46" s="199"/>
      <c r="K46" s="199"/>
      <c r="L46" s="199"/>
      <c r="M46" s="199"/>
      <c r="N46" s="199"/>
      <c r="BI46" s="688"/>
      <c r="BJ46" s="689"/>
      <c r="BK46" s="689"/>
      <c r="BL46" s="689"/>
      <c r="BM46" s="689"/>
      <c r="BN46" s="689"/>
      <c r="BO46" s="689"/>
      <c r="BP46" s="689"/>
      <c r="BQ46" s="689"/>
      <c r="BR46" s="689"/>
      <c r="BS46" s="689"/>
      <c r="BT46" s="689"/>
      <c r="BU46" s="689"/>
      <c r="BV46" s="689"/>
      <c r="BW46" s="689"/>
      <c r="BX46" s="689"/>
      <c r="BY46" s="689"/>
      <c r="BZ46" s="689"/>
      <c r="CA46" s="689"/>
      <c r="CB46" s="689"/>
      <c r="CC46" s="689"/>
      <c r="CD46" s="689"/>
      <c r="CE46" s="689"/>
      <c r="CF46" s="689"/>
      <c r="CG46" s="689"/>
      <c r="CH46" s="689"/>
      <c r="CI46" s="689"/>
      <c r="CJ46" s="689"/>
      <c r="CK46" s="689"/>
      <c r="CL46" s="689"/>
      <c r="CM46" s="689"/>
      <c r="CN46" s="689"/>
      <c r="CO46" s="689"/>
      <c r="CP46" s="689"/>
      <c r="CQ46" s="689"/>
      <c r="CR46" s="689"/>
      <c r="CS46" s="689"/>
      <c r="CT46" s="690"/>
    </row>
    <row r="47" spans="2:98" ht="8.1" customHeight="1" x14ac:dyDescent="0.25">
      <c r="B47" s="151"/>
      <c r="C47" s="198"/>
      <c r="D47" s="198"/>
      <c r="E47" s="198"/>
      <c r="F47" s="199"/>
      <c r="G47" s="199"/>
      <c r="H47" s="199"/>
      <c r="I47" s="199"/>
      <c r="J47" s="199"/>
      <c r="K47" s="199"/>
      <c r="L47" s="199"/>
      <c r="M47" s="199"/>
      <c r="N47" s="199"/>
      <c r="BI47" s="688"/>
      <c r="BJ47" s="689"/>
      <c r="BK47" s="689"/>
      <c r="BL47" s="689"/>
      <c r="BM47" s="689"/>
      <c r="BN47" s="689"/>
      <c r="BO47" s="689"/>
      <c r="BP47" s="689"/>
      <c r="BQ47" s="689"/>
      <c r="BR47" s="689"/>
      <c r="BS47" s="689"/>
      <c r="BT47" s="689"/>
      <c r="BU47" s="689"/>
      <c r="BV47" s="689"/>
      <c r="BW47" s="689"/>
      <c r="BX47" s="689"/>
      <c r="BY47" s="689"/>
      <c r="BZ47" s="689"/>
      <c r="CA47" s="689"/>
      <c r="CB47" s="689"/>
      <c r="CC47" s="689"/>
      <c r="CD47" s="689"/>
      <c r="CE47" s="689"/>
      <c r="CF47" s="689"/>
      <c r="CG47" s="689"/>
      <c r="CH47" s="689"/>
      <c r="CI47" s="689"/>
      <c r="CJ47" s="689"/>
      <c r="CK47" s="689"/>
      <c r="CL47" s="689"/>
      <c r="CM47" s="689"/>
      <c r="CN47" s="689"/>
      <c r="CO47" s="689"/>
      <c r="CP47" s="689"/>
      <c r="CQ47" s="689"/>
      <c r="CR47" s="689"/>
      <c r="CS47" s="689"/>
      <c r="CT47" s="690"/>
    </row>
    <row r="48" spans="2:98" ht="8.1" customHeight="1" x14ac:dyDescent="0.25"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BI48" s="688"/>
      <c r="BJ48" s="689"/>
      <c r="BK48" s="689"/>
      <c r="BL48" s="689"/>
      <c r="BM48" s="689"/>
      <c r="BN48" s="689"/>
      <c r="BO48" s="689"/>
      <c r="BP48" s="689"/>
      <c r="BQ48" s="689"/>
      <c r="BR48" s="689"/>
      <c r="BS48" s="689"/>
      <c r="BT48" s="689"/>
      <c r="BU48" s="689"/>
      <c r="BV48" s="689"/>
      <c r="BW48" s="689"/>
      <c r="BX48" s="689"/>
      <c r="BY48" s="689"/>
      <c r="BZ48" s="689"/>
      <c r="CA48" s="689"/>
      <c r="CB48" s="689"/>
      <c r="CC48" s="689"/>
      <c r="CD48" s="689"/>
      <c r="CE48" s="689"/>
      <c r="CF48" s="689"/>
      <c r="CG48" s="689"/>
      <c r="CH48" s="689"/>
      <c r="CI48" s="689"/>
      <c r="CJ48" s="689"/>
      <c r="CK48" s="689"/>
      <c r="CL48" s="689"/>
      <c r="CM48" s="689"/>
      <c r="CN48" s="689"/>
      <c r="CO48" s="689"/>
      <c r="CP48" s="689"/>
      <c r="CQ48" s="689"/>
      <c r="CR48" s="689"/>
      <c r="CS48" s="689"/>
      <c r="CT48" s="690"/>
    </row>
    <row r="49" spans="2:98" ht="8.1" customHeight="1" x14ac:dyDescent="0.25">
      <c r="B49" s="151"/>
      <c r="C49" s="198"/>
      <c r="D49" s="198"/>
      <c r="E49" s="198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BI49" s="688"/>
      <c r="BJ49" s="689"/>
      <c r="BK49" s="689"/>
      <c r="BL49" s="689"/>
      <c r="BM49" s="689"/>
      <c r="BN49" s="689"/>
      <c r="BO49" s="689"/>
      <c r="BP49" s="689"/>
      <c r="BQ49" s="689"/>
      <c r="BR49" s="689"/>
      <c r="BS49" s="689"/>
      <c r="BT49" s="689"/>
      <c r="BU49" s="689"/>
      <c r="BV49" s="689"/>
      <c r="BW49" s="689"/>
      <c r="BX49" s="689"/>
      <c r="BY49" s="689"/>
      <c r="BZ49" s="689"/>
      <c r="CA49" s="689"/>
      <c r="CB49" s="689"/>
      <c r="CC49" s="689"/>
      <c r="CD49" s="689"/>
      <c r="CE49" s="689"/>
      <c r="CF49" s="689"/>
      <c r="CG49" s="689"/>
      <c r="CH49" s="689"/>
      <c r="CI49" s="689"/>
      <c r="CJ49" s="689"/>
      <c r="CK49" s="689"/>
      <c r="CL49" s="689"/>
      <c r="CM49" s="689"/>
      <c r="CN49" s="689"/>
      <c r="CO49" s="689"/>
      <c r="CP49" s="689"/>
      <c r="CQ49" s="689"/>
      <c r="CR49" s="689"/>
      <c r="CS49" s="689"/>
      <c r="CT49" s="690"/>
    </row>
    <row r="50" spans="2:98" ht="8.1" customHeight="1" x14ac:dyDescent="0.25">
      <c r="B50" s="151"/>
      <c r="C50" s="198"/>
      <c r="D50" s="198"/>
      <c r="E50" s="198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</row>
    <row r="51" spans="2:98" ht="8.1" customHeight="1" x14ac:dyDescent="0.25"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BI51" s="691" t="s">
        <v>520</v>
      </c>
      <c r="BJ51" s="691"/>
      <c r="BK51" s="691"/>
      <c r="BL51" s="691"/>
      <c r="BM51" s="691"/>
      <c r="BN51" s="691"/>
      <c r="BO51" s="691"/>
      <c r="BP51" s="691"/>
      <c r="BQ51" s="691"/>
      <c r="BR51" s="691"/>
      <c r="BS51" s="691"/>
      <c r="BT51" s="691"/>
      <c r="BU51" s="691"/>
      <c r="BV51" s="691"/>
      <c r="BW51" s="691"/>
      <c r="BX51" s="691"/>
      <c r="BY51" s="691"/>
      <c r="BZ51" s="691"/>
      <c r="CA51" s="691"/>
      <c r="CB51" s="691"/>
      <c r="CC51" s="691"/>
      <c r="CD51" s="691"/>
      <c r="CE51" s="691"/>
      <c r="CF51" s="691"/>
      <c r="CG51" s="691"/>
      <c r="CH51" s="691"/>
      <c r="CI51" s="691"/>
      <c r="CJ51" s="691"/>
      <c r="CK51" s="691"/>
      <c r="CL51" s="691"/>
      <c r="CM51" s="691"/>
      <c r="CN51" s="691"/>
      <c r="CO51" s="691"/>
      <c r="CP51" s="691"/>
      <c r="CQ51" s="691"/>
      <c r="CR51" s="691"/>
      <c r="CS51" s="691"/>
      <c r="CT51" s="691"/>
    </row>
    <row r="52" spans="2:98" ht="8.1" customHeight="1" x14ac:dyDescent="0.25">
      <c r="B52" s="151"/>
      <c r="C52" s="198"/>
      <c r="D52" s="198"/>
      <c r="E52" s="198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BI52" s="691"/>
      <c r="BJ52" s="691"/>
      <c r="BK52" s="691"/>
      <c r="BL52" s="691"/>
      <c r="BM52" s="691"/>
      <c r="BN52" s="691"/>
      <c r="BO52" s="691"/>
      <c r="BP52" s="691"/>
      <c r="BQ52" s="691"/>
      <c r="BR52" s="691"/>
      <c r="BS52" s="691"/>
      <c r="BT52" s="691"/>
      <c r="BU52" s="691"/>
      <c r="BV52" s="691"/>
      <c r="BW52" s="691"/>
      <c r="BX52" s="691"/>
      <c r="BY52" s="691"/>
      <c r="BZ52" s="691"/>
      <c r="CA52" s="691"/>
      <c r="CB52" s="691"/>
      <c r="CC52" s="691"/>
      <c r="CD52" s="691"/>
      <c r="CE52" s="691"/>
      <c r="CF52" s="691"/>
      <c r="CG52" s="691"/>
      <c r="CH52" s="691"/>
      <c r="CI52" s="691"/>
      <c r="CJ52" s="691"/>
      <c r="CK52" s="691"/>
      <c r="CL52" s="691"/>
      <c r="CM52" s="691"/>
      <c r="CN52" s="691"/>
      <c r="CO52" s="691"/>
      <c r="CP52" s="691"/>
      <c r="CQ52" s="691"/>
      <c r="CR52" s="691"/>
      <c r="CS52" s="691"/>
      <c r="CT52" s="691"/>
    </row>
    <row r="53" spans="2:98" ht="8.1" customHeight="1" x14ac:dyDescent="0.25">
      <c r="B53" s="151"/>
      <c r="C53" s="198"/>
      <c r="D53" s="198"/>
      <c r="E53" s="198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BI53" s="691"/>
      <c r="BJ53" s="691"/>
      <c r="BK53" s="691"/>
      <c r="BL53" s="691"/>
      <c r="BM53" s="691"/>
      <c r="BN53" s="691"/>
      <c r="BO53" s="691"/>
      <c r="BP53" s="691"/>
      <c r="BQ53" s="691"/>
      <c r="BR53" s="691"/>
      <c r="BS53" s="691"/>
      <c r="BT53" s="691"/>
      <c r="BU53" s="691"/>
      <c r="BV53" s="691"/>
      <c r="BW53" s="691"/>
      <c r="BX53" s="691"/>
      <c r="BY53" s="691"/>
      <c r="BZ53" s="691"/>
      <c r="CA53" s="691"/>
      <c r="CB53" s="691"/>
      <c r="CC53" s="691"/>
      <c r="CD53" s="691"/>
      <c r="CE53" s="691"/>
      <c r="CF53" s="691"/>
      <c r="CG53" s="691"/>
      <c r="CH53" s="691"/>
      <c r="CI53" s="691"/>
      <c r="CJ53" s="691"/>
      <c r="CK53" s="691"/>
      <c r="CL53" s="691"/>
      <c r="CM53" s="691"/>
      <c r="CN53" s="691"/>
      <c r="CO53" s="691"/>
      <c r="CP53" s="691"/>
      <c r="CQ53" s="691"/>
      <c r="CR53" s="691"/>
      <c r="CS53" s="691"/>
      <c r="CT53" s="691"/>
    </row>
    <row r="54" spans="2:98" ht="8.1" customHeight="1" x14ac:dyDescent="0.25"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BI54" s="691"/>
      <c r="BJ54" s="691"/>
      <c r="BK54" s="691"/>
      <c r="BL54" s="691"/>
      <c r="BM54" s="691"/>
      <c r="BN54" s="691"/>
      <c r="BO54" s="691"/>
      <c r="BP54" s="691"/>
      <c r="BQ54" s="691"/>
      <c r="BR54" s="691"/>
      <c r="BS54" s="691"/>
      <c r="BT54" s="691"/>
      <c r="BU54" s="691"/>
      <c r="BV54" s="691"/>
      <c r="BW54" s="691"/>
      <c r="BX54" s="691"/>
      <c r="BY54" s="691"/>
      <c r="BZ54" s="691"/>
      <c r="CA54" s="691"/>
      <c r="CB54" s="691"/>
      <c r="CC54" s="691"/>
      <c r="CD54" s="691"/>
      <c r="CE54" s="691"/>
      <c r="CF54" s="691"/>
      <c r="CG54" s="691"/>
      <c r="CH54" s="691"/>
      <c r="CI54" s="691"/>
      <c r="CJ54" s="691"/>
      <c r="CK54" s="691"/>
      <c r="CL54" s="691"/>
      <c r="CM54" s="691"/>
      <c r="CN54" s="691"/>
      <c r="CO54" s="691"/>
      <c r="CP54" s="691"/>
      <c r="CQ54" s="691"/>
      <c r="CR54" s="691"/>
      <c r="CS54" s="691"/>
      <c r="CT54" s="691"/>
    </row>
    <row r="55" spans="2:98" ht="8.1" customHeight="1" x14ac:dyDescent="0.25">
      <c r="BI55" s="691"/>
      <c r="BJ55" s="691"/>
      <c r="BK55" s="691"/>
      <c r="BL55" s="691"/>
      <c r="BM55" s="691"/>
      <c r="BN55" s="691"/>
      <c r="BO55" s="691"/>
      <c r="BP55" s="691"/>
      <c r="BQ55" s="691"/>
      <c r="BR55" s="691"/>
      <c r="BS55" s="691"/>
      <c r="BT55" s="691"/>
      <c r="BU55" s="691"/>
      <c r="BV55" s="691"/>
      <c r="BW55" s="691"/>
      <c r="BX55" s="691"/>
      <c r="BY55" s="691"/>
      <c r="BZ55" s="691"/>
      <c r="CA55" s="691"/>
      <c r="CB55" s="691"/>
      <c r="CC55" s="691"/>
      <c r="CD55" s="691"/>
      <c r="CE55" s="691"/>
      <c r="CF55" s="691"/>
      <c r="CG55" s="691"/>
      <c r="CH55" s="691"/>
      <c r="CI55" s="691"/>
      <c r="CJ55" s="691"/>
      <c r="CK55" s="691"/>
      <c r="CL55" s="691"/>
      <c r="CM55" s="691"/>
      <c r="CN55" s="691"/>
      <c r="CO55" s="691"/>
      <c r="CP55" s="691"/>
      <c r="CQ55" s="691"/>
      <c r="CR55" s="691"/>
      <c r="CS55" s="691"/>
      <c r="CT55" s="691"/>
    </row>
    <row r="56" spans="2:98" ht="8.1" customHeight="1" x14ac:dyDescent="0.25">
      <c r="BI56" s="692" t="s">
        <v>864</v>
      </c>
      <c r="BJ56" s="692"/>
      <c r="BK56" s="692"/>
      <c r="BL56" s="692"/>
      <c r="BM56" s="692"/>
      <c r="BN56" s="692"/>
      <c r="BO56" s="692"/>
      <c r="BP56" s="692"/>
      <c r="BQ56" s="692"/>
      <c r="BR56" s="692"/>
      <c r="BS56" s="692"/>
      <c r="BT56" s="692"/>
      <c r="BU56" s="692"/>
      <c r="BV56" s="692"/>
      <c r="BW56" s="692"/>
      <c r="BX56" s="692"/>
      <c r="BY56" s="692"/>
      <c r="BZ56" s="692"/>
      <c r="CA56" s="692"/>
      <c r="CB56" s="692"/>
      <c r="CC56" s="692"/>
      <c r="CD56" s="692"/>
      <c r="CE56" s="692"/>
      <c r="CF56" s="692"/>
      <c r="CG56" s="692"/>
      <c r="CH56" s="692"/>
      <c r="CI56" s="692"/>
      <c r="CJ56" s="692"/>
      <c r="CK56" s="692"/>
      <c r="CL56" s="692"/>
      <c r="CM56" s="692"/>
      <c r="CN56" s="692"/>
      <c r="CO56" s="692"/>
      <c r="CP56" s="692"/>
      <c r="CQ56" s="692"/>
      <c r="CR56" s="692"/>
      <c r="CS56" s="692"/>
      <c r="CT56" s="692"/>
    </row>
    <row r="57" spans="2:98" ht="8.1" customHeight="1" x14ac:dyDescent="0.25">
      <c r="BI57" s="692"/>
      <c r="BJ57" s="692"/>
      <c r="BK57" s="692"/>
      <c r="BL57" s="692"/>
      <c r="BM57" s="692"/>
      <c r="BN57" s="692"/>
      <c r="BO57" s="692"/>
      <c r="BP57" s="692"/>
      <c r="BQ57" s="692"/>
      <c r="BR57" s="692"/>
      <c r="BS57" s="692"/>
      <c r="BT57" s="692"/>
      <c r="BU57" s="692"/>
      <c r="BV57" s="692"/>
      <c r="BW57" s="692"/>
      <c r="BX57" s="692"/>
      <c r="BY57" s="692"/>
      <c r="BZ57" s="692"/>
      <c r="CA57" s="692"/>
      <c r="CB57" s="692"/>
      <c r="CC57" s="692"/>
      <c r="CD57" s="692"/>
      <c r="CE57" s="692"/>
      <c r="CF57" s="692"/>
      <c r="CG57" s="692"/>
      <c r="CH57" s="692"/>
      <c r="CI57" s="692"/>
      <c r="CJ57" s="692"/>
      <c r="CK57" s="692"/>
      <c r="CL57" s="692"/>
      <c r="CM57" s="692"/>
      <c r="CN57" s="692"/>
      <c r="CO57" s="692"/>
      <c r="CP57" s="692"/>
      <c r="CQ57" s="692"/>
      <c r="CR57" s="692"/>
      <c r="CS57" s="692"/>
      <c r="CT57" s="692"/>
    </row>
    <row r="58" spans="2:98" ht="8.1" customHeight="1" x14ac:dyDescent="0.25">
      <c r="BI58" s="692"/>
      <c r="BJ58" s="692"/>
      <c r="BK58" s="692"/>
      <c r="BL58" s="692"/>
      <c r="BM58" s="692"/>
      <c r="BN58" s="692"/>
      <c r="BO58" s="692"/>
      <c r="BP58" s="692"/>
      <c r="BQ58" s="692"/>
      <c r="BR58" s="692"/>
      <c r="BS58" s="692"/>
      <c r="BT58" s="692"/>
      <c r="BU58" s="692"/>
      <c r="BV58" s="692"/>
      <c r="BW58" s="692"/>
      <c r="BX58" s="692"/>
      <c r="BY58" s="692"/>
      <c r="BZ58" s="692"/>
      <c r="CA58" s="692"/>
      <c r="CB58" s="692"/>
      <c r="CC58" s="692"/>
      <c r="CD58" s="692"/>
      <c r="CE58" s="692"/>
      <c r="CF58" s="692"/>
      <c r="CG58" s="692"/>
      <c r="CH58" s="692"/>
      <c r="CI58" s="692"/>
      <c r="CJ58" s="692"/>
      <c r="CK58" s="692"/>
      <c r="CL58" s="692"/>
      <c r="CM58" s="692"/>
      <c r="CN58" s="692"/>
      <c r="CO58" s="692"/>
      <c r="CP58" s="692"/>
      <c r="CQ58" s="692"/>
      <c r="CR58" s="692"/>
      <c r="CS58" s="692"/>
      <c r="CT58" s="692"/>
    </row>
    <row r="59" spans="2:98" ht="8.1" customHeight="1" x14ac:dyDescent="0.25">
      <c r="BI59" s="692"/>
      <c r="BJ59" s="692"/>
      <c r="BK59" s="692"/>
      <c r="BL59" s="692"/>
      <c r="BM59" s="692"/>
      <c r="BN59" s="692"/>
      <c r="BO59" s="692"/>
      <c r="BP59" s="692"/>
      <c r="BQ59" s="692"/>
      <c r="BR59" s="692"/>
      <c r="BS59" s="692"/>
      <c r="BT59" s="692"/>
      <c r="BU59" s="692"/>
      <c r="BV59" s="692"/>
      <c r="BW59" s="692"/>
      <c r="BX59" s="692"/>
      <c r="BY59" s="692"/>
      <c r="BZ59" s="692"/>
      <c r="CA59" s="692"/>
      <c r="CB59" s="692"/>
      <c r="CC59" s="692"/>
      <c r="CD59" s="692"/>
      <c r="CE59" s="692"/>
      <c r="CF59" s="692"/>
      <c r="CG59" s="692"/>
      <c r="CH59" s="692"/>
      <c r="CI59" s="692"/>
      <c r="CJ59" s="692"/>
      <c r="CK59" s="692"/>
      <c r="CL59" s="692"/>
      <c r="CM59" s="692"/>
      <c r="CN59" s="692"/>
      <c r="CO59" s="692"/>
      <c r="CP59" s="692"/>
      <c r="CQ59" s="692"/>
      <c r="CR59" s="692"/>
      <c r="CS59" s="692"/>
      <c r="CT59" s="692"/>
    </row>
    <row r="60" spans="2:98" ht="8.1" customHeight="1" x14ac:dyDescent="0.25">
      <c r="BI60" s="692"/>
      <c r="BJ60" s="692"/>
      <c r="BK60" s="692"/>
      <c r="BL60" s="692"/>
      <c r="BM60" s="692"/>
      <c r="BN60" s="692"/>
      <c r="BO60" s="692"/>
      <c r="BP60" s="692"/>
      <c r="BQ60" s="692"/>
      <c r="BR60" s="692"/>
      <c r="BS60" s="692"/>
      <c r="BT60" s="692"/>
      <c r="BU60" s="692"/>
      <c r="BV60" s="692"/>
      <c r="BW60" s="692"/>
      <c r="BX60" s="692"/>
      <c r="BY60" s="692"/>
      <c r="BZ60" s="692"/>
      <c r="CA60" s="692"/>
      <c r="CB60" s="692"/>
      <c r="CC60" s="692"/>
      <c r="CD60" s="692"/>
      <c r="CE60" s="692"/>
      <c r="CF60" s="692"/>
      <c r="CG60" s="692"/>
      <c r="CH60" s="692"/>
      <c r="CI60" s="692"/>
      <c r="CJ60" s="692"/>
      <c r="CK60" s="692"/>
      <c r="CL60" s="692"/>
      <c r="CM60" s="692"/>
      <c r="CN60" s="692"/>
      <c r="CO60" s="692"/>
      <c r="CP60" s="692"/>
      <c r="CQ60" s="692"/>
      <c r="CR60" s="692"/>
      <c r="CS60" s="692"/>
      <c r="CT60" s="692"/>
    </row>
  </sheetData>
  <sheetProtection sheet="1" objects="1" scenarios="1" selectLockedCells="1"/>
  <mergeCells count="116">
    <mergeCell ref="CR32:CT33"/>
    <mergeCell ref="CR26:CT27"/>
    <mergeCell ref="B39:BF42"/>
    <mergeCell ref="BI39:CT49"/>
    <mergeCell ref="BI51:CT55"/>
    <mergeCell ref="BI56:CT60"/>
    <mergeCell ref="BI2:CJ4"/>
    <mergeCell ref="B10:AC12"/>
    <mergeCell ref="BI12:CT14"/>
    <mergeCell ref="AT30:BA31"/>
    <mergeCell ref="B33:BF34"/>
    <mergeCell ref="B35:BF36"/>
    <mergeCell ref="BI36:CT38"/>
    <mergeCell ref="BB30:BD31"/>
    <mergeCell ref="BB16:BD17"/>
    <mergeCell ref="BB19:BD20"/>
    <mergeCell ref="BB22:BD23"/>
    <mergeCell ref="BB25:BD26"/>
    <mergeCell ref="BB28:BD29"/>
    <mergeCell ref="CB26:CD27"/>
    <mergeCell ref="CF26:CH27"/>
    <mergeCell ref="CN26:CP27"/>
    <mergeCell ref="BM28:BV29"/>
    <mergeCell ref="BM32:BV33"/>
    <mergeCell ref="CN32:CP33"/>
    <mergeCell ref="B2:AW4"/>
    <mergeCell ref="B7:S8"/>
    <mergeCell ref="C22:D23"/>
    <mergeCell ref="CJ28:CL29"/>
    <mergeCell ref="CJ30:CL31"/>
    <mergeCell ref="CJ32:CL33"/>
    <mergeCell ref="CJ26:CL27"/>
    <mergeCell ref="BP22:CG24"/>
    <mergeCell ref="BW28:BZ29"/>
    <mergeCell ref="BW30:BZ31"/>
    <mergeCell ref="BW32:BZ33"/>
    <mergeCell ref="BW26:BZ27"/>
    <mergeCell ref="BM26:BV27"/>
    <mergeCell ref="T6:W8"/>
    <mergeCell ref="F14:N15"/>
    <mergeCell ref="P14:AE15"/>
    <mergeCell ref="F16:N17"/>
    <mergeCell ref="CF28:CH29"/>
    <mergeCell ref="F22:N23"/>
    <mergeCell ref="P22:AE23"/>
    <mergeCell ref="CB32:CD33"/>
    <mergeCell ref="CF32:CH33"/>
    <mergeCell ref="AG16:AI17"/>
    <mergeCell ref="CQ9:CS10"/>
    <mergeCell ref="BV7:CA8"/>
    <mergeCell ref="CB7:CG8"/>
    <mergeCell ref="CH7:CM8"/>
    <mergeCell ref="BJ7:BO8"/>
    <mergeCell ref="BP7:BU8"/>
    <mergeCell ref="CQ17:CS19"/>
    <mergeCell ref="CN28:CP29"/>
    <mergeCell ref="CQ15:CS16"/>
    <mergeCell ref="CN7:CS8"/>
    <mergeCell ref="CR28:CT29"/>
    <mergeCell ref="BV9:BX10"/>
    <mergeCell ref="BY9:CA10"/>
    <mergeCell ref="CB9:CD10"/>
    <mergeCell ref="CE9:CG10"/>
    <mergeCell ref="CH9:CJ10"/>
    <mergeCell ref="CK9:CM10"/>
    <mergeCell ref="CN9:CP10"/>
    <mergeCell ref="BP9:BR10"/>
    <mergeCell ref="BS9:BU10"/>
    <mergeCell ref="BM30:BV31"/>
    <mergeCell ref="CH22:CM24"/>
    <mergeCell ref="CR30:CT31"/>
    <mergeCell ref="BI5:CF6"/>
    <mergeCell ref="AG30:AI31"/>
    <mergeCell ref="Y30:AF31"/>
    <mergeCell ref="AM16:AU17"/>
    <mergeCell ref="AL19:AP20"/>
    <mergeCell ref="AQ19:AZ20"/>
    <mergeCell ref="AL22:AP23"/>
    <mergeCell ref="AQ22:AZ23"/>
    <mergeCell ref="AQ25:AZ26"/>
    <mergeCell ref="P16:AE17"/>
    <mergeCell ref="AQ28:AZ29"/>
    <mergeCell ref="BA14:BE15"/>
    <mergeCell ref="AF14:AJ15"/>
    <mergeCell ref="BJ17:BY19"/>
    <mergeCell ref="CF30:CH31"/>
    <mergeCell ref="AG22:AI23"/>
    <mergeCell ref="BJ9:BL10"/>
    <mergeCell ref="BM9:BO10"/>
    <mergeCell ref="CB28:CD29"/>
    <mergeCell ref="CB30:CD31"/>
    <mergeCell ref="CN30:CP31"/>
    <mergeCell ref="C25:D26"/>
    <mergeCell ref="F25:N26"/>
    <mergeCell ref="P25:AE26"/>
    <mergeCell ref="AG25:AI26"/>
    <mergeCell ref="C28:D29"/>
    <mergeCell ref="F28:N29"/>
    <mergeCell ref="P28:AE29"/>
    <mergeCell ref="AG28:AI29"/>
    <mergeCell ref="AL25:AP26"/>
    <mergeCell ref="AL28:AP29"/>
    <mergeCell ref="C19:D20"/>
    <mergeCell ref="F19:N20"/>
    <mergeCell ref="P19:AE20"/>
    <mergeCell ref="AG19:AI20"/>
    <mergeCell ref="CM17:CO19"/>
    <mergeCell ref="BZ15:CC16"/>
    <mergeCell ref="CE15:CG16"/>
    <mergeCell ref="CI15:CK16"/>
    <mergeCell ref="CM15:CO16"/>
    <mergeCell ref="BZ17:CC19"/>
    <mergeCell ref="CE17:CG19"/>
    <mergeCell ref="CI17:CK19"/>
    <mergeCell ref="C16:D17"/>
    <mergeCell ref="AV16:AX17"/>
  </mergeCells>
  <conditionalFormatting sqref="AQ19:AZ20">
    <cfRule type="expression" dxfId="69" priority="19">
      <formula>tipo.classe.2="Básica"</formula>
    </cfRule>
  </conditionalFormatting>
  <conditionalFormatting sqref="AQ22:AZ23">
    <cfRule type="expression" dxfId="68" priority="18">
      <formula>tipo.classe.3="Básica"</formula>
    </cfRule>
  </conditionalFormatting>
  <conditionalFormatting sqref="AQ25:AZ26">
    <cfRule type="expression" dxfId="67" priority="17">
      <formula>tipo.classe.4="Básica"</formula>
    </cfRule>
  </conditionalFormatting>
  <conditionalFormatting sqref="AQ28:AZ29">
    <cfRule type="expression" dxfId="66" priority="16">
      <formula>tipo.classe.5="Básica"</formula>
    </cfRule>
  </conditionalFormatting>
  <conditionalFormatting sqref="BB16:BD17 BB19:BD20 BB22:BD23 BB25:BD26 BB28:BD29">
    <cfRule type="expression" dxfId="65" priority="15">
      <formula>NÍVEL.p&gt;20</formula>
    </cfRule>
  </conditionalFormatting>
  <conditionalFormatting sqref="AT30:BD31">
    <cfRule type="expression" dxfId="64" priority="14">
      <formula>NÍVEL.p&gt;20</formula>
    </cfRule>
  </conditionalFormatting>
  <conditionalFormatting sqref="CQ15:CS16">
    <cfRule type="expression" dxfId="63" priority="12">
      <formula>NÍVEL.p&lt;21</formula>
    </cfRule>
  </conditionalFormatting>
  <conditionalFormatting sqref="CQ17:CS19">
    <cfRule type="expression" dxfId="62" priority="11">
      <formula>NÍVEL.p&lt;21</formula>
    </cfRule>
  </conditionalFormatting>
  <conditionalFormatting sqref="B19:B20 E19:E20 O19:O20 AF19:AF20 AJ19:BA20 BE19:BF20">
    <cfRule type="expression" dxfId="61" priority="10">
      <formula>controle2="ilegal"</formula>
    </cfRule>
  </conditionalFormatting>
  <conditionalFormatting sqref="B22:B23 E22:E23 O22:O23 AF22:AF23 AJ22:BA23 BE22:BF23">
    <cfRule type="expression" dxfId="60" priority="9">
      <formula>controle3="ilegal"</formula>
    </cfRule>
  </conditionalFormatting>
  <conditionalFormatting sqref="B25:B26 E25:E26 O25:O26 AF25:AF26 AJ25:BA26 BE25:BF26">
    <cfRule type="expression" dxfId="59" priority="8">
      <formula>controle4="ilegal"</formula>
    </cfRule>
  </conditionalFormatting>
  <conditionalFormatting sqref="B28:B29 E28:E29 O28:O29 AF28:AF29 AJ28:BA29 BE28:BF29">
    <cfRule type="expression" dxfId="58" priority="7">
      <formula>controle5="ilegal"</formula>
    </cfRule>
  </conditionalFormatting>
  <conditionalFormatting sqref="Y30:AI31">
    <cfRule type="expression" dxfId="57" priority="6">
      <formula>NÍVEL.classes&gt;20</formula>
    </cfRule>
  </conditionalFormatting>
  <conditionalFormatting sqref="B33:BF34">
    <cfRule type="expression" dxfId="56" priority="1">
      <formula>controle.niveis="falta"</formula>
    </cfRule>
    <cfRule type="expression" dxfId="55" priority="2">
      <formula>controle.epico&lt;&gt;"ok"</formula>
    </cfRule>
    <cfRule type="expression" dxfId="54" priority="3">
      <formula>controle.niveis="excede"</formula>
    </cfRule>
    <cfRule type="expression" dxfId="53" priority="5">
      <formula>controle.niveis="ok"</formula>
    </cfRule>
  </conditionalFormatting>
  <conditionalFormatting sqref="B35:BF36">
    <cfRule type="expression" dxfId="52" priority="4">
      <formula>controle.cdp="ilegal"</formula>
    </cfRule>
  </conditionalFormatting>
  <dataValidations count="11">
    <dataValidation type="list" allowBlank="1" showInputMessage="1" showErrorMessage="1" sqref="AQ25:AZ26">
      <formula1>IF(tipo.classe.4="Básica",LISTA.talentos.classe4,"")</formula1>
    </dataValidation>
    <dataValidation type="list" allowBlank="1" showInputMessage="1" showErrorMessage="1" sqref="AQ28:AZ29">
      <formula1>IF(tipo.classe.5="Básica",LISTA.talentos.classe5,"")</formula1>
    </dataValidation>
    <dataValidation type="list" allowBlank="1" showInputMessage="1" showErrorMessage="1" sqref="AQ22:AZ23">
      <formula1>IF(tipo.classe.3="Básica",LISTA.talentos.classe3,"")</formula1>
    </dataValidation>
    <dataValidation type="list" allowBlank="1" showInputMessage="1" showErrorMessage="1" sqref="F16:N17">
      <formula1>LISTA.tipos.classe1</formula1>
    </dataValidation>
    <dataValidation type="list" allowBlank="1" showInputMessage="1" showErrorMessage="1" sqref="F19:N20 F22:N23 F25:N26 F28:N29">
      <formula1>LISTA.tipos.classe</formula1>
    </dataValidation>
    <dataValidation type="list" allowBlank="1" showInputMessage="1" showErrorMessage="1" sqref="P22:AE23">
      <formula1>IF(tipo.classe.3="Prestígio",LISTA.cdps,LISTA.classes)</formula1>
    </dataValidation>
    <dataValidation type="list" allowBlank="1" showInputMessage="1" showErrorMessage="1" sqref="P19:AE20 F44:N44 F52:U53 F49:U50 F46:N47">
      <formula1>IF(tipo.classe.2="Prestígio",LISTA.cdps,LISTA.classes)</formula1>
    </dataValidation>
    <dataValidation type="list" allowBlank="1" showInputMessage="1" showErrorMessage="1" sqref="P16:AE17">
      <formula1>IF(tipo.classe.1="Básica",LISTA.classes,IF(tipo.classe.1="Criatura",LISTA.criaturas))</formula1>
    </dataValidation>
    <dataValidation type="list" allowBlank="1" showInputMessage="1" showErrorMessage="1" sqref="P25:AE26">
      <formula1>IF(tipo.classe.4="Prestígio",LISTA.cdps,LISTA.classes)</formula1>
    </dataValidation>
    <dataValidation type="list" allowBlank="1" showInputMessage="1" showErrorMessage="1" sqref="P28:AE29">
      <formula1>IF(tipo.classe.5="Prestígio",LISTA.cdps,LISTA.classes)</formula1>
    </dataValidation>
    <dataValidation type="list" allowBlank="1" showInputMessage="1" showErrorMessage="1" sqref="AQ19:AZ20">
      <formula1>IF(tipo.classe.2="Básica",LISTA.talentos.classe2,"")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63" r:id="rId4" name="Spinner 15">
              <controlPr defaultSize="0" print="0" autoPict="0">
                <anchor moveWithCells="1" sizeWithCells="1">
                  <from>
                    <xdr:col>35</xdr:col>
                    <xdr:colOff>28575</xdr:colOff>
                    <xdr:row>14</xdr:row>
                    <xdr:rowOff>76200</xdr:rowOff>
                  </from>
                  <to>
                    <xdr:col>36</xdr:col>
                    <xdr:colOff>38100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5" name="Spinner 16">
              <controlPr defaultSize="0" print="0" autoPict="0">
                <anchor moveWithCells="1" sizeWithCells="1">
                  <from>
                    <xdr:col>35</xdr:col>
                    <xdr:colOff>28575</xdr:colOff>
                    <xdr:row>17</xdr:row>
                    <xdr:rowOff>76200</xdr:rowOff>
                  </from>
                  <to>
                    <xdr:col>36</xdr:col>
                    <xdr:colOff>38100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6" name="Spinner 17">
              <controlPr defaultSize="0" print="0" autoPict="0">
                <anchor moveWithCells="1" sizeWithCells="1">
                  <from>
                    <xdr:col>35</xdr:col>
                    <xdr:colOff>28575</xdr:colOff>
                    <xdr:row>20</xdr:row>
                    <xdr:rowOff>76200</xdr:rowOff>
                  </from>
                  <to>
                    <xdr:col>36</xdr:col>
                    <xdr:colOff>38100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7" name="Spinner 19">
              <controlPr defaultSize="0" print="0" autoPict="0">
                <anchor moveWithCells="1" sizeWithCells="1">
                  <from>
                    <xdr:col>35</xdr:col>
                    <xdr:colOff>28575</xdr:colOff>
                    <xdr:row>23</xdr:row>
                    <xdr:rowOff>76200</xdr:rowOff>
                  </from>
                  <to>
                    <xdr:col>36</xdr:col>
                    <xdr:colOff>38100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8" name="Spinner 20">
              <controlPr defaultSize="0" print="0" autoPict="0">
                <anchor moveWithCells="1" sizeWithCells="1">
                  <from>
                    <xdr:col>35</xdr:col>
                    <xdr:colOff>28575</xdr:colOff>
                    <xdr:row>26</xdr:row>
                    <xdr:rowOff>76200</xdr:rowOff>
                  </from>
                  <to>
                    <xdr:col>36</xdr:col>
                    <xdr:colOff>38100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9" name="Spinner 31">
              <controlPr defaultSize="0" print="0" autoPict="0">
                <anchor moveWithCells="1" sizeWithCells="1">
                  <from>
                    <xdr:col>56</xdr:col>
                    <xdr:colOff>28575</xdr:colOff>
                    <xdr:row>14</xdr:row>
                    <xdr:rowOff>76200</xdr:rowOff>
                  </from>
                  <to>
                    <xdr:col>57</xdr:col>
                    <xdr:colOff>38100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10" name="Spinner 32">
              <controlPr defaultSize="0" print="0" autoPict="0">
                <anchor moveWithCells="1" sizeWithCells="1">
                  <from>
                    <xdr:col>56</xdr:col>
                    <xdr:colOff>28575</xdr:colOff>
                    <xdr:row>17</xdr:row>
                    <xdr:rowOff>76200</xdr:rowOff>
                  </from>
                  <to>
                    <xdr:col>57</xdr:col>
                    <xdr:colOff>38100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11" name="Spinner 33">
              <controlPr defaultSize="0" print="0" autoPict="0">
                <anchor moveWithCells="1" sizeWithCells="1">
                  <from>
                    <xdr:col>56</xdr:col>
                    <xdr:colOff>28575</xdr:colOff>
                    <xdr:row>20</xdr:row>
                    <xdr:rowOff>76200</xdr:rowOff>
                  </from>
                  <to>
                    <xdr:col>57</xdr:col>
                    <xdr:colOff>38100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12" name="Spinner 34">
              <controlPr defaultSize="0" print="0" autoPict="0">
                <anchor moveWithCells="1" sizeWithCells="1">
                  <from>
                    <xdr:col>56</xdr:col>
                    <xdr:colOff>28575</xdr:colOff>
                    <xdr:row>23</xdr:row>
                    <xdr:rowOff>76200</xdr:rowOff>
                  </from>
                  <to>
                    <xdr:col>57</xdr:col>
                    <xdr:colOff>38100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13" name="Spinner 35">
              <controlPr defaultSize="0" print="0" autoPict="0">
                <anchor moveWithCells="1" sizeWithCells="1">
                  <from>
                    <xdr:col>56</xdr:col>
                    <xdr:colOff>28575</xdr:colOff>
                    <xdr:row>26</xdr:row>
                    <xdr:rowOff>76200</xdr:rowOff>
                  </from>
                  <to>
                    <xdr:col>57</xdr:col>
                    <xdr:colOff>38100</xdr:colOff>
                    <xdr:row>29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>
    <tabColor rgb="FFFFFFCC"/>
  </sheetPr>
  <dimension ref="A2:CB82"/>
  <sheetViews>
    <sheetView showGridLines="0" zoomScaleNormal="100" workbookViewId="0">
      <selection activeCell="BB60" sqref="BB60:BJ61"/>
    </sheetView>
  </sheetViews>
  <sheetFormatPr defaultColWidth="1.7109375" defaultRowHeight="8.1" customHeight="1" x14ac:dyDescent="0.25"/>
  <cols>
    <col min="1" max="45" width="1.7109375" style="203"/>
    <col min="46" max="46" width="3.7109375" style="203" customWidth="1"/>
    <col min="47" max="48" width="1.7109375" style="203"/>
    <col min="49" max="49" width="1.7109375" style="203" customWidth="1"/>
    <col min="50" max="50" width="1.7109375" style="203"/>
    <col min="51" max="51" width="1.7109375" style="203" customWidth="1"/>
    <col min="52" max="16384" width="1.7109375" style="203"/>
  </cols>
  <sheetData>
    <row r="2" spans="1:80" ht="8.1" customHeight="1" x14ac:dyDescent="0.25">
      <c r="B2" s="964"/>
      <c r="C2" s="964"/>
      <c r="D2" s="964"/>
      <c r="E2" s="964"/>
      <c r="F2" s="964"/>
      <c r="G2" s="964"/>
      <c r="H2" s="964"/>
      <c r="I2" s="964"/>
      <c r="J2" s="964"/>
      <c r="K2" s="964"/>
      <c r="L2" s="964"/>
      <c r="M2" s="964"/>
      <c r="N2" s="964"/>
      <c r="O2" s="964"/>
      <c r="P2" s="964"/>
      <c r="Q2" s="964"/>
      <c r="R2" s="964"/>
      <c r="S2" s="964"/>
      <c r="T2" s="204"/>
      <c r="U2" s="966" t="str">
        <f>RAÇA.p</f>
        <v>Aggelus</v>
      </c>
      <c r="V2" s="966"/>
      <c r="W2" s="966"/>
      <c r="X2" s="966"/>
      <c r="Y2" s="966"/>
      <c r="Z2" s="966"/>
      <c r="AA2" s="966"/>
      <c r="AB2" s="966"/>
      <c r="AC2" s="204"/>
      <c r="AD2" s="960"/>
      <c r="AE2" s="960"/>
      <c r="AF2" s="960"/>
      <c r="AG2" s="960"/>
      <c r="AH2" s="960"/>
      <c r="AI2" s="960"/>
      <c r="AJ2" s="960"/>
      <c r="AK2" s="204"/>
      <c r="AL2" s="960"/>
      <c r="AM2" s="960"/>
      <c r="AN2" s="960"/>
      <c r="AO2" s="960"/>
      <c r="AP2" s="205"/>
      <c r="AQ2" s="960">
        <v>25</v>
      </c>
      <c r="AR2" s="960"/>
      <c r="AS2" s="960"/>
      <c r="AT2" s="960"/>
      <c r="AU2" s="960"/>
      <c r="AV2" s="960"/>
      <c r="AW2" s="204"/>
      <c r="AX2" s="960">
        <f>VLOOKUP(RAÇA.p,TABELA.raças,8,FALSE)</f>
        <v>0</v>
      </c>
      <c r="AY2" s="960"/>
      <c r="AZ2" s="960"/>
      <c r="BA2" s="960"/>
      <c r="BB2" s="960"/>
      <c r="BC2" s="960"/>
      <c r="BD2" s="205"/>
      <c r="BE2" s="960"/>
      <c r="BF2" s="960"/>
      <c r="BG2" s="960"/>
      <c r="BH2" s="960"/>
      <c r="BI2" s="960"/>
      <c r="BJ2" s="960"/>
      <c r="BK2" s="960"/>
      <c r="BL2" s="960"/>
      <c r="BM2" s="960"/>
      <c r="BN2" s="960"/>
      <c r="BO2" s="960"/>
      <c r="BP2" s="960"/>
    </row>
    <row r="3" spans="1:80" ht="8.1" customHeight="1" x14ac:dyDescent="0.25">
      <c r="B3" s="965"/>
      <c r="C3" s="965"/>
      <c r="D3" s="965"/>
      <c r="E3" s="965"/>
      <c r="F3" s="965"/>
      <c r="G3" s="965"/>
      <c r="H3" s="965"/>
      <c r="I3" s="965"/>
      <c r="J3" s="965"/>
      <c r="K3" s="965"/>
      <c r="L3" s="965"/>
      <c r="M3" s="965"/>
      <c r="N3" s="965"/>
      <c r="O3" s="965"/>
      <c r="P3" s="965"/>
      <c r="Q3" s="965"/>
      <c r="R3" s="965"/>
      <c r="S3" s="965"/>
      <c r="T3" s="204"/>
      <c r="U3" s="967"/>
      <c r="V3" s="967"/>
      <c r="W3" s="967"/>
      <c r="X3" s="967"/>
      <c r="Y3" s="967"/>
      <c r="Z3" s="967"/>
      <c r="AA3" s="967"/>
      <c r="AB3" s="967"/>
      <c r="AC3" s="204"/>
      <c r="AD3" s="961"/>
      <c r="AE3" s="961"/>
      <c r="AF3" s="961"/>
      <c r="AG3" s="961"/>
      <c r="AH3" s="961"/>
      <c r="AI3" s="961"/>
      <c r="AJ3" s="961"/>
      <c r="AK3" s="204"/>
      <c r="AL3" s="961"/>
      <c r="AM3" s="961"/>
      <c r="AN3" s="961"/>
      <c r="AO3" s="961"/>
      <c r="AP3" s="205"/>
      <c r="AQ3" s="961"/>
      <c r="AR3" s="961"/>
      <c r="AS3" s="961"/>
      <c r="AT3" s="961"/>
      <c r="AU3" s="961"/>
      <c r="AV3" s="961"/>
      <c r="AW3" s="204"/>
      <c r="AX3" s="961"/>
      <c r="AY3" s="961"/>
      <c r="AZ3" s="961"/>
      <c r="BA3" s="961"/>
      <c r="BB3" s="961"/>
      <c r="BC3" s="961"/>
      <c r="BD3" s="205"/>
      <c r="BE3" s="961"/>
      <c r="BF3" s="961"/>
      <c r="BG3" s="961"/>
      <c r="BH3" s="961"/>
      <c r="BI3" s="961"/>
      <c r="BJ3" s="961"/>
      <c r="BK3" s="961"/>
      <c r="BL3" s="961"/>
      <c r="BM3" s="961"/>
      <c r="BN3" s="961"/>
      <c r="BO3" s="961"/>
      <c r="BP3" s="961"/>
    </row>
    <row r="4" spans="1:80" s="200" customFormat="1" ht="8.1" customHeight="1" x14ac:dyDescent="0.25">
      <c r="B4" s="958" t="s">
        <v>0</v>
      </c>
      <c r="C4" s="958"/>
      <c r="D4" s="958"/>
      <c r="E4" s="958"/>
      <c r="F4" s="958"/>
      <c r="G4" s="958"/>
      <c r="H4" s="958"/>
      <c r="I4" s="958"/>
      <c r="J4" s="958"/>
      <c r="K4" s="958"/>
      <c r="L4" s="958"/>
      <c r="M4" s="958"/>
      <c r="N4" s="958"/>
      <c r="O4" s="958"/>
      <c r="P4" s="958"/>
      <c r="Q4" s="958"/>
      <c r="R4" s="958"/>
      <c r="S4" s="958"/>
      <c r="U4" s="959" t="s">
        <v>2</v>
      </c>
      <c r="V4" s="959"/>
      <c r="W4" s="959"/>
      <c r="X4" s="959"/>
      <c r="Y4" s="959"/>
      <c r="Z4" s="959"/>
      <c r="AA4" s="959"/>
      <c r="AB4" s="959"/>
      <c r="AD4" s="959" t="s">
        <v>3</v>
      </c>
      <c r="AE4" s="959"/>
      <c r="AF4" s="959"/>
      <c r="AG4" s="959"/>
      <c r="AH4" s="959"/>
      <c r="AI4" s="959"/>
      <c r="AJ4" s="959"/>
      <c r="AL4" s="959" t="s">
        <v>6</v>
      </c>
      <c r="AM4" s="959"/>
      <c r="AN4" s="959"/>
      <c r="AO4" s="959"/>
      <c r="AQ4" s="962" t="s">
        <v>5</v>
      </c>
      <c r="AR4" s="962"/>
      <c r="AS4" s="962"/>
      <c r="AT4" s="962"/>
      <c r="AU4" s="962"/>
      <c r="AV4" s="962"/>
      <c r="AX4" s="962" t="s">
        <v>4</v>
      </c>
      <c r="AY4" s="962"/>
      <c r="AZ4" s="962"/>
      <c r="BA4" s="962"/>
      <c r="BB4" s="962"/>
      <c r="BC4" s="962"/>
      <c r="BD4" s="206"/>
      <c r="BE4" s="959" t="s">
        <v>483</v>
      </c>
      <c r="BF4" s="959"/>
      <c r="BG4" s="959"/>
      <c r="BH4" s="959"/>
      <c r="BI4" s="959"/>
      <c r="BJ4" s="959"/>
      <c r="BK4" s="959"/>
      <c r="BL4" s="959"/>
      <c r="BM4" s="959"/>
      <c r="BN4" s="959"/>
      <c r="BO4" s="959"/>
      <c r="BP4" s="959"/>
    </row>
    <row r="5" spans="1:80" s="200" customFormat="1" ht="8.1" customHeight="1" x14ac:dyDescent="0.25">
      <c r="B5" s="958"/>
      <c r="C5" s="958"/>
      <c r="D5" s="958"/>
      <c r="E5" s="958"/>
      <c r="F5" s="958"/>
      <c r="G5" s="958"/>
      <c r="H5" s="958"/>
      <c r="I5" s="958"/>
      <c r="J5" s="958"/>
      <c r="K5" s="958"/>
      <c r="L5" s="958"/>
      <c r="M5" s="958"/>
      <c r="N5" s="958"/>
      <c r="O5" s="958"/>
      <c r="P5" s="958"/>
      <c r="Q5" s="958"/>
      <c r="R5" s="958"/>
      <c r="S5" s="958"/>
      <c r="U5" s="959"/>
      <c r="V5" s="959"/>
      <c r="W5" s="959"/>
      <c r="X5" s="959"/>
      <c r="Y5" s="959"/>
      <c r="Z5" s="959"/>
      <c r="AA5" s="959"/>
      <c r="AB5" s="959"/>
      <c r="AD5" s="959"/>
      <c r="AE5" s="959"/>
      <c r="AF5" s="959"/>
      <c r="AG5" s="959"/>
      <c r="AH5" s="959"/>
      <c r="AI5" s="959"/>
      <c r="AJ5" s="959"/>
      <c r="AL5" s="959"/>
      <c r="AM5" s="959"/>
      <c r="AN5" s="959"/>
      <c r="AO5" s="959"/>
      <c r="AQ5" s="963"/>
      <c r="AR5" s="963"/>
      <c r="AS5" s="963"/>
      <c r="AT5" s="963"/>
      <c r="AU5" s="963"/>
      <c r="AV5" s="963"/>
      <c r="AX5" s="963"/>
      <c r="AY5" s="963"/>
      <c r="AZ5" s="963"/>
      <c r="BA5" s="963"/>
      <c r="BB5" s="963"/>
      <c r="BC5" s="963"/>
      <c r="BE5" s="959"/>
      <c r="BF5" s="959"/>
      <c r="BG5" s="959"/>
      <c r="BH5" s="959"/>
      <c r="BI5" s="959"/>
      <c r="BJ5" s="959"/>
      <c r="BK5" s="959"/>
      <c r="BL5" s="959"/>
      <c r="BM5" s="959"/>
      <c r="BN5" s="959"/>
      <c r="BO5" s="959"/>
      <c r="BP5" s="959"/>
    </row>
    <row r="6" spans="1:80" ht="8.1" customHeight="1" x14ac:dyDescent="0.25">
      <c r="B6" s="981">
        <f>NÍVEL.p</f>
        <v>1</v>
      </c>
      <c r="C6" s="982"/>
      <c r="D6" s="983"/>
      <c r="F6" s="956" t="str">
        <f>IF(NÍVEL.p&lt;21,microficha.classes.sub20,microficha.classes)</f>
        <v/>
      </c>
      <c r="G6" s="956"/>
      <c r="H6" s="956"/>
      <c r="I6" s="956"/>
      <c r="J6" s="956"/>
      <c r="K6" s="956"/>
      <c r="L6" s="956"/>
      <c r="M6" s="956"/>
      <c r="N6" s="956"/>
      <c r="O6" s="956"/>
      <c r="P6" s="956"/>
      <c r="Q6" s="956"/>
      <c r="R6" s="956"/>
      <c r="S6" s="956"/>
      <c r="T6" s="956"/>
      <c r="U6" s="956"/>
      <c r="V6" s="956"/>
      <c r="W6" s="956"/>
      <c r="X6" s="956"/>
      <c r="Y6" s="956"/>
      <c r="Z6" s="956"/>
      <c r="AA6" s="956"/>
      <c r="AB6" s="956"/>
      <c r="AC6" s="956"/>
      <c r="AD6" s="956"/>
      <c r="AE6" s="956"/>
      <c r="AF6" s="956"/>
      <c r="AG6" s="956"/>
      <c r="AH6" s="956"/>
      <c r="AI6" s="956"/>
      <c r="AJ6" s="956"/>
      <c r="AK6" s="956"/>
      <c r="AL6" s="956"/>
      <c r="AM6" s="956"/>
      <c r="AN6" s="956"/>
      <c r="AO6" s="956"/>
      <c r="AP6" s="956"/>
      <c r="AQ6" s="956"/>
      <c r="AR6" s="956"/>
      <c r="AS6" s="956"/>
      <c r="AT6" s="956"/>
      <c r="AU6" s="956"/>
      <c r="AV6" s="956"/>
      <c r="AX6" s="960"/>
      <c r="AY6" s="960"/>
      <c r="AZ6" s="960"/>
      <c r="BA6" s="960"/>
      <c r="BB6" s="960"/>
      <c r="BC6" s="960"/>
      <c r="BD6" s="960"/>
      <c r="BE6" s="960"/>
      <c r="BF6" s="960"/>
      <c r="BG6" s="960"/>
      <c r="BH6" s="960"/>
      <c r="BI6" s="960"/>
      <c r="BJ6" s="960"/>
      <c r="BK6" s="960"/>
      <c r="BL6" s="960"/>
      <c r="BM6" s="205"/>
      <c r="BN6" s="960"/>
      <c r="BO6" s="960"/>
      <c r="BP6" s="960"/>
      <c r="BQ6" s="960"/>
      <c r="BR6" s="960"/>
      <c r="BS6" s="960"/>
      <c r="BT6" s="960"/>
      <c r="BU6" s="960"/>
      <c r="BV6" s="960"/>
      <c r="BW6" s="960"/>
      <c r="BX6" s="960"/>
      <c r="BY6" s="960"/>
      <c r="BZ6" s="960"/>
      <c r="CA6" s="960"/>
      <c r="CB6" s="960"/>
    </row>
    <row r="7" spans="1:80" ht="8.1" customHeight="1" x14ac:dyDescent="0.25">
      <c r="B7" s="984"/>
      <c r="C7" s="985"/>
      <c r="D7" s="986"/>
      <c r="F7" s="957"/>
      <c r="G7" s="957"/>
      <c r="H7" s="957"/>
      <c r="I7" s="957"/>
      <c r="J7" s="957"/>
      <c r="K7" s="957"/>
      <c r="L7" s="957"/>
      <c r="M7" s="957"/>
      <c r="N7" s="957"/>
      <c r="O7" s="957"/>
      <c r="P7" s="957"/>
      <c r="Q7" s="957"/>
      <c r="R7" s="957"/>
      <c r="S7" s="957"/>
      <c r="T7" s="957"/>
      <c r="U7" s="957"/>
      <c r="V7" s="957"/>
      <c r="W7" s="957"/>
      <c r="X7" s="957"/>
      <c r="Y7" s="957"/>
      <c r="Z7" s="957"/>
      <c r="AA7" s="957"/>
      <c r="AB7" s="957"/>
      <c r="AC7" s="957"/>
      <c r="AD7" s="957"/>
      <c r="AE7" s="957"/>
      <c r="AF7" s="957"/>
      <c r="AG7" s="957"/>
      <c r="AH7" s="957"/>
      <c r="AI7" s="957"/>
      <c r="AJ7" s="957"/>
      <c r="AK7" s="957"/>
      <c r="AL7" s="957"/>
      <c r="AM7" s="957"/>
      <c r="AN7" s="957"/>
      <c r="AO7" s="957"/>
      <c r="AP7" s="957"/>
      <c r="AQ7" s="957"/>
      <c r="AR7" s="957"/>
      <c r="AS7" s="957"/>
      <c r="AT7" s="957"/>
      <c r="AU7" s="957"/>
      <c r="AV7" s="957"/>
      <c r="AX7" s="961"/>
      <c r="AY7" s="961"/>
      <c r="AZ7" s="961"/>
      <c r="BA7" s="961"/>
      <c r="BB7" s="961"/>
      <c r="BC7" s="961"/>
      <c r="BD7" s="961"/>
      <c r="BE7" s="961"/>
      <c r="BF7" s="961"/>
      <c r="BG7" s="961"/>
      <c r="BH7" s="961"/>
      <c r="BI7" s="961"/>
      <c r="BJ7" s="961"/>
      <c r="BK7" s="961"/>
      <c r="BL7" s="961"/>
      <c r="BM7" s="205"/>
      <c r="BN7" s="961"/>
      <c r="BO7" s="961"/>
      <c r="BP7" s="961"/>
      <c r="BQ7" s="961"/>
      <c r="BR7" s="961"/>
      <c r="BS7" s="961"/>
      <c r="BT7" s="961"/>
      <c r="BU7" s="961"/>
      <c r="BV7" s="961"/>
      <c r="BW7" s="961"/>
      <c r="BX7" s="961"/>
      <c r="BY7" s="961"/>
      <c r="BZ7" s="961"/>
      <c r="CA7" s="961"/>
      <c r="CB7" s="961"/>
    </row>
    <row r="8" spans="1:80" s="200" customFormat="1" ht="8.1" customHeight="1" x14ac:dyDescent="0.25">
      <c r="B8" s="959" t="s">
        <v>1</v>
      </c>
      <c r="C8" s="959"/>
      <c r="D8" s="959"/>
      <c r="F8" s="958" t="s">
        <v>484</v>
      </c>
      <c r="G8" s="958"/>
      <c r="H8" s="958"/>
      <c r="I8" s="958"/>
      <c r="J8" s="958"/>
      <c r="K8" s="958"/>
      <c r="L8" s="958"/>
      <c r="M8" s="958"/>
      <c r="N8" s="958"/>
      <c r="O8" s="958"/>
      <c r="P8" s="958"/>
      <c r="Q8" s="958"/>
      <c r="R8" s="958"/>
      <c r="S8" s="958"/>
      <c r="T8" s="958"/>
      <c r="U8" s="958"/>
      <c r="V8" s="958"/>
      <c r="W8" s="958"/>
      <c r="X8" s="958"/>
      <c r="Y8" s="958"/>
      <c r="Z8" s="958"/>
      <c r="AA8" s="958"/>
      <c r="AB8" s="958"/>
      <c r="AC8" s="958"/>
      <c r="AD8" s="958"/>
      <c r="AE8" s="958"/>
      <c r="AF8" s="958"/>
      <c r="AG8" s="958"/>
      <c r="AH8" s="958"/>
      <c r="AI8" s="958"/>
      <c r="AJ8" s="958"/>
      <c r="AK8" s="958"/>
      <c r="AL8" s="958"/>
      <c r="AM8" s="958"/>
      <c r="AN8" s="958"/>
      <c r="AO8" s="958"/>
      <c r="AP8" s="958"/>
      <c r="AQ8" s="958"/>
      <c r="AR8" s="958"/>
      <c r="AS8" s="958"/>
      <c r="AT8" s="958"/>
      <c r="AU8" s="958"/>
      <c r="AV8" s="958"/>
      <c r="AX8" s="962" t="s">
        <v>7</v>
      </c>
      <c r="AY8" s="962"/>
      <c r="AZ8" s="962"/>
      <c r="BA8" s="962"/>
      <c r="BB8" s="962"/>
      <c r="BC8" s="962"/>
      <c r="BD8" s="962"/>
      <c r="BE8" s="962"/>
      <c r="BF8" s="962"/>
      <c r="BG8" s="962"/>
      <c r="BH8" s="962"/>
      <c r="BI8" s="962"/>
      <c r="BJ8" s="962"/>
      <c r="BK8" s="962"/>
      <c r="BL8" s="962"/>
      <c r="BM8" s="206"/>
      <c r="BN8" s="962" t="s">
        <v>108</v>
      </c>
      <c r="BO8" s="962"/>
      <c r="BP8" s="962"/>
      <c r="BQ8" s="962"/>
      <c r="BR8" s="962"/>
      <c r="BS8" s="962"/>
      <c r="BT8" s="962"/>
      <c r="BU8" s="962"/>
      <c r="BV8" s="962"/>
      <c r="BW8" s="962"/>
      <c r="BX8" s="962"/>
      <c r="BY8" s="962"/>
      <c r="BZ8" s="962"/>
      <c r="CA8" s="962"/>
      <c r="CB8" s="962"/>
    </row>
    <row r="9" spans="1:80" s="200" customFormat="1" ht="8.1" customHeight="1" x14ac:dyDescent="0.25">
      <c r="B9" s="959"/>
      <c r="C9" s="959"/>
      <c r="D9" s="959"/>
      <c r="F9" s="958"/>
      <c r="G9" s="958"/>
      <c r="H9" s="958"/>
      <c r="I9" s="958"/>
      <c r="J9" s="958"/>
      <c r="K9" s="958"/>
      <c r="L9" s="958"/>
      <c r="M9" s="958"/>
      <c r="N9" s="958"/>
      <c r="O9" s="958"/>
      <c r="P9" s="958"/>
      <c r="Q9" s="958"/>
      <c r="R9" s="958"/>
      <c r="S9" s="958"/>
      <c r="T9" s="958"/>
      <c r="U9" s="958"/>
      <c r="V9" s="958"/>
      <c r="W9" s="958"/>
      <c r="X9" s="958"/>
      <c r="Y9" s="958"/>
      <c r="Z9" s="958"/>
      <c r="AA9" s="958"/>
      <c r="AB9" s="958"/>
      <c r="AC9" s="958"/>
      <c r="AD9" s="958"/>
      <c r="AE9" s="958"/>
      <c r="AF9" s="958"/>
      <c r="AG9" s="958"/>
      <c r="AH9" s="958"/>
      <c r="AI9" s="958"/>
      <c r="AJ9" s="958"/>
      <c r="AK9" s="958"/>
      <c r="AL9" s="958"/>
      <c r="AM9" s="958"/>
      <c r="AN9" s="958"/>
      <c r="AO9" s="958"/>
      <c r="AP9" s="958"/>
      <c r="AQ9" s="958"/>
      <c r="AR9" s="958"/>
      <c r="AS9" s="958"/>
      <c r="AT9" s="958"/>
      <c r="AU9" s="958"/>
      <c r="AV9" s="958"/>
      <c r="AX9" s="963"/>
      <c r="AY9" s="963"/>
      <c r="AZ9" s="963"/>
      <c r="BA9" s="963"/>
      <c r="BB9" s="963"/>
      <c r="BC9" s="963"/>
      <c r="BD9" s="963"/>
      <c r="BE9" s="963"/>
      <c r="BF9" s="963"/>
      <c r="BG9" s="963"/>
      <c r="BH9" s="963"/>
      <c r="BI9" s="963"/>
      <c r="BJ9" s="963"/>
      <c r="BK9" s="963"/>
      <c r="BL9" s="963"/>
      <c r="BN9" s="963"/>
      <c r="BO9" s="963"/>
      <c r="BP9" s="963"/>
      <c r="BQ9" s="963"/>
      <c r="BR9" s="963"/>
      <c r="BS9" s="963"/>
      <c r="BT9" s="963"/>
      <c r="BU9" s="963"/>
      <c r="BV9" s="963"/>
      <c r="BW9" s="963"/>
      <c r="BX9" s="963"/>
      <c r="BY9" s="963"/>
      <c r="BZ9" s="963"/>
      <c r="CA9" s="963"/>
      <c r="CB9" s="963"/>
    </row>
    <row r="11" spans="1:80" ht="8.1" customHeight="1" x14ac:dyDescent="0.25">
      <c r="A11" s="207"/>
      <c r="B11" s="944" t="s">
        <v>18</v>
      </c>
      <c r="C11" s="945"/>
      <c r="D11" s="945"/>
      <c r="E11" s="945"/>
      <c r="F11" s="945"/>
      <c r="G11" s="945"/>
      <c r="H11" s="945"/>
      <c r="I11" s="945"/>
      <c r="J11" s="945"/>
      <c r="K11" s="945"/>
      <c r="L11" s="945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V11" s="792" t="s">
        <v>34</v>
      </c>
      <c r="AW11" s="792"/>
      <c r="AX11" s="792"/>
      <c r="AY11" s="792"/>
      <c r="AZ11" s="792"/>
      <c r="BA11" s="792"/>
      <c r="BB11" s="792"/>
      <c r="BC11" s="792"/>
      <c r="BD11" s="792"/>
      <c r="BE11" s="792"/>
      <c r="BF11" s="792"/>
      <c r="BG11" s="792"/>
      <c r="BH11" s="792"/>
      <c r="BI11" s="792"/>
      <c r="BJ11" s="792"/>
      <c r="BK11" s="792"/>
      <c r="BL11" s="208"/>
      <c r="BM11" s="792" t="s">
        <v>69</v>
      </c>
      <c r="BN11" s="792"/>
      <c r="BO11" s="792"/>
      <c r="BP11" s="792"/>
      <c r="BQ11" s="792"/>
      <c r="BR11" s="792"/>
      <c r="BS11" s="792"/>
      <c r="BT11" s="792"/>
      <c r="BU11" s="792"/>
      <c r="BV11" s="792"/>
      <c r="BW11" s="792"/>
      <c r="BX11" s="792"/>
      <c r="BY11" s="792"/>
      <c r="BZ11" s="792"/>
      <c r="CA11" s="792"/>
      <c r="CB11" s="792"/>
    </row>
    <row r="12" spans="1:80" ht="8.1" customHeight="1" x14ac:dyDescent="0.25">
      <c r="A12" s="207"/>
      <c r="B12" s="946"/>
      <c r="C12" s="946"/>
      <c r="D12" s="946"/>
      <c r="E12" s="946"/>
      <c r="F12" s="946"/>
      <c r="G12" s="946"/>
      <c r="H12" s="946"/>
      <c r="I12" s="946"/>
      <c r="J12" s="946"/>
      <c r="K12" s="946"/>
      <c r="L12" s="946"/>
      <c r="M12" s="994" t="s">
        <v>27</v>
      </c>
      <c r="N12" s="994"/>
      <c r="O12" s="994"/>
      <c r="P12" s="994"/>
      <c r="Q12" s="994"/>
      <c r="R12" s="994"/>
      <c r="S12" s="994"/>
      <c r="T12" s="994"/>
      <c r="U12" s="994"/>
      <c r="V12" s="994"/>
      <c r="W12" s="994"/>
      <c r="X12" s="994"/>
      <c r="Y12" s="994"/>
      <c r="Z12" s="809" t="s">
        <v>105</v>
      </c>
      <c r="AA12" s="809"/>
      <c r="AB12" s="209"/>
      <c r="AC12" s="809" t="s">
        <v>61</v>
      </c>
      <c r="AD12" s="809"/>
      <c r="AE12" s="209"/>
      <c r="AF12" s="809" t="s">
        <v>23</v>
      </c>
      <c r="AG12" s="809"/>
      <c r="AH12" s="209"/>
      <c r="AI12" s="809" t="s">
        <v>24</v>
      </c>
      <c r="AJ12" s="809"/>
      <c r="AK12" s="209"/>
      <c r="AL12" s="809" t="s">
        <v>495</v>
      </c>
      <c r="AM12" s="809"/>
      <c r="AN12" s="209"/>
      <c r="AO12" s="809" t="s">
        <v>76</v>
      </c>
      <c r="AP12" s="809"/>
      <c r="AQ12" s="809" t="s">
        <v>63</v>
      </c>
      <c r="AR12" s="809"/>
      <c r="AS12" s="809"/>
      <c r="AT12" s="809"/>
      <c r="AV12" s="792"/>
      <c r="AW12" s="792"/>
      <c r="AX12" s="792"/>
      <c r="AY12" s="792"/>
      <c r="AZ12" s="792"/>
      <c r="BA12" s="792"/>
      <c r="BB12" s="792"/>
      <c r="BC12" s="792"/>
      <c r="BD12" s="792"/>
      <c r="BE12" s="792"/>
      <c r="BF12" s="792"/>
      <c r="BG12" s="792"/>
      <c r="BH12" s="792"/>
      <c r="BI12" s="792"/>
      <c r="BJ12" s="792"/>
      <c r="BK12" s="792"/>
      <c r="BL12" s="208"/>
      <c r="BM12" s="792"/>
      <c r="BN12" s="792"/>
      <c r="BO12" s="792"/>
      <c r="BP12" s="792"/>
      <c r="BQ12" s="792"/>
      <c r="BR12" s="792"/>
      <c r="BS12" s="792"/>
      <c r="BT12" s="792"/>
      <c r="BU12" s="792"/>
      <c r="BV12" s="792"/>
      <c r="BW12" s="792"/>
      <c r="BX12" s="792"/>
      <c r="BY12" s="792"/>
      <c r="BZ12" s="792"/>
      <c r="CA12" s="792"/>
      <c r="CB12" s="792"/>
    </row>
    <row r="13" spans="1:80" ht="8.1" customHeight="1" thickBot="1" x14ac:dyDescent="0.3">
      <c r="A13" s="207"/>
      <c r="B13" s="207"/>
      <c r="C13" s="207"/>
      <c r="D13" s="207"/>
      <c r="E13" s="207"/>
      <c r="F13" s="809" t="s">
        <v>16</v>
      </c>
      <c r="G13" s="809"/>
      <c r="H13" s="809"/>
      <c r="I13" s="210"/>
      <c r="J13" s="809" t="s">
        <v>17</v>
      </c>
      <c r="K13" s="809"/>
      <c r="L13" s="809"/>
      <c r="M13" s="994"/>
      <c r="N13" s="994"/>
      <c r="O13" s="994"/>
      <c r="P13" s="994"/>
      <c r="Q13" s="994"/>
      <c r="R13" s="994"/>
      <c r="S13" s="994"/>
      <c r="T13" s="994"/>
      <c r="U13" s="994"/>
      <c r="V13" s="994"/>
      <c r="W13" s="994"/>
      <c r="X13" s="994"/>
      <c r="Y13" s="994"/>
      <c r="Z13" s="928"/>
      <c r="AA13" s="928"/>
      <c r="AB13" s="209"/>
      <c r="AC13" s="928"/>
      <c r="AD13" s="928"/>
      <c r="AE13" s="209"/>
      <c r="AF13" s="928"/>
      <c r="AG13" s="928"/>
      <c r="AH13" s="209"/>
      <c r="AI13" s="928"/>
      <c r="AJ13" s="928"/>
      <c r="AK13" s="209"/>
      <c r="AL13" s="928"/>
      <c r="AM13" s="928"/>
      <c r="AN13" s="209"/>
      <c r="AO13" s="928"/>
      <c r="AP13" s="928"/>
      <c r="AQ13" s="809"/>
      <c r="AR13" s="809"/>
      <c r="AS13" s="809"/>
      <c r="AT13" s="809"/>
      <c r="AV13" s="793"/>
      <c r="AW13" s="794"/>
      <c r="AX13" s="794"/>
      <c r="AY13" s="794"/>
      <c r="AZ13" s="794"/>
      <c r="BA13" s="794"/>
      <c r="BB13" s="794"/>
      <c r="BC13" s="794"/>
      <c r="BD13" s="794"/>
      <c r="BE13" s="794"/>
      <c r="BF13" s="794"/>
      <c r="BG13" s="794"/>
      <c r="BH13" s="794"/>
      <c r="BI13" s="794"/>
      <c r="BJ13" s="794"/>
      <c r="BK13" s="795"/>
      <c r="BM13" s="793"/>
      <c r="BN13" s="794"/>
      <c r="BO13" s="794"/>
      <c r="BP13" s="794"/>
      <c r="BQ13" s="794"/>
      <c r="BR13" s="794"/>
      <c r="BS13" s="794"/>
      <c r="BT13" s="794"/>
      <c r="BU13" s="794"/>
      <c r="BV13" s="794"/>
      <c r="BW13" s="794"/>
      <c r="BX13" s="794"/>
      <c r="BY13" s="794"/>
      <c r="BZ13" s="794"/>
      <c r="CA13" s="794"/>
      <c r="CB13" s="795"/>
    </row>
    <row r="14" spans="1:80" ht="8.1" customHeight="1" thickBot="1" x14ac:dyDescent="0.3">
      <c r="A14" s="207"/>
      <c r="B14" s="207"/>
      <c r="C14" s="207"/>
      <c r="D14" s="207"/>
      <c r="E14" s="207"/>
      <c r="F14" s="809"/>
      <c r="G14" s="809"/>
      <c r="H14" s="809"/>
      <c r="I14" s="210"/>
      <c r="J14" s="809"/>
      <c r="K14" s="809"/>
      <c r="L14" s="809"/>
      <c r="M14" s="207"/>
      <c r="N14" s="207"/>
      <c r="O14" s="995" t="s">
        <v>19</v>
      </c>
      <c r="P14" s="996"/>
      <c r="Q14" s="996"/>
      <c r="R14" s="997"/>
      <c r="S14" s="1001">
        <f>10+MEIO.NÍVEL+AC14+AF14+AI14+AL14+AO14+AR14</f>
        <v>10</v>
      </c>
      <c r="T14" s="1001"/>
      <c r="U14" s="1001"/>
      <c r="V14" s="1002"/>
      <c r="W14" s="893" t="s">
        <v>493</v>
      </c>
      <c r="X14" s="893"/>
      <c r="Y14" s="894"/>
      <c r="Z14" s="887">
        <f>ROUNDDOWN(NÍVEL/2,0)</f>
        <v>0</v>
      </c>
      <c r="AA14" s="888"/>
      <c r="AB14" s="895" t="s">
        <v>21</v>
      </c>
      <c r="AC14" s="887">
        <f>IF(mod.Des&gt;máx.Des,máx.Des,mod.Des)</f>
        <v>0</v>
      </c>
      <c r="AD14" s="888"/>
      <c r="AE14" s="895" t="s">
        <v>21</v>
      </c>
      <c r="AF14" s="887">
        <f>Q70</f>
        <v>0</v>
      </c>
      <c r="AG14" s="888"/>
      <c r="AH14" s="895" t="s">
        <v>21</v>
      </c>
      <c r="AI14" s="887">
        <f>Q72</f>
        <v>0</v>
      </c>
      <c r="AJ14" s="888"/>
      <c r="AK14" s="895" t="s">
        <v>21</v>
      </c>
      <c r="AL14" s="887">
        <f>VLOOKUP(TAMANHO,TABELA.tamanho,2,FALSE)</f>
        <v>0</v>
      </c>
      <c r="AM14" s="888"/>
      <c r="AN14" s="895" t="s">
        <v>21</v>
      </c>
      <c r="AO14" s="887">
        <f>Q76+Q78</f>
        <v>0</v>
      </c>
      <c r="AP14" s="888"/>
      <c r="AQ14" s="895" t="s">
        <v>21</v>
      </c>
      <c r="AR14" s="889"/>
      <c r="AS14" s="890"/>
      <c r="AT14" s="207"/>
      <c r="AV14" s="796"/>
      <c r="AW14" s="797"/>
      <c r="AX14" s="797"/>
      <c r="AY14" s="797"/>
      <c r="AZ14" s="797"/>
      <c r="BA14" s="797"/>
      <c r="BB14" s="797"/>
      <c r="BC14" s="797"/>
      <c r="BD14" s="797"/>
      <c r="BE14" s="797"/>
      <c r="BF14" s="797"/>
      <c r="BG14" s="797"/>
      <c r="BH14" s="797"/>
      <c r="BI14" s="797"/>
      <c r="BJ14" s="797"/>
      <c r="BK14" s="798"/>
      <c r="BM14" s="796"/>
      <c r="BN14" s="797"/>
      <c r="BO14" s="797"/>
      <c r="BP14" s="797"/>
      <c r="BQ14" s="797"/>
      <c r="BR14" s="797"/>
      <c r="BS14" s="797"/>
      <c r="BT14" s="797"/>
      <c r="BU14" s="797"/>
      <c r="BV14" s="797"/>
      <c r="BW14" s="797"/>
      <c r="BX14" s="797"/>
      <c r="BY14" s="797"/>
      <c r="BZ14" s="797"/>
      <c r="CA14" s="797"/>
      <c r="CB14" s="798"/>
    </row>
    <row r="15" spans="1:80" ht="8.1" customHeight="1" thickBot="1" x14ac:dyDescent="0.3">
      <c r="A15" s="207"/>
      <c r="B15" s="933" t="s">
        <v>10</v>
      </c>
      <c r="C15" s="934"/>
      <c r="D15" s="934"/>
      <c r="E15" s="935"/>
      <c r="F15" s="947">
        <f>FORÇA.p</f>
        <v>10</v>
      </c>
      <c r="G15" s="948"/>
      <c r="H15" s="949"/>
      <c r="I15" s="211"/>
      <c r="J15" s="950">
        <f>IF(FORÇA.p&lt;10,ROUNDDOWN((FORÇA.p-10)/2,1),ROUNDDOWN((FORÇA.p-10)/2,0))</f>
        <v>0</v>
      </c>
      <c r="K15" s="951"/>
      <c r="L15" s="952"/>
      <c r="M15" s="207"/>
      <c r="N15" s="207"/>
      <c r="O15" s="998"/>
      <c r="P15" s="999"/>
      <c r="Q15" s="999"/>
      <c r="R15" s="1000"/>
      <c r="S15" s="1003"/>
      <c r="T15" s="1003"/>
      <c r="U15" s="1003"/>
      <c r="V15" s="1004"/>
      <c r="W15" s="893"/>
      <c r="X15" s="893"/>
      <c r="Y15" s="894"/>
      <c r="Z15" s="821"/>
      <c r="AA15" s="822"/>
      <c r="AB15" s="895"/>
      <c r="AC15" s="821"/>
      <c r="AD15" s="822"/>
      <c r="AE15" s="895"/>
      <c r="AF15" s="821"/>
      <c r="AG15" s="822"/>
      <c r="AH15" s="895"/>
      <c r="AI15" s="821"/>
      <c r="AJ15" s="822"/>
      <c r="AK15" s="895"/>
      <c r="AL15" s="821"/>
      <c r="AM15" s="822"/>
      <c r="AN15" s="895"/>
      <c r="AO15" s="821"/>
      <c r="AP15" s="822"/>
      <c r="AQ15" s="895"/>
      <c r="AR15" s="891"/>
      <c r="AS15" s="892"/>
      <c r="AT15" s="207"/>
    </row>
    <row r="16" spans="1:80" ht="8.1" customHeight="1" x14ac:dyDescent="0.25">
      <c r="A16" s="207"/>
      <c r="B16" s="856"/>
      <c r="C16" s="857"/>
      <c r="D16" s="857"/>
      <c r="E16" s="858"/>
      <c r="F16" s="862"/>
      <c r="G16" s="863"/>
      <c r="H16" s="864"/>
      <c r="I16" s="211"/>
      <c r="J16" s="953"/>
      <c r="K16" s="954"/>
      <c r="L16" s="955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11"/>
      <c r="AI16" s="207"/>
      <c r="AJ16" s="207"/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V16" s="977">
        <f>pericias.de.classe+mod.Int</f>
        <v>0</v>
      </c>
      <c r="AW16" s="978"/>
      <c r="AX16" s="735" t="s">
        <v>37</v>
      </c>
      <c r="AY16" s="736"/>
      <c r="AZ16" s="736"/>
      <c r="BA16" s="736"/>
      <c r="BB16" s="736"/>
      <c r="BC16" s="736"/>
      <c r="BD16" s="736"/>
      <c r="BE16" s="734" t="str">
        <f>IF(pericia.multiclasse.total=0,"",IF(pericia.multiclasse.total=1,CONCATENATE("+1 perícia de ",pericia.1.multiclasse),CONCATENATE("+",pericia.multiclasse.total," perícias multiclasse")))</f>
        <v/>
      </c>
      <c r="BF16" s="734"/>
      <c r="BG16" s="734"/>
      <c r="BH16" s="734"/>
      <c r="BI16" s="734"/>
      <c r="BJ16" s="734"/>
      <c r="BK16" s="734"/>
      <c r="BL16" s="734"/>
      <c r="BM16" s="968" t="s">
        <v>38</v>
      </c>
      <c r="BN16" s="968"/>
      <c r="BO16" s="968"/>
      <c r="BP16" s="968"/>
      <c r="BQ16" s="968"/>
      <c r="BR16" s="968" t="s">
        <v>39</v>
      </c>
      <c r="BS16" s="968"/>
      <c r="BT16" s="212"/>
      <c r="BU16" s="968" t="s">
        <v>22</v>
      </c>
      <c r="BV16" s="968"/>
      <c r="BW16" s="968" t="s">
        <v>63</v>
      </c>
      <c r="BX16" s="968"/>
      <c r="BY16" s="968"/>
      <c r="BZ16" s="968"/>
      <c r="CA16" s="968" t="s">
        <v>210</v>
      </c>
      <c r="CB16" s="968"/>
    </row>
    <row r="17" spans="1:80" ht="8.1" customHeight="1" thickBot="1" x14ac:dyDescent="0.3">
      <c r="A17" s="207"/>
      <c r="B17" s="856" t="s">
        <v>11</v>
      </c>
      <c r="C17" s="857"/>
      <c r="D17" s="857"/>
      <c r="E17" s="858"/>
      <c r="F17" s="862">
        <f>DESTREZA.p</f>
        <v>10</v>
      </c>
      <c r="G17" s="863"/>
      <c r="H17" s="864"/>
      <c r="I17" s="211"/>
      <c r="J17" s="868">
        <f>IF(DESTREZA&lt;10,ROUNDDOWN((DESTREZA-10)/2,1),ROUNDDOWN((DESTREZA-10)/2,0))</f>
        <v>0</v>
      </c>
      <c r="K17" s="869"/>
      <c r="L17" s="870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V17" s="979"/>
      <c r="AW17" s="980"/>
      <c r="AX17" s="737"/>
      <c r="AY17" s="738"/>
      <c r="AZ17" s="738"/>
      <c r="BA17" s="738"/>
      <c r="BB17" s="738"/>
      <c r="BC17" s="738"/>
      <c r="BD17" s="738"/>
      <c r="BE17" s="733" t="str">
        <f>IF(RAÇA.p="humano","+2 perícias à sua escolha",IF(OR(RAÇA.p="meio-elfo",RAÇA.p="meio-elfo-do-mar",RAÇA.p="moreau"),"+1 perícia à sua escolha",IF(RAÇA.p="minauro","+1 perícia à sua escolha?","")))</f>
        <v/>
      </c>
      <c r="BF17" s="733"/>
      <c r="BG17" s="733"/>
      <c r="BH17" s="733"/>
      <c r="BI17" s="733"/>
      <c r="BJ17" s="733"/>
      <c r="BK17" s="733"/>
      <c r="BL17" s="733"/>
      <c r="BM17" s="968"/>
      <c r="BN17" s="968"/>
      <c r="BO17" s="968"/>
      <c r="BP17" s="968"/>
      <c r="BQ17" s="968"/>
      <c r="BR17" s="968"/>
      <c r="BS17" s="968"/>
      <c r="BT17" s="212"/>
      <c r="BU17" s="968"/>
      <c r="BV17" s="968"/>
      <c r="BW17" s="968"/>
      <c r="BX17" s="968"/>
      <c r="BY17" s="968"/>
      <c r="BZ17" s="968"/>
      <c r="CA17" s="968"/>
      <c r="CB17" s="968"/>
    </row>
    <row r="18" spans="1:80" ht="8.1" customHeight="1" x14ac:dyDescent="0.25">
      <c r="A18" s="207"/>
      <c r="B18" s="856"/>
      <c r="C18" s="857"/>
      <c r="D18" s="857"/>
      <c r="E18" s="858"/>
      <c r="F18" s="862"/>
      <c r="G18" s="863"/>
      <c r="H18" s="864"/>
      <c r="I18" s="211"/>
      <c r="J18" s="871"/>
      <c r="K18" s="872"/>
      <c r="L18" s="873"/>
      <c r="M18" s="207"/>
      <c r="N18" s="207"/>
      <c r="O18" s="897" t="s">
        <v>496</v>
      </c>
      <c r="P18" s="897"/>
      <c r="Q18" s="897"/>
      <c r="R18" s="897"/>
      <c r="S18" s="897"/>
      <c r="T18" s="897"/>
      <c r="U18" s="897"/>
      <c r="V18" s="897"/>
      <c r="W18" s="897"/>
      <c r="X18" s="897"/>
      <c r="Y18" s="897"/>
      <c r="Z18" s="897"/>
      <c r="AA18" s="897"/>
      <c r="AB18" s="213"/>
      <c r="AC18" s="213"/>
      <c r="AD18" s="896" t="s">
        <v>28</v>
      </c>
      <c r="AE18" s="896"/>
      <c r="AF18" s="896"/>
      <c r="AG18" s="896"/>
      <c r="AH18" s="896"/>
      <c r="AI18" s="896"/>
      <c r="AJ18" s="896"/>
      <c r="AK18" s="896"/>
      <c r="AL18" s="809" t="s">
        <v>105</v>
      </c>
      <c r="AM18" s="809"/>
      <c r="AN18" s="210"/>
      <c r="AO18" s="809" t="s">
        <v>22</v>
      </c>
      <c r="AP18" s="809"/>
      <c r="AQ18" s="809" t="s">
        <v>1069</v>
      </c>
      <c r="AR18" s="809"/>
      <c r="AS18" s="809"/>
      <c r="AT18" s="809"/>
      <c r="AV18" s="710"/>
      <c r="AW18" s="710"/>
      <c r="AX18" s="721" t="s">
        <v>40</v>
      </c>
      <c r="AY18" s="721"/>
      <c r="AZ18" s="721"/>
      <c r="BA18" s="721"/>
      <c r="BB18" s="721"/>
      <c r="BC18" s="721"/>
      <c r="BD18" s="721"/>
      <c r="BE18" s="721"/>
      <c r="BF18" s="721"/>
      <c r="BG18" s="721"/>
      <c r="BH18" s="721"/>
      <c r="BI18" s="721"/>
      <c r="BJ18" s="721"/>
      <c r="BK18" s="721"/>
      <c r="BL18" s="721"/>
      <c r="BM18" s="721"/>
      <c r="BN18" s="969">
        <f>BR18+BU18+BX18+CA18</f>
        <v>0</v>
      </c>
      <c r="BO18" s="970"/>
      <c r="BP18" s="971"/>
      <c r="BQ18" s="728" t="s">
        <v>20</v>
      </c>
      <c r="BR18" s="729">
        <f>IF(Engine!AF4,NÍVEL+3,MEIO.NÍVEL)</f>
        <v>0</v>
      </c>
      <c r="BS18" s="729"/>
      <c r="BT18" s="728" t="s">
        <v>21</v>
      </c>
      <c r="BU18" s="729">
        <f>mod.Des</f>
        <v>0</v>
      </c>
      <c r="BV18" s="729"/>
      <c r="BW18" s="728" t="s">
        <v>21</v>
      </c>
      <c r="BX18" s="975"/>
      <c r="BY18" s="975"/>
      <c r="BZ18" s="728" t="s">
        <v>21</v>
      </c>
      <c r="CA18" s="729">
        <f>penalidade.armadura+penalidade.escudo+penalidade.carga</f>
        <v>0</v>
      </c>
      <c r="CB18" s="729"/>
    </row>
    <row r="19" spans="1:80" ht="8.1" customHeight="1" thickBot="1" x14ac:dyDescent="0.3">
      <c r="A19" s="207"/>
      <c r="B19" s="856" t="s">
        <v>12</v>
      </c>
      <c r="C19" s="857"/>
      <c r="D19" s="857"/>
      <c r="E19" s="858"/>
      <c r="F19" s="862">
        <f>CONSTITUIÇÃO.p</f>
        <v>10</v>
      </c>
      <c r="G19" s="863"/>
      <c r="H19" s="864"/>
      <c r="I19" s="211"/>
      <c r="J19" s="868">
        <f>IF(CONSTITUIÇÃO.p="X","–",IF(CONSTITUIÇÃO&lt;10,ROUNDDOWN((CONSTITUIÇÃO-10)/2,1),ROUNDDOWN((CONSTITUIÇÃO-10)/2,0)))</f>
        <v>0</v>
      </c>
      <c r="K19" s="869"/>
      <c r="L19" s="870"/>
      <c r="M19" s="207"/>
      <c r="N19" s="207"/>
      <c r="O19" s="897"/>
      <c r="P19" s="897"/>
      <c r="Q19" s="897"/>
      <c r="R19" s="897"/>
      <c r="S19" s="897"/>
      <c r="T19" s="897"/>
      <c r="U19" s="897"/>
      <c r="V19" s="897"/>
      <c r="W19" s="897"/>
      <c r="X19" s="897"/>
      <c r="Y19" s="897"/>
      <c r="Z19" s="897"/>
      <c r="AA19" s="897"/>
      <c r="AB19" s="213"/>
      <c r="AC19" s="213"/>
      <c r="AD19" s="896"/>
      <c r="AE19" s="896"/>
      <c r="AF19" s="896"/>
      <c r="AG19" s="896"/>
      <c r="AH19" s="896"/>
      <c r="AI19" s="896"/>
      <c r="AJ19" s="896"/>
      <c r="AK19" s="896"/>
      <c r="AL19" s="928"/>
      <c r="AM19" s="928"/>
      <c r="AN19" s="210"/>
      <c r="AO19" s="928"/>
      <c r="AP19" s="928"/>
      <c r="AQ19" s="809"/>
      <c r="AR19" s="809"/>
      <c r="AS19" s="809"/>
      <c r="AT19" s="809"/>
      <c r="AV19" s="710"/>
      <c r="AW19" s="710"/>
      <c r="AX19" s="721"/>
      <c r="AY19" s="721"/>
      <c r="AZ19" s="721"/>
      <c r="BA19" s="721"/>
      <c r="BB19" s="721"/>
      <c r="BC19" s="721"/>
      <c r="BD19" s="721"/>
      <c r="BE19" s="721"/>
      <c r="BF19" s="721"/>
      <c r="BG19" s="721"/>
      <c r="BH19" s="721"/>
      <c r="BI19" s="721"/>
      <c r="BJ19" s="721"/>
      <c r="BK19" s="721"/>
      <c r="BL19" s="721"/>
      <c r="BM19" s="721"/>
      <c r="BN19" s="972"/>
      <c r="BO19" s="973"/>
      <c r="BP19" s="974"/>
      <c r="BQ19" s="728"/>
      <c r="BR19" s="729"/>
      <c r="BS19" s="729"/>
      <c r="BT19" s="728"/>
      <c r="BU19" s="729"/>
      <c r="BV19" s="729"/>
      <c r="BW19" s="728"/>
      <c r="BX19" s="976"/>
      <c r="BY19" s="976"/>
      <c r="BZ19" s="728"/>
      <c r="CA19" s="729"/>
      <c r="CB19" s="729"/>
    </row>
    <row r="20" spans="1:80" ht="8.1" customHeight="1" x14ac:dyDescent="0.25">
      <c r="A20" s="207"/>
      <c r="B20" s="856"/>
      <c r="C20" s="857"/>
      <c r="D20" s="857"/>
      <c r="E20" s="858"/>
      <c r="F20" s="862"/>
      <c r="G20" s="863"/>
      <c r="H20" s="864"/>
      <c r="I20" s="211"/>
      <c r="J20" s="871"/>
      <c r="K20" s="872"/>
      <c r="L20" s="873"/>
      <c r="M20" s="207"/>
      <c r="N20" s="207"/>
      <c r="O20" s="903">
        <f>PV.total.p</f>
        <v>0</v>
      </c>
      <c r="P20" s="904"/>
      <c r="Q20" s="904"/>
      <c r="R20" s="905"/>
      <c r="S20" s="207"/>
      <c r="T20" s="912"/>
      <c r="U20" s="913"/>
      <c r="V20" s="913"/>
      <c r="W20" s="913"/>
      <c r="X20" s="918"/>
      <c r="Y20" s="918"/>
      <c r="Z20" s="918"/>
      <c r="AA20" s="919"/>
      <c r="AB20" s="207"/>
      <c r="AC20" s="207"/>
      <c r="AD20" s="933" t="s">
        <v>26</v>
      </c>
      <c r="AE20" s="934"/>
      <c r="AF20" s="934"/>
      <c r="AG20" s="935"/>
      <c r="AH20" s="936">
        <f>AL20+AO20+AR20</f>
        <v>0</v>
      </c>
      <c r="AI20" s="936"/>
      <c r="AJ20" s="937"/>
      <c r="AK20" s="925" t="s">
        <v>20</v>
      </c>
      <c r="AL20" s="929">
        <f>MEIO.NÍVEL</f>
        <v>0</v>
      </c>
      <c r="AM20" s="930"/>
      <c r="AN20" s="895" t="s">
        <v>21</v>
      </c>
      <c r="AO20" s="929">
        <f>IF(mod.Con="–",0,mod.Con)</f>
        <v>0</v>
      </c>
      <c r="AP20" s="930"/>
      <c r="AQ20" s="895" t="s">
        <v>21</v>
      </c>
      <c r="AR20" s="929">
        <f>bonus.classe.Fort+bonus.outros.Fort+bonus.raça.Fort</f>
        <v>0</v>
      </c>
      <c r="AS20" s="930"/>
      <c r="AT20" s="207"/>
      <c r="AV20" s="714"/>
      <c r="AW20" s="714"/>
      <c r="AX20" s="730" t="s">
        <v>485</v>
      </c>
      <c r="AY20" s="730"/>
      <c r="AZ20" s="730"/>
      <c r="BA20" s="730"/>
      <c r="BB20" s="730"/>
      <c r="BC20" s="730"/>
      <c r="BD20" s="730"/>
      <c r="BE20" s="730"/>
      <c r="BF20" s="730"/>
      <c r="BG20" s="730"/>
      <c r="BH20" s="730"/>
      <c r="BI20" s="730"/>
      <c r="BJ20" s="730"/>
      <c r="BK20" s="730"/>
      <c r="BL20" s="730"/>
      <c r="BM20" s="730"/>
      <c r="BN20" s="715" t="str">
        <f>IF(Engine!AF5,BR20+BU20+BX20+CA20,"X")</f>
        <v>X</v>
      </c>
      <c r="BO20" s="716"/>
      <c r="BP20" s="717"/>
      <c r="BQ20" s="712" t="s">
        <v>20</v>
      </c>
      <c r="BR20" s="711">
        <f>IF(Engine!AF5,NÍVEL+3,MEIO.NÍVEL)</f>
        <v>0</v>
      </c>
      <c r="BS20" s="711"/>
      <c r="BT20" s="712" t="s">
        <v>21</v>
      </c>
      <c r="BU20" s="711">
        <f>mod.Car</f>
        <v>1</v>
      </c>
      <c r="BV20" s="711"/>
      <c r="BW20" s="712" t="s">
        <v>21</v>
      </c>
      <c r="BX20" s="713"/>
      <c r="BY20" s="713"/>
      <c r="BZ20" s="712" t="s">
        <v>21</v>
      </c>
      <c r="CA20" s="711"/>
      <c r="CB20" s="711"/>
    </row>
    <row r="21" spans="1:80" ht="8.1" customHeight="1" x14ac:dyDescent="0.25">
      <c r="A21" s="207"/>
      <c r="B21" s="856" t="s">
        <v>13</v>
      </c>
      <c r="C21" s="857"/>
      <c r="D21" s="857"/>
      <c r="E21" s="858"/>
      <c r="F21" s="862">
        <f>INTELIGÊNCIA.p</f>
        <v>10</v>
      </c>
      <c r="G21" s="863"/>
      <c r="H21" s="864"/>
      <c r="I21" s="211"/>
      <c r="J21" s="868">
        <f>IF(INTELIGÊNCIA&lt;10,ROUNDDOWN((INTELIGÊNCIA-10)/2,1),ROUNDDOWN((INTELIGÊNCIA-10)/2,0))</f>
        <v>0</v>
      </c>
      <c r="K21" s="869"/>
      <c r="L21" s="870"/>
      <c r="M21" s="207"/>
      <c r="N21" s="207"/>
      <c r="O21" s="906"/>
      <c r="P21" s="907"/>
      <c r="Q21" s="907"/>
      <c r="R21" s="908"/>
      <c r="S21" s="207"/>
      <c r="T21" s="914"/>
      <c r="U21" s="915"/>
      <c r="V21" s="915"/>
      <c r="W21" s="915"/>
      <c r="X21" s="920"/>
      <c r="Y21" s="920"/>
      <c r="Z21" s="920"/>
      <c r="AA21" s="921"/>
      <c r="AB21" s="207"/>
      <c r="AC21" s="207"/>
      <c r="AD21" s="856"/>
      <c r="AE21" s="857"/>
      <c r="AF21" s="857"/>
      <c r="AG21" s="858"/>
      <c r="AH21" s="938"/>
      <c r="AI21" s="938"/>
      <c r="AJ21" s="939"/>
      <c r="AK21" s="925"/>
      <c r="AL21" s="931"/>
      <c r="AM21" s="932"/>
      <c r="AN21" s="895"/>
      <c r="AO21" s="931"/>
      <c r="AP21" s="932"/>
      <c r="AQ21" s="895"/>
      <c r="AR21" s="931"/>
      <c r="AS21" s="932"/>
      <c r="AT21" s="207"/>
      <c r="AV21" s="714"/>
      <c r="AW21" s="714"/>
      <c r="AX21" s="730"/>
      <c r="AY21" s="730"/>
      <c r="AZ21" s="730"/>
      <c r="BA21" s="730"/>
      <c r="BB21" s="730"/>
      <c r="BC21" s="730"/>
      <c r="BD21" s="730"/>
      <c r="BE21" s="730"/>
      <c r="BF21" s="730"/>
      <c r="BG21" s="730"/>
      <c r="BH21" s="730"/>
      <c r="BI21" s="730"/>
      <c r="BJ21" s="730"/>
      <c r="BK21" s="730"/>
      <c r="BL21" s="730"/>
      <c r="BM21" s="730"/>
      <c r="BN21" s="718"/>
      <c r="BO21" s="719"/>
      <c r="BP21" s="720"/>
      <c r="BQ21" s="712"/>
      <c r="BR21" s="711"/>
      <c r="BS21" s="711"/>
      <c r="BT21" s="712"/>
      <c r="BU21" s="711"/>
      <c r="BV21" s="711"/>
      <c r="BW21" s="712"/>
      <c r="BX21" s="713"/>
      <c r="BY21" s="713"/>
      <c r="BZ21" s="712"/>
      <c r="CA21" s="711"/>
      <c r="CB21" s="711"/>
    </row>
    <row r="22" spans="1:80" ht="8.1" customHeight="1" x14ac:dyDescent="0.25">
      <c r="A22" s="207"/>
      <c r="B22" s="856"/>
      <c r="C22" s="857"/>
      <c r="D22" s="857"/>
      <c r="E22" s="858"/>
      <c r="F22" s="862"/>
      <c r="G22" s="863"/>
      <c r="H22" s="864"/>
      <c r="I22" s="211"/>
      <c r="J22" s="871"/>
      <c r="K22" s="872"/>
      <c r="L22" s="873"/>
      <c r="M22" s="207"/>
      <c r="N22" s="214"/>
      <c r="O22" s="906"/>
      <c r="P22" s="907"/>
      <c r="Q22" s="907"/>
      <c r="R22" s="908"/>
      <c r="S22" s="207"/>
      <c r="T22" s="914"/>
      <c r="U22" s="915"/>
      <c r="V22" s="915"/>
      <c r="W22" s="915"/>
      <c r="X22" s="920"/>
      <c r="Y22" s="920"/>
      <c r="Z22" s="920"/>
      <c r="AA22" s="921"/>
      <c r="AB22" s="207"/>
      <c r="AC22" s="207"/>
      <c r="AD22" s="856" t="s">
        <v>35</v>
      </c>
      <c r="AE22" s="857"/>
      <c r="AF22" s="857"/>
      <c r="AG22" s="858"/>
      <c r="AH22" s="938">
        <f>AL22+AO22+AR22</f>
        <v>0</v>
      </c>
      <c r="AI22" s="938"/>
      <c r="AJ22" s="939"/>
      <c r="AK22" s="925" t="s">
        <v>20</v>
      </c>
      <c r="AL22" s="817">
        <f>MEIO.NÍVEL</f>
        <v>0</v>
      </c>
      <c r="AM22" s="818"/>
      <c r="AN22" s="895" t="s">
        <v>21</v>
      </c>
      <c r="AO22" s="931">
        <f>mod.Des</f>
        <v>0</v>
      </c>
      <c r="AP22" s="932"/>
      <c r="AQ22" s="895" t="s">
        <v>21</v>
      </c>
      <c r="AR22" s="931">
        <f>bonus.classe.Ref+bonus.outros.Ref+bonus.raça.Ref</f>
        <v>0</v>
      </c>
      <c r="AS22" s="932"/>
      <c r="AT22" s="207"/>
      <c r="AV22" s="710"/>
      <c r="AW22" s="710"/>
      <c r="AX22" s="721" t="s">
        <v>41</v>
      </c>
      <c r="AY22" s="721"/>
      <c r="AZ22" s="721"/>
      <c r="BA22" s="721"/>
      <c r="BB22" s="721"/>
      <c r="BC22" s="721"/>
      <c r="BD22" s="721"/>
      <c r="BE22" s="721"/>
      <c r="BF22" s="721"/>
      <c r="BG22" s="721"/>
      <c r="BH22" s="721"/>
      <c r="BI22" s="721"/>
      <c r="BJ22" s="721"/>
      <c r="BK22" s="721"/>
      <c r="BL22" s="721"/>
      <c r="BM22" s="721"/>
      <c r="BN22" s="722">
        <f>BR22+BU22+BX22+CA22</f>
        <v>0</v>
      </c>
      <c r="BO22" s="723"/>
      <c r="BP22" s="724"/>
      <c r="BQ22" s="728" t="s">
        <v>20</v>
      </c>
      <c r="BR22" s="729">
        <f>IF(Engine!AF6,NÍVEL+3,MEIO.NÍVEL)</f>
        <v>0</v>
      </c>
      <c r="BS22" s="729"/>
      <c r="BT22" s="728" t="s">
        <v>21</v>
      </c>
      <c r="BU22" s="729">
        <f>mod.For</f>
        <v>0</v>
      </c>
      <c r="BV22" s="729"/>
      <c r="BW22" s="728" t="s">
        <v>21</v>
      </c>
      <c r="BX22" s="976"/>
      <c r="BY22" s="976"/>
      <c r="BZ22" s="728" t="s">
        <v>21</v>
      </c>
      <c r="CA22" s="729">
        <f>penalidade.armadura+penalidade.escudo+penalidade.carga</f>
        <v>0</v>
      </c>
      <c r="CB22" s="729"/>
    </row>
    <row r="23" spans="1:80" ht="8.1" customHeight="1" thickBot="1" x14ac:dyDescent="0.3">
      <c r="A23" s="207"/>
      <c r="B23" s="856" t="s">
        <v>14</v>
      </c>
      <c r="C23" s="857"/>
      <c r="D23" s="857"/>
      <c r="E23" s="858"/>
      <c r="F23" s="862">
        <f>SABEDORIA.p</f>
        <v>14</v>
      </c>
      <c r="G23" s="863"/>
      <c r="H23" s="864"/>
      <c r="I23" s="211"/>
      <c r="J23" s="868">
        <f>IF(SABEDORIA&lt;10,ROUNDDOWN((SABEDORIA-10)/2,1),ROUNDDOWN((SABEDORIA-10)/2,0))</f>
        <v>2</v>
      </c>
      <c r="K23" s="869"/>
      <c r="L23" s="870"/>
      <c r="M23" s="214"/>
      <c r="N23" s="214"/>
      <c r="O23" s="909"/>
      <c r="P23" s="910"/>
      <c r="Q23" s="910"/>
      <c r="R23" s="911"/>
      <c r="S23" s="207"/>
      <c r="T23" s="916"/>
      <c r="U23" s="917"/>
      <c r="V23" s="917"/>
      <c r="W23" s="917"/>
      <c r="X23" s="922"/>
      <c r="Y23" s="922"/>
      <c r="Z23" s="922"/>
      <c r="AA23" s="923"/>
      <c r="AB23" s="207"/>
      <c r="AC23" s="207"/>
      <c r="AD23" s="856"/>
      <c r="AE23" s="857"/>
      <c r="AF23" s="857"/>
      <c r="AG23" s="858"/>
      <c r="AH23" s="938"/>
      <c r="AI23" s="938"/>
      <c r="AJ23" s="939"/>
      <c r="AK23" s="925"/>
      <c r="AL23" s="819"/>
      <c r="AM23" s="820"/>
      <c r="AN23" s="895"/>
      <c r="AO23" s="931"/>
      <c r="AP23" s="932"/>
      <c r="AQ23" s="895"/>
      <c r="AR23" s="931"/>
      <c r="AS23" s="932"/>
      <c r="AT23" s="207"/>
      <c r="AV23" s="710"/>
      <c r="AW23" s="710"/>
      <c r="AX23" s="721"/>
      <c r="AY23" s="721"/>
      <c r="AZ23" s="721"/>
      <c r="BA23" s="721"/>
      <c r="BB23" s="721"/>
      <c r="BC23" s="721"/>
      <c r="BD23" s="721"/>
      <c r="BE23" s="721"/>
      <c r="BF23" s="721"/>
      <c r="BG23" s="721"/>
      <c r="BH23" s="721"/>
      <c r="BI23" s="721"/>
      <c r="BJ23" s="721"/>
      <c r="BK23" s="721"/>
      <c r="BL23" s="721"/>
      <c r="BM23" s="721"/>
      <c r="BN23" s="725"/>
      <c r="BO23" s="726"/>
      <c r="BP23" s="727"/>
      <c r="BQ23" s="728"/>
      <c r="BR23" s="729"/>
      <c r="BS23" s="729"/>
      <c r="BT23" s="728"/>
      <c r="BU23" s="729"/>
      <c r="BV23" s="729"/>
      <c r="BW23" s="728"/>
      <c r="BX23" s="976"/>
      <c r="BY23" s="976"/>
      <c r="BZ23" s="728"/>
      <c r="CA23" s="729"/>
      <c r="CB23" s="729"/>
    </row>
    <row r="24" spans="1:80" ht="8.1" customHeight="1" x14ac:dyDescent="0.25">
      <c r="A24" s="207"/>
      <c r="B24" s="856"/>
      <c r="C24" s="857"/>
      <c r="D24" s="857"/>
      <c r="E24" s="858"/>
      <c r="F24" s="862"/>
      <c r="G24" s="863"/>
      <c r="H24" s="864"/>
      <c r="I24" s="211"/>
      <c r="J24" s="871"/>
      <c r="K24" s="872"/>
      <c r="L24" s="873"/>
      <c r="M24" s="207"/>
      <c r="N24" s="215"/>
      <c r="O24" s="924" t="s">
        <v>38</v>
      </c>
      <c r="P24" s="924"/>
      <c r="Q24" s="924"/>
      <c r="R24" s="924"/>
      <c r="S24" s="216"/>
      <c r="T24" s="924" t="s">
        <v>56</v>
      </c>
      <c r="U24" s="924"/>
      <c r="V24" s="924"/>
      <c r="W24" s="924"/>
      <c r="X24" s="924" t="s">
        <v>497</v>
      </c>
      <c r="Y24" s="924"/>
      <c r="Z24" s="924"/>
      <c r="AA24" s="924"/>
      <c r="AB24" s="215"/>
      <c r="AC24" s="214"/>
      <c r="AD24" s="856" t="s">
        <v>36</v>
      </c>
      <c r="AE24" s="857"/>
      <c r="AF24" s="857"/>
      <c r="AG24" s="858"/>
      <c r="AH24" s="938">
        <f>AL24+AO24+AR24</f>
        <v>2</v>
      </c>
      <c r="AI24" s="938"/>
      <c r="AJ24" s="939"/>
      <c r="AK24" s="925" t="s">
        <v>20</v>
      </c>
      <c r="AL24" s="817">
        <f>MEIO.NÍVEL</f>
        <v>0</v>
      </c>
      <c r="AM24" s="818"/>
      <c r="AN24" s="895" t="s">
        <v>21</v>
      </c>
      <c r="AO24" s="931">
        <f>mod.Sab</f>
        <v>2</v>
      </c>
      <c r="AP24" s="932"/>
      <c r="AQ24" s="895" t="s">
        <v>21</v>
      </c>
      <c r="AR24" s="931">
        <f>bonus.classe.Von+bonus.outros.Von+bonus.raça.Von</f>
        <v>0</v>
      </c>
      <c r="AS24" s="932"/>
      <c r="AT24" s="207"/>
      <c r="AV24" s="714"/>
      <c r="AW24" s="714"/>
      <c r="AX24" s="730" t="s">
        <v>486</v>
      </c>
      <c r="AY24" s="730"/>
      <c r="AZ24" s="730"/>
      <c r="BA24" s="730"/>
      <c r="BB24" s="987" t="s">
        <v>518</v>
      </c>
      <c r="BC24" s="987"/>
      <c r="BD24" s="987"/>
      <c r="BE24" s="987"/>
      <c r="BF24" s="987"/>
      <c r="BG24" s="987"/>
      <c r="BH24" s="987"/>
      <c r="BI24" s="987"/>
      <c r="BJ24" s="987"/>
      <c r="BK24" s="730" t="s">
        <v>42</v>
      </c>
      <c r="BL24" s="730"/>
      <c r="BM24" s="730"/>
      <c r="BN24" s="715">
        <f>BR24+BU24+BX24+CA24</f>
        <v>1</v>
      </c>
      <c r="BO24" s="716"/>
      <c r="BP24" s="717"/>
      <c r="BQ24" s="712" t="s">
        <v>20</v>
      </c>
      <c r="BR24" s="711">
        <f>IF(Engine!AF7,NÍVEL+3,MEIO.NÍVEL)</f>
        <v>0</v>
      </c>
      <c r="BS24" s="711"/>
      <c r="BT24" s="712" t="s">
        <v>21</v>
      </c>
      <c r="BU24" s="711">
        <f>mod.Car</f>
        <v>1</v>
      </c>
      <c r="BV24" s="711"/>
      <c r="BW24" s="712" t="s">
        <v>21</v>
      </c>
      <c r="BX24" s="713"/>
      <c r="BY24" s="713"/>
      <c r="BZ24" s="712" t="s">
        <v>21</v>
      </c>
      <c r="CA24" s="711"/>
      <c r="CB24" s="711"/>
    </row>
    <row r="25" spans="1:80" ht="8.1" customHeight="1" thickBot="1" x14ac:dyDescent="0.3">
      <c r="A25" s="207"/>
      <c r="B25" s="856" t="s">
        <v>15</v>
      </c>
      <c r="C25" s="857"/>
      <c r="D25" s="857"/>
      <c r="E25" s="858"/>
      <c r="F25" s="862">
        <f>CARISMA.p</f>
        <v>12</v>
      </c>
      <c r="G25" s="863"/>
      <c r="H25" s="864"/>
      <c r="I25" s="211"/>
      <c r="J25" s="868">
        <f>IF(CARISMA&lt;10,ROUNDDOWN((CARISMA-10)/2,1),ROUNDDOWN((CARISMA-10)/2,0))</f>
        <v>1</v>
      </c>
      <c r="K25" s="869"/>
      <c r="L25" s="870"/>
      <c r="M25" s="207"/>
      <c r="N25" s="215"/>
      <c r="O25" s="924"/>
      <c r="P25" s="924"/>
      <c r="Q25" s="924"/>
      <c r="R25" s="924"/>
      <c r="S25" s="216"/>
      <c r="T25" s="924"/>
      <c r="U25" s="924"/>
      <c r="V25" s="924"/>
      <c r="W25" s="924"/>
      <c r="X25" s="924"/>
      <c r="Y25" s="924"/>
      <c r="Z25" s="924"/>
      <c r="AA25" s="924"/>
      <c r="AB25" s="215"/>
      <c r="AC25" s="214"/>
      <c r="AD25" s="859"/>
      <c r="AE25" s="860"/>
      <c r="AF25" s="860"/>
      <c r="AG25" s="861"/>
      <c r="AH25" s="940"/>
      <c r="AI25" s="940"/>
      <c r="AJ25" s="941"/>
      <c r="AK25" s="925"/>
      <c r="AL25" s="821"/>
      <c r="AM25" s="822"/>
      <c r="AN25" s="895"/>
      <c r="AO25" s="942"/>
      <c r="AP25" s="943"/>
      <c r="AQ25" s="895"/>
      <c r="AR25" s="942"/>
      <c r="AS25" s="943"/>
      <c r="AT25" s="207"/>
      <c r="AV25" s="714"/>
      <c r="AW25" s="714"/>
      <c r="AX25" s="730"/>
      <c r="AY25" s="730"/>
      <c r="AZ25" s="730"/>
      <c r="BA25" s="730"/>
      <c r="BB25" s="987"/>
      <c r="BC25" s="987"/>
      <c r="BD25" s="987"/>
      <c r="BE25" s="987"/>
      <c r="BF25" s="987"/>
      <c r="BG25" s="987"/>
      <c r="BH25" s="987"/>
      <c r="BI25" s="987"/>
      <c r="BJ25" s="987"/>
      <c r="BK25" s="730"/>
      <c r="BL25" s="730"/>
      <c r="BM25" s="730"/>
      <c r="BN25" s="718"/>
      <c r="BO25" s="719"/>
      <c r="BP25" s="720"/>
      <c r="BQ25" s="712"/>
      <c r="BR25" s="711"/>
      <c r="BS25" s="711"/>
      <c r="BT25" s="712"/>
      <c r="BU25" s="711"/>
      <c r="BV25" s="711"/>
      <c r="BW25" s="712"/>
      <c r="BX25" s="713"/>
      <c r="BY25" s="713"/>
      <c r="BZ25" s="712"/>
      <c r="CA25" s="711"/>
      <c r="CB25" s="711"/>
    </row>
    <row r="26" spans="1:80" ht="8.1" customHeight="1" thickBot="1" x14ac:dyDescent="0.3">
      <c r="A26" s="207"/>
      <c r="B26" s="859"/>
      <c r="C26" s="860"/>
      <c r="D26" s="860"/>
      <c r="E26" s="861"/>
      <c r="F26" s="865"/>
      <c r="G26" s="866"/>
      <c r="H26" s="867"/>
      <c r="I26" s="211"/>
      <c r="J26" s="874"/>
      <c r="K26" s="875"/>
      <c r="L26" s="876"/>
      <c r="M26" s="207"/>
      <c r="N26" s="215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15"/>
      <c r="AC26" s="207"/>
      <c r="AD26" s="207"/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V26" s="710"/>
      <c r="AW26" s="710"/>
      <c r="AX26" s="721" t="s">
        <v>486</v>
      </c>
      <c r="AY26" s="721"/>
      <c r="AZ26" s="721"/>
      <c r="BA26" s="721"/>
      <c r="BB26" s="988" t="s">
        <v>518</v>
      </c>
      <c r="BC26" s="988"/>
      <c r="BD26" s="988"/>
      <c r="BE26" s="988"/>
      <c r="BF26" s="988"/>
      <c r="BG26" s="988"/>
      <c r="BH26" s="988"/>
      <c r="BI26" s="988"/>
      <c r="BJ26" s="988"/>
      <c r="BK26" s="721" t="s">
        <v>42</v>
      </c>
      <c r="BL26" s="721"/>
      <c r="BM26" s="721"/>
      <c r="BN26" s="722">
        <f>BR26+BU26+BX26+CA26</f>
        <v>1</v>
      </c>
      <c r="BO26" s="723"/>
      <c r="BP26" s="724"/>
      <c r="BQ26" s="728" t="s">
        <v>20</v>
      </c>
      <c r="BR26" s="729">
        <f>IF(Engine!AF8,NÍVEL+3,MEIO.NÍVEL)</f>
        <v>0</v>
      </c>
      <c r="BS26" s="729"/>
      <c r="BT26" s="728" t="s">
        <v>21</v>
      </c>
      <c r="BU26" s="729">
        <f>mod.Car</f>
        <v>1</v>
      </c>
      <c r="BV26" s="729"/>
      <c r="BW26" s="728" t="s">
        <v>21</v>
      </c>
      <c r="BX26" s="976"/>
      <c r="BY26" s="976"/>
      <c r="BZ26" s="728" t="s">
        <v>21</v>
      </c>
      <c r="CA26" s="729"/>
      <c r="CB26" s="729"/>
    </row>
    <row r="27" spans="1:80" ht="8.1" customHeight="1" x14ac:dyDescent="0.25">
      <c r="A27" s="207"/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15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  <c r="AB27" s="215"/>
      <c r="AC27" s="207"/>
      <c r="AD27" s="207"/>
      <c r="AE27" s="207"/>
      <c r="AF27" s="207"/>
      <c r="AG27" s="207"/>
      <c r="AH27" s="207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V27" s="710"/>
      <c r="AW27" s="710"/>
      <c r="AX27" s="721"/>
      <c r="AY27" s="721"/>
      <c r="AZ27" s="721"/>
      <c r="BA27" s="721"/>
      <c r="BB27" s="988"/>
      <c r="BC27" s="988"/>
      <c r="BD27" s="988"/>
      <c r="BE27" s="988"/>
      <c r="BF27" s="988"/>
      <c r="BG27" s="988"/>
      <c r="BH27" s="988"/>
      <c r="BI27" s="988"/>
      <c r="BJ27" s="988"/>
      <c r="BK27" s="721"/>
      <c r="BL27" s="721"/>
      <c r="BM27" s="721"/>
      <c r="BN27" s="725"/>
      <c r="BO27" s="726"/>
      <c r="BP27" s="727"/>
      <c r="BQ27" s="728"/>
      <c r="BR27" s="729"/>
      <c r="BS27" s="729"/>
      <c r="BT27" s="728"/>
      <c r="BU27" s="729"/>
      <c r="BV27" s="729"/>
      <c r="BW27" s="728"/>
      <c r="BX27" s="976"/>
      <c r="BY27" s="976"/>
      <c r="BZ27" s="728"/>
      <c r="CA27" s="729"/>
      <c r="CB27" s="729"/>
    </row>
    <row r="28" spans="1:80" ht="8.1" customHeight="1" x14ac:dyDescent="0.25">
      <c r="A28" s="217"/>
      <c r="B28" s="217"/>
      <c r="C28" s="217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  <c r="AA28" s="217"/>
      <c r="AB28" s="217"/>
      <c r="AC28" s="217"/>
      <c r="AD28" s="218"/>
      <c r="AE28" s="217"/>
      <c r="AF28" s="217"/>
      <c r="AG28" s="217"/>
      <c r="AH28" s="217"/>
      <c r="AI28" s="217"/>
      <c r="AJ28" s="217"/>
      <c r="AK28" s="217"/>
      <c r="AL28" s="217"/>
      <c r="AM28" s="217"/>
      <c r="AN28" s="217"/>
      <c r="AO28" s="217"/>
      <c r="AP28" s="217"/>
      <c r="AQ28" s="217"/>
      <c r="AR28" s="217"/>
      <c r="AS28" s="217"/>
      <c r="AT28" s="217"/>
      <c r="AV28" s="714"/>
      <c r="AW28" s="714"/>
      <c r="AX28" s="730" t="s">
        <v>43</v>
      </c>
      <c r="AY28" s="730"/>
      <c r="AZ28" s="730"/>
      <c r="BA28" s="730"/>
      <c r="BB28" s="730"/>
      <c r="BC28" s="730"/>
      <c r="BD28" s="730"/>
      <c r="BE28" s="730"/>
      <c r="BF28" s="730"/>
      <c r="BG28" s="730"/>
      <c r="BH28" s="730"/>
      <c r="BI28" s="730"/>
      <c r="BJ28" s="730"/>
      <c r="BK28" s="730"/>
      <c r="BL28" s="730"/>
      <c r="BM28" s="730"/>
      <c r="BN28" s="715">
        <f>BR28+BU28+BX28+CA28</f>
        <v>0</v>
      </c>
      <c r="BO28" s="716"/>
      <c r="BP28" s="717"/>
      <c r="BQ28" s="712" t="s">
        <v>20</v>
      </c>
      <c r="BR28" s="711">
        <f>IF(Engine!AF9,NÍVEL+3,MEIO.NÍVEL)</f>
        <v>0</v>
      </c>
      <c r="BS28" s="711"/>
      <c r="BT28" s="712" t="s">
        <v>21</v>
      </c>
      <c r="BU28" s="711">
        <f>mod.Des</f>
        <v>0</v>
      </c>
      <c r="BV28" s="711"/>
      <c r="BW28" s="712" t="s">
        <v>21</v>
      </c>
      <c r="BX28" s="713"/>
      <c r="BY28" s="713"/>
      <c r="BZ28" s="712" t="s">
        <v>21</v>
      </c>
      <c r="CA28" s="711"/>
      <c r="CB28" s="711"/>
    </row>
    <row r="29" spans="1:80" ht="8.1" customHeight="1" x14ac:dyDescent="0.25">
      <c r="B29" s="884" t="s">
        <v>54</v>
      </c>
      <c r="C29" s="884"/>
      <c r="D29" s="884"/>
      <c r="E29" s="884"/>
      <c r="F29" s="884"/>
      <c r="G29" s="884"/>
      <c r="H29" s="884"/>
      <c r="I29" s="884"/>
      <c r="J29" s="884"/>
      <c r="K29" s="884"/>
      <c r="L29" s="884"/>
      <c r="M29" s="884"/>
      <c r="N29" s="884"/>
      <c r="O29" s="219"/>
      <c r="P29" s="885" t="s">
        <v>31</v>
      </c>
      <c r="Q29" s="885"/>
      <c r="R29" s="219"/>
      <c r="S29" s="885" t="s">
        <v>22</v>
      </c>
      <c r="T29" s="885"/>
      <c r="U29" s="219"/>
      <c r="V29" s="885" t="s">
        <v>495</v>
      </c>
      <c r="W29" s="885"/>
      <c r="X29" s="885" t="s">
        <v>63</v>
      </c>
      <c r="Y29" s="885"/>
      <c r="Z29" s="885"/>
      <c r="AA29" s="885"/>
      <c r="AB29" s="208"/>
      <c r="AC29" s="902" t="s">
        <v>60</v>
      </c>
      <c r="AD29" s="902"/>
      <c r="AE29" s="902"/>
      <c r="AF29" s="902"/>
      <c r="AG29" s="902"/>
      <c r="AH29" s="902"/>
      <c r="AI29" s="902"/>
      <c r="AJ29" s="902"/>
      <c r="AK29" s="902"/>
      <c r="AL29" s="902"/>
      <c r="AM29" s="902"/>
      <c r="AN29" s="902"/>
      <c r="AO29" s="902"/>
      <c r="AP29" s="902"/>
      <c r="AQ29" s="902"/>
      <c r="AR29" s="902"/>
      <c r="AS29" s="902"/>
      <c r="AT29" s="902"/>
      <c r="AV29" s="714"/>
      <c r="AW29" s="714"/>
      <c r="AX29" s="730"/>
      <c r="AY29" s="730"/>
      <c r="AZ29" s="730"/>
      <c r="BA29" s="730"/>
      <c r="BB29" s="730"/>
      <c r="BC29" s="730"/>
      <c r="BD29" s="730"/>
      <c r="BE29" s="730"/>
      <c r="BF29" s="730"/>
      <c r="BG29" s="730"/>
      <c r="BH29" s="730"/>
      <c r="BI29" s="730"/>
      <c r="BJ29" s="730"/>
      <c r="BK29" s="730"/>
      <c r="BL29" s="730"/>
      <c r="BM29" s="730"/>
      <c r="BN29" s="718"/>
      <c r="BO29" s="719"/>
      <c r="BP29" s="720"/>
      <c r="BQ29" s="712"/>
      <c r="BR29" s="711"/>
      <c r="BS29" s="711"/>
      <c r="BT29" s="712"/>
      <c r="BU29" s="711"/>
      <c r="BV29" s="711"/>
      <c r="BW29" s="712"/>
      <c r="BX29" s="713"/>
      <c r="BY29" s="713"/>
      <c r="BZ29" s="712"/>
      <c r="CA29" s="711"/>
      <c r="CB29" s="711"/>
    </row>
    <row r="30" spans="1:80" ht="8.1" customHeight="1" thickBot="1" x14ac:dyDescent="0.3">
      <c r="B30" s="884"/>
      <c r="C30" s="884"/>
      <c r="D30" s="884"/>
      <c r="E30" s="884"/>
      <c r="F30" s="884"/>
      <c r="G30" s="884"/>
      <c r="H30" s="884"/>
      <c r="I30" s="884"/>
      <c r="J30" s="884"/>
      <c r="K30" s="884"/>
      <c r="L30" s="884"/>
      <c r="M30" s="884"/>
      <c r="N30" s="884"/>
      <c r="O30" s="219"/>
      <c r="P30" s="886"/>
      <c r="Q30" s="886"/>
      <c r="R30" s="219"/>
      <c r="S30" s="886"/>
      <c r="T30" s="886"/>
      <c r="U30" s="219"/>
      <c r="V30" s="886"/>
      <c r="W30" s="886"/>
      <c r="X30" s="885"/>
      <c r="Y30" s="885"/>
      <c r="Z30" s="885"/>
      <c r="AA30" s="885"/>
      <c r="AB30" s="208"/>
      <c r="AC30" s="902"/>
      <c r="AD30" s="902"/>
      <c r="AE30" s="902"/>
      <c r="AF30" s="902"/>
      <c r="AG30" s="902"/>
      <c r="AH30" s="902"/>
      <c r="AI30" s="902"/>
      <c r="AJ30" s="902"/>
      <c r="AK30" s="902"/>
      <c r="AL30" s="902"/>
      <c r="AM30" s="902"/>
      <c r="AN30" s="902"/>
      <c r="AO30" s="902"/>
      <c r="AP30" s="902"/>
      <c r="AQ30" s="902"/>
      <c r="AR30" s="902"/>
      <c r="AS30" s="902"/>
      <c r="AT30" s="902"/>
      <c r="AU30" s="220"/>
      <c r="AV30" s="710"/>
      <c r="AW30" s="710"/>
      <c r="AX30" s="989" t="s">
        <v>487</v>
      </c>
      <c r="AY30" s="989"/>
      <c r="AZ30" s="989"/>
      <c r="BA30" s="989"/>
      <c r="BB30" s="989"/>
      <c r="BC30" s="989"/>
      <c r="BD30" s="988" t="s">
        <v>1153</v>
      </c>
      <c r="BE30" s="988"/>
      <c r="BF30" s="988"/>
      <c r="BG30" s="988"/>
      <c r="BH30" s="988"/>
      <c r="BI30" s="988"/>
      <c r="BJ30" s="988"/>
      <c r="BK30" s="721" t="s">
        <v>488</v>
      </c>
      <c r="BL30" s="721"/>
      <c r="BM30" s="721"/>
      <c r="BN30" s="722" t="str">
        <f>IF(Engine!AF10,BR30+BU30+BX30+CA30,"X")</f>
        <v>X</v>
      </c>
      <c r="BO30" s="723"/>
      <c r="BP30" s="724"/>
      <c r="BQ30" s="728" t="s">
        <v>20</v>
      </c>
      <c r="BR30" s="729">
        <f>IF(Engine!AF10,NÍVEL+3,MEIO.NÍVEL)</f>
        <v>0</v>
      </c>
      <c r="BS30" s="729"/>
      <c r="BT30" s="728" t="s">
        <v>21</v>
      </c>
      <c r="BU30" s="729">
        <f>mod.Int</f>
        <v>0</v>
      </c>
      <c r="BV30" s="729"/>
      <c r="BW30" s="728" t="s">
        <v>21</v>
      </c>
      <c r="BX30" s="976"/>
      <c r="BY30" s="976"/>
      <c r="BZ30" s="728" t="s">
        <v>21</v>
      </c>
      <c r="CA30" s="729"/>
      <c r="CB30" s="729"/>
    </row>
    <row r="31" spans="1:80" ht="8.1" customHeight="1" x14ac:dyDescent="0.25">
      <c r="B31" s="877" t="s">
        <v>29</v>
      </c>
      <c r="C31" s="878"/>
      <c r="D31" s="878"/>
      <c r="E31" s="878"/>
      <c r="F31" s="878"/>
      <c r="G31" s="878"/>
      <c r="H31" s="878"/>
      <c r="I31" s="878"/>
      <c r="J31" s="878"/>
      <c r="K31" s="879"/>
      <c r="L31" s="880">
        <f>(P31+V31+Y31)+(S31)</f>
        <v>0</v>
      </c>
      <c r="M31" s="880"/>
      <c r="N31" s="881"/>
      <c r="O31" s="829" t="s">
        <v>20</v>
      </c>
      <c r="P31" s="882">
        <f>BBA.total.p</f>
        <v>0</v>
      </c>
      <c r="Q31" s="883"/>
      <c r="R31" s="855" t="s">
        <v>21</v>
      </c>
      <c r="S31" s="882">
        <f>mod.For</f>
        <v>0</v>
      </c>
      <c r="T31" s="883"/>
      <c r="U31" s="855" t="s">
        <v>21</v>
      </c>
      <c r="V31" s="882">
        <f>VLOOKUP(TAMANHO,TABELA.tamanho,2,FALSE)</f>
        <v>0</v>
      </c>
      <c r="W31" s="883"/>
      <c r="X31" s="855" t="s">
        <v>21</v>
      </c>
      <c r="Y31" s="898"/>
      <c r="Z31" s="899"/>
      <c r="AA31" s="217"/>
      <c r="AC31" s="832"/>
      <c r="AD31" s="833"/>
      <c r="AE31" s="833"/>
      <c r="AF31" s="833"/>
      <c r="AG31" s="833"/>
      <c r="AH31" s="833"/>
      <c r="AI31" s="833"/>
      <c r="AJ31" s="833"/>
      <c r="AK31" s="833"/>
      <c r="AL31" s="833"/>
      <c r="AM31" s="833"/>
      <c r="AN31" s="833"/>
      <c r="AO31" s="833"/>
      <c r="AP31" s="833"/>
      <c r="AQ31" s="833"/>
      <c r="AR31" s="833"/>
      <c r="AS31" s="833"/>
      <c r="AT31" s="834"/>
      <c r="AU31" s="220"/>
      <c r="AV31" s="710"/>
      <c r="AW31" s="710"/>
      <c r="AX31" s="989"/>
      <c r="AY31" s="989"/>
      <c r="AZ31" s="989"/>
      <c r="BA31" s="989"/>
      <c r="BB31" s="989"/>
      <c r="BC31" s="989"/>
      <c r="BD31" s="988"/>
      <c r="BE31" s="988"/>
      <c r="BF31" s="988"/>
      <c r="BG31" s="988"/>
      <c r="BH31" s="988"/>
      <c r="BI31" s="988"/>
      <c r="BJ31" s="988"/>
      <c r="BK31" s="721"/>
      <c r="BL31" s="721"/>
      <c r="BM31" s="721"/>
      <c r="BN31" s="725"/>
      <c r="BO31" s="726"/>
      <c r="BP31" s="727"/>
      <c r="BQ31" s="728"/>
      <c r="BR31" s="729"/>
      <c r="BS31" s="729"/>
      <c r="BT31" s="728"/>
      <c r="BU31" s="729"/>
      <c r="BV31" s="729"/>
      <c r="BW31" s="728"/>
      <c r="BX31" s="976"/>
      <c r="BY31" s="976"/>
      <c r="BZ31" s="728"/>
      <c r="CA31" s="729"/>
      <c r="CB31" s="729"/>
    </row>
    <row r="32" spans="1:80" ht="8.1" customHeight="1" x14ac:dyDescent="0.25">
      <c r="B32" s="841"/>
      <c r="C32" s="842"/>
      <c r="D32" s="842"/>
      <c r="E32" s="842"/>
      <c r="F32" s="842"/>
      <c r="G32" s="842"/>
      <c r="H32" s="842"/>
      <c r="I32" s="842"/>
      <c r="J32" s="842"/>
      <c r="K32" s="843"/>
      <c r="L32" s="847"/>
      <c r="M32" s="847"/>
      <c r="N32" s="848"/>
      <c r="O32" s="829"/>
      <c r="P32" s="851"/>
      <c r="Q32" s="852"/>
      <c r="R32" s="855"/>
      <c r="S32" s="851"/>
      <c r="T32" s="852"/>
      <c r="U32" s="855"/>
      <c r="V32" s="851"/>
      <c r="W32" s="852"/>
      <c r="X32" s="855"/>
      <c r="Y32" s="900"/>
      <c r="Z32" s="901"/>
      <c r="AA32" s="217"/>
      <c r="AC32" s="835"/>
      <c r="AD32" s="836"/>
      <c r="AE32" s="836"/>
      <c r="AF32" s="836"/>
      <c r="AG32" s="836"/>
      <c r="AH32" s="836"/>
      <c r="AI32" s="836"/>
      <c r="AJ32" s="836"/>
      <c r="AK32" s="836"/>
      <c r="AL32" s="836"/>
      <c r="AM32" s="836"/>
      <c r="AN32" s="836"/>
      <c r="AO32" s="836"/>
      <c r="AP32" s="836"/>
      <c r="AQ32" s="836"/>
      <c r="AR32" s="836"/>
      <c r="AS32" s="836"/>
      <c r="AT32" s="837"/>
      <c r="AV32" s="714"/>
      <c r="AW32" s="714"/>
      <c r="AX32" s="1007" t="s">
        <v>487</v>
      </c>
      <c r="AY32" s="1007"/>
      <c r="AZ32" s="1007"/>
      <c r="BA32" s="1007"/>
      <c r="BB32" s="1007"/>
      <c r="BC32" s="1007"/>
      <c r="BD32" s="987" t="s">
        <v>1154</v>
      </c>
      <c r="BE32" s="987"/>
      <c r="BF32" s="987"/>
      <c r="BG32" s="987"/>
      <c r="BH32" s="987"/>
      <c r="BI32" s="987"/>
      <c r="BJ32" s="987"/>
      <c r="BK32" s="730" t="s">
        <v>488</v>
      </c>
      <c r="BL32" s="730"/>
      <c r="BM32" s="730"/>
      <c r="BN32" s="715" t="str">
        <f>IF(Engine!AF11,BR32+BU32+BX32+CA32,"X")</f>
        <v>X</v>
      </c>
      <c r="BO32" s="716"/>
      <c r="BP32" s="717"/>
      <c r="BQ32" s="712" t="s">
        <v>20</v>
      </c>
      <c r="BR32" s="711">
        <f>IF(Engine!AF11,NÍVEL+3,MEIO.NÍVEL)</f>
        <v>0</v>
      </c>
      <c r="BS32" s="711"/>
      <c r="BT32" s="712" t="s">
        <v>21</v>
      </c>
      <c r="BU32" s="711">
        <f>mod.Int</f>
        <v>0</v>
      </c>
      <c r="BV32" s="711"/>
      <c r="BW32" s="712" t="s">
        <v>21</v>
      </c>
      <c r="BX32" s="713"/>
      <c r="BY32" s="713"/>
      <c r="BZ32" s="712" t="s">
        <v>21</v>
      </c>
      <c r="CA32" s="711"/>
      <c r="CB32" s="711"/>
    </row>
    <row r="33" spans="1:80" ht="8.1" customHeight="1" x14ac:dyDescent="0.25">
      <c r="B33" s="841" t="s">
        <v>30</v>
      </c>
      <c r="C33" s="842"/>
      <c r="D33" s="842"/>
      <c r="E33" s="842"/>
      <c r="F33" s="842"/>
      <c r="G33" s="842"/>
      <c r="H33" s="842"/>
      <c r="I33" s="842"/>
      <c r="J33" s="842"/>
      <c r="K33" s="843"/>
      <c r="L33" s="847">
        <f>P33+S33+V33+Y33</f>
        <v>0</v>
      </c>
      <c r="M33" s="847"/>
      <c r="N33" s="848"/>
      <c r="O33" s="829" t="s">
        <v>20</v>
      </c>
      <c r="P33" s="851">
        <f>BBA.total.p</f>
        <v>0</v>
      </c>
      <c r="Q33" s="852"/>
      <c r="R33" s="855" t="s">
        <v>21</v>
      </c>
      <c r="S33" s="851">
        <f>mod.Des</f>
        <v>0</v>
      </c>
      <c r="T33" s="852"/>
      <c r="U33" s="855" t="s">
        <v>21</v>
      </c>
      <c r="V33" s="851">
        <f>VLOOKUP(TAMANHO,TABELA.tamanho,2,FALSE)</f>
        <v>0</v>
      </c>
      <c r="W33" s="852"/>
      <c r="X33" s="855" t="s">
        <v>21</v>
      </c>
      <c r="Y33" s="900"/>
      <c r="Z33" s="901"/>
      <c r="AA33" s="221"/>
      <c r="AC33" s="835"/>
      <c r="AD33" s="836"/>
      <c r="AE33" s="836"/>
      <c r="AF33" s="836"/>
      <c r="AG33" s="836"/>
      <c r="AH33" s="836"/>
      <c r="AI33" s="836"/>
      <c r="AJ33" s="836"/>
      <c r="AK33" s="836"/>
      <c r="AL33" s="836"/>
      <c r="AM33" s="836"/>
      <c r="AN33" s="836"/>
      <c r="AO33" s="836"/>
      <c r="AP33" s="836"/>
      <c r="AQ33" s="836"/>
      <c r="AR33" s="836"/>
      <c r="AS33" s="836"/>
      <c r="AT33" s="837"/>
      <c r="AV33" s="714"/>
      <c r="AW33" s="714"/>
      <c r="AX33" s="1007"/>
      <c r="AY33" s="1007"/>
      <c r="AZ33" s="1007"/>
      <c r="BA33" s="1007"/>
      <c r="BB33" s="1007"/>
      <c r="BC33" s="1007"/>
      <c r="BD33" s="987"/>
      <c r="BE33" s="987"/>
      <c r="BF33" s="987"/>
      <c r="BG33" s="987"/>
      <c r="BH33" s="987"/>
      <c r="BI33" s="987"/>
      <c r="BJ33" s="987"/>
      <c r="BK33" s="730"/>
      <c r="BL33" s="730"/>
      <c r="BM33" s="730"/>
      <c r="BN33" s="718"/>
      <c r="BO33" s="719"/>
      <c r="BP33" s="720"/>
      <c r="BQ33" s="712"/>
      <c r="BR33" s="711"/>
      <c r="BS33" s="711"/>
      <c r="BT33" s="712"/>
      <c r="BU33" s="711"/>
      <c r="BV33" s="711"/>
      <c r="BW33" s="712"/>
      <c r="BX33" s="713"/>
      <c r="BY33" s="713"/>
      <c r="BZ33" s="712"/>
      <c r="CA33" s="711"/>
      <c r="CB33" s="711"/>
    </row>
    <row r="34" spans="1:80" ht="8.1" customHeight="1" thickBot="1" x14ac:dyDescent="0.3">
      <c r="B34" s="844"/>
      <c r="C34" s="845"/>
      <c r="D34" s="845"/>
      <c r="E34" s="845"/>
      <c r="F34" s="845"/>
      <c r="G34" s="845"/>
      <c r="H34" s="845"/>
      <c r="I34" s="845"/>
      <c r="J34" s="845"/>
      <c r="K34" s="846"/>
      <c r="L34" s="849"/>
      <c r="M34" s="849"/>
      <c r="N34" s="850"/>
      <c r="O34" s="829"/>
      <c r="P34" s="853"/>
      <c r="Q34" s="854"/>
      <c r="R34" s="855"/>
      <c r="S34" s="853"/>
      <c r="T34" s="854"/>
      <c r="U34" s="855"/>
      <c r="V34" s="853"/>
      <c r="W34" s="854"/>
      <c r="X34" s="855"/>
      <c r="Y34" s="926"/>
      <c r="Z34" s="927"/>
      <c r="AA34" s="221"/>
      <c r="AB34" s="220"/>
      <c r="AC34" s="835"/>
      <c r="AD34" s="836"/>
      <c r="AE34" s="836"/>
      <c r="AF34" s="836"/>
      <c r="AG34" s="836"/>
      <c r="AH34" s="836"/>
      <c r="AI34" s="836"/>
      <c r="AJ34" s="836"/>
      <c r="AK34" s="836"/>
      <c r="AL34" s="836"/>
      <c r="AM34" s="836"/>
      <c r="AN34" s="836"/>
      <c r="AO34" s="836"/>
      <c r="AP34" s="836"/>
      <c r="AQ34" s="836"/>
      <c r="AR34" s="836"/>
      <c r="AS34" s="836"/>
      <c r="AT34" s="837"/>
      <c r="AV34" s="710"/>
      <c r="AW34" s="710"/>
      <c r="AX34" s="989" t="s">
        <v>487</v>
      </c>
      <c r="AY34" s="989"/>
      <c r="AZ34" s="989"/>
      <c r="BA34" s="989"/>
      <c r="BB34" s="989"/>
      <c r="BC34" s="989"/>
      <c r="BD34" s="988" t="s">
        <v>1155</v>
      </c>
      <c r="BE34" s="988"/>
      <c r="BF34" s="988"/>
      <c r="BG34" s="988"/>
      <c r="BH34" s="988"/>
      <c r="BI34" s="988"/>
      <c r="BJ34" s="988"/>
      <c r="BK34" s="721" t="s">
        <v>488</v>
      </c>
      <c r="BL34" s="721"/>
      <c r="BM34" s="721"/>
      <c r="BN34" s="722" t="str">
        <f>IF(Engine!AF12,BR34+BU34+BX34+CA34,"X")</f>
        <v>X</v>
      </c>
      <c r="BO34" s="723"/>
      <c r="BP34" s="724"/>
      <c r="BQ34" s="728" t="s">
        <v>20</v>
      </c>
      <c r="BR34" s="729">
        <f>IF(Engine!AF12,NÍVEL+3,MEIO.NÍVEL)</f>
        <v>0</v>
      </c>
      <c r="BS34" s="729"/>
      <c r="BT34" s="728" t="s">
        <v>21</v>
      </c>
      <c r="BU34" s="729">
        <f>mod.Int</f>
        <v>0</v>
      </c>
      <c r="BV34" s="729"/>
      <c r="BW34" s="728" t="s">
        <v>21</v>
      </c>
      <c r="BX34" s="976"/>
      <c r="BY34" s="976"/>
      <c r="BZ34" s="728" t="s">
        <v>21</v>
      </c>
      <c r="CA34" s="729"/>
      <c r="CB34" s="729"/>
    </row>
    <row r="35" spans="1:80" ht="8.1" customHeight="1" x14ac:dyDescent="0.25">
      <c r="B35" s="830" t="s">
        <v>33</v>
      </c>
      <c r="C35" s="830"/>
      <c r="D35" s="830"/>
      <c r="E35" s="830"/>
      <c r="F35" s="830"/>
      <c r="G35" s="830"/>
      <c r="H35" s="830"/>
      <c r="I35" s="830"/>
      <c r="J35" s="830"/>
      <c r="K35" s="830"/>
      <c r="L35" s="830"/>
      <c r="AB35" s="220"/>
      <c r="AC35" s="835"/>
      <c r="AD35" s="836"/>
      <c r="AE35" s="836"/>
      <c r="AF35" s="836"/>
      <c r="AG35" s="836"/>
      <c r="AH35" s="836"/>
      <c r="AI35" s="836"/>
      <c r="AJ35" s="836"/>
      <c r="AK35" s="836"/>
      <c r="AL35" s="836"/>
      <c r="AM35" s="836"/>
      <c r="AN35" s="836"/>
      <c r="AO35" s="836"/>
      <c r="AP35" s="836"/>
      <c r="AQ35" s="836"/>
      <c r="AR35" s="836"/>
      <c r="AS35" s="836"/>
      <c r="AT35" s="837"/>
      <c r="AV35" s="710"/>
      <c r="AW35" s="710"/>
      <c r="AX35" s="989"/>
      <c r="AY35" s="989"/>
      <c r="AZ35" s="989"/>
      <c r="BA35" s="989"/>
      <c r="BB35" s="989"/>
      <c r="BC35" s="989"/>
      <c r="BD35" s="988"/>
      <c r="BE35" s="988"/>
      <c r="BF35" s="988"/>
      <c r="BG35" s="988"/>
      <c r="BH35" s="988"/>
      <c r="BI35" s="988"/>
      <c r="BJ35" s="988"/>
      <c r="BK35" s="721"/>
      <c r="BL35" s="721"/>
      <c r="BM35" s="721"/>
      <c r="BN35" s="725"/>
      <c r="BO35" s="726"/>
      <c r="BP35" s="727"/>
      <c r="BQ35" s="728"/>
      <c r="BR35" s="729"/>
      <c r="BS35" s="729"/>
      <c r="BT35" s="728"/>
      <c r="BU35" s="729"/>
      <c r="BV35" s="729"/>
      <c r="BW35" s="728"/>
      <c r="BX35" s="976"/>
      <c r="BY35" s="976"/>
      <c r="BZ35" s="728"/>
      <c r="CA35" s="729"/>
      <c r="CB35" s="729"/>
    </row>
    <row r="36" spans="1:80" ht="8.1" customHeight="1" x14ac:dyDescent="0.25">
      <c r="B36" s="831"/>
      <c r="C36" s="831"/>
      <c r="D36" s="831"/>
      <c r="E36" s="831"/>
      <c r="F36" s="831"/>
      <c r="G36" s="831"/>
      <c r="H36" s="831"/>
      <c r="I36" s="831"/>
      <c r="J36" s="831"/>
      <c r="K36" s="831"/>
      <c r="L36" s="831"/>
      <c r="Z36" s="220"/>
      <c r="AA36" s="220"/>
      <c r="AB36" s="220"/>
      <c r="AC36" s="838"/>
      <c r="AD36" s="839"/>
      <c r="AE36" s="839"/>
      <c r="AF36" s="839"/>
      <c r="AG36" s="839"/>
      <c r="AH36" s="839"/>
      <c r="AI36" s="839"/>
      <c r="AJ36" s="839"/>
      <c r="AK36" s="839"/>
      <c r="AL36" s="839"/>
      <c r="AM36" s="839"/>
      <c r="AN36" s="839"/>
      <c r="AO36" s="839"/>
      <c r="AP36" s="839"/>
      <c r="AQ36" s="839"/>
      <c r="AR36" s="839"/>
      <c r="AS36" s="839"/>
      <c r="AT36" s="840"/>
      <c r="AV36" s="714"/>
      <c r="AW36" s="714"/>
      <c r="AX36" s="730" t="s">
        <v>46</v>
      </c>
      <c r="AY36" s="730"/>
      <c r="AZ36" s="730"/>
      <c r="BA36" s="730"/>
      <c r="BB36" s="730"/>
      <c r="BC36" s="730"/>
      <c r="BD36" s="730"/>
      <c r="BE36" s="730"/>
      <c r="BF36" s="730"/>
      <c r="BG36" s="730"/>
      <c r="BH36" s="730"/>
      <c r="BI36" s="730"/>
      <c r="BJ36" s="730"/>
      <c r="BK36" s="730"/>
      <c r="BL36" s="730"/>
      <c r="BM36" s="730"/>
      <c r="BN36" s="715">
        <f>BR36+BU36+BX36+CA36</f>
        <v>2</v>
      </c>
      <c r="BO36" s="716"/>
      <c r="BP36" s="717"/>
      <c r="BQ36" s="712" t="s">
        <v>20</v>
      </c>
      <c r="BR36" s="711">
        <f>IF(Engine!AF13,NÍVEL+3,MEIO.NÍVEL)</f>
        <v>0</v>
      </c>
      <c r="BS36" s="711"/>
      <c r="BT36" s="712" t="s">
        <v>21</v>
      </c>
      <c r="BU36" s="711">
        <f>mod.Sab</f>
        <v>2</v>
      </c>
      <c r="BV36" s="711"/>
      <c r="BW36" s="712" t="s">
        <v>21</v>
      </c>
      <c r="BX36" s="713"/>
      <c r="BY36" s="713"/>
      <c r="BZ36" s="712" t="s">
        <v>21</v>
      </c>
      <c r="CA36" s="711"/>
      <c r="CB36" s="711"/>
    </row>
    <row r="37" spans="1:80" ht="8.1" customHeight="1" x14ac:dyDescent="0.25">
      <c r="B37" s="831"/>
      <c r="C37" s="831"/>
      <c r="D37" s="831"/>
      <c r="E37" s="831"/>
      <c r="F37" s="831"/>
      <c r="G37" s="831"/>
      <c r="H37" s="831"/>
      <c r="I37" s="831"/>
      <c r="J37" s="831"/>
      <c r="K37" s="831"/>
      <c r="L37" s="831"/>
      <c r="Z37" s="220"/>
      <c r="AA37" s="220"/>
      <c r="AB37" s="220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  <c r="AP37" s="222"/>
      <c r="AQ37" s="222"/>
      <c r="AR37" s="222"/>
      <c r="AS37" s="222"/>
      <c r="AT37" s="222"/>
      <c r="AV37" s="714"/>
      <c r="AW37" s="714"/>
      <c r="AX37" s="730"/>
      <c r="AY37" s="730"/>
      <c r="AZ37" s="730"/>
      <c r="BA37" s="730"/>
      <c r="BB37" s="730"/>
      <c r="BC37" s="730"/>
      <c r="BD37" s="730"/>
      <c r="BE37" s="730"/>
      <c r="BF37" s="730"/>
      <c r="BG37" s="730"/>
      <c r="BH37" s="730"/>
      <c r="BI37" s="730"/>
      <c r="BJ37" s="730"/>
      <c r="BK37" s="730"/>
      <c r="BL37" s="730"/>
      <c r="BM37" s="730"/>
      <c r="BN37" s="718"/>
      <c r="BO37" s="719"/>
      <c r="BP37" s="720"/>
      <c r="BQ37" s="712"/>
      <c r="BR37" s="711"/>
      <c r="BS37" s="711"/>
      <c r="BT37" s="712"/>
      <c r="BU37" s="711"/>
      <c r="BV37" s="711"/>
      <c r="BW37" s="712"/>
      <c r="BX37" s="713"/>
      <c r="BY37" s="713"/>
      <c r="BZ37" s="712"/>
      <c r="CA37" s="711"/>
      <c r="CB37" s="711"/>
    </row>
    <row r="38" spans="1:80" ht="8.1" customHeight="1" x14ac:dyDescent="0.25">
      <c r="A38" s="207"/>
      <c r="B38" s="777" t="s">
        <v>498</v>
      </c>
      <c r="C38" s="777"/>
      <c r="D38" s="777"/>
      <c r="E38" s="777"/>
      <c r="F38" s="777"/>
      <c r="G38" s="777"/>
      <c r="H38" s="777"/>
      <c r="I38" s="777"/>
      <c r="J38" s="777"/>
      <c r="K38" s="777"/>
      <c r="L38" s="777"/>
      <c r="M38" s="777"/>
      <c r="N38" s="777"/>
      <c r="O38" s="777"/>
      <c r="P38" s="777"/>
      <c r="Q38" s="777"/>
      <c r="R38" s="777"/>
      <c r="S38" s="777"/>
      <c r="T38" s="775" t="s">
        <v>55</v>
      </c>
      <c r="U38" s="775"/>
      <c r="V38" s="775"/>
      <c r="W38" s="775"/>
      <c r="X38" s="775"/>
      <c r="Y38" s="775"/>
      <c r="Z38" s="775" t="s">
        <v>56</v>
      </c>
      <c r="AA38" s="775"/>
      <c r="AB38" s="775"/>
      <c r="AC38" s="775"/>
      <c r="AD38" s="775"/>
      <c r="AE38" s="775"/>
      <c r="AF38" s="775"/>
      <c r="AG38" s="775"/>
      <c r="AH38" s="775"/>
      <c r="AI38" s="775"/>
      <c r="AJ38" s="775" t="s">
        <v>603</v>
      </c>
      <c r="AK38" s="775"/>
      <c r="AL38" s="775"/>
      <c r="AM38" s="775"/>
      <c r="AN38" s="775" t="s">
        <v>58</v>
      </c>
      <c r="AO38" s="775"/>
      <c r="AP38" s="775"/>
      <c r="AQ38" s="775" t="s">
        <v>94</v>
      </c>
      <c r="AR38" s="775"/>
      <c r="AS38" s="775"/>
      <c r="AT38" s="223"/>
      <c r="AU38" s="224"/>
      <c r="AV38" s="710"/>
      <c r="AW38" s="710"/>
      <c r="AX38" s="721" t="s">
        <v>45</v>
      </c>
      <c r="AY38" s="721"/>
      <c r="AZ38" s="721"/>
      <c r="BA38" s="721"/>
      <c r="BB38" s="721"/>
      <c r="BC38" s="721"/>
      <c r="BD38" s="721"/>
      <c r="BE38" s="721"/>
      <c r="BF38" s="721"/>
      <c r="BG38" s="721"/>
      <c r="BH38" s="721"/>
      <c r="BI38" s="721"/>
      <c r="BJ38" s="721"/>
      <c r="BK38" s="721"/>
      <c r="BL38" s="721"/>
      <c r="BM38" s="721"/>
      <c r="BN38" s="722">
        <f>BR38+BU38+BX38+CA38</f>
        <v>1</v>
      </c>
      <c r="BO38" s="723"/>
      <c r="BP38" s="724"/>
      <c r="BQ38" s="728" t="s">
        <v>20</v>
      </c>
      <c r="BR38" s="729">
        <f>IF(Engine!AF14,NÍVEL+3,MEIO.NÍVEL)</f>
        <v>0</v>
      </c>
      <c r="BS38" s="729"/>
      <c r="BT38" s="728" t="s">
        <v>21</v>
      </c>
      <c r="BU38" s="729">
        <f>mod.Car</f>
        <v>1</v>
      </c>
      <c r="BV38" s="729"/>
      <c r="BW38" s="728" t="s">
        <v>21</v>
      </c>
      <c r="BX38" s="976"/>
      <c r="BY38" s="976"/>
      <c r="BZ38" s="728" t="s">
        <v>21</v>
      </c>
      <c r="CA38" s="729"/>
      <c r="CB38" s="729"/>
    </row>
    <row r="39" spans="1:80" ht="8.1" customHeight="1" thickBot="1" x14ac:dyDescent="0.3">
      <c r="A39" s="225"/>
      <c r="B39" s="778"/>
      <c r="C39" s="778"/>
      <c r="D39" s="778"/>
      <c r="E39" s="778"/>
      <c r="F39" s="778"/>
      <c r="G39" s="778"/>
      <c r="H39" s="778"/>
      <c r="I39" s="778"/>
      <c r="J39" s="778"/>
      <c r="K39" s="778"/>
      <c r="L39" s="778"/>
      <c r="M39" s="778"/>
      <c r="N39" s="778"/>
      <c r="O39" s="778"/>
      <c r="P39" s="778"/>
      <c r="Q39" s="778"/>
      <c r="R39" s="778"/>
      <c r="S39" s="778"/>
      <c r="T39" s="776"/>
      <c r="U39" s="776"/>
      <c r="V39" s="776"/>
      <c r="W39" s="776"/>
      <c r="X39" s="776"/>
      <c r="Y39" s="776"/>
      <c r="Z39" s="776"/>
      <c r="AA39" s="776"/>
      <c r="AB39" s="776"/>
      <c r="AC39" s="776"/>
      <c r="AD39" s="776"/>
      <c r="AE39" s="776"/>
      <c r="AF39" s="776"/>
      <c r="AG39" s="776"/>
      <c r="AH39" s="776"/>
      <c r="AI39" s="776"/>
      <c r="AJ39" s="776"/>
      <c r="AK39" s="776"/>
      <c r="AL39" s="776"/>
      <c r="AM39" s="776"/>
      <c r="AN39" s="775"/>
      <c r="AO39" s="775"/>
      <c r="AP39" s="775"/>
      <c r="AQ39" s="776"/>
      <c r="AR39" s="776"/>
      <c r="AS39" s="776"/>
      <c r="AT39" s="223"/>
      <c r="AU39" s="224"/>
      <c r="AV39" s="710"/>
      <c r="AW39" s="710"/>
      <c r="AX39" s="721"/>
      <c r="AY39" s="721"/>
      <c r="AZ39" s="721"/>
      <c r="BA39" s="721"/>
      <c r="BB39" s="721"/>
      <c r="BC39" s="721"/>
      <c r="BD39" s="721"/>
      <c r="BE39" s="721"/>
      <c r="BF39" s="721"/>
      <c r="BG39" s="721"/>
      <c r="BH39" s="721"/>
      <c r="BI39" s="721"/>
      <c r="BJ39" s="721"/>
      <c r="BK39" s="721"/>
      <c r="BL39" s="721"/>
      <c r="BM39" s="721"/>
      <c r="BN39" s="725"/>
      <c r="BO39" s="726"/>
      <c r="BP39" s="727"/>
      <c r="BQ39" s="728"/>
      <c r="BR39" s="729"/>
      <c r="BS39" s="729"/>
      <c r="BT39" s="728"/>
      <c r="BU39" s="729"/>
      <c r="BV39" s="729"/>
      <c r="BW39" s="728"/>
      <c r="BX39" s="976"/>
      <c r="BY39" s="976"/>
      <c r="BZ39" s="728"/>
      <c r="CA39" s="729"/>
      <c r="CB39" s="729"/>
    </row>
    <row r="40" spans="1:80" ht="8.1" customHeight="1" x14ac:dyDescent="0.25">
      <c r="A40" s="207"/>
      <c r="B40" s="755"/>
      <c r="C40" s="756"/>
      <c r="D40" s="756"/>
      <c r="E40" s="756"/>
      <c r="F40" s="756"/>
      <c r="G40" s="756"/>
      <c r="H40" s="756"/>
      <c r="I40" s="756"/>
      <c r="J40" s="756"/>
      <c r="K40" s="756"/>
      <c r="L40" s="756"/>
      <c r="M40" s="756"/>
      <c r="N40" s="756"/>
      <c r="O40" s="756"/>
      <c r="P40" s="756"/>
      <c r="Q40" s="756"/>
      <c r="R40" s="756"/>
      <c r="S40" s="757"/>
      <c r="T40" s="761"/>
      <c r="U40" s="762"/>
      <c r="V40" s="762"/>
      <c r="W40" s="762"/>
      <c r="X40" s="762"/>
      <c r="Y40" s="763"/>
      <c r="Z40" s="767"/>
      <c r="AA40" s="768"/>
      <c r="AB40" s="768"/>
      <c r="AC40" s="768"/>
      <c r="AD40" s="768"/>
      <c r="AE40" s="768"/>
      <c r="AF40" s="768"/>
      <c r="AG40" s="768"/>
      <c r="AH40" s="768"/>
      <c r="AI40" s="769"/>
      <c r="AJ40" s="761"/>
      <c r="AK40" s="762"/>
      <c r="AL40" s="762"/>
      <c r="AM40" s="763"/>
      <c r="AN40" s="767"/>
      <c r="AO40" s="768"/>
      <c r="AP40" s="769"/>
      <c r="AQ40" s="767"/>
      <c r="AR40" s="768"/>
      <c r="AS40" s="773"/>
      <c r="AT40" s="207"/>
      <c r="AV40" s="714"/>
      <c r="AW40" s="714"/>
      <c r="AX40" s="730" t="s">
        <v>47</v>
      </c>
      <c r="AY40" s="730"/>
      <c r="AZ40" s="730"/>
      <c r="BA40" s="730"/>
      <c r="BB40" s="730"/>
      <c r="BC40" s="730"/>
      <c r="BD40" s="730"/>
      <c r="BE40" s="730"/>
      <c r="BF40" s="730"/>
      <c r="BG40" s="730"/>
      <c r="BH40" s="730"/>
      <c r="BI40" s="730"/>
      <c r="BJ40" s="730"/>
      <c r="BK40" s="730"/>
      <c r="BL40" s="730"/>
      <c r="BM40" s="730"/>
      <c r="BN40" s="715">
        <f>BR40+BU40+BX40+CA40</f>
        <v>1</v>
      </c>
      <c r="BO40" s="716"/>
      <c r="BP40" s="717"/>
      <c r="BQ40" s="712" t="s">
        <v>20</v>
      </c>
      <c r="BR40" s="711">
        <f>IF(Engine!AF15,NÍVEL+3,MEIO.NÍVEL)</f>
        <v>0</v>
      </c>
      <c r="BS40" s="711"/>
      <c r="BT40" s="712" t="s">
        <v>21</v>
      </c>
      <c r="BU40" s="711">
        <f>mod.Car</f>
        <v>1</v>
      </c>
      <c r="BV40" s="711"/>
      <c r="BW40" s="712" t="s">
        <v>21</v>
      </c>
      <c r="BX40" s="713"/>
      <c r="BY40" s="713"/>
      <c r="BZ40" s="712" t="s">
        <v>21</v>
      </c>
      <c r="CA40" s="711"/>
      <c r="CB40" s="711"/>
    </row>
    <row r="41" spans="1:80" ht="8.1" customHeight="1" x14ac:dyDescent="0.25">
      <c r="A41" s="207"/>
      <c r="B41" s="758"/>
      <c r="C41" s="759"/>
      <c r="D41" s="759"/>
      <c r="E41" s="759"/>
      <c r="F41" s="759"/>
      <c r="G41" s="759"/>
      <c r="H41" s="759"/>
      <c r="I41" s="759"/>
      <c r="J41" s="759"/>
      <c r="K41" s="759"/>
      <c r="L41" s="759"/>
      <c r="M41" s="759"/>
      <c r="N41" s="759"/>
      <c r="O41" s="759"/>
      <c r="P41" s="759"/>
      <c r="Q41" s="759"/>
      <c r="R41" s="759"/>
      <c r="S41" s="760"/>
      <c r="T41" s="764"/>
      <c r="U41" s="765"/>
      <c r="V41" s="765"/>
      <c r="W41" s="765"/>
      <c r="X41" s="765"/>
      <c r="Y41" s="766"/>
      <c r="Z41" s="770"/>
      <c r="AA41" s="771"/>
      <c r="AB41" s="771"/>
      <c r="AC41" s="771"/>
      <c r="AD41" s="771"/>
      <c r="AE41" s="771"/>
      <c r="AF41" s="771"/>
      <c r="AG41" s="771"/>
      <c r="AH41" s="771"/>
      <c r="AI41" s="772"/>
      <c r="AJ41" s="764"/>
      <c r="AK41" s="765"/>
      <c r="AL41" s="765"/>
      <c r="AM41" s="766"/>
      <c r="AN41" s="770"/>
      <c r="AO41" s="771"/>
      <c r="AP41" s="772"/>
      <c r="AQ41" s="770"/>
      <c r="AR41" s="771"/>
      <c r="AS41" s="774"/>
      <c r="AT41" s="207"/>
      <c r="AV41" s="714"/>
      <c r="AW41" s="714"/>
      <c r="AX41" s="730"/>
      <c r="AY41" s="730"/>
      <c r="AZ41" s="730"/>
      <c r="BA41" s="730"/>
      <c r="BB41" s="730"/>
      <c r="BC41" s="730"/>
      <c r="BD41" s="730"/>
      <c r="BE41" s="730"/>
      <c r="BF41" s="730"/>
      <c r="BG41" s="730"/>
      <c r="BH41" s="730"/>
      <c r="BI41" s="730"/>
      <c r="BJ41" s="730"/>
      <c r="BK41" s="730"/>
      <c r="BL41" s="730"/>
      <c r="BM41" s="730"/>
      <c r="BN41" s="718"/>
      <c r="BO41" s="719"/>
      <c r="BP41" s="720"/>
      <c r="BQ41" s="712"/>
      <c r="BR41" s="711"/>
      <c r="BS41" s="711"/>
      <c r="BT41" s="712"/>
      <c r="BU41" s="711"/>
      <c r="BV41" s="711"/>
      <c r="BW41" s="712"/>
      <c r="BX41" s="713"/>
      <c r="BY41" s="713"/>
      <c r="BZ41" s="712"/>
      <c r="CA41" s="711"/>
      <c r="CB41" s="711"/>
    </row>
    <row r="42" spans="1:80" ht="8.1" customHeight="1" x14ac:dyDescent="0.25">
      <c r="A42" s="207"/>
      <c r="B42" s="739" t="s">
        <v>602</v>
      </c>
      <c r="C42" s="740"/>
      <c r="D42" s="740"/>
      <c r="E42" s="743"/>
      <c r="F42" s="744"/>
      <c r="G42" s="744"/>
      <c r="H42" s="744"/>
      <c r="I42" s="744"/>
      <c r="J42" s="744"/>
      <c r="K42" s="744"/>
      <c r="L42" s="744"/>
      <c r="M42" s="744"/>
      <c r="N42" s="744"/>
      <c r="O42" s="744"/>
      <c r="P42" s="744"/>
      <c r="Q42" s="744"/>
      <c r="R42" s="744"/>
      <c r="S42" s="744"/>
      <c r="T42" s="744"/>
      <c r="U42" s="744"/>
      <c r="V42" s="744"/>
      <c r="W42" s="744"/>
      <c r="X42" s="744"/>
      <c r="Y42" s="744"/>
      <c r="Z42" s="744"/>
      <c r="AA42" s="744"/>
      <c r="AB42" s="744"/>
      <c r="AC42" s="744"/>
      <c r="AD42" s="744"/>
      <c r="AE42" s="744"/>
      <c r="AF42" s="744"/>
      <c r="AG42" s="744"/>
      <c r="AH42" s="744"/>
      <c r="AI42" s="744"/>
      <c r="AJ42" s="744"/>
      <c r="AK42" s="744"/>
      <c r="AL42" s="744"/>
      <c r="AM42" s="747" t="s">
        <v>604</v>
      </c>
      <c r="AN42" s="747"/>
      <c r="AO42" s="747"/>
      <c r="AP42" s="748">
        <v>0</v>
      </c>
      <c r="AQ42" s="751">
        <v>0</v>
      </c>
      <c r="AR42" s="751"/>
      <c r="AS42" s="226"/>
      <c r="AT42" s="207"/>
      <c r="AV42" s="710"/>
      <c r="AW42" s="710"/>
      <c r="AX42" s="721" t="s">
        <v>48</v>
      </c>
      <c r="AY42" s="721"/>
      <c r="AZ42" s="721"/>
      <c r="BA42" s="721"/>
      <c r="BB42" s="721"/>
      <c r="BC42" s="721"/>
      <c r="BD42" s="721"/>
      <c r="BE42" s="721"/>
      <c r="BF42" s="721"/>
      <c r="BG42" s="721"/>
      <c r="BH42" s="721"/>
      <c r="BI42" s="721"/>
      <c r="BJ42" s="721"/>
      <c r="BK42" s="721"/>
      <c r="BL42" s="721"/>
      <c r="BM42" s="721"/>
      <c r="BN42" s="722">
        <f>BR42+BU42+BX42+CA42</f>
        <v>0</v>
      </c>
      <c r="BO42" s="723"/>
      <c r="BP42" s="724"/>
      <c r="BQ42" s="728" t="s">
        <v>20</v>
      </c>
      <c r="BR42" s="729">
        <f>IF(Engine!AF16,NÍVEL+3,MEIO.NÍVEL)</f>
        <v>0</v>
      </c>
      <c r="BS42" s="729"/>
      <c r="BT42" s="728" t="s">
        <v>21</v>
      </c>
      <c r="BU42" s="729">
        <f>mod.Des</f>
        <v>0</v>
      </c>
      <c r="BV42" s="729"/>
      <c r="BW42" s="728" t="s">
        <v>21</v>
      </c>
      <c r="BX42" s="976"/>
      <c r="BY42" s="976"/>
      <c r="BZ42" s="728" t="s">
        <v>21</v>
      </c>
      <c r="CA42" s="729">
        <f>mod.Furtividade</f>
        <v>0</v>
      </c>
      <c r="CB42" s="729"/>
    </row>
    <row r="43" spans="1:80" ht="8.1" customHeight="1" thickBot="1" x14ac:dyDescent="0.3">
      <c r="A43" s="207"/>
      <c r="B43" s="741"/>
      <c r="C43" s="742"/>
      <c r="D43" s="742"/>
      <c r="E43" s="745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46"/>
      <c r="AB43" s="746"/>
      <c r="AC43" s="746"/>
      <c r="AD43" s="746"/>
      <c r="AE43" s="746"/>
      <c r="AF43" s="746"/>
      <c r="AG43" s="746"/>
      <c r="AH43" s="746"/>
      <c r="AI43" s="746"/>
      <c r="AJ43" s="746"/>
      <c r="AK43" s="746"/>
      <c r="AL43" s="746"/>
      <c r="AM43" s="749"/>
      <c r="AN43" s="749"/>
      <c r="AO43" s="749"/>
      <c r="AP43" s="750"/>
      <c r="AQ43" s="752"/>
      <c r="AR43" s="752"/>
      <c r="AS43" s="227"/>
      <c r="AT43" s="207"/>
      <c r="AV43" s="710"/>
      <c r="AW43" s="710"/>
      <c r="AX43" s="721"/>
      <c r="AY43" s="721"/>
      <c r="AZ43" s="721"/>
      <c r="BA43" s="721"/>
      <c r="BB43" s="721"/>
      <c r="BC43" s="721"/>
      <c r="BD43" s="721"/>
      <c r="BE43" s="721"/>
      <c r="BF43" s="721"/>
      <c r="BG43" s="721"/>
      <c r="BH43" s="721"/>
      <c r="BI43" s="721"/>
      <c r="BJ43" s="721"/>
      <c r="BK43" s="721"/>
      <c r="BL43" s="721"/>
      <c r="BM43" s="721"/>
      <c r="BN43" s="725"/>
      <c r="BO43" s="726"/>
      <c r="BP43" s="727"/>
      <c r="BQ43" s="728"/>
      <c r="BR43" s="729"/>
      <c r="BS43" s="729"/>
      <c r="BT43" s="728"/>
      <c r="BU43" s="729"/>
      <c r="BV43" s="729"/>
      <c r="BW43" s="728"/>
      <c r="BX43" s="976"/>
      <c r="BY43" s="976"/>
      <c r="BZ43" s="728"/>
      <c r="CA43" s="729"/>
      <c r="CB43" s="729"/>
    </row>
    <row r="44" spans="1:80" ht="8.1" customHeight="1" x14ac:dyDescent="0.25">
      <c r="A44" s="207"/>
      <c r="B44" s="755"/>
      <c r="C44" s="756"/>
      <c r="D44" s="756"/>
      <c r="E44" s="756"/>
      <c r="F44" s="756"/>
      <c r="G44" s="756"/>
      <c r="H44" s="756"/>
      <c r="I44" s="756"/>
      <c r="J44" s="756"/>
      <c r="K44" s="756"/>
      <c r="L44" s="756"/>
      <c r="M44" s="756"/>
      <c r="N44" s="756"/>
      <c r="O44" s="756"/>
      <c r="P44" s="756"/>
      <c r="Q44" s="756"/>
      <c r="R44" s="756"/>
      <c r="S44" s="757"/>
      <c r="T44" s="761"/>
      <c r="U44" s="762"/>
      <c r="V44" s="762"/>
      <c r="W44" s="762"/>
      <c r="X44" s="762"/>
      <c r="Y44" s="763"/>
      <c r="Z44" s="767"/>
      <c r="AA44" s="768"/>
      <c r="AB44" s="768"/>
      <c r="AC44" s="768"/>
      <c r="AD44" s="768"/>
      <c r="AE44" s="768"/>
      <c r="AF44" s="768"/>
      <c r="AG44" s="768"/>
      <c r="AH44" s="768"/>
      <c r="AI44" s="769"/>
      <c r="AJ44" s="761"/>
      <c r="AK44" s="762"/>
      <c r="AL44" s="762"/>
      <c r="AM44" s="763"/>
      <c r="AN44" s="767"/>
      <c r="AO44" s="768"/>
      <c r="AP44" s="769"/>
      <c r="AQ44" s="767"/>
      <c r="AR44" s="768"/>
      <c r="AS44" s="773"/>
      <c r="AT44" s="207"/>
      <c r="AV44" s="714"/>
      <c r="AW44" s="714"/>
      <c r="AX44" s="730" t="s">
        <v>489</v>
      </c>
      <c r="AY44" s="730"/>
      <c r="AZ44" s="730"/>
      <c r="BA44" s="730"/>
      <c r="BB44" s="730"/>
      <c r="BC44" s="730"/>
      <c r="BD44" s="730"/>
      <c r="BE44" s="730"/>
      <c r="BF44" s="730"/>
      <c r="BG44" s="730"/>
      <c r="BH44" s="730"/>
      <c r="BI44" s="730"/>
      <c r="BJ44" s="730"/>
      <c r="BK44" s="730"/>
      <c r="BL44" s="730"/>
      <c r="BM44" s="730"/>
      <c r="BN44" s="715" t="str">
        <f>IF(Engine!AF17,BR44+BU44+BX44+CA44,"X")</f>
        <v>X</v>
      </c>
      <c r="BO44" s="716"/>
      <c r="BP44" s="717"/>
      <c r="BQ44" s="712" t="s">
        <v>20</v>
      </c>
      <c r="BR44" s="711">
        <f>IF(Engine!AF17,NÍVEL+3,MEIO.NÍVEL)</f>
        <v>0</v>
      </c>
      <c r="BS44" s="711"/>
      <c r="BT44" s="712" t="s">
        <v>21</v>
      </c>
      <c r="BU44" s="711">
        <f>mod.Int</f>
        <v>0</v>
      </c>
      <c r="BV44" s="711"/>
      <c r="BW44" s="712" t="s">
        <v>21</v>
      </c>
      <c r="BX44" s="713"/>
      <c r="BY44" s="713"/>
      <c r="BZ44" s="712" t="s">
        <v>21</v>
      </c>
      <c r="CA44" s="711"/>
      <c r="CB44" s="711"/>
    </row>
    <row r="45" spans="1:80" ht="8.1" customHeight="1" x14ac:dyDescent="0.25">
      <c r="A45" s="207"/>
      <c r="B45" s="758"/>
      <c r="C45" s="759"/>
      <c r="D45" s="759"/>
      <c r="E45" s="759"/>
      <c r="F45" s="759"/>
      <c r="G45" s="759"/>
      <c r="H45" s="759"/>
      <c r="I45" s="759"/>
      <c r="J45" s="759"/>
      <c r="K45" s="759"/>
      <c r="L45" s="759"/>
      <c r="M45" s="759"/>
      <c r="N45" s="759"/>
      <c r="O45" s="759"/>
      <c r="P45" s="759"/>
      <c r="Q45" s="759"/>
      <c r="R45" s="759"/>
      <c r="S45" s="760"/>
      <c r="T45" s="764"/>
      <c r="U45" s="765"/>
      <c r="V45" s="765"/>
      <c r="W45" s="765"/>
      <c r="X45" s="765"/>
      <c r="Y45" s="766"/>
      <c r="Z45" s="770"/>
      <c r="AA45" s="771"/>
      <c r="AB45" s="771"/>
      <c r="AC45" s="771"/>
      <c r="AD45" s="771"/>
      <c r="AE45" s="771"/>
      <c r="AF45" s="771"/>
      <c r="AG45" s="771"/>
      <c r="AH45" s="771"/>
      <c r="AI45" s="772"/>
      <c r="AJ45" s="764"/>
      <c r="AK45" s="765"/>
      <c r="AL45" s="765"/>
      <c r="AM45" s="766"/>
      <c r="AN45" s="770"/>
      <c r="AO45" s="771"/>
      <c r="AP45" s="772"/>
      <c r="AQ45" s="770"/>
      <c r="AR45" s="771"/>
      <c r="AS45" s="774"/>
      <c r="AT45" s="207"/>
      <c r="AV45" s="714"/>
      <c r="AW45" s="714"/>
      <c r="AX45" s="730"/>
      <c r="AY45" s="730"/>
      <c r="AZ45" s="730"/>
      <c r="BA45" s="730"/>
      <c r="BB45" s="730"/>
      <c r="BC45" s="730"/>
      <c r="BD45" s="730"/>
      <c r="BE45" s="730"/>
      <c r="BF45" s="730"/>
      <c r="BG45" s="730"/>
      <c r="BH45" s="730"/>
      <c r="BI45" s="730"/>
      <c r="BJ45" s="730"/>
      <c r="BK45" s="730"/>
      <c r="BL45" s="730"/>
      <c r="BM45" s="730"/>
      <c r="BN45" s="718"/>
      <c r="BO45" s="719"/>
      <c r="BP45" s="720"/>
      <c r="BQ45" s="712"/>
      <c r="BR45" s="711"/>
      <c r="BS45" s="711"/>
      <c r="BT45" s="712"/>
      <c r="BU45" s="711"/>
      <c r="BV45" s="711"/>
      <c r="BW45" s="712"/>
      <c r="BX45" s="713"/>
      <c r="BY45" s="713"/>
      <c r="BZ45" s="712"/>
      <c r="CA45" s="711"/>
      <c r="CB45" s="711"/>
    </row>
    <row r="46" spans="1:80" ht="8.1" customHeight="1" x14ac:dyDescent="0.25">
      <c r="A46" s="207"/>
      <c r="B46" s="739" t="s">
        <v>602</v>
      </c>
      <c r="C46" s="740"/>
      <c r="D46" s="740"/>
      <c r="E46" s="743"/>
      <c r="F46" s="744"/>
      <c r="G46" s="744"/>
      <c r="H46" s="744"/>
      <c r="I46" s="744"/>
      <c r="J46" s="744"/>
      <c r="K46" s="744"/>
      <c r="L46" s="744"/>
      <c r="M46" s="744"/>
      <c r="N46" s="744"/>
      <c r="O46" s="744"/>
      <c r="P46" s="744"/>
      <c r="Q46" s="744"/>
      <c r="R46" s="744"/>
      <c r="S46" s="744"/>
      <c r="T46" s="744"/>
      <c r="U46" s="744"/>
      <c r="V46" s="744"/>
      <c r="W46" s="744"/>
      <c r="X46" s="744"/>
      <c r="Y46" s="744"/>
      <c r="Z46" s="744"/>
      <c r="AA46" s="744"/>
      <c r="AB46" s="744"/>
      <c r="AC46" s="744"/>
      <c r="AD46" s="744"/>
      <c r="AE46" s="744"/>
      <c r="AF46" s="744"/>
      <c r="AG46" s="744"/>
      <c r="AH46" s="744"/>
      <c r="AI46" s="744"/>
      <c r="AJ46" s="744"/>
      <c r="AK46" s="744"/>
      <c r="AL46" s="744"/>
      <c r="AM46" s="747" t="s">
        <v>604</v>
      </c>
      <c r="AN46" s="747"/>
      <c r="AO46" s="747"/>
      <c r="AP46" s="748">
        <v>0</v>
      </c>
      <c r="AQ46" s="751">
        <v>0</v>
      </c>
      <c r="AR46" s="751"/>
      <c r="AS46" s="226"/>
      <c r="AT46" s="207"/>
      <c r="AV46" s="710"/>
      <c r="AW46" s="710"/>
      <c r="AX46" s="721" t="s">
        <v>49</v>
      </c>
      <c r="AY46" s="721"/>
      <c r="AZ46" s="721"/>
      <c r="BA46" s="721"/>
      <c r="BB46" s="721"/>
      <c r="BC46" s="721"/>
      <c r="BD46" s="721"/>
      <c r="BE46" s="721"/>
      <c r="BF46" s="721"/>
      <c r="BG46" s="721"/>
      <c r="BH46" s="721"/>
      <c r="BI46" s="721"/>
      <c r="BJ46" s="721"/>
      <c r="BK46" s="721"/>
      <c r="BL46" s="721"/>
      <c r="BM46" s="721"/>
      <c r="BN46" s="722">
        <f>BR46+BU46+BX46+CA46</f>
        <v>0</v>
      </c>
      <c r="BO46" s="723"/>
      <c r="BP46" s="724"/>
      <c r="BQ46" s="728" t="s">
        <v>20</v>
      </c>
      <c r="BR46" s="729">
        <f>IF(Engine!AF18,NÍVEL+3,MEIO.NÍVEL)</f>
        <v>0</v>
      </c>
      <c r="BS46" s="729"/>
      <c r="BT46" s="728" t="s">
        <v>21</v>
      </c>
      <c r="BU46" s="729">
        <f>mod.Des</f>
        <v>0</v>
      </c>
      <c r="BV46" s="729"/>
      <c r="BW46" s="728" t="s">
        <v>21</v>
      </c>
      <c r="BX46" s="976"/>
      <c r="BY46" s="976"/>
      <c r="BZ46" s="728" t="s">
        <v>21</v>
      </c>
      <c r="CA46" s="729"/>
      <c r="CB46" s="729"/>
    </row>
    <row r="47" spans="1:80" ht="8.1" customHeight="1" thickBot="1" x14ac:dyDescent="0.3">
      <c r="A47" s="207"/>
      <c r="B47" s="741"/>
      <c r="C47" s="742"/>
      <c r="D47" s="742"/>
      <c r="E47" s="745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46"/>
      <c r="AB47" s="746"/>
      <c r="AC47" s="746"/>
      <c r="AD47" s="746"/>
      <c r="AE47" s="746"/>
      <c r="AF47" s="746"/>
      <c r="AG47" s="746"/>
      <c r="AH47" s="746"/>
      <c r="AI47" s="746"/>
      <c r="AJ47" s="746"/>
      <c r="AK47" s="746"/>
      <c r="AL47" s="746"/>
      <c r="AM47" s="749"/>
      <c r="AN47" s="749"/>
      <c r="AO47" s="749"/>
      <c r="AP47" s="750"/>
      <c r="AQ47" s="752"/>
      <c r="AR47" s="752"/>
      <c r="AS47" s="227"/>
      <c r="AT47" s="207"/>
      <c r="AV47" s="710"/>
      <c r="AW47" s="710"/>
      <c r="AX47" s="721"/>
      <c r="AY47" s="721"/>
      <c r="AZ47" s="721"/>
      <c r="BA47" s="721"/>
      <c r="BB47" s="721"/>
      <c r="BC47" s="721"/>
      <c r="BD47" s="721"/>
      <c r="BE47" s="721"/>
      <c r="BF47" s="721"/>
      <c r="BG47" s="721"/>
      <c r="BH47" s="721"/>
      <c r="BI47" s="721"/>
      <c r="BJ47" s="721"/>
      <c r="BK47" s="721"/>
      <c r="BL47" s="721"/>
      <c r="BM47" s="721"/>
      <c r="BN47" s="725"/>
      <c r="BO47" s="726"/>
      <c r="BP47" s="727"/>
      <c r="BQ47" s="728"/>
      <c r="BR47" s="729"/>
      <c r="BS47" s="729"/>
      <c r="BT47" s="728"/>
      <c r="BU47" s="729"/>
      <c r="BV47" s="729"/>
      <c r="BW47" s="728"/>
      <c r="BX47" s="976"/>
      <c r="BY47" s="976"/>
      <c r="BZ47" s="728"/>
      <c r="CA47" s="729"/>
      <c r="CB47" s="729"/>
    </row>
    <row r="48" spans="1:80" ht="8.1" customHeight="1" x14ac:dyDescent="0.25">
      <c r="A48" s="207"/>
      <c r="B48" s="755"/>
      <c r="C48" s="756"/>
      <c r="D48" s="756"/>
      <c r="E48" s="756"/>
      <c r="F48" s="756"/>
      <c r="G48" s="756"/>
      <c r="H48" s="756"/>
      <c r="I48" s="756"/>
      <c r="J48" s="756"/>
      <c r="K48" s="756"/>
      <c r="L48" s="756"/>
      <c r="M48" s="756"/>
      <c r="N48" s="756"/>
      <c r="O48" s="756"/>
      <c r="P48" s="756"/>
      <c r="Q48" s="756"/>
      <c r="R48" s="756"/>
      <c r="S48" s="757"/>
      <c r="T48" s="761"/>
      <c r="U48" s="762"/>
      <c r="V48" s="762"/>
      <c r="W48" s="762"/>
      <c r="X48" s="762"/>
      <c r="Y48" s="763"/>
      <c r="Z48" s="767"/>
      <c r="AA48" s="768"/>
      <c r="AB48" s="768"/>
      <c r="AC48" s="768"/>
      <c r="AD48" s="768"/>
      <c r="AE48" s="768"/>
      <c r="AF48" s="768"/>
      <c r="AG48" s="768"/>
      <c r="AH48" s="768"/>
      <c r="AI48" s="769"/>
      <c r="AJ48" s="761"/>
      <c r="AK48" s="762"/>
      <c r="AL48" s="762"/>
      <c r="AM48" s="763"/>
      <c r="AN48" s="767"/>
      <c r="AO48" s="768"/>
      <c r="AP48" s="769"/>
      <c r="AQ48" s="767"/>
      <c r="AR48" s="768"/>
      <c r="AS48" s="773"/>
      <c r="AT48" s="207"/>
      <c r="AV48" s="714"/>
      <c r="AW48" s="714"/>
      <c r="AX48" s="730" t="s">
        <v>1031</v>
      </c>
      <c r="AY48" s="730"/>
      <c r="AZ48" s="730"/>
      <c r="BA48" s="730"/>
      <c r="BB48" s="730"/>
      <c r="BC48" s="730"/>
      <c r="BD48" s="730"/>
      <c r="BE48" s="730"/>
      <c r="BF48" s="730"/>
      <c r="BG48" s="730"/>
      <c r="BH48" s="730"/>
      <c r="BI48" s="730"/>
      <c r="BJ48" s="730"/>
      <c r="BK48" s="730"/>
      <c r="BL48" s="730"/>
      <c r="BM48" s="730"/>
      <c r="BN48" s="715">
        <f>BR48+BU48+BX48+CA48</f>
        <v>0</v>
      </c>
      <c r="BO48" s="716"/>
      <c r="BP48" s="717"/>
      <c r="BQ48" s="712" t="s">
        <v>20</v>
      </c>
      <c r="BR48" s="711">
        <f>IF(Engine!AF19,NÍVEL+3,MEIO.NÍVEL)</f>
        <v>0</v>
      </c>
      <c r="BS48" s="711"/>
      <c r="BT48" s="712" t="s">
        <v>21</v>
      </c>
      <c r="BU48" s="711">
        <f>mod.For</f>
        <v>0</v>
      </c>
      <c r="BV48" s="711"/>
      <c r="BW48" s="712" t="s">
        <v>21</v>
      </c>
      <c r="BX48" s="713"/>
      <c r="BY48" s="713"/>
      <c r="BZ48" s="712" t="s">
        <v>21</v>
      </c>
      <c r="CA48" s="711"/>
      <c r="CB48" s="711"/>
    </row>
    <row r="49" spans="1:80" ht="8.1" customHeight="1" x14ac:dyDescent="0.25">
      <c r="A49" s="207"/>
      <c r="B49" s="758"/>
      <c r="C49" s="759"/>
      <c r="D49" s="759"/>
      <c r="E49" s="759"/>
      <c r="F49" s="759"/>
      <c r="G49" s="759"/>
      <c r="H49" s="759"/>
      <c r="I49" s="759"/>
      <c r="J49" s="759"/>
      <c r="K49" s="759"/>
      <c r="L49" s="759"/>
      <c r="M49" s="759"/>
      <c r="N49" s="759"/>
      <c r="O49" s="759"/>
      <c r="P49" s="759"/>
      <c r="Q49" s="759"/>
      <c r="R49" s="759"/>
      <c r="S49" s="760"/>
      <c r="T49" s="764"/>
      <c r="U49" s="765"/>
      <c r="V49" s="765"/>
      <c r="W49" s="765"/>
      <c r="X49" s="765"/>
      <c r="Y49" s="766"/>
      <c r="Z49" s="770"/>
      <c r="AA49" s="771"/>
      <c r="AB49" s="771"/>
      <c r="AC49" s="771"/>
      <c r="AD49" s="771"/>
      <c r="AE49" s="771"/>
      <c r="AF49" s="771"/>
      <c r="AG49" s="771"/>
      <c r="AH49" s="771"/>
      <c r="AI49" s="772"/>
      <c r="AJ49" s="764"/>
      <c r="AK49" s="765"/>
      <c r="AL49" s="765"/>
      <c r="AM49" s="766"/>
      <c r="AN49" s="770"/>
      <c r="AO49" s="771"/>
      <c r="AP49" s="772"/>
      <c r="AQ49" s="770"/>
      <c r="AR49" s="771"/>
      <c r="AS49" s="774"/>
      <c r="AT49" s="207"/>
      <c r="AV49" s="714"/>
      <c r="AW49" s="714"/>
      <c r="AX49" s="730"/>
      <c r="AY49" s="730"/>
      <c r="AZ49" s="730"/>
      <c r="BA49" s="730"/>
      <c r="BB49" s="730"/>
      <c r="BC49" s="730"/>
      <c r="BD49" s="730"/>
      <c r="BE49" s="730"/>
      <c r="BF49" s="730"/>
      <c r="BG49" s="730"/>
      <c r="BH49" s="730"/>
      <c r="BI49" s="730"/>
      <c r="BJ49" s="730"/>
      <c r="BK49" s="730"/>
      <c r="BL49" s="730"/>
      <c r="BM49" s="730"/>
      <c r="BN49" s="718"/>
      <c r="BO49" s="719"/>
      <c r="BP49" s="720"/>
      <c r="BQ49" s="712"/>
      <c r="BR49" s="711"/>
      <c r="BS49" s="711"/>
      <c r="BT49" s="712"/>
      <c r="BU49" s="711"/>
      <c r="BV49" s="711"/>
      <c r="BW49" s="712"/>
      <c r="BX49" s="713"/>
      <c r="BY49" s="713"/>
      <c r="BZ49" s="712"/>
      <c r="CA49" s="711"/>
      <c r="CB49" s="711"/>
    </row>
    <row r="50" spans="1:80" ht="8.1" customHeight="1" x14ac:dyDescent="0.25">
      <c r="A50" s="207"/>
      <c r="B50" s="739" t="s">
        <v>602</v>
      </c>
      <c r="C50" s="740"/>
      <c r="D50" s="740"/>
      <c r="E50" s="743"/>
      <c r="F50" s="744"/>
      <c r="G50" s="744"/>
      <c r="H50" s="744"/>
      <c r="I50" s="744"/>
      <c r="J50" s="744"/>
      <c r="K50" s="744"/>
      <c r="L50" s="744"/>
      <c r="M50" s="744"/>
      <c r="N50" s="744"/>
      <c r="O50" s="744"/>
      <c r="P50" s="744"/>
      <c r="Q50" s="744"/>
      <c r="R50" s="744"/>
      <c r="S50" s="744"/>
      <c r="T50" s="744"/>
      <c r="U50" s="744"/>
      <c r="V50" s="744"/>
      <c r="W50" s="744"/>
      <c r="X50" s="744"/>
      <c r="Y50" s="744"/>
      <c r="Z50" s="744"/>
      <c r="AA50" s="744"/>
      <c r="AB50" s="744"/>
      <c r="AC50" s="744"/>
      <c r="AD50" s="744"/>
      <c r="AE50" s="744"/>
      <c r="AF50" s="744"/>
      <c r="AG50" s="744"/>
      <c r="AH50" s="744"/>
      <c r="AI50" s="744"/>
      <c r="AJ50" s="744"/>
      <c r="AK50" s="744"/>
      <c r="AL50" s="744"/>
      <c r="AM50" s="747" t="s">
        <v>604</v>
      </c>
      <c r="AN50" s="747"/>
      <c r="AO50" s="747"/>
      <c r="AP50" s="748">
        <v>0</v>
      </c>
      <c r="AQ50" s="751">
        <v>0</v>
      </c>
      <c r="AR50" s="751"/>
      <c r="AS50" s="226"/>
      <c r="AT50" s="207"/>
      <c r="AV50" s="710"/>
      <c r="AW50" s="710"/>
      <c r="AX50" s="721" t="s">
        <v>50</v>
      </c>
      <c r="AY50" s="721"/>
      <c r="AZ50" s="721"/>
      <c r="BA50" s="721"/>
      <c r="BB50" s="721"/>
      <c r="BC50" s="721"/>
      <c r="BD50" s="721"/>
      <c r="BE50" s="721"/>
      <c r="BF50" s="721"/>
      <c r="BG50" s="721"/>
      <c r="BH50" s="721"/>
      <c r="BI50" s="721"/>
      <c r="BJ50" s="721"/>
      <c r="BK50" s="721"/>
      <c r="BL50" s="721"/>
      <c r="BM50" s="721"/>
      <c r="BN50" s="722">
        <f>BR50+BU50+BX50+CA50</f>
        <v>2</v>
      </c>
      <c r="BO50" s="723"/>
      <c r="BP50" s="724"/>
      <c r="BQ50" s="728" t="s">
        <v>20</v>
      </c>
      <c r="BR50" s="729">
        <f>IF(Engine!AF20,NÍVEL+3,MEIO.NÍVEL)</f>
        <v>0</v>
      </c>
      <c r="BS50" s="729"/>
      <c r="BT50" s="728" t="s">
        <v>21</v>
      </c>
      <c r="BU50" s="729">
        <f>mod.Sab</f>
        <v>2</v>
      </c>
      <c r="BV50" s="729"/>
      <c r="BW50" s="728" t="s">
        <v>21</v>
      </c>
      <c r="BX50" s="976"/>
      <c r="BY50" s="976"/>
      <c r="BZ50" s="728" t="s">
        <v>21</v>
      </c>
      <c r="CA50" s="729"/>
      <c r="CB50" s="729"/>
    </row>
    <row r="51" spans="1:80" ht="8.1" customHeight="1" thickBot="1" x14ac:dyDescent="0.3">
      <c r="A51" s="207"/>
      <c r="B51" s="741"/>
      <c r="C51" s="742"/>
      <c r="D51" s="742"/>
      <c r="E51" s="745"/>
      <c r="F51" s="746"/>
      <c r="G51" s="746"/>
      <c r="H51" s="746"/>
      <c r="I51" s="746"/>
      <c r="J51" s="746"/>
      <c r="K51" s="746"/>
      <c r="L51" s="746"/>
      <c r="M51" s="746"/>
      <c r="N51" s="746"/>
      <c r="O51" s="746"/>
      <c r="P51" s="746"/>
      <c r="Q51" s="746"/>
      <c r="R51" s="746"/>
      <c r="S51" s="746"/>
      <c r="T51" s="746"/>
      <c r="U51" s="746"/>
      <c r="V51" s="746"/>
      <c r="W51" s="746"/>
      <c r="X51" s="746"/>
      <c r="Y51" s="746"/>
      <c r="Z51" s="746"/>
      <c r="AA51" s="746"/>
      <c r="AB51" s="746"/>
      <c r="AC51" s="746"/>
      <c r="AD51" s="746"/>
      <c r="AE51" s="746"/>
      <c r="AF51" s="746"/>
      <c r="AG51" s="746"/>
      <c r="AH51" s="746"/>
      <c r="AI51" s="746"/>
      <c r="AJ51" s="746"/>
      <c r="AK51" s="746"/>
      <c r="AL51" s="746"/>
      <c r="AM51" s="749"/>
      <c r="AN51" s="749"/>
      <c r="AO51" s="749"/>
      <c r="AP51" s="750"/>
      <c r="AQ51" s="752"/>
      <c r="AR51" s="752"/>
      <c r="AS51" s="227"/>
      <c r="AT51" s="207"/>
      <c r="AV51" s="710"/>
      <c r="AW51" s="710"/>
      <c r="AX51" s="721"/>
      <c r="AY51" s="721"/>
      <c r="AZ51" s="721"/>
      <c r="BA51" s="721"/>
      <c r="BB51" s="721"/>
      <c r="BC51" s="721"/>
      <c r="BD51" s="721"/>
      <c r="BE51" s="721"/>
      <c r="BF51" s="721"/>
      <c r="BG51" s="721"/>
      <c r="BH51" s="721"/>
      <c r="BI51" s="721"/>
      <c r="BJ51" s="721"/>
      <c r="BK51" s="721"/>
      <c r="BL51" s="721"/>
      <c r="BM51" s="721"/>
      <c r="BN51" s="725"/>
      <c r="BO51" s="726"/>
      <c r="BP51" s="727"/>
      <c r="BQ51" s="728"/>
      <c r="BR51" s="729"/>
      <c r="BS51" s="729"/>
      <c r="BT51" s="728"/>
      <c r="BU51" s="729"/>
      <c r="BV51" s="729"/>
      <c r="BW51" s="728"/>
      <c r="BX51" s="976"/>
      <c r="BY51" s="976"/>
      <c r="BZ51" s="728"/>
      <c r="CA51" s="729"/>
      <c r="CB51" s="729"/>
    </row>
    <row r="52" spans="1:80" ht="8.1" customHeight="1" x14ac:dyDescent="0.25">
      <c r="A52" s="207"/>
      <c r="B52" s="755"/>
      <c r="C52" s="756"/>
      <c r="D52" s="756"/>
      <c r="E52" s="756"/>
      <c r="F52" s="756"/>
      <c r="G52" s="756"/>
      <c r="H52" s="756"/>
      <c r="I52" s="756"/>
      <c r="J52" s="756"/>
      <c r="K52" s="756"/>
      <c r="L52" s="756"/>
      <c r="M52" s="756"/>
      <c r="N52" s="756"/>
      <c r="O52" s="756"/>
      <c r="P52" s="756"/>
      <c r="Q52" s="756"/>
      <c r="R52" s="756"/>
      <c r="S52" s="757"/>
      <c r="T52" s="761"/>
      <c r="U52" s="762"/>
      <c r="V52" s="762"/>
      <c r="W52" s="762"/>
      <c r="X52" s="762"/>
      <c r="Y52" s="763"/>
      <c r="Z52" s="767"/>
      <c r="AA52" s="768"/>
      <c r="AB52" s="768"/>
      <c r="AC52" s="768"/>
      <c r="AD52" s="768"/>
      <c r="AE52" s="768"/>
      <c r="AF52" s="768"/>
      <c r="AG52" s="768"/>
      <c r="AH52" s="768"/>
      <c r="AI52" s="769"/>
      <c r="AJ52" s="761"/>
      <c r="AK52" s="762"/>
      <c r="AL52" s="762"/>
      <c r="AM52" s="763"/>
      <c r="AN52" s="767"/>
      <c r="AO52" s="768"/>
      <c r="AP52" s="769"/>
      <c r="AQ52" s="767"/>
      <c r="AR52" s="768"/>
      <c r="AS52" s="773"/>
      <c r="AT52" s="207"/>
      <c r="AV52" s="714"/>
      <c r="AW52" s="714"/>
      <c r="AX52" s="730" t="s">
        <v>1045</v>
      </c>
      <c r="AY52" s="730"/>
      <c r="AZ52" s="730"/>
      <c r="BA52" s="730"/>
      <c r="BB52" s="730"/>
      <c r="BC52" s="730"/>
      <c r="BD52" s="730"/>
      <c r="BE52" s="730"/>
      <c r="BF52" s="730"/>
      <c r="BG52" s="730"/>
      <c r="BH52" s="730"/>
      <c r="BI52" s="730"/>
      <c r="BJ52" s="730"/>
      <c r="BK52" s="730"/>
      <c r="BL52" s="730"/>
      <c r="BM52" s="730"/>
      <c r="BN52" s="715">
        <f>BR52+BU52+BX52+CA52</f>
        <v>1</v>
      </c>
      <c r="BO52" s="716"/>
      <c r="BP52" s="717"/>
      <c r="BQ52" s="712" t="s">
        <v>20</v>
      </c>
      <c r="BR52" s="711">
        <f>IF(Engine!AF27,NÍVEL+3,MEIO.NÍVEL)</f>
        <v>0</v>
      </c>
      <c r="BS52" s="711"/>
      <c r="BT52" s="712" t="s">
        <v>21</v>
      </c>
      <c r="BU52" s="711">
        <f>mod.Car</f>
        <v>1</v>
      </c>
      <c r="BV52" s="711"/>
      <c r="BW52" s="712" t="s">
        <v>21</v>
      </c>
      <c r="BX52" s="713"/>
      <c r="BY52" s="713"/>
      <c r="BZ52" s="712" t="s">
        <v>21</v>
      </c>
      <c r="CA52" s="711">
        <f>penalidade.armadura+penalidade.escudo+penalidade.carga</f>
        <v>0</v>
      </c>
      <c r="CB52" s="711"/>
    </row>
    <row r="53" spans="1:80" ht="8.1" customHeight="1" x14ac:dyDescent="0.25">
      <c r="A53" s="207"/>
      <c r="B53" s="758"/>
      <c r="C53" s="759"/>
      <c r="D53" s="759"/>
      <c r="E53" s="759"/>
      <c r="F53" s="759"/>
      <c r="G53" s="759"/>
      <c r="H53" s="759"/>
      <c r="I53" s="759"/>
      <c r="J53" s="759"/>
      <c r="K53" s="759"/>
      <c r="L53" s="759"/>
      <c r="M53" s="759"/>
      <c r="N53" s="759"/>
      <c r="O53" s="759"/>
      <c r="P53" s="759"/>
      <c r="Q53" s="759"/>
      <c r="R53" s="759"/>
      <c r="S53" s="760"/>
      <c r="T53" s="764"/>
      <c r="U53" s="765"/>
      <c r="V53" s="765"/>
      <c r="W53" s="765"/>
      <c r="X53" s="765"/>
      <c r="Y53" s="766"/>
      <c r="Z53" s="770"/>
      <c r="AA53" s="771"/>
      <c r="AB53" s="771"/>
      <c r="AC53" s="771"/>
      <c r="AD53" s="771"/>
      <c r="AE53" s="771"/>
      <c r="AF53" s="771"/>
      <c r="AG53" s="771"/>
      <c r="AH53" s="771"/>
      <c r="AI53" s="772"/>
      <c r="AJ53" s="764"/>
      <c r="AK53" s="765"/>
      <c r="AL53" s="765"/>
      <c r="AM53" s="766"/>
      <c r="AN53" s="770"/>
      <c r="AO53" s="771"/>
      <c r="AP53" s="772"/>
      <c r="AQ53" s="770"/>
      <c r="AR53" s="771"/>
      <c r="AS53" s="774"/>
      <c r="AT53" s="207"/>
      <c r="AV53" s="714"/>
      <c r="AW53" s="714"/>
      <c r="AX53" s="730"/>
      <c r="AY53" s="730"/>
      <c r="AZ53" s="730"/>
      <c r="BA53" s="730"/>
      <c r="BB53" s="730"/>
      <c r="BC53" s="730"/>
      <c r="BD53" s="730"/>
      <c r="BE53" s="730"/>
      <c r="BF53" s="730"/>
      <c r="BG53" s="730"/>
      <c r="BH53" s="730"/>
      <c r="BI53" s="730"/>
      <c r="BJ53" s="730"/>
      <c r="BK53" s="730"/>
      <c r="BL53" s="730"/>
      <c r="BM53" s="730"/>
      <c r="BN53" s="718"/>
      <c r="BO53" s="719"/>
      <c r="BP53" s="720"/>
      <c r="BQ53" s="712"/>
      <c r="BR53" s="711"/>
      <c r="BS53" s="711"/>
      <c r="BT53" s="712"/>
      <c r="BU53" s="711"/>
      <c r="BV53" s="711"/>
      <c r="BW53" s="712"/>
      <c r="BX53" s="713"/>
      <c r="BY53" s="713"/>
      <c r="BZ53" s="712"/>
      <c r="CA53" s="711"/>
      <c r="CB53" s="711"/>
    </row>
    <row r="54" spans="1:80" ht="8.1" customHeight="1" x14ac:dyDescent="0.25">
      <c r="A54" s="207"/>
      <c r="B54" s="739" t="s">
        <v>602</v>
      </c>
      <c r="C54" s="740"/>
      <c r="D54" s="740"/>
      <c r="E54" s="743"/>
      <c r="F54" s="744"/>
      <c r="G54" s="744"/>
      <c r="H54" s="744"/>
      <c r="I54" s="744"/>
      <c r="J54" s="744"/>
      <c r="K54" s="744"/>
      <c r="L54" s="744"/>
      <c r="M54" s="744"/>
      <c r="N54" s="744"/>
      <c r="O54" s="744"/>
      <c r="P54" s="744"/>
      <c r="Q54" s="744"/>
      <c r="R54" s="744"/>
      <c r="S54" s="744"/>
      <c r="T54" s="744"/>
      <c r="U54" s="744"/>
      <c r="V54" s="744"/>
      <c r="W54" s="744"/>
      <c r="X54" s="744"/>
      <c r="Y54" s="744"/>
      <c r="Z54" s="744"/>
      <c r="AA54" s="744"/>
      <c r="AB54" s="744"/>
      <c r="AC54" s="744"/>
      <c r="AD54" s="744"/>
      <c r="AE54" s="744"/>
      <c r="AF54" s="744"/>
      <c r="AG54" s="744"/>
      <c r="AH54" s="744"/>
      <c r="AI54" s="744"/>
      <c r="AJ54" s="744"/>
      <c r="AK54" s="744"/>
      <c r="AL54" s="744"/>
      <c r="AM54" s="747" t="s">
        <v>604</v>
      </c>
      <c r="AN54" s="747"/>
      <c r="AO54" s="747"/>
      <c r="AP54" s="748">
        <v>0</v>
      </c>
      <c r="AQ54" s="751">
        <v>0</v>
      </c>
      <c r="AR54" s="751"/>
      <c r="AS54" s="226"/>
      <c r="AT54" s="207"/>
      <c r="AV54" s="710"/>
      <c r="AW54" s="710"/>
      <c r="AX54" s="721" t="s">
        <v>490</v>
      </c>
      <c r="AY54" s="721"/>
      <c r="AZ54" s="721"/>
      <c r="BA54" s="721"/>
      <c r="BB54" s="721"/>
      <c r="BC54" s="721"/>
      <c r="BD54" s="721"/>
      <c r="BE54" s="721"/>
      <c r="BF54" s="721"/>
      <c r="BG54" s="721"/>
      <c r="BH54" s="721"/>
      <c r="BI54" s="721"/>
      <c r="BJ54" s="721"/>
      <c r="BK54" s="721"/>
      <c r="BL54" s="721"/>
      <c r="BM54" s="721"/>
      <c r="BN54" s="722" t="str">
        <f>IF(Engine!AF21,BR54+BU54+BX54+CA54,"X")</f>
        <v>X</v>
      </c>
      <c r="BO54" s="723"/>
      <c r="BP54" s="724"/>
      <c r="BQ54" s="728" t="s">
        <v>20</v>
      </c>
      <c r="BR54" s="729">
        <f>IF(Engine!AF21,NÍVEL+3,MEIO.NÍVEL)</f>
        <v>0</v>
      </c>
      <c r="BS54" s="729"/>
      <c r="BT54" s="728" t="s">
        <v>21</v>
      </c>
      <c r="BU54" s="729">
        <f>mod.Des</f>
        <v>0</v>
      </c>
      <c r="BV54" s="729"/>
      <c r="BW54" s="728" t="s">
        <v>21</v>
      </c>
      <c r="BX54" s="976"/>
      <c r="BY54" s="976"/>
      <c r="BZ54" s="728" t="s">
        <v>21</v>
      </c>
      <c r="CA54" s="729">
        <f>penalidade.armadura+penalidade.escudo+penalidade.carga</f>
        <v>0</v>
      </c>
      <c r="CB54" s="729"/>
    </row>
    <row r="55" spans="1:80" ht="8.1" customHeight="1" thickBot="1" x14ac:dyDescent="0.3">
      <c r="A55" s="207"/>
      <c r="B55" s="741"/>
      <c r="C55" s="742"/>
      <c r="D55" s="742"/>
      <c r="E55" s="745"/>
      <c r="F55" s="746"/>
      <c r="G55" s="746"/>
      <c r="H55" s="746"/>
      <c r="I55" s="746"/>
      <c r="J55" s="746"/>
      <c r="K55" s="746"/>
      <c r="L55" s="746"/>
      <c r="M55" s="746"/>
      <c r="N55" s="746"/>
      <c r="O55" s="746"/>
      <c r="P55" s="746"/>
      <c r="Q55" s="746"/>
      <c r="R55" s="746"/>
      <c r="S55" s="746"/>
      <c r="T55" s="746"/>
      <c r="U55" s="746"/>
      <c r="V55" s="746"/>
      <c r="W55" s="746"/>
      <c r="X55" s="746"/>
      <c r="Y55" s="746"/>
      <c r="Z55" s="746"/>
      <c r="AA55" s="746"/>
      <c r="AB55" s="746"/>
      <c r="AC55" s="746"/>
      <c r="AD55" s="746"/>
      <c r="AE55" s="746"/>
      <c r="AF55" s="746"/>
      <c r="AG55" s="746"/>
      <c r="AH55" s="746"/>
      <c r="AI55" s="746"/>
      <c r="AJ55" s="746"/>
      <c r="AK55" s="746"/>
      <c r="AL55" s="746"/>
      <c r="AM55" s="749"/>
      <c r="AN55" s="749"/>
      <c r="AO55" s="749"/>
      <c r="AP55" s="750"/>
      <c r="AQ55" s="752"/>
      <c r="AR55" s="752"/>
      <c r="AS55" s="227"/>
      <c r="AT55" s="207"/>
      <c r="AV55" s="710"/>
      <c r="AW55" s="710"/>
      <c r="AX55" s="721"/>
      <c r="AY55" s="721"/>
      <c r="AZ55" s="721"/>
      <c r="BA55" s="721"/>
      <c r="BB55" s="721"/>
      <c r="BC55" s="721"/>
      <c r="BD55" s="721"/>
      <c r="BE55" s="721"/>
      <c r="BF55" s="721"/>
      <c r="BG55" s="721"/>
      <c r="BH55" s="721"/>
      <c r="BI55" s="721"/>
      <c r="BJ55" s="721"/>
      <c r="BK55" s="721"/>
      <c r="BL55" s="721"/>
      <c r="BM55" s="721"/>
      <c r="BN55" s="725"/>
      <c r="BO55" s="726"/>
      <c r="BP55" s="727"/>
      <c r="BQ55" s="728"/>
      <c r="BR55" s="729"/>
      <c r="BS55" s="729"/>
      <c r="BT55" s="728"/>
      <c r="BU55" s="729"/>
      <c r="BV55" s="729"/>
      <c r="BW55" s="728"/>
      <c r="BX55" s="976"/>
      <c r="BY55" s="976"/>
      <c r="BZ55" s="728"/>
      <c r="CA55" s="729"/>
      <c r="CB55" s="729"/>
    </row>
    <row r="56" spans="1:80" ht="8.1" customHeight="1" x14ac:dyDescent="0.25">
      <c r="A56" s="207"/>
      <c r="B56" s="755"/>
      <c r="C56" s="756"/>
      <c r="D56" s="756"/>
      <c r="E56" s="756"/>
      <c r="F56" s="756"/>
      <c r="G56" s="756"/>
      <c r="H56" s="756"/>
      <c r="I56" s="756"/>
      <c r="J56" s="756"/>
      <c r="K56" s="756"/>
      <c r="L56" s="756"/>
      <c r="M56" s="756"/>
      <c r="N56" s="756"/>
      <c r="O56" s="756"/>
      <c r="P56" s="756"/>
      <c r="Q56" s="756"/>
      <c r="R56" s="756"/>
      <c r="S56" s="757"/>
      <c r="T56" s="761"/>
      <c r="U56" s="762"/>
      <c r="V56" s="762"/>
      <c r="W56" s="762"/>
      <c r="X56" s="762"/>
      <c r="Y56" s="763"/>
      <c r="Z56" s="767"/>
      <c r="AA56" s="768"/>
      <c r="AB56" s="768"/>
      <c r="AC56" s="768"/>
      <c r="AD56" s="768"/>
      <c r="AE56" s="768"/>
      <c r="AF56" s="768"/>
      <c r="AG56" s="768"/>
      <c r="AH56" s="768"/>
      <c r="AI56" s="769"/>
      <c r="AJ56" s="761"/>
      <c r="AK56" s="762"/>
      <c r="AL56" s="762"/>
      <c r="AM56" s="763"/>
      <c r="AN56" s="767"/>
      <c r="AO56" s="768"/>
      <c r="AP56" s="769"/>
      <c r="AQ56" s="767"/>
      <c r="AR56" s="768"/>
      <c r="AS56" s="773"/>
      <c r="AT56" s="207"/>
      <c r="AV56" s="714"/>
      <c r="AW56" s="714"/>
      <c r="AX56" s="730" t="s">
        <v>51</v>
      </c>
      <c r="AY56" s="730"/>
      <c r="AZ56" s="730"/>
      <c r="BA56" s="730"/>
      <c r="BB56" s="730"/>
      <c r="BC56" s="730"/>
      <c r="BD56" s="730"/>
      <c r="BE56" s="730"/>
      <c r="BF56" s="730"/>
      <c r="BG56" s="730"/>
      <c r="BH56" s="730"/>
      <c r="BI56" s="730"/>
      <c r="BJ56" s="730"/>
      <c r="BK56" s="730"/>
      <c r="BL56" s="730"/>
      <c r="BM56" s="731"/>
      <c r="BN56" s="715">
        <f>BR56+BU56+BX56+CA56</f>
        <v>1</v>
      </c>
      <c r="BO56" s="716"/>
      <c r="BP56" s="717"/>
      <c r="BQ56" s="732" t="s">
        <v>20</v>
      </c>
      <c r="BR56" s="711">
        <f>IF(Engine!AF22,NÍVEL+3,MEIO.NÍVEL)</f>
        <v>0</v>
      </c>
      <c r="BS56" s="711"/>
      <c r="BT56" s="712" t="s">
        <v>21</v>
      </c>
      <c r="BU56" s="711">
        <f>mod.Car</f>
        <v>1</v>
      </c>
      <c r="BV56" s="711"/>
      <c r="BW56" s="712" t="s">
        <v>21</v>
      </c>
      <c r="BX56" s="992"/>
      <c r="BY56" s="992"/>
      <c r="BZ56" s="712" t="s">
        <v>21</v>
      </c>
      <c r="CA56" s="711"/>
      <c r="CB56" s="711"/>
    </row>
    <row r="57" spans="1:80" ht="8.1" customHeight="1" x14ac:dyDescent="0.25">
      <c r="A57" s="207"/>
      <c r="B57" s="758"/>
      <c r="C57" s="759"/>
      <c r="D57" s="759"/>
      <c r="E57" s="759"/>
      <c r="F57" s="759"/>
      <c r="G57" s="759"/>
      <c r="H57" s="759"/>
      <c r="I57" s="759"/>
      <c r="J57" s="759"/>
      <c r="K57" s="759"/>
      <c r="L57" s="759"/>
      <c r="M57" s="759"/>
      <c r="N57" s="759"/>
      <c r="O57" s="759"/>
      <c r="P57" s="759"/>
      <c r="Q57" s="759"/>
      <c r="R57" s="759"/>
      <c r="S57" s="760"/>
      <c r="T57" s="764"/>
      <c r="U57" s="765"/>
      <c r="V57" s="765"/>
      <c r="W57" s="765"/>
      <c r="X57" s="765"/>
      <c r="Y57" s="766"/>
      <c r="Z57" s="770"/>
      <c r="AA57" s="771"/>
      <c r="AB57" s="771"/>
      <c r="AC57" s="771"/>
      <c r="AD57" s="771"/>
      <c r="AE57" s="771"/>
      <c r="AF57" s="771"/>
      <c r="AG57" s="771"/>
      <c r="AH57" s="771"/>
      <c r="AI57" s="772"/>
      <c r="AJ57" s="764"/>
      <c r="AK57" s="765"/>
      <c r="AL57" s="765"/>
      <c r="AM57" s="766"/>
      <c r="AN57" s="770"/>
      <c r="AO57" s="771"/>
      <c r="AP57" s="772"/>
      <c r="AQ57" s="770"/>
      <c r="AR57" s="771"/>
      <c r="AS57" s="774"/>
      <c r="AT57" s="207"/>
      <c r="AV57" s="714"/>
      <c r="AW57" s="714"/>
      <c r="AX57" s="730"/>
      <c r="AY57" s="730"/>
      <c r="AZ57" s="730"/>
      <c r="BA57" s="730"/>
      <c r="BB57" s="730"/>
      <c r="BC57" s="730"/>
      <c r="BD57" s="730"/>
      <c r="BE57" s="730"/>
      <c r="BF57" s="730"/>
      <c r="BG57" s="730"/>
      <c r="BH57" s="730"/>
      <c r="BI57" s="730"/>
      <c r="BJ57" s="730"/>
      <c r="BK57" s="730"/>
      <c r="BL57" s="730"/>
      <c r="BM57" s="731"/>
      <c r="BN57" s="718"/>
      <c r="BO57" s="719"/>
      <c r="BP57" s="720"/>
      <c r="BQ57" s="732"/>
      <c r="BR57" s="711"/>
      <c r="BS57" s="711"/>
      <c r="BT57" s="712"/>
      <c r="BU57" s="711"/>
      <c r="BV57" s="711"/>
      <c r="BW57" s="712"/>
      <c r="BX57" s="993"/>
      <c r="BY57" s="993"/>
      <c r="BZ57" s="712"/>
      <c r="CA57" s="711"/>
      <c r="CB57" s="711"/>
    </row>
    <row r="58" spans="1:80" ht="8.1" customHeight="1" x14ac:dyDescent="0.25">
      <c r="A58" s="207"/>
      <c r="B58" s="739" t="s">
        <v>602</v>
      </c>
      <c r="C58" s="740"/>
      <c r="D58" s="740"/>
      <c r="E58" s="743"/>
      <c r="F58" s="744"/>
      <c r="G58" s="744"/>
      <c r="H58" s="744"/>
      <c r="I58" s="744"/>
      <c r="J58" s="744"/>
      <c r="K58" s="744"/>
      <c r="L58" s="744"/>
      <c r="M58" s="744"/>
      <c r="N58" s="744"/>
      <c r="O58" s="744"/>
      <c r="P58" s="744"/>
      <c r="Q58" s="744"/>
      <c r="R58" s="744"/>
      <c r="S58" s="744"/>
      <c r="T58" s="744"/>
      <c r="U58" s="744"/>
      <c r="V58" s="744"/>
      <c r="W58" s="744"/>
      <c r="X58" s="744"/>
      <c r="Y58" s="744"/>
      <c r="Z58" s="744"/>
      <c r="AA58" s="744"/>
      <c r="AB58" s="744"/>
      <c r="AC58" s="744"/>
      <c r="AD58" s="744"/>
      <c r="AE58" s="744"/>
      <c r="AF58" s="744"/>
      <c r="AG58" s="744"/>
      <c r="AH58" s="744"/>
      <c r="AI58" s="744"/>
      <c r="AJ58" s="744"/>
      <c r="AK58" s="744"/>
      <c r="AL58" s="744"/>
      <c r="AM58" s="747" t="s">
        <v>604</v>
      </c>
      <c r="AN58" s="747"/>
      <c r="AO58" s="747"/>
      <c r="AP58" s="748">
        <v>0</v>
      </c>
      <c r="AQ58" s="751">
        <v>0</v>
      </c>
      <c r="AR58" s="751"/>
      <c r="AS58" s="226"/>
      <c r="AT58" s="207"/>
      <c r="AV58" s="710"/>
      <c r="AW58" s="710"/>
      <c r="AX58" s="721" t="s">
        <v>491</v>
      </c>
      <c r="AY58" s="721"/>
      <c r="AZ58" s="721"/>
      <c r="BA58" s="721"/>
      <c r="BB58" s="987" t="s">
        <v>518</v>
      </c>
      <c r="BC58" s="987"/>
      <c r="BD58" s="987"/>
      <c r="BE58" s="987"/>
      <c r="BF58" s="987"/>
      <c r="BG58" s="987"/>
      <c r="BH58" s="987"/>
      <c r="BI58" s="987"/>
      <c r="BJ58" s="987"/>
      <c r="BK58" s="721" t="s">
        <v>44</v>
      </c>
      <c r="BL58" s="721"/>
      <c r="BM58" s="990"/>
      <c r="BN58" s="722">
        <f>BR58+BU58+BX58+CA58</f>
        <v>0</v>
      </c>
      <c r="BO58" s="723"/>
      <c r="BP58" s="724"/>
      <c r="BQ58" s="728" t="s">
        <v>20</v>
      </c>
      <c r="BR58" s="729">
        <f>IF(Engine!AF23,NÍVEL+3,MEIO.NÍVEL)</f>
        <v>0</v>
      </c>
      <c r="BS58" s="729"/>
      <c r="BT58" s="728" t="s">
        <v>21</v>
      </c>
      <c r="BU58" s="729">
        <f>mod.Int</f>
        <v>0</v>
      </c>
      <c r="BV58" s="729"/>
      <c r="BW58" s="728" t="s">
        <v>21</v>
      </c>
      <c r="BX58" s="976"/>
      <c r="BY58" s="976"/>
      <c r="BZ58" s="728" t="s">
        <v>21</v>
      </c>
      <c r="CA58" s="729"/>
      <c r="CB58" s="729"/>
    </row>
    <row r="59" spans="1:80" ht="8.1" customHeight="1" thickBot="1" x14ac:dyDescent="0.3">
      <c r="A59" s="207"/>
      <c r="B59" s="741"/>
      <c r="C59" s="742"/>
      <c r="D59" s="742"/>
      <c r="E59" s="745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46"/>
      <c r="AB59" s="746"/>
      <c r="AC59" s="746"/>
      <c r="AD59" s="746"/>
      <c r="AE59" s="746"/>
      <c r="AF59" s="746"/>
      <c r="AG59" s="746"/>
      <c r="AH59" s="746"/>
      <c r="AI59" s="746"/>
      <c r="AJ59" s="746"/>
      <c r="AK59" s="746"/>
      <c r="AL59" s="746"/>
      <c r="AM59" s="749"/>
      <c r="AN59" s="749"/>
      <c r="AO59" s="749"/>
      <c r="AP59" s="750"/>
      <c r="AQ59" s="752"/>
      <c r="AR59" s="752"/>
      <c r="AS59" s="227"/>
      <c r="AT59" s="207"/>
      <c r="AV59" s="710"/>
      <c r="AW59" s="710"/>
      <c r="AX59" s="721"/>
      <c r="AY59" s="721"/>
      <c r="AZ59" s="721"/>
      <c r="BA59" s="721"/>
      <c r="BB59" s="987"/>
      <c r="BC59" s="987"/>
      <c r="BD59" s="987"/>
      <c r="BE59" s="987"/>
      <c r="BF59" s="987"/>
      <c r="BG59" s="987"/>
      <c r="BH59" s="987"/>
      <c r="BI59" s="987"/>
      <c r="BJ59" s="987"/>
      <c r="BK59" s="721"/>
      <c r="BL59" s="721"/>
      <c r="BM59" s="990"/>
      <c r="BN59" s="725"/>
      <c r="BO59" s="726"/>
      <c r="BP59" s="727"/>
      <c r="BQ59" s="728"/>
      <c r="BR59" s="729"/>
      <c r="BS59" s="729"/>
      <c r="BT59" s="728"/>
      <c r="BU59" s="729"/>
      <c r="BV59" s="729"/>
      <c r="BW59" s="728"/>
      <c r="BX59" s="976"/>
      <c r="BY59" s="976"/>
      <c r="BZ59" s="728"/>
      <c r="CA59" s="729"/>
      <c r="CB59" s="729"/>
    </row>
    <row r="60" spans="1:80" ht="8.1" customHeight="1" x14ac:dyDescent="0.25">
      <c r="A60" s="207"/>
      <c r="B60" s="755"/>
      <c r="C60" s="756"/>
      <c r="D60" s="756"/>
      <c r="E60" s="756"/>
      <c r="F60" s="756"/>
      <c r="G60" s="756"/>
      <c r="H60" s="756"/>
      <c r="I60" s="756"/>
      <c r="J60" s="756"/>
      <c r="K60" s="756"/>
      <c r="L60" s="756"/>
      <c r="M60" s="756"/>
      <c r="N60" s="756"/>
      <c r="O60" s="756"/>
      <c r="P60" s="756"/>
      <c r="Q60" s="756"/>
      <c r="R60" s="756"/>
      <c r="S60" s="757"/>
      <c r="T60" s="761"/>
      <c r="U60" s="762"/>
      <c r="V60" s="762"/>
      <c r="W60" s="762"/>
      <c r="X60" s="762"/>
      <c r="Y60" s="763"/>
      <c r="Z60" s="767"/>
      <c r="AA60" s="768"/>
      <c r="AB60" s="768"/>
      <c r="AC60" s="768"/>
      <c r="AD60" s="768"/>
      <c r="AE60" s="768"/>
      <c r="AF60" s="768"/>
      <c r="AG60" s="768"/>
      <c r="AH60" s="768"/>
      <c r="AI60" s="769"/>
      <c r="AJ60" s="761"/>
      <c r="AK60" s="762"/>
      <c r="AL60" s="762"/>
      <c r="AM60" s="763"/>
      <c r="AN60" s="767"/>
      <c r="AO60" s="768"/>
      <c r="AP60" s="769"/>
      <c r="AQ60" s="767"/>
      <c r="AR60" s="768"/>
      <c r="AS60" s="773"/>
      <c r="AT60" s="207"/>
      <c r="AV60" s="714"/>
      <c r="AW60" s="714"/>
      <c r="AX60" s="730" t="s">
        <v>491</v>
      </c>
      <c r="AY60" s="730"/>
      <c r="AZ60" s="730"/>
      <c r="BA60" s="730"/>
      <c r="BB60" s="987" t="s">
        <v>518</v>
      </c>
      <c r="BC60" s="987"/>
      <c r="BD60" s="987"/>
      <c r="BE60" s="987"/>
      <c r="BF60" s="987"/>
      <c r="BG60" s="987"/>
      <c r="BH60" s="987"/>
      <c r="BI60" s="987"/>
      <c r="BJ60" s="987"/>
      <c r="BK60" s="730" t="s">
        <v>44</v>
      </c>
      <c r="BL60" s="730"/>
      <c r="BM60" s="731"/>
      <c r="BN60" s="715">
        <f>BR60+BU60+BX60+CA60</f>
        <v>0</v>
      </c>
      <c r="BO60" s="716"/>
      <c r="BP60" s="717"/>
      <c r="BQ60" s="732" t="s">
        <v>20</v>
      </c>
      <c r="BR60" s="711">
        <f>IF(Engine!AF24,NÍVEL+3,MEIO.NÍVEL)</f>
        <v>0</v>
      </c>
      <c r="BS60" s="711"/>
      <c r="BT60" s="712" t="s">
        <v>21</v>
      </c>
      <c r="BU60" s="711">
        <f>mod.Int</f>
        <v>0</v>
      </c>
      <c r="BV60" s="711"/>
      <c r="BW60" s="712" t="s">
        <v>21</v>
      </c>
      <c r="BX60" s="992"/>
      <c r="BY60" s="992"/>
      <c r="BZ60" s="712" t="s">
        <v>21</v>
      </c>
      <c r="CA60" s="711"/>
      <c r="CB60" s="711"/>
    </row>
    <row r="61" spans="1:80" ht="8.1" customHeight="1" x14ac:dyDescent="0.25">
      <c r="A61" s="207"/>
      <c r="B61" s="758"/>
      <c r="C61" s="759"/>
      <c r="D61" s="759"/>
      <c r="E61" s="759"/>
      <c r="F61" s="759"/>
      <c r="G61" s="759"/>
      <c r="H61" s="759"/>
      <c r="I61" s="759"/>
      <c r="J61" s="759"/>
      <c r="K61" s="759"/>
      <c r="L61" s="759"/>
      <c r="M61" s="759"/>
      <c r="N61" s="759"/>
      <c r="O61" s="759"/>
      <c r="P61" s="759"/>
      <c r="Q61" s="759"/>
      <c r="R61" s="759"/>
      <c r="S61" s="760"/>
      <c r="T61" s="764"/>
      <c r="U61" s="765"/>
      <c r="V61" s="765"/>
      <c r="W61" s="765"/>
      <c r="X61" s="765"/>
      <c r="Y61" s="766"/>
      <c r="Z61" s="770"/>
      <c r="AA61" s="771"/>
      <c r="AB61" s="771"/>
      <c r="AC61" s="771"/>
      <c r="AD61" s="771"/>
      <c r="AE61" s="771"/>
      <c r="AF61" s="771"/>
      <c r="AG61" s="771"/>
      <c r="AH61" s="771"/>
      <c r="AI61" s="772"/>
      <c r="AJ61" s="764"/>
      <c r="AK61" s="765"/>
      <c r="AL61" s="765"/>
      <c r="AM61" s="766"/>
      <c r="AN61" s="770"/>
      <c r="AO61" s="771"/>
      <c r="AP61" s="772"/>
      <c r="AQ61" s="770"/>
      <c r="AR61" s="771"/>
      <c r="AS61" s="774"/>
      <c r="AT61" s="207"/>
      <c r="AV61" s="714"/>
      <c r="AW61" s="714"/>
      <c r="AX61" s="730"/>
      <c r="AY61" s="730"/>
      <c r="AZ61" s="730"/>
      <c r="BA61" s="730"/>
      <c r="BB61" s="987"/>
      <c r="BC61" s="987"/>
      <c r="BD61" s="987"/>
      <c r="BE61" s="987"/>
      <c r="BF61" s="987"/>
      <c r="BG61" s="987"/>
      <c r="BH61" s="987"/>
      <c r="BI61" s="987"/>
      <c r="BJ61" s="987"/>
      <c r="BK61" s="730"/>
      <c r="BL61" s="730"/>
      <c r="BM61" s="731"/>
      <c r="BN61" s="718"/>
      <c r="BO61" s="719"/>
      <c r="BP61" s="720"/>
      <c r="BQ61" s="732"/>
      <c r="BR61" s="711"/>
      <c r="BS61" s="711"/>
      <c r="BT61" s="712"/>
      <c r="BU61" s="711"/>
      <c r="BV61" s="711"/>
      <c r="BW61" s="712"/>
      <c r="BX61" s="993"/>
      <c r="BY61" s="993"/>
      <c r="BZ61" s="712"/>
      <c r="CA61" s="711"/>
      <c r="CB61" s="711"/>
    </row>
    <row r="62" spans="1:80" ht="8.1" customHeight="1" x14ac:dyDescent="0.25">
      <c r="A62" s="207"/>
      <c r="B62" s="739" t="s">
        <v>602</v>
      </c>
      <c r="C62" s="740"/>
      <c r="D62" s="740"/>
      <c r="E62" s="743"/>
      <c r="F62" s="744"/>
      <c r="G62" s="744"/>
      <c r="H62" s="744"/>
      <c r="I62" s="744"/>
      <c r="J62" s="744"/>
      <c r="K62" s="744"/>
      <c r="L62" s="744"/>
      <c r="M62" s="744"/>
      <c r="N62" s="744"/>
      <c r="O62" s="744"/>
      <c r="P62" s="744"/>
      <c r="Q62" s="744"/>
      <c r="R62" s="744"/>
      <c r="S62" s="744"/>
      <c r="T62" s="744"/>
      <c r="U62" s="744"/>
      <c r="V62" s="744"/>
      <c r="W62" s="744"/>
      <c r="X62" s="744"/>
      <c r="Y62" s="744"/>
      <c r="Z62" s="744"/>
      <c r="AA62" s="744"/>
      <c r="AB62" s="744"/>
      <c r="AC62" s="744"/>
      <c r="AD62" s="744"/>
      <c r="AE62" s="744"/>
      <c r="AF62" s="744"/>
      <c r="AG62" s="744"/>
      <c r="AH62" s="744"/>
      <c r="AI62" s="744"/>
      <c r="AJ62" s="744"/>
      <c r="AK62" s="744"/>
      <c r="AL62" s="744"/>
      <c r="AM62" s="747" t="s">
        <v>604</v>
      </c>
      <c r="AN62" s="747"/>
      <c r="AO62" s="747"/>
      <c r="AP62" s="748">
        <v>0</v>
      </c>
      <c r="AQ62" s="751">
        <v>0</v>
      </c>
      <c r="AR62" s="751"/>
      <c r="AS62" s="226"/>
      <c r="AT62" s="207"/>
      <c r="AV62" s="710"/>
      <c r="AW62" s="710"/>
      <c r="AX62" s="721" t="s">
        <v>52</v>
      </c>
      <c r="AY62" s="721"/>
      <c r="AZ62" s="721"/>
      <c r="BA62" s="721"/>
      <c r="BB62" s="721"/>
      <c r="BC62" s="721"/>
      <c r="BD62" s="721"/>
      <c r="BE62" s="721"/>
      <c r="BF62" s="721"/>
      <c r="BG62" s="721"/>
      <c r="BH62" s="721"/>
      <c r="BI62" s="721"/>
      <c r="BJ62" s="721"/>
      <c r="BK62" s="721"/>
      <c r="BL62" s="721"/>
      <c r="BM62" s="721"/>
      <c r="BN62" s="722">
        <f>BR62+BU62+BX62+CA62</f>
        <v>2</v>
      </c>
      <c r="BO62" s="723"/>
      <c r="BP62" s="724"/>
      <c r="BQ62" s="728" t="s">
        <v>20</v>
      </c>
      <c r="BR62" s="729">
        <f>IF(Engine!AF25,NÍVEL+3,MEIO.NÍVEL)</f>
        <v>0</v>
      </c>
      <c r="BS62" s="729"/>
      <c r="BT62" s="728" t="s">
        <v>21</v>
      </c>
      <c r="BU62" s="729">
        <f>mod.Sab</f>
        <v>2</v>
      </c>
      <c r="BV62" s="729"/>
      <c r="BW62" s="728" t="s">
        <v>21</v>
      </c>
      <c r="BX62" s="976"/>
      <c r="BY62" s="976"/>
      <c r="BZ62" s="728" t="s">
        <v>21</v>
      </c>
      <c r="CA62" s="729"/>
      <c r="CB62" s="729"/>
    </row>
    <row r="63" spans="1:80" ht="8.1" customHeight="1" thickBot="1" x14ac:dyDescent="0.3">
      <c r="A63" s="207"/>
      <c r="B63" s="741"/>
      <c r="C63" s="742"/>
      <c r="D63" s="742"/>
      <c r="E63" s="745"/>
      <c r="F63" s="746"/>
      <c r="G63" s="746"/>
      <c r="H63" s="746"/>
      <c r="I63" s="746"/>
      <c r="J63" s="746"/>
      <c r="K63" s="746"/>
      <c r="L63" s="746"/>
      <c r="M63" s="746"/>
      <c r="N63" s="746"/>
      <c r="O63" s="746"/>
      <c r="P63" s="746"/>
      <c r="Q63" s="746"/>
      <c r="R63" s="746"/>
      <c r="S63" s="746"/>
      <c r="T63" s="746"/>
      <c r="U63" s="746"/>
      <c r="V63" s="746"/>
      <c r="W63" s="746"/>
      <c r="X63" s="746"/>
      <c r="Y63" s="746"/>
      <c r="Z63" s="746"/>
      <c r="AA63" s="746"/>
      <c r="AB63" s="746"/>
      <c r="AC63" s="746"/>
      <c r="AD63" s="746"/>
      <c r="AE63" s="746"/>
      <c r="AF63" s="746"/>
      <c r="AG63" s="746"/>
      <c r="AH63" s="746"/>
      <c r="AI63" s="746"/>
      <c r="AJ63" s="746"/>
      <c r="AK63" s="746"/>
      <c r="AL63" s="746"/>
      <c r="AM63" s="749"/>
      <c r="AN63" s="749"/>
      <c r="AO63" s="749"/>
      <c r="AP63" s="750"/>
      <c r="AQ63" s="752"/>
      <c r="AR63" s="752"/>
      <c r="AS63" s="227"/>
      <c r="AT63" s="207"/>
      <c r="AV63" s="710"/>
      <c r="AW63" s="710"/>
      <c r="AX63" s="721"/>
      <c r="AY63" s="721"/>
      <c r="AZ63" s="721"/>
      <c r="BA63" s="721"/>
      <c r="BB63" s="721"/>
      <c r="BC63" s="721"/>
      <c r="BD63" s="721"/>
      <c r="BE63" s="721"/>
      <c r="BF63" s="721"/>
      <c r="BG63" s="721"/>
      <c r="BH63" s="721"/>
      <c r="BI63" s="721"/>
      <c r="BJ63" s="721"/>
      <c r="BK63" s="721"/>
      <c r="BL63" s="721"/>
      <c r="BM63" s="721"/>
      <c r="BN63" s="725"/>
      <c r="BO63" s="726"/>
      <c r="BP63" s="727"/>
      <c r="BQ63" s="728"/>
      <c r="BR63" s="729"/>
      <c r="BS63" s="729"/>
      <c r="BT63" s="728"/>
      <c r="BU63" s="729"/>
      <c r="BV63" s="729"/>
      <c r="BW63" s="728"/>
      <c r="BX63" s="976"/>
      <c r="BY63" s="976"/>
      <c r="BZ63" s="728"/>
      <c r="CA63" s="729"/>
      <c r="CB63" s="729"/>
    </row>
    <row r="64" spans="1:80" ht="8.1" customHeight="1" x14ac:dyDescent="0.25">
      <c r="A64" s="207"/>
      <c r="B64" s="755"/>
      <c r="C64" s="756"/>
      <c r="D64" s="756"/>
      <c r="E64" s="756"/>
      <c r="F64" s="756"/>
      <c r="G64" s="756"/>
      <c r="H64" s="756"/>
      <c r="I64" s="756"/>
      <c r="J64" s="756"/>
      <c r="K64" s="756"/>
      <c r="L64" s="756"/>
      <c r="M64" s="756"/>
      <c r="N64" s="756"/>
      <c r="O64" s="756"/>
      <c r="P64" s="756"/>
      <c r="Q64" s="756"/>
      <c r="R64" s="756"/>
      <c r="S64" s="757"/>
      <c r="T64" s="761"/>
      <c r="U64" s="762"/>
      <c r="V64" s="762"/>
      <c r="W64" s="762"/>
      <c r="X64" s="762"/>
      <c r="Y64" s="763"/>
      <c r="Z64" s="767"/>
      <c r="AA64" s="768"/>
      <c r="AB64" s="768"/>
      <c r="AC64" s="768"/>
      <c r="AD64" s="768"/>
      <c r="AE64" s="768"/>
      <c r="AF64" s="768"/>
      <c r="AG64" s="768"/>
      <c r="AH64" s="768"/>
      <c r="AI64" s="769"/>
      <c r="AJ64" s="761"/>
      <c r="AK64" s="762"/>
      <c r="AL64" s="762"/>
      <c r="AM64" s="763"/>
      <c r="AN64" s="767"/>
      <c r="AO64" s="768"/>
      <c r="AP64" s="769"/>
      <c r="AQ64" s="767"/>
      <c r="AR64" s="768"/>
      <c r="AS64" s="773"/>
      <c r="AT64" s="207"/>
      <c r="AV64" s="714"/>
      <c r="AW64" s="714"/>
      <c r="AX64" s="730" t="s">
        <v>53</v>
      </c>
      <c r="AY64" s="730"/>
      <c r="AZ64" s="730"/>
      <c r="BA64" s="730"/>
      <c r="BB64" s="730"/>
      <c r="BC64" s="730"/>
      <c r="BD64" s="730"/>
      <c r="BE64" s="730"/>
      <c r="BF64" s="730"/>
      <c r="BG64" s="730"/>
      <c r="BH64" s="730"/>
      <c r="BI64" s="730"/>
      <c r="BJ64" s="730"/>
      <c r="BK64" s="730"/>
      <c r="BL64" s="730"/>
      <c r="BM64" s="731"/>
      <c r="BN64" s="715">
        <f>BR64+BU64+BX64+CA64</f>
        <v>2</v>
      </c>
      <c r="BO64" s="716"/>
      <c r="BP64" s="717"/>
      <c r="BQ64" s="732" t="s">
        <v>20</v>
      </c>
      <c r="BR64" s="711">
        <f>IF(Engine!AF26,NÍVEL+3,MEIO.NÍVEL)</f>
        <v>0</v>
      </c>
      <c r="BS64" s="711"/>
      <c r="BT64" s="712" t="s">
        <v>21</v>
      </c>
      <c r="BU64" s="711">
        <f>mod.Sab</f>
        <v>2</v>
      </c>
      <c r="BV64" s="711"/>
      <c r="BW64" s="712" t="s">
        <v>21</v>
      </c>
      <c r="BX64" s="992"/>
      <c r="BY64" s="992"/>
      <c r="BZ64" s="712" t="s">
        <v>21</v>
      </c>
      <c r="CA64" s="711"/>
      <c r="CB64" s="711"/>
    </row>
    <row r="65" spans="1:80" ht="8.1" customHeight="1" x14ac:dyDescent="0.25">
      <c r="A65" s="207"/>
      <c r="B65" s="758"/>
      <c r="C65" s="759"/>
      <c r="D65" s="759"/>
      <c r="E65" s="759"/>
      <c r="F65" s="759"/>
      <c r="G65" s="759"/>
      <c r="H65" s="759"/>
      <c r="I65" s="759"/>
      <c r="J65" s="759"/>
      <c r="K65" s="759"/>
      <c r="L65" s="759"/>
      <c r="M65" s="759"/>
      <c r="N65" s="759"/>
      <c r="O65" s="759"/>
      <c r="P65" s="759"/>
      <c r="Q65" s="759"/>
      <c r="R65" s="759"/>
      <c r="S65" s="760"/>
      <c r="T65" s="764"/>
      <c r="U65" s="765"/>
      <c r="V65" s="765"/>
      <c r="W65" s="765"/>
      <c r="X65" s="765"/>
      <c r="Y65" s="766"/>
      <c r="Z65" s="770"/>
      <c r="AA65" s="771"/>
      <c r="AB65" s="771"/>
      <c r="AC65" s="771"/>
      <c r="AD65" s="771"/>
      <c r="AE65" s="771"/>
      <c r="AF65" s="771"/>
      <c r="AG65" s="771"/>
      <c r="AH65" s="771"/>
      <c r="AI65" s="772"/>
      <c r="AJ65" s="764"/>
      <c r="AK65" s="765"/>
      <c r="AL65" s="765"/>
      <c r="AM65" s="766"/>
      <c r="AN65" s="770"/>
      <c r="AO65" s="771"/>
      <c r="AP65" s="772"/>
      <c r="AQ65" s="770"/>
      <c r="AR65" s="771"/>
      <c r="AS65" s="774"/>
      <c r="AT65" s="207"/>
      <c r="AV65" s="714"/>
      <c r="AW65" s="714"/>
      <c r="AX65" s="730"/>
      <c r="AY65" s="730"/>
      <c r="AZ65" s="730"/>
      <c r="BA65" s="730"/>
      <c r="BB65" s="730"/>
      <c r="BC65" s="730"/>
      <c r="BD65" s="730"/>
      <c r="BE65" s="730"/>
      <c r="BF65" s="730"/>
      <c r="BG65" s="730"/>
      <c r="BH65" s="730"/>
      <c r="BI65" s="730"/>
      <c r="BJ65" s="730"/>
      <c r="BK65" s="730"/>
      <c r="BL65" s="730"/>
      <c r="BM65" s="731"/>
      <c r="BN65" s="718"/>
      <c r="BO65" s="719"/>
      <c r="BP65" s="720"/>
      <c r="BQ65" s="732"/>
      <c r="BR65" s="711"/>
      <c r="BS65" s="711"/>
      <c r="BT65" s="712"/>
      <c r="BU65" s="711"/>
      <c r="BV65" s="711"/>
      <c r="BW65" s="712"/>
      <c r="BX65" s="993"/>
      <c r="BY65" s="993"/>
      <c r="BZ65" s="712"/>
      <c r="CA65" s="711"/>
      <c r="CB65" s="711"/>
    </row>
    <row r="66" spans="1:80" ht="8.1" customHeight="1" x14ac:dyDescent="0.25">
      <c r="A66" s="207"/>
      <c r="B66" s="739" t="s">
        <v>602</v>
      </c>
      <c r="C66" s="740"/>
      <c r="D66" s="740"/>
      <c r="E66" s="743"/>
      <c r="F66" s="744"/>
      <c r="G66" s="744"/>
      <c r="H66" s="744"/>
      <c r="I66" s="744"/>
      <c r="J66" s="744"/>
      <c r="K66" s="744"/>
      <c r="L66" s="744"/>
      <c r="M66" s="744"/>
      <c r="N66" s="744"/>
      <c r="O66" s="744"/>
      <c r="P66" s="744"/>
      <c r="Q66" s="744"/>
      <c r="R66" s="744"/>
      <c r="S66" s="744"/>
      <c r="T66" s="744"/>
      <c r="U66" s="744"/>
      <c r="V66" s="744"/>
      <c r="W66" s="744"/>
      <c r="X66" s="744"/>
      <c r="Y66" s="744"/>
      <c r="Z66" s="744"/>
      <c r="AA66" s="744"/>
      <c r="AB66" s="744"/>
      <c r="AC66" s="744"/>
      <c r="AD66" s="744"/>
      <c r="AE66" s="744"/>
      <c r="AF66" s="744"/>
      <c r="AG66" s="744"/>
      <c r="AH66" s="744"/>
      <c r="AI66" s="744"/>
      <c r="AJ66" s="744"/>
      <c r="AK66" s="744"/>
      <c r="AL66" s="744"/>
      <c r="AM66" s="747" t="s">
        <v>604</v>
      </c>
      <c r="AN66" s="747"/>
      <c r="AO66" s="747"/>
      <c r="AP66" s="748">
        <v>0</v>
      </c>
      <c r="AQ66" s="751">
        <v>0</v>
      </c>
      <c r="AR66" s="751"/>
      <c r="AS66" s="226"/>
      <c r="AT66" s="207"/>
      <c r="AV66" s="710"/>
      <c r="AW66" s="710"/>
      <c r="AX66" s="1009" t="s">
        <v>1156</v>
      </c>
      <c r="AY66" s="1009"/>
      <c r="AZ66" s="1009"/>
      <c r="BA66" s="1009"/>
      <c r="BB66" s="1009"/>
      <c r="BC66" s="1009"/>
      <c r="BD66" s="1009"/>
      <c r="BE66" s="1009"/>
      <c r="BF66" s="1009"/>
      <c r="BG66" s="1009"/>
      <c r="BH66" s="1009"/>
      <c r="BI66" s="1009"/>
      <c r="BJ66" s="1009"/>
      <c r="BK66" s="1011" t="s">
        <v>44</v>
      </c>
      <c r="BL66" s="1011"/>
      <c r="BM66" s="1012"/>
      <c r="BN66" s="722" t="str">
        <f>IF(Engine!AF28,BR66+BU66+BX66+CA66,"")</f>
        <v/>
      </c>
      <c r="BO66" s="723"/>
      <c r="BP66" s="724"/>
      <c r="BQ66" s="991" t="s">
        <v>20</v>
      </c>
      <c r="BR66" s="729">
        <f>IF(Engine!AF28,NÍVEL+3,MEIO.NÍVEL)</f>
        <v>0</v>
      </c>
      <c r="BS66" s="729"/>
      <c r="BT66" s="728" t="s">
        <v>21</v>
      </c>
      <c r="BU66" s="729">
        <f>VLOOKUP(BK66,TABELA.hab.chave,2,FALSE)</f>
        <v>0</v>
      </c>
      <c r="BV66" s="729"/>
      <c r="BW66" s="728" t="s">
        <v>21</v>
      </c>
      <c r="BX66" s="1015"/>
      <c r="BY66" s="1015"/>
      <c r="BZ66" s="728" t="s">
        <v>21</v>
      </c>
      <c r="CA66" s="729"/>
      <c r="CB66" s="729"/>
    </row>
    <row r="67" spans="1:80" ht="8.1" customHeight="1" thickBot="1" x14ac:dyDescent="0.3">
      <c r="A67" s="207"/>
      <c r="B67" s="741"/>
      <c r="C67" s="742"/>
      <c r="D67" s="742"/>
      <c r="E67" s="745"/>
      <c r="F67" s="746"/>
      <c r="G67" s="746"/>
      <c r="H67" s="746"/>
      <c r="I67" s="746"/>
      <c r="J67" s="746"/>
      <c r="K67" s="746"/>
      <c r="L67" s="746"/>
      <c r="M67" s="746"/>
      <c r="N67" s="746"/>
      <c r="O67" s="746"/>
      <c r="P67" s="746"/>
      <c r="Q67" s="746"/>
      <c r="R67" s="746"/>
      <c r="S67" s="746"/>
      <c r="T67" s="746"/>
      <c r="U67" s="746"/>
      <c r="V67" s="746"/>
      <c r="W67" s="746"/>
      <c r="X67" s="746"/>
      <c r="Y67" s="746"/>
      <c r="Z67" s="746"/>
      <c r="AA67" s="746"/>
      <c r="AB67" s="746"/>
      <c r="AC67" s="746"/>
      <c r="AD67" s="746"/>
      <c r="AE67" s="746"/>
      <c r="AF67" s="746"/>
      <c r="AG67" s="746"/>
      <c r="AH67" s="746"/>
      <c r="AI67" s="746"/>
      <c r="AJ67" s="746"/>
      <c r="AK67" s="746"/>
      <c r="AL67" s="746"/>
      <c r="AM67" s="749"/>
      <c r="AN67" s="749"/>
      <c r="AO67" s="749"/>
      <c r="AP67" s="750"/>
      <c r="AQ67" s="752"/>
      <c r="AR67" s="752"/>
      <c r="AS67" s="227"/>
      <c r="AT67" s="207"/>
      <c r="AV67" s="710"/>
      <c r="AW67" s="710"/>
      <c r="AX67" s="1010"/>
      <c r="AY67" s="1010"/>
      <c r="AZ67" s="1010"/>
      <c r="BA67" s="1010"/>
      <c r="BB67" s="1010"/>
      <c r="BC67" s="1010"/>
      <c r="BD67" s="1010"/>
      <c r="BE67" s="1010"/>
      <c r="BF67" s="1010"/>
      <c r="BG67" s="1010"/>
      <c r="BH67" s="1010"/>
      <c r="BI67" s="1010"/>
      <c r="BJ67" s="1010"/>
      <c r="BK67" s="1011"/>
      <c r="BL67" s="1011"/>
      <c r="BM67" s="1012"/>
      <c r="BN67" s="725"/>
      <c r="BO67" s="726"/>
      <c r="BP67" s="727"/>
      <c r="BQ67" s="991"/>
      <c r="BR67" s="729"/>
      <c r="BS67" s="729"/>
      <c r="BT67" s="728"/>
      <c r="BU67" s="729"/>
      <c r="BV67" s="729"/>
      <c r="BW67" s="728"/>
      <c r="BX67" s="975"/>
      <c r="BY67" s="975"/>
      <c r="BZ67" s="728"/>
      <c r="CA67" s="729"/>
      <c r="CB67" s="729"/>
    </row>
    <row r="68" spans="1:80" ht="8.1" customHeight="1" x14ac:dyDescent="0.25">
      <c r="A68" s="207"/>
      <c r="B68" s="753" t="s">
        <v>605</v>
      </c>
      <c r="C68" s="753"/>
      <c r="D68" s="753"/>
      <c r="E68" s="753"/>
      <c r="F68" s="753"/>
      <c r="G68" s="753"/>
      <c r="H68" s="753"/>
      <c r="I68" s="753"/>
      <c r="J68" s="753"/>
      <c r="K68" s="753"/>
      <c r="L68" s="753"/>
      <c r="M68" s="753"/>
      <c r="N68" s="753"/>
      <c r="O68" s="753"/>
      <c r="P68" s="753"/>
      <c r="Q68" s="809" t="s">
        <v>55</v>
      </c>
      <c r="R68" s="809"/>
      <c r="S68" s="809"/>
      <c r="T68" s="809"/>
      <c r="U68" s="809" t="s">
        <v>499</v>
      </c>
      <c r="V68" s="809"/>
      <c r="W68" s="809"/>
      <c r="X68" s="809"/>
      <c r="Y68" s="809" t="s">
        <v>500</v>
      </c>
      <c r="Z68" s="809"/>
      <c r="AA68" s="809"/>
      <c r="AB68" s="809"/>
      <c r="AC68" s="809" t="s">
        <v>183</v>
      </c>
      <c r="AD68" s="809"/>
      <c r="AE68" s="809"/>
      <c r="AF68" s="809"/>
      <c r="AG68" s="809"/>
      <c r="AH68" s="809"/>
      <c r="AI68" s="809"/>
      <c r="AJ68" s="809"/>
      <c r="AK68" s="809"/>
      <c r="AL68" s="809"/>
      <c r="AM68" s="809"/>
      <c r="AN68" s="809"/>
      <c r="AO68" s="809"/>
      <c r="AP68" s="809"/>
      <c r="AQ68" s="809"/>
      <c r="AR68" s="809" t="s">
        <v>94</v>
      </c>
      <c r="AS68" s="809"/>
      <c r="AT68" s="211"/>
      <c r="AV68" s="714"/>
      <c r="AW68" s="714"/>
      <c r="AX68" s="1005"/>
      <c r="AY68" s="1005"/>
      <c r="AZ68" s="1005"/>
      <c r="BA68" s="1005"/>
      <c r="BB68" s="1005"/>
      <c r="BC68" s="1005"/>
      <c r="BD68" s="1005"/>
      <c r="BE68" s="1005"/>
      <c r="BF68" s="1005"/>
      <c r="BG68" s="1005"/>
      <c r="BH68" s="1005"/>
      <c r="BI68" s="1005"/>
      <c r="BJ68" s="1005"/>
      <c r="BK68" s="1013" t="s">
        <v>492</v>
      </c>
      <c r="BL68" s="1013"/>
      <c r="BM68" s="1014"/>
      <c r="BN68" s="715" t="str">
        <f>IF(Engine!AF29,BR68+BU68+BX68+CA68,"")</f>
        <v/>
      </c>
      <c r="BO68" s="716"/>
      <c r="BP68" s="717"/>
      <c r="BQ68" s="732" t="s">
        <v>20</v>
      </c>
      <c r="BR68" s="711">
        <f>IF(Engine!AF29,NÍVEL+3,MEIO.NÍVEL)</f>
        <v>0</v>
      </c>
      <c r="BS68" s="711"/>
      <c r="BT68" s="712" t="s">
        <v>21</v>
      </c>
      <c r="BU68" s="711">
        <f>VLOOKUP(BK68,TABELA.hab.chave,2,FALSE)</f>
        <v>0</v>
      </c>
      <c r="BV68" s="711"/>
      <c r="BW68" s="712" t="s">
        <v>21</v>
      </c>
      <c r="BX68" s="992"/>
      <c r="BY68" s="992"/>
      <c r="BZ68" s="712" t="s">
        <v>21</v>
      </c>
      <c r="CA68" s="711"/>
      <c r="CB68" s="711"/>
    </row>
    <row r="69" spans="1:80" ht="8.1" customHeight="1" thickBot="1" x14ac:dyDescent="0.3">
      <c r="A69" s="225"/>
      <c r="B69" s="754"/>
      <c r="C69" s="754"/>
      <c r="D69" s="754"/>
      <c r="E69" s="754"/>
      <c r="F69" s="754"/>
      <c r="G69" s="754"/>
      <c r="H69" s="754"/>
      <c r="I69" s="754"/>
      <c r="J69" s="754"/>
      <c r="K69" s="754"/>
      <c r="L69" s="754"/>
      <c r="M69" s="754"/>
      <c r="N69" s="754"/>
      <c r="O69" s="754"/>
      <c r="P69" s="754"/>
      <c r="Q69" s="809"/>
      <c r="R69" s="809"/>
      <c r="S69" s="809"/>
      <c r="T69" s="809"/>
      <c r="U69" s="809"/>
      <c r="V69" s="809"/>
      <c r="W69" s="809"/>
      <c r="X69" s="809"/>
      <c r="Y69" s="809"/>
      <c r="Z69" s="809"/>
      <c r="AA69" s="809"/>
      <c r="AB69" s="809"/>
      <c r="AC69" s="809"/>
      <c r="AD69" s="809"/>
      <c r="AE69" s="809"/>
      <c r="AF69" s="809"/>
      <c r="AG69" s="809"/>
      <c r="AH69" s="809"/>
      <c r="AI69" s="809"/>
      <c r="AJ69" s="809"/>
      <c r="AK69" s="809"/>
      <c r="AL69" s="809"/>
      <c r="AM69" s="809"/>
      <c r="AN69" s="809"/>
      <c r="AO69" s="809"/>
      <c r="AP69" s="809"/>
      <c r="AQ69" s="809"/>
      <c r="AR69" s="809"/>
      <c r="AS69" s="809"/>
      <c r="AT69" s="211"/>
      <c r="AV69" s="714"/>
      <c r="AW69" s="714"/>
      <c r="AX69" s="1006"/>
      <c r="AY69" s="1006"/>
      <c r="AZ69" s="1006"/>
      <c r="BA69" s="1006"/>
      <c r="BB69" s="1006"/>
      <c r="BC69" s="1006"/>
      <c r="BD69" s="1006"/>
      <c r="BE69" s="1006"/>
      <c r="BF69" s="1006"/>
      <c r="BG69" s="1006"/>
      <c r="BH69" s="1006"/>
      <c r="BI69" s="1006"/>
      <c r="BJ69" s="1006"/>
      <c r="BK69" s="1013"/>
      <c r="BL69" s="1013"/>
      <c r="BM69" s="1014"/>
      <c r="BN69" s="1016"/>
      <c r="BO69" s="1017"/>
      <c r="BP69" s="1018"/>
      <c r="BQ69" s="732"/>
      <c r="BR69" s="711"/>
      <c r="BS69" s="711"/>
      <c r="BT69" s="712"/>
      <c r="BU69" s="711"/>
      <c r="BV69" s="711"/>
      <c r="BW69" s="712"/>
      <c r="BX69" s="993"/>
      <c r="BY69" s="993"/>
      <c r="BZ69" s="712"/>
      <c r="CA69" s="711"/>
      <c r="CB69" s="711"/>
    </row>
    <row r="70" spans="1:80" ht="8.1" customHeight="1" x14ac:dyDescent="0.25">
      <c r="A70" s="211"/>
      <c r="B70" s="799"/>
      <c r="C70" s="800"/>
      <c r="D70" s="800"/>
      <c r="E70" s="800"/>
      <c r="F70" s="800"/>
      <c r="G70" s="800"/>
      <c r="H70" s="800"/>
      <c r="I70" s="800"/>
      <c r="J70" s="800"/>
      <c r="K70" s="800"/>
      <c r="L70" s="800"/>
      <c r="M70" s="800"/>
      <c r="N70" s="800"/>
      <c r="O70" s="800"/>
      <c r="P70" s="800"/>
      <c r="Q70" s="803"/>
      <c r="R70" s="803"/>
      <c r="S70" s="803"/>
      <c r="T70" s="803"/>
      <c r="U70" s="803"/>
      <c r="V70" s="803"/>
      <c r="W70" s="803"/>
      <c r="X70" s="803"/>
      <c r="Y70" s="805"/>
      <c r="Z70" s="805"/>
      <c r="AA70" s="805"/>
      <c r="AB70" s="805"/>
      <c r="AC70" s="807"/>
      <c r="AD70" s="807"/>
      <c r="AE70" s="807"/>
      <c r="AF70" s="807"/>
      <c r="AG70" s="807"/>
      <c r="AH70" s="807"/>
      <c r="AI70" s="807"/>
      <c r="AJ70" s="807"/>
      <c r="AK70" s="807"/>
      <c r="AL70" s="807"/>
      <c r="AM70" s="807"/>
      <c r="AN70" s="807"/>
      <c r="AO70" s="807"/>
      <c r="AP70" s="807"/>
      <c r="AQ70" s="807"/>
      <c r="AR70" s="823"/>
      <c r="AS70" s="824"/>
      <c r="AT70" s="211"/>
      <c r="AV70" s="1008" t="s">
        <v>841</v>
      </c>
      <c r="AW70" s="1008"/>
      <c r="AX70" s="1008"/>
      <c r="AY70" s="1008"/>
      <c r="AZ70" s="1008"/>
      <c r="BA70" s="1008"/>
      <c r="BB70" s="1008"/>
      <c r="BC70" s="1008"/>
      <c r="BD70" s="1008"/>
      <c r="BE70" s="1008"/>
      <c r="BF70" s="1008"/>
      <c r="BG70" s="1008"/>
      <c r="BH70" s="1008"/>
      <c r="BI70" s="1008"/>
      <c r="BJ70" s="1008"/>
      <c r="BK70" s="1008"/>
      <c r="BL70" s="1008"/>
      <c r="BM70" s="1008"/>
      <c r="BN70" s="1008"/>
      <c r="BO70" s="1008"/>
      <c r="BP70" s="1008"/>
      <c r="BQ70" s="1008"/>
      <c r="BR70" s="1008"/>
      <c r="BS70" s="1008"/>
      <c r="BT70" s="1008"/>
      <c r="BU70" s="1008"/>
      <c r="BV70" s="1008"/>
      <c r="BW70" s="1008"/>
      <c r="BX70" s="1008"/>
      <c r="BY70" s="1008"/>
      <c r="BZ70" s="1008"/>
      <c r="CA70" s="1008"/>
      <c r="CB70" s="1008"/>
    </row>
    <row r="71" spans="1:80" ht="8.1" customHeight="1" thickBot="1" x14ac:dyDescent="0.3">
      <c r="A71" s="211"/>
      <c r="B71" s="801"/>
      <c r="C71" s="802"/>
      <c r="D71" s="802"/>
      <c r="E71" s="802"/>
      <c r="F71" s="802"/>
      <c r="G71" s="802"/>
      <c r="H71" s="802"/>
      <c r="I71" s="802"/>
      <c r="J71" s="802"/>
      <c r="K71" s="802"/>
      <c r="L71" s="802"/>
      <c r="M71" s="802"/>
      <c r="N71" s="802"/>
      <c r="O71" s="802"/>
      <c r="P71" s="802"/>
      <c r="Q71" s="804"/>
      <c r="R71" s="804"/>
      <c r="S71" s="804"/>
      <c r="T71" s="804"/>
      <c r="U71" s="804"/>
      <c r="V71" s="804"/>
      <c r="W71" s="804"/>
      <c r="X71" s="804"/>
      <c r="Y71" s="806"/>
      <c r="Z71" s="806"/>
      <c r="AA71" s="806"/>
      <c r="AB71" s="806"/>
      <c r="AC71" s="808"/>
      <c r="AD71" s="808"/>
      <c r="AE71" s="808"/>
      <c r="AF71" s="808"/>
      <c r="AG71" s="808"/>
      <c r="AH71" s="808"/>
      <c r="AI71" s="808"/>
      <c r="AJ71" s="808"/>
      <c r="AK71" s="808"/>
      <c r="AL71" s="808"/>
      <c r="AM71" s="808"/>
      <c r="AN71" s="808"/>
      <c r="AO71" s="808"/>
      <c r="AP71" s="808"/>
      <c r="AQ71" s="808"/>
      <c r="AR71" s="825"/>
      <c r="AS71" s="826"/>
      <c r="AT71" s="211"/>
      <c r="AV71" s="1008"/>
      <c r="AW71" s="1008"/>
      <c r="AX71" s="1008"/>
      <c r="AY71" s="1008"/>
      <c r="AZ71" s="1008"/>
      <c r="BA71" s="1008"/>
      <c r="BB71" s="1008"/>
      <c r="BC71" s="1008"/>
      <c r="BD71" s="1008"/>
      <c r="BE71" s="1008"/>
      <c r="BF71" s="1008"/>
      <c r="BG71" s="1008"/>
      <c r="BH71" s="1008"/>
      <c r="BI71" s="1008"/>
      <c r="BJ71" s="1008"/>
      <c r="BK71" s="1008"/>
      <c r="BL71" s="1008"/>
      <c r="BM71" s="1008"/>
      <c r="BN71" s="1008"/>
      <c r="BO71" s="1008"/>
      <c r="BP71" s="1008"/>
      <c r="BQ71" s="1008"/>
      <c r="BR71" s="1008"/>
      <c r="BS71" s="1008"/>
      <c r="BT71" s="1008"/>
      <c r="BU71" s="1008"/>
      <c r="BV71" s="1008"/>
      <c r="BW71" s="1008"/>
      <c r="BX71" s="1008"/>
      <c r="BY71" s="1008"/>
      <c r="BZ71" s="1008"/>
      <c r="CA71" s="1008"/>
      <c r="CB71" s="1008"/>
    </row>
    <row r="72" spans="1:80" ht="8.1" customHeight="1" x14ac:dyDescent="0.25">
      <c r="A72" s="211"/>
      <c r="B72" s="799"/>
      <c r="C72" s="800"/>
      <c r="D72" s="800"/>
      <c r="E72" s="800"/>
      <c r="F72" s="800"/>
      <c r="G72" s="800"/>
      <c r="H72" s="800"/>
      <c r="I72" s="800"/>
      <c r="J72" s="800"/>
      <c r="K72" s="800"/>
      <c r="L72" s="800"/>
      <c r="M72" s="800"/>
      <c r="N72" s="800"/>
      <c r="O72" s="800"/>
      <c r="P72" s="800"/>
      <c r="Q72" s="803"/>
      <c r="R72" s="803"/>
      <c r="S72" s="803"/>
      <c r="T72" s="803"/>
      <c r="U72" s="803"/>
      <c r="V72" s="803"/>
      <c r="W72" s="803"/>
      <c r="X72" s="803"/>
      <c r="Y72" s="805"/>
      <c r="Z72" s="805"/>
      <c r="AA72" s="805"/>
      <c r="AB72" s="805"/>
      <c r="AC72" s="807"/>
      <c r="AD72" s="807"/>
      <c r="AE72" s="807"/>
      <c r="AF72" s="807"/>
      <c r="AG72" s="807"/>
      <c r="AH72" s="807"/>
      <c r="AI72" s="807"/>
      <c r="AJ72" s="807"/>
      <c r="AK72" s="807"/>
      <c r="AL72" s="807"/>
      <c r="AM72" s="807"/>
      <c r="AN72" s="807"/>
      <c r="AO72" s="807"/>
      <c r="AP72" s="807"/>
      <c r="AQ72" s="807"/>
      <c r="AR72" s="823"/>
      <c r="AS72" s="824"/>
      <c r="AT72" s="211"/>
    </row>
    <row r="73" spans="1:80" ht="8.1" customHeight="1" thickBot="1" x14ac:dyDescent="0.3">
      <c r="A73" s="211"/>
      <c r="B73" s="801"/>
      <c r="C73" s="802"/>
      <c r="D73" s="802"/>
      <c r="E73" s="802"/>
      <c r="F73" s="802"/>
      <c r="G73" s="802"/>
      <c r="H73" s="802"/>
      <c r="I73" s="802"/>
      <c r="J73" s="802"/>
      <c r="K73" s="802"/>
      <c r="L73" s="802"/>
      <c r="M73" s="802"/>
      <c r="N73" s="802"/>
      <c r="O73" s="802"/>
      <c r="P73" s="802"/>
      <c r="Q73" s="804"/>
      <c r="R73" s="804"/>
      <c r="S73" s="804"/>
      <c r="T73" s="804"/>
      <c r="U73" s="804"/>
      <c r="V73" s="804"/>
      <c r="W73" s="804"/>
      <c r="X73" s="804"/>
      <c r="Y73" s="806"/>
      <c r="Z73" s="806"/>
      <c r="AA73" s="806"/>
      <c r="AB73" s="806"/>
      <c r="AC73" s="808"/>
      <c r="AD73" s="808"/>
      <c r="AE73" s="808"/>
      <c r="AF73" s="808"/>
      <c r="AG73" s="808"/>
      <c r="AH73" s="808"/>
      <c r="AI73" s="808"/>
      <c r="AJ73" s="808"/>
      <c r="AK73" s="808"/>
      <c r="AL73" s="808"/>
      <c r="AM73" s="808"/>
      <c r="AN73" s="808"/>
      <c r="AO73" s="808"/>
      <c r="AP73" s="808"/>
      <c r="AQ73" s="808"/>
      <c r="AR73" s="825"/>
      <c r="AS73" s="826"/>
      <c r="AT73" s="211"/>
    </row>
    <row r="74" spans="1:80" ht="8.1" customHeight="1" x14ac:dyDescent="0.25">
      <c r="A74" s="207"/>
      <c r="B74" s="753" t="s">
        <v>62</v>
      </c>
      <c r="C74" s="753"/>
      <c r="D74" s="753"/>
      <c r="E74" s="753"/>
      <c r="F74" s="753"/>
      <c r="G74" s="753"/>
      <c r="H74" s="753"/>
      <c r="I74" s="753"/>
      <c r="J74" s="753"/>
      <c r="K74" s="753"/>
      <c r="L74" s="753"/>
      <c r="M74" s="753"/>
      <c r="N74" s="753"/>
      <c r="O74" s="753"/>
      <c r="P74" s="753"/>
      <c r="Q74" s="809" t="s">
        <v>55</v>
      </c>
      <c r="R74" s="809"/>
      <c r="S74" s="809"/>
      <c r="T74" s="809"/>
      <c r="U74" s="810" t="s">
        <v>59</v>
      </c>
      <c r="V74" s="811"/>
      <c r="W74" s="811"/>
      <c r="X74" s="811"/>
      <c r="Y74" s="811"/>
      <c r="Z74" s="811"/>
      <c r="AA74" s="811"/>
      <c r="AB74" s="811"/>
      <c r="AC74" s="811"/>
      <c r="AD74" s="811"/>
      <c r="AE74" s="811"/>
      <c r="AF74" s="811"/>
      <c r="AG74" s="811"/>
      <c r="AH74" s="811"/>
      <c r="AI74" s="811"/>
      <c r="AJ74" s="811"/>
      <c r="AK74" s="811"/>
      <c r="AL74" s="811"/>
      <c r="AM74" s="811"/>
      <c r="AN74" s="811"/>
      <c r="AO74" s="811"/>
      <c r="AP74" s="811"/>
      <c r="AQ74" s="811"/>
      <c r="AR74" s="809" t="s">
        <v>94</v>
      </c>
      <c r="AS74" s="809"/>
      <c r="AT74" s="211"/>
    </row>
    <row r="75" spans="1:80" ht="8.1" customHeight="1" thickBot="1" x14ac:dyDescent="0.3">
      <c r="A75" s="225"/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809"/>
      <c r="R75" s="809"/>
      <c r="S75" s="809"/>
      <c r="T75" s="809"/>
      <c r="U75" s="812"/>
      <c r="V75" s="812"/>
      <c r="W75" s="812"/>
      <c r="X75" s="812"/>
      <c r="Y75" s="812"/>
      <c r="Z75" s="812"/>
      <c r="AA75" s="812"/>
      <c r="AB75" s="812"/>
      <c r="AC75" s="812"/>
      <c r="AD75" s="812"/>
      <c r="AE75" s="812"/>
      <c r="AF75" s="812"/>
      <c r="AG75" s="812"/>
      <c r="AH75" s="812"/>
      <c r="AI75" s="812"/>
      <c r="AJ75" s="812"/>
      <c r="AK75" s="812"/>
      <c r="AL75" s="812"/>
      <c r="AM75" s="812"/>
      <c r="AN75" s="812"/>
      <c r="AO75" s="812"/>
      <c r="AP75" s="812"/>
      <c r="AQ75" s="812"/>
      <c r="AR75" s="809"/>
      <c r="AS75" s="809"/>
      <c r="AT75" s="211"/>
    </row>
    <row r="76" spans="1:80" ht="8.1" customHeight="1" x14ac:dyDescent="0.25">
      <c r="A76" s="211"/>
      <c r="B76" s="813"/>
      <c r="C76" s="814"/>
      <c r="D76" s="814"/>
      <c r="E76" s="814"/>
      <c r="F76" s="814"/>
      <c r="G76" s="814"/>
      <c r="H76" s="814"/>
      <c r="I76" s="814"/>
      <c r="J76" s="814"/>
      <c r="K76" s="814"/>
      <c r="L76" s="814"/>
      <c r="M76" s="814"/>
      <c r="N76" s="814"/>
      <c r="O76" s="814"/>
      <c r="P76" s="814"/>
      <c r="Q76" s="815"/>
      <c r="R76" s="815"/>
      <c r="S76" s="815"/>
      <c r="T76" s="815"/>
      <c r="U76" s="816"/>
      <c r="V76" s="816"/>
      <c r="W76" s="816"/>
      <c r="X76" s="816"/>
      <c r="Y76" s="816"/>
      <c r="Z76" s="816"/>
      <c r="AA76" s="816"/>
      <c r="AB76" s="816"/>
      <c r="AC76" s="816"/>
      <c r="AD76" s="816"/>
      <c r="AE76" s="816"/>
      <c r="AF76" s="816"/>
      <c r="AG76" s="816"/>
      <c r="AH76" s="816"/>
      <c r="AI76" s="816"/>
      <c r="AJ76" s="816"/>
      <c r="AK76" s="816"/>
      <c r="AL76" s="816"/>
      <c r="AM76" s="816"/>
      <c r="AN76" s="816"/>
      <c r="AO76" s="816"/>
      <c r="AP76" s="816"/>
      <c r="AQ76" s="816"/>
      <c r="AR76" s="827"/>
      <c r="AS76" s="828"/>
      <c r="AT76" s="211"/>
    </row>
    <row r="77" spans="1:80" ht="8.1" customHeight="1" thickBot="1" x14ac:dyDescent="0.3">
      <c r="A77" s="211"/>
      <c r="B77" s="782"/>
      <c r="C77" s="783"/>
      <c r="D77" s="783"/>
      <c r="E77" s="783"/>
      <c r="F77" s="783"/>
      <c r="G77" s="783"/>
      <c r="H77" s="783"/>
      <c r="I77" s="783"/>
      <c r="J77" s="783"/>
      <c r="K77" s="783"/>
      <c r="L77" s="783"/>
      <c r="M77" s="783"/>
      <c r="N77" s="783"/>
      <c r="O77" s="783"/>
      <c r="P77" s="783"/>
      <c r="Q77" s="785"/>
      <c r="R77" s="785"/>
      <c r="S77" s="785"/>
      <c r="T77" s="785"/>
      <c r="U77" s="787"/>
      <c r="V77" s="787"/>
      <c r="W77" s="787"/>
      <c r="X77" s="787"/>
      <c r="Y77" s="787"/>
      <c r="Z77" s="787"/>
      <c r="AA77" s="787"/>
      <c r="AB77" s="787"/>
      <c r="AC77" s="787"/>
      <c r="AD77" s="787"/>
      <c r="AE77" s="787"/>
      <c r="AF77" s="787"/>
      <c r="AG77" s="787"/>
      <c r="AH77" s="787"/>
      <c r="AI77" s="787"/>
      <c r="AJ77" s="787"/>
      <c r="AK77" s="787"/>
      <c r="AL77" s="787"/>
      <c r="AM77" s="787"/>
      <c r="AN77" s="787"/>
      <c r="AO77" s="787"/>
      <c r="AP77" s="787"/>
      <c r="AQ77" s="787"/>
      <c r="AR77" s="790"/>
      <c r="AS77" s="791"/>
      <c r="AT77" s="211"/>
    </row>
    <row r="78" spans="1:80" ht="8.1" customHeight="1" x14ac:dyDescent="0.25">
      <c r="A78" s="211"/>
      <c r="B78" s="780"/>
      <c r="C78" s="781"/>
      <c r="D78" s="781"/>
      <c r="E78" s="781"/>
      <c r="F78" s="781"/>
      <c r="G78" s="781"/>
      <c r="H78" s="781"/>
      <c r="I78" s="781"/>
      <c r="J78" s="781"/>
      <c r="K78" s="781"/>
      <c r="L78" s="781"/>
      <c r="M78" s="781"/>
      <c r="N78" s="781"/>
      <c r="O78" s="781"/>
      <c r="P78" s="781"/>
      <c r="Q78" s="784"/>
      <c r="R78" s="784"/>
      <c r="S78" s="784"/>
      <c r="T78" s="784"/>
      <c r="U78" s="786"/>
      <c r="V78" s="786"/>
      <c r="W78" s="786"/>
      <c r="X78" s="786"/>
      <c r="Y78" s="786"/>
      <c r="Z78" s="786"/>
      <c r="AA78" s="786"/>
      <c r="AB78" s="786"/>
      <c r="AC78" s="786"/>
      <c r="AD78" s="786"/>
      <c r="AE78" s="786"/>
      <c r="AF78" s="786"/>
      <c r="AG78" s="786"/>
      <c r="AH78" s="786"/>
      <c r="AI78" s="786"/>
      <c r="AJ78" s="786"/>
      <c r="AK78" s="786"/>
      <c r="AL78" s="786"/>
      <c r="AM78" s="786"/>
      <c r="AN78" s="786"/>
      <c r="AO78" s="786"/>
      <c r="AP78" s="786"/>
      <c r="AQ78" s="786"/>
      <c r="AR78" s="788"/>
      <c r="AS78" s="789"/>
      <c r="AT78" s="211"/>
    </row>
    <row r="79" spans="1:80" ht="8.1" customHeight="1" thickBot="1" x14ac:dyDescent="0.3">
      <c r="A79" s="211"/>
      <c r="B79" s="782"/>
      <c r="C79" s="783"/>
      <c r="D79" s="783"/>
      <c r="E79" s="783"/>
      <c r="F79" s="783"/>
      <c r="G79" s="783"/>
      <c r="H79" s="783"/>
      <c r="I79" s="783"/>
      <c r="J79" s="783"/>
      <c r="K79" s="783"/>
      <c r="L79" s="783"/>
      <c r="M79" s="783"/>
      <c r="N79" s="783"/>
      <c r="O79" s="783"/>
      <c r="P79" s="783"/>
      <c r="Q79" s="785"/>
      <c r="R79" s="785"/>
      <c r="S79" s="785"/>
      <c r="T79" s="785"/>
      <c r="U79" s="787"/>
      <c r="V79" s="787"/>
      <c r="W79" s="787"/>
      <c r="X79" s="787"/>
      <c r="Y79" s="787"/>
      <c r="Z79" s="787"/>
      <c r="AA79" s="787"/>
      <c r="AB79" s="787"/>
      <c r="AC79" s="787"/>
      <c r="AD79" s="787"/>
      <c r="AE79" s="787"/>
      <c r="AF79" s="787"/>
      <c r="AG79" s="787"/>
      <c r="AH79" s="787"/>
      <c r="AI79" s="787"/>
      <c r="AJ79" s="787"/>
      <c r="AK79" s="787"/>
      <c r="AL79" s="787"/>
      <c r="AM79" s="787"/>
      <c r="AN79" s="787"/>
      <c r="AO79" s="787"/>
      <c r="AP79" s="787"/>
      <c r="AQ79" s="787"/>
      <c r="AR79" s="790"/>
      <c r="AS79" s="791"/>
      <c r="AT79" s="211"/>
    </row>
    <row r="80" spans="1:80" ht="8.1" customHeight="1" x14ac:dyDescent="0.25">
      <c r="A80" s="779" t="s">
        <v>959</v>
      </c>
      <c r="B80" s="779"/>
      <c r="C80" s="779"/>
      <c r="D80" s="779"/>
      <c r="E80" s="779"/>
      <c r="F80" s="779"/>
      <c r="G80" s="779"/>
      <c r="H80" s="779"/>
      <c r="I80" s="779"/>
      <c r="J80" s="779"/>
      <c r="K80" s="779"/>
      <c r="L80" s="779"/>
      <c r="M80" s="779"/>
      <c r="N80" s="779"/>
      <c r="O80" s="779"/>
      <c r="P80" s="779"/>
      <c r="Q80" s="779"/>
      <c r="R80" s="779"/>
      <c r="S80" s="779"/>
      <c r="T80" s="779"/>
      <c r="U80" s="779"/>
      <c r="V80" s="779"/>
      <c r="W80" s="779"/>
      <c r="X80" s="779"/>
      <c r="Y80" s="779"/>
      <c r="Z80" s="779"/>
      <c r="AA80" s="779"/>
      <c r="AB80" s="779"/>
      <c r="AC80" s="779"/>
      <c r="AD80" s="779"/>
      <c r="AE80" s="779"/>
      <c r="AF80" s="779"/>
      <c r="AG80" s="779"/>
      <c r="AH80" s="779"/>
      <c r="AI80" s="779"/>
      <c r="AJ80" s="779"/>
      <c r="AK80" s="779"/>
      <c r="AL80" s="779"/>
      <c r="AM80" s="779"/>
      <c r="AN80" s="779"/>
      <c r="AO80" s="779"/>
      <c r="AP80" s="779"/>
      <c r="AQ80" s="779"/>
      <c r="AR80" s="779"/>
      <c r="AS80" s="779"/>
      <c r="AT80" s="779"/>
    </row>
    <row r="82" ht="12" customHeight="1" x14ac:dyDescent="0.25"/>
  </sheetData>
  <sheetProtection sheet="1" objects="1" scenarios="1" formatCells="0" selectLockedCells="1"/>
  <mergeCells count="553">
    <mergeCell ref="AV70:CB71"/>
    <mergeCell ref="B64:S65"/>
    <mergeCell ref="T64:Y65"/>
    <mergeCell ref="Z64:AI65"/>
    <mergeCell ref="AJ64:AM65"/>
    <mergeCell ref="AN64:AP65"/>
    <mergeCell ref="AQ64:AS65"/>
    <mergeCell ref="B66:D67"/>
    <mergeCell ref="E66:AL67"/>
    <mergeCell ref="AM66:AP67"/>
    <mergeCell ref="AQ66:AR67"/>
    <mergeCell ref="BW68:BW69"/>
    <mergeCell ref="BX68:BY69"/>
    <mergeCell ref="AX66:BJ67"/>
    <mergeCell ref="BZ68:BZ69"/>
    <mergeCell ref="CA68:CB69"/>
    <mergeCell ref="BK66:BM67"/>
    <mergeCell ref="BK68:BM69"/>
    <mergeCell ref="BW66:BW67"/>
    <mergeCell ref="BX66:BY67"/>
    <mergeCell ref="BZ66:BZ67"/>
    <mergeCell ref="CA66:CB67"/>
    <mergeCell ref="BN68:BP69"/>
    <mergeCell ref="BQ68:BQ69"/>
    <mergeCell ref="AC14:AD15"/>
    <mergeCell ref="AX68:BJ69"/>
    <mergeCell ref="B56:S57"/>
    <mergeCell ref="T56:Y57"/>
    <mergeCell ref="Z56:AI57"/>
    <mergeCell ref="AJ56:AM57"/>
    <mergeCell ref="AN56:AP57"/>
    <mergeCell ref="AQ56:AS57"/>
    <mergeCell ref="B58:D59"/>
    <mergeCell ref="E58:AL59"/>
    <mergeCell ref="AM58:AP59"/>
    <mergeCell ref="AQ58:AR59"/>
    <mergeCell ref="B60:S61"/>
    <mergeCell ref="T60:Y61"/>
    <mergeCell ref="Z60:AI61"/>
    <mergeCell ref="AJ60:AM61"/>
    <mergeCell ref="AN60:AP61"/>
    <mergeCell ref="AQ60:AS61"/>
    <mergeCell ref="B62:D63"/>
    <mergeCell ref="E62:AL63"/>
    <mergeCell ref="AM62:AP63"/>
    <mergeCell ref="AQ62:AR63"/>
    <mergeCell ref="AX32:BC33"/>
    <mergeCell ref="BD32:BJ33"/>
    <mergeCell ref="BT62:BT63"/>
    <mergeCell ref="BU62:BV63"/>
    <mergeCell ref="BE2:BP3"/>
    <mergeCell ref="BE4:BP5"/>
    <mergeCell ref="M12:Y13"/>
    <mergeCell ref="AV62:AW63"/>
    <mergeCell ref="AV64:AW65"/>
    <mergeCell ref="AV66:AW67"/>
    <mergeCell ref="AV68:AW69"/>
    <mergeCell ref="AV48:AW49"/>
    <mergeCell ref="AV50:AW51"/>
    <mergeCell ref="AV54:AW55"/>
    <mergeCell ref="AV56:AW57"/>
    <mergeCell ref="AV60:AW61"/>
    <mergeCell ref="AV36:AW37"/>
    <mergeCell ref="AV38:AW39"/>
    <mergeCell ref="AV40:AW41"/>
    <mergeCell ref="AV42:AW43"/>
    <mergeCell ref="AV44:AW45"/>
    <mergeCell ref="AV46:AW47"/>
    <mergeCell ref="AV22:AW23"/>
    <mergeCell ref="O14:R15"/>
    <mergeCell ref="S14:V15"/>
    <mergeCell ref="Z14:AA15"/>
    <mergeCell ref="CA50:CB51"/>
    <mergeCell ref="CA48:CB49"/>
    <mergeCell ref="BZ46:BZ47"/>
    <mergeCell ref="CA46:CB47"/>
    <mergeCell ref="BW44:BW45"/>
    <mergeCell ref="BX44:BY45"/>
    <mergeCell ref="BZ44:BZ45"/>
    <mergeCell ref="CA44:CB45"/>
    <mergeCell ref="AF14:AG15"/>
    <mergeCell ref="AI14:AJ15"/>
    <mergeCell ref="BW50:BW51"/>
    <mergeCell ref="BX50:BY51"/>
    <mergeCell ref="BW46:BW47"/>
    <mergeCell ref="AX46:BM47"/>
    <mergeCell ref="BN46:BP47"/>
    <mergeCell ref="BQ46:BQ47"/>
    <mergeCell ref="BR46:BS47"/>
    <mergeCell ref="BT46:BT47"/>
    <mergeCell ref="BU46:BV47"/>
    <mergeCell ref="BZ42:BZ43"/>
    <mergeCell ref="CA42:CB43"/>
    <mergeCell ref="AX44:BM45"/>
    <mergeCell ref="BN44:BP45"/>
    <mergeCell ref="BQ44:BQ45"/>
    <mergeCell ref="BZ56:BZ57"/>
    <mergeCell ref="CA56:CB57"/>
    <mergeCell ref="BW54:BW55"/>
    <mergeCell ref="BX54:BY55"/>
    <mergeCell ref="BZ54:BZ55"/>
    <mergeCell ref="CA54:CB55"/>
    <mergeCell ref="BW58:BW59"/>
    <mergeCell ref="BX58:BY59"/>
    <mergeCell ref="BW56:BW57"/>
    <mergeCell ref="BX56:BY57"/>
    <mergeCell ref="BZ60:BZ61"/>
    <mergeCell ref="CA60:CB61"/>
    <mergeCell ref="AX60:BA61"/>
    <mergeCell ref="BB60:BJ61"/>
    <mergeCell ref="BK60:BM61"/>
    <mergeCell ref="CA58:CB59"/>
    <mergeCell ref="BR68:BS69"/>
    <mergeCell ref="BT68:BT69"/>
    <mergeCell ref="BU68:BV69"/>
    <mergeCell ref="BN66:BP67"/>
    <mergeCell ref="BQ66:BQ67"/>
    <mergeCell ref="BR66:BS67"/>
    <mergeCell ref="BT66:BT67"/>
    <mergeCell ref="BU66:BV67"/>
    <mergeCell ref="BZ64:BZ65"/>
    <mergeCell ref="BW60:BW61"/>
    <mergeCell ref="BX60:BY61"/>
    <mergeCell ref="BW64:BW65"/>
    <mergeCell ref="BX64:BY65"/>
    <mergeCell ref="BN60:BP61"/>
    <mergeCell ref="AX62:BM63"/>
    <mergeCell ref="BN62:BP63"/>
    <mergeCell ref="BQ62:BQ63"/>
    <mergeCell ref="BR62:BS63"/>
    <mergeCell ref="BQ60:BQ61"/>
    <mergeCell ref="BR60:BS61"/>
    <mergeCell ref="BT58:BT59"/>
    <mergeCell ref="BU58:BV59"/>
    <mergeCell ref="BT60:BT61"/>
    <mergeCell ref="BU60:BV61"/>
    <mergeCell ref="CA64:CB65"/>
    <mergeCell ref="CA62:CB63"/>
    <mergeCell ref="AX64:BM65"/>
    <mergeCell ref="AX58:BA59"/>
    <mergeCell ref="BB58:BJ59"/>
    <mergeCell ref="BK58:BM59"/>
    <mergeCell ref="BN58:BP59"/>
    <mergeCell ref="BQ58:BQ59"/>
    <mergeCell ref="BR58:BS59"/>
    <mergeCell ref="BW62:BW63"/>
    <mergeCell ref="BX62:BY63"/>
    <mergeCell ref="BZ62:BZ63"/>
    <mergeCell ref="BZ58:BZ59"/>
    <mergeCell ref="BN64:BP65"/>
    <mergeCell ref="BQ64:BQ65"/>
    <mergeCell ref="BR64:BS65"/>
    <mergeCell ref="BT64:BT65"/>
    <mergeCell ref="BU64:BV65"/>
    <mergeCell ref="BW48:BW49"/>
    <mergeCell ref="BX48:BY49"/>
    <mergeCell ref="BZ48:BZ49"/>
    <mergeCell ref="AX50:BM51"/>
    <mergeCell ref="BN50:BP51"/>
    <mergeCell ref="BQ50:BQ51"/>
    <mergeCell ref="BR50:BS51"/>
    <mergeCell ref="BT50:BT51"/>
    <mergeCell ref="BU50:BV51"/>
    <mergeCell ref="AX48:BM49"/>
    <mergeCell ref="BN48:BP49"/>
    <mergeCell ref="BQ48:BQ49"/>
    <mergeCell ref="BR48:BS49"/>
    <mergeCell ref="BT48:BT49"/>
    <mergeCell ref="BU48:BV49"/>
    <mergeCell ref="BZ50:BZ51"/>
    <mergeCell ref="BR44:BS45"/>
    <mergeCell ref="BT44:BT45"/>
    <mergeCell ref="BU44:BV45"/>
    <mergeCell ref="BX46:BY47"/>
    <mergeCell ref="BW42:BW43"/>
    <mergeCell ref="BX42:BY43"/>
    <mergeCell ref="BW40:BW41"/>
    <mergeCell ref="BX40:BY41"/>
    <mergeCell ref="BZ40:BZ41"/>
    <mergeCell ref="CA40:CB41"/>
    <mergeCell ref="AX42:BM43"/>
    <mergeCell ref="BN42:BP43"/>
    <mergeCell ref="BQ42:BQ43"/>
    <mergeCell ref="BR42:BS43"/>
    <mergeCell ref="BT42:BT43"/>
    <mergeCell ref="BU42:BV43"/>
    <mergeCell ref="AX40:BM41"/>
    <mergeCell ref="BN40:BP41"/>
    <mergeCell ref="BQ40:BQ41"/>
    <mergeCell ref="BR40:BS41"/>
    <mergeCell ref="BT40:BT41"/>
    <mergeCell ref="BU40:BV41"/>
    <mergeCell ref="BW38:BW39"/>
    <mergeCell ref="BX38:BY39"/>
    <mergeCell ref="BZ38:BZ39"/>
    <mergeCell ref="CA38:CB39"/>
    <mergeCell ref="BW36:BW37"/>
    <mergeCell ref="BX36:BY37"/>
    <mergeCell ref="BZ36:BZ37"/>
    <mergeCell ref="CA36:CB37"/>
    <mergeCell ref="AX38:BM39"/>
    <mergeCell ref="BN38:BP39"/>
    <mergeCell ref="BQ38:BQ39"/>
    <mergeCell ref="BR38:BS39"/>
    <mergeCell ref="BT38:BT39"/>
    <mergeCell ref="BU38:BV39"/>
    <mergeCell ref="AX36:BM37"/>
    <mergeCell ref="BN36:BP37"/>
    <mergeCell ref="BQ36:BQ37"/>
    <mergeCell ref="BR36:BS37"/>
    <mergeCell ref="BT36:BT37"/>
    <mergeCell ref="BU36:BV37"/>
    <mergeCell ref="CA34:CB35"/>
    <mergeCell ref="AV24:AW25"/>
    <mergeCell ref="AV26:AW27"/>
    <mergeCell ref="AV28:AW29"/>
    <mergeCell ref="AV30:AW31"/>
    <mergeCell ref="AV32:AW33"/>
    <mergeCell ref="AV34:AW35"/>
    <mergeCell ref="BR34:BS35"/>
    <mergeCell ref="BT34:BT35"/>
    <mergeCell ref="BU34:BV35"/>
    <mergeCell ref="BW34:BW35"/>
    <mergeCell ref="BX34:BY35"/>
    <mergeCell ref="BZ34:BZ35"/>
    <mergeCell ref="BU32:BV33"/>
    <mergeCell ref="BW32:BW33"/>
    <mergeCell ref="BX32:BY33"/>
    <mergeCell ref="BZ32:BZ33"/>
    <mergeCell ref="CA32:CB33"/>
    <mergeCell ref="AX34:BC35"/>
    <mergeCell ref="BD34:BJ35"/>
    <mergeCell ref="BK34:BM35"/>
    <mergeCell ref="BN34:BP35"/>
    <mergeCell ref="BQ34:BQ35"/>
    <mergeCell ref="BX26:BY27"/>
    <mergeCell ref="BK32:BM33"/>
    <mergeCell ref="BN32:BP33"/>
    <mergeCell ref="BQ32:BQ33"/>
    <mergeCell ref="BR32:BS33"/>
    <mergeCell ref="BT32:BT33"/>
    <mergeCell ref="BN26:BP27"/>
    <mergeCell ref="BQ26:BQ27"/>
    <mergeCell ref="BR26:BS27"/>
    <mergeCell ref="BT26:BT27"/>
    <mergeCell ref="BT30:BT31"/>
    <mergeCell ref="AX30:BC31"/>
    <mergeCell ref="BD30:BJ31"/>
    <mergeCell ref="BK30:BM31"/>
    <mergeCell ref="BN30:BP31"/>
    <mergeCell ref="BQ30:BQ31"/>
    <mergeCell ref="BR30:BS31"/>
    <mergeCell ref="AX28:BM29"/>
    <mergeCell ref="BN28:BP29"/>
    <mergeCell ref="BQ28:BQ29"/>
    <mergeCell ref="BU30:BV31"/>
    <mergeCell ref="BW30:BW31"/>
    <mergeCell ref="BX30:BY31"/>
    <mergeCell ref="BZ30:BZ31"/>
    <mergeCell ref="CA30:CB31"/>
    <mergeCell ref="BW28:BW29"/>
    <mergeCell ref="BX28:BY29"/>
    <mergeCell ref="BZ28:BZ29"/>
    <mergeCell ref="CA28:CB29"/>
    <mergeCell ref="BK24:BM25"/>
    <mergeCell ref="BB24:BJ25"/>
    <mergeCell ref="AX26:BA27"/>
    <mergeCell ref="BB26:BJ27"/>
    <mergeCell ref="BK26:BM27"/>
    <mergeCell ref="BN24:BP25"/>
    <mergeCell ref="BQ24:BQ25"/>
    <mergeCell ref="BR24:BS25"/>
    <mergeCell ref="BR22:BS23"/>
    <mergeCell ref="CA20:CB21"/>
    <mergeCell ref="AX24:BA25"/>
    <mergeCell ref="AX22:BM23"/>
    <mergeCell ref="BN22:BP23"/>
    <mergeCell ref="BQ22:BQ23"/>
    <mergeCell ref="BR28:BS29"/>
    <mergeCell ref="BT28:BT29"/>
    <mergeCell ref="BU28:BV29"/>
    <mergeCell ref="CA22:CB23"/>
    <mergeCell ref="BT22:BT23"/>
    <mergeCell ref="BU22:BV23"/>
    <mergeCell ref="BW22:BW23"/>
    <mergeCell ref="BX22:BY23"/>
    <mergeCell ref="BZ22:BZ23"/>
    <mergeCell ref="BT24:BT25"/>
    <mergeCell ref="BU24:BV25"/>
    <mergeCell ref="BW24:BW25"/>
    <mergeCell ref="BX24:BY25"/>
    <mergeCell ref="BZ24:BZ25"/>
    <mergeCell ref="CA24:CB25"/>
    <mergeCell ref="BZ26:BZ27"/>
    <mergeCell ref="CA26:CB27"/>
    <mergeCell ref="BU26:BV27"/>
    <mergeCell ref="BW26:BW27"/>
    <mergeCell ref="BT18:BT19"/>
    <mergeCell ref="BW18:BW19"/>
    <mergeCell ref="BZ18:BZ19"/>
    <mergeCell ref="AV20:AW21"/>
    <mergeCell ref="AX20:BM21"/>
    <mergeCell ref="BN20:BP21"/>
    <mergeCell ref="BQ20:BQ21"/>
    <mergeCell ref="BR20:BS21"/>
    <mergeCell ref="BT20:BT21"/>
    <mergeCell ref="BU20:BV21"/>
    <mergeCell ref="BW20:BW21"/>
    <mergeCell ref="BX20:BY21"/>
    <mergeCell ref="BZ20:BZ21"/>
    <mergeCell ref="B2:S3"/>
    <mergeCell ref="U2:AB3"/>
    <mergeCell ref="AL2:AO3"/>
    <mergeCell ref="AD2:AJ3"/>
    <mergeCell ref="AX4:BC5"/>
    <mergeCell ref="AX2:BC3"/>
    <mergeCell ref="CA18:CB19"/>
    <mergeCell ref="AX18:BM19"/>
    <mergeCell ref="AV18:AW19"/>
    <mergeCell ref="BR16:BS17"/>
    <mergeCell ref="BU16:BV17"/>
    <mergeCell ref="CA16:CB17"/>
    <mergeCell ref="AQ2:AV3"/>
    <mergeCell ref="AQ4:AV5"/>
    <mergeCell ref="BN18:BP19"/>
    <mergeCell ref="BR18:BS19"/>
    <mergeCell ref="BU18:BV19"/>
    <mergeCell ref="BX18:BY19"/>
    <mergeCell ref="BM16:BQ17"/>
    <mergeCell ref="BW16:BZ17"/>
    <mergeCell ref="AV16:AW17"/>
    <mergeCell ref="B6:D7"/>
    <mergeCell ref="B8:D9"/>
    <mergeCell ref="BQ18:BQ19"/>
    <mergeCell ref="F6:AV7"/>
    <mergeCell ref="F8:AV9"/>
    <mergeCell ref="AD4:AJ5"/>
    <mergeCell ref="B4:S5"/>
    <mergeCell ref="U4:AB5"/>
    <mergeCell ref="AL4:AO5"/>
    <mergeCell ref="AX6:BL7"/>
    <mergeCell ref="BN6:CB7"/>
    <mergeCell ref="AX8:BL9"/>
    <mergeCell ref="BN8:CB9"/>
    <mergeCell ref="AE14:AE15"/>
    <mergeCell ref="AH14:AH15"/>
    <mergeCell ref="AK14:AK15"/>
    <mergeCell ref="AN14:AN15"/>
    <mergeCell ref="AQ14:AQ15"/>
    <mergeCell ref="B11:L12"/>
    <mergeCell ref="B15:E16"/>
    <mergeCell ref="B17:E18"/>
    <mergeCell ref="B19:E20"/>
    <mergeCell ref="F15:H16"/>
    <mergeCell ref="F17:H18"/>
    <mergeCell ref="F19:H20"/>
    <mergeCell ref="J15:L16"/>
    <mergeCell ref="J17:L18"/>
    <mergeCell ref="J19:L20"/>
    <mergeCell ref="F13:H14"/>
    <mergeCell ref="J13:L14"/>
    <mergeCell ref="AC12:AD13"/>
    <mergeCell ref="Z12:AA13"/>
    <mergeCell ref="AF12:AG13"/>
    <mergeCell ref="AI12:AJ13"/>
    <mergeCell ref="AL12:AM13"/>
    <mergeCell ref="AO12:AP13"/>
    <mergeCell ref="AQ12:AT13"/>
    <mergeCell ref="Y33:Z34"/>
    <mergeCell ref="AL18:AM19"/>
    <mergeCell ref="AO18:AP19"/>
    <mergeCell ref="AQ18:AT19"/>
    <mergeCell ref="AN20:AN21"/>
    <mergeCell ref="AN22:AN23"/>
    <mergeCell ref="AN24:AN25"/>
    <mergeCell ref="AQ20:AQ21"/>
    <mergeCell ref="AQ22:AQ23"/>
    <mergeCell ref="AQ24:AQ25"/>
    <mergeCell ref="AO20:AP21"/>
    <mergeCell ref="AO22:AP23"/>
    <mergeCell ref="AK24:AK25"/>
    <mergeCell ref="AD20:AG21"/>
    <mergeCell ref="AD22:AG23"/>
    <mergeCell ref="AD24:AG25"/>
    <mergeCell ref="AH20:AJ21"/>
    <mergeCell ref="AH22:AJ23"/>
    <mergeCell ref="AH24:AJ25"/>
    <mergeCell ref="AO24:AP25"/>
    <mergeCell ref="AR20:AS21"/>
    <mergeCell ref="AR22:AS23"/>
    <mergeCell ref="AR24:AS25"/>
    <mergeCell ref="AL20:AM21"/>
    <mergeCell ref="AL14:AM15"/>
    <mergeCell ref="AO14:AP15"/>
    <mergeCell ref="AR14:AS15"/>
    <mergeCell ref="W14:Y15"/>
    <mergeCell ref="AB14:AB15"/>
    <mergeCell ref="AD18:AK19"/>
    <mergeCell ref="U33:U34"/>
    <mergeCell ref="R31:R32"/>
    <mergeCell ref="R33:R34"/>
    <mergeCell ref="X31:X32"/>
    <mergeCell ref="O18:AA19"/>
    <mergeCell ref="Y31:Z32"/>
    <mergeCell ref="V29:W30"/>
    <mergeCell ref="X29:AA30"/>
    <mergeCell ref="U31:U32"/>
    <mergeCell ref="AC29:AT30"/>
    <mergeCell ref="O20:R23"/>
    <mergeCell ref="T20:W23"/>
    <mergeCell ref="X20:AA23"/>
    <mergeCell ref="O24:R25"/>
    <mergeCell ref="T24:W25"/>
    <mergeCell ref="X24:AA25"/>
    <mergeCell ref="AK20:AK21"/>
    <mergeCell ref="AK22:AK23"/>
    <mergeCell ref="B33:K34"/>
    <mergeCell ref="L33:N34"/>
    <mergeCell ref="P33:Q34"/>
    <mergeCell ref="S33:T34"/>
    <mergeCell ref="V33:W34"/>
    <mergeCell ref="X33:X34"/>
    <mergeCell ref="B21:E22"/>
    <mergeCell ref="B23:E24"/>
    <mergeCell ref="B25:E26"/>
    <mergeCell ref="F21:H22"/>
    <mergeCell ref="F23:H24"/>
    <mergeCell ref="F25:H26"/>
    <mergeCell ref="J21:L22"/>
    <mergeCell ref="J23:L24"/>
    <mergeCell ref="J25:L26"/>
    <mergeCell ref="B31:K32"/>
    <mergeCell ref="L31:N32"/>
    <mergeCell ref="P31:Q32"/>
    <mergeCell ref="S31:T32"/>
    <mergeCell ref="V31:W32"/>
    <mergeCell ref="O31:O32"/>
    <mergeCell ref="B29:N30"/>
    <mergeCell ref="P29:Q30"/>
    <mergeCell ref="S29:T30"/>
    <mergeCell ref="AL22:AM23"/>
    <mergeCell ref="AL24:AM25"/>
    <mergeCell ref="AR72:AS73"/>
    <mergeCell ref="AR74:AS75"/>
    <mergeCell ref="AR76:AS77"/>
    <mergeCell ref="B70:P71"/>
    <mergeCell ref="Q70:T71"/>
    <mergeCell ref="U70:X71"/>
    <mergeCell ref="Y70:AB71"/>
    <mergeCell ref="AC70:AQ71"/>
    <mergeCell ref="O33:O34"/>
    <mergeCell ref="AR68:AS69"/>
    <mergeCell ref="AR70:AS71"/>
    <mergeCell ref="B35:L37"/>
    <mergeCell ref="AC31:AT36"/>
    <mergeCell ref="AN40:AP41"/>
    <mergeCell ref="AQ40:AS41"/>
    <mergeCell ref="T40:Y41"/>
    <mergeCell ref="Z40:AI41"/>
    <mergeCell ref="B40:S41"/>
    <mergeCell ref="AJ40:AM41"/>
    <mergeCell ref="B42:D43"/>
    <mergeCell ref="AJ38:AM39"/>
    <mergeCell ref="AN38:AP39"/>
    <mergeCell ref="A80:AT80"/>
    <mergeCell ref="B78:P79"/>
    <mergeCell ref="Q78:T79"/>
    <mergeCell ref="U78:AQ79"/>
    <mergeCell ref="AR78:AS79"/>
    <mergeCell ref="AV11:BK12"/>
    <mergeCell ref="BM11:CB12"/>
    <mergeCell ref="AV13:BK14"/>
    <mergeCell ref="BM13:CB14"/>
    <mergeCell ref="B72:P73"/>
    <mergeCell ref="Q72:T73"/>
    <mergeCell ref="U72:X73"/>
    <mergeCell ref="Y72:AB73"/>
    <mergeCell ref="AC72:AQ73"/>
    <mergeCell ref="B74:P75"/>
    <mergeCell ref="Q74:T75"/>
    <mergeCell ref="U74:AQ75"/>
    <mergeCell ref="B76:P77"/>
    <mergeCell ref="Q76:T77"/>
    <mergeCell ref="U76:AQ77"/>
    <mergeCell ref="Q68:T69"/>
    <mergeCell ref="U68:X69"/>
    <mergeCell ref="Y68:AB69"/>
    <mergeCell ref="AC68:AQ69"/>
    <mergeCell ref="AQ46:AR47"/>
    <mergeCell ref="B48:S49"/>
    <mergeCell ref="T48:Y49"/>
    <mergeCell ref="Z48:AI49"/>
    <mergeCell ref="AJ48:AM49"/>
    <mergeCell ref="AN48:AP49"/>
    <mergeCell ref="AQ48:AS49"/>
    <mergeCell ref="Z38:AI39"/>
    <mergeCell ref="T38:Y39"/>
    <mergeCell ref="B38:S39"/>
    <mergeCell ref="AQ38:AS39"/>
    <mergeCell ref="B44:S45"/>
    <mergeCell ref="T44:Y45"/>
    <mergeCell ref="Z44:AI45"/>
    <mergeCell ref="AJ44:AM45"/>
    <mergeCell ref="AN44:AP45"/>
    <mergeCell ref="AQ44:AS45"/>
    <mergeCell ref="BE17:BL17"/>
    <mergeCell ref="BE16:BL16"/>
    <mergeCell ref="AX16:BD17"/>
    <mergeCell ref="B50:D51"/>
    <mergeCell ref="E50:AL51"/>
    <mergeCell ref="AM50:AP51"/>
    <mergeCell ref="AQ50:AR51"/>
    <mergeCell ref="B68:P69"/>
    <mergeCell ref="B52:S53"/>
    <mergeCell ref="T52:Y53"/>
    <mergeCell ref="Z52:AI53"/>
    <mergeCell ref="AJ52:AM53"/>
    <mergeCell ref="AN52:AP53"/>
    <mergeCell ref="AQ52:AS53"/>
    <mergeCell ref="B54:D55"/>
    <mergeCell ref="E54:AL55"/>
    <mergeCell ref="AM54:AP55"/>
    <mergeCell ref="AQ54:AR55"/>
    <mergeCell ref="B46:D47"/>
    <mergeCell ref="AQ42:AR43"/>
    <mergeCell ref="AM42:AP43"/>
    <mergeCell ref="E42:AL43"/>
    <mergeCell ref="E46:AL47"/>
    <mergeCell ref="AM46:AP47"/>
    <mergeCell ref="AV58:AW59"/>
    <mergeCell ref="BR52:BS53"/>
    <mergeCell ref="BT52:BT53"/>
    <mergeCell ref="BU52:BV53"/>
    <mergeCell ref="BW52:BW53"/>
    <mergeCell ref="BX52:BY53"/>
    <mergeCell ref="BZ52:BZ53"/>
    <mergeCell ref="CA52:CB53"/>
    <mergeCell ref="AV52:AW53"/>
    <mergeCell ref="BN52:BP53"/>
    <mergeCell ref="AX54:BM55"/>
    <mergeCell ref="BN54:BP55"/>
    <mergeCell ref="BQ54:BQ55"/>
    <mergeCell ref="BR54:BS55"/>
    <mergeCell ref="BT54:BT55"/>
    <mergeCell ref="BU54:BV55"/>
    <mergeCell ref="AX52:BM53"/>
    <mergeCell ref="BQ52:BQ53"/>
    <mergeCell ref="AX56:BM57"/>
    <mergeCell ref="BN56:BP57"/>
    <mergeCell ref="BQ56:BQ57"/>
    <mergeCell ref="BR56:BS57"/>
    <mergeCell ref="BT56:BT57"/>
    <mergeCell ref="BU56:BV57"/>
  </mergeCells>
  <dataValidations count="3">
    <dataValidation type="list" allowBlank="1" showInputMessage="1" showErrorMessage="1" sqref="AD2:AJ3">
      <formula1>LISTA.tendência</formula1>
    </dataValidation>
    <dataValidation type="list" allowBlank="1" showInputMessage="1" showErrorMessage="1" sqref="AL2:AO3">
      <formula1>LISTA.sexo</formula1>
    </dataValidation>
    <dataValidation type="list" allowBlank="1" showInputMessage="1" showErrorMessage="1" sqref="BK66:BM69">
      <formula1>habilidades.chave</formula1>
    </dataValidation>
  </dataValidations>
  <pageMargins left="0.39370078740157483" right="0.39370078740157483" top="0.39370078740157483" bottom="0.39370078740157483" header="0" footer="0"/>
  <pageSetup paperSize="9" orientation="landscape" r:id="rId1"/>
  <headerFooter>
    <oddHeader>&amp;CFICHA DE PERSONAGEM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4" name="Pt. de Ação 1">
              <controlPr locked="0" defaultSize="0" autoFill="0" autoLine="0" autoPict="0">
                <anchor moveWithCells="1">
                  <from>
                    <xdr:col>11</xdr:col>
                    <xdr:colOff>66675</xdr:colOff>
                    <xdr:row>34</xdr:row>
                    <xdr:rowOff>28575</xdr:rowOff>
                  </from>
                  <to>
                    <xdr:col>14</xdr:col>
                    <xdr:colOff>28575</xdr:colOff>
                    <xdr:row>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5" name="Pt. de Ação 2">
              <controlPr locked="0" defaultSize="0" autoFill="0" autoLine="0" autoPict="0">
                <anchor moveWithCells="1">
                  <from>
                    <xdr:col>13</xdr:col>
                    <xdr:colOff>66675</xdr:colOff>
                    <xdr:row>34</xdr:row>
                    <xdr:rowOff>28575</xdr:rowOff>
                  </from>
                  <to>
                    <xdr:col>16</xdr:col>
                    <xdr:colOff>28575</xdr:colOff>
                    <xdr:row>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6" name="Pt. de Ação 3">
              <controlPr locked="0" defaultSize="0" autoFill="0" autoLine="0" autoPict="0">
                <anchor moveWithCells="1">
                  <from>
                    <xdr:col>15</xdr:col>
                    <xdr:colOff>66675</xdr:colOff>
                    <xdr:row>34</xdr:row>
                    <xdr:rowOff>28575</xdr:rowOff>
                  </from>
                  <to>
                    <xdr:col>18</xdr:col>
                    <xdr:colOff>28575</xdr:colOff>
                    <xdr:row>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7" name="Pt. de Ação 4">
              <controlPr locked="0" defaultSize="0" autoFill="0" autoLine="0" autoPict="0">
                <anchor moveWithCells="1">
                  <from>
                    <xdr:col>17</xdr:col>
                    <xdr:colOff>66675</xdr:colOff>
                    <xdr:row>34</xdr:row>
                    <xdr:rowOff>28575</xdr:rowOff>
                  </from>
                  <to>
                    <xdr:col>20</xdr:col>
                    <xdr:colOff>28575</xdr:colOff>
                    <xdr:row>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8" name="Pt. de Ação 5">
              <controlPr locked="0" defaultSize="0" autoFill="0" autoLine="0" autoPict="0">
                <anchor moveWithCells="1">
                  <from>
                    <xdr:col>19</xdr:col>
                    <xdr:colOff>66675</xdr:colOff>
                    <xdr:row>34</xdr:row>
                    <xdr:rowOff>28575</xdr:rowOff>
                  </from>
                  <to>
                    <xdr:col>22</xdr:col>
                    <xdr:colOff>28575</xdr:colOff>
                    <xdr:row>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9" name="Pt. de Ação 6">
              <controlPr locked="0" defaultSize="0" autoFill="0" autoLine="0" autoPict="0">
                <anchor moveWithCells="1">
                  <from>
                    <xdr:col>21</xdr:col>
                    <xdr:colOff>66675</xdr:colOff>
                    <xdr:row>34</xdr:row>
                    <xdr:rowOff>28575</xdr:rowOff>
                  </from>
                  <to>
                    <xdr:col>24</xdr:col>
                    <xdr:colOff>28575</xdr:colOff>
                    <xdr:row>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0" name="Pt. de Ação 7">
              <controlPr locked="0" defaultSize="0" autoFill="0" autoLine="0" autoPict="0">
                <anchor moveWithCells="1">
                  <from>
                    <xdr:col>23</xdr:col>
                    <xdr:colOff>66675</xdr:colOff>
                    <xdr:row>34</xdr:row>
                    <xdr:rowOff>28575</xdr:rowOff>
                  </from>
                  <to>
                    <xdr:col>26</xdr:col>
                    <xdr:colOff>28575</xdr:colOff>
                    <xdr:row>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1" name="Acrobacia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16</xdr:row>
                    <xdr:rowOff>76200</xdr:rowOff>
                  </from>
                  <to>
                    <xdr:col>49</xdr:col>
                    <xdr:colOff>76200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2" name="Adestrar Animais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18</xdr:row>
                    <xdr:rowOff>76200</xdr:rowOff>
                  </from>
                  <to>
                    <xdr:col>49</xdr:col>
                    <xdr:colOff>76200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3" name="Atletismo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20</xdr:row>
                    <xdr:rowOff>76200</xdr:rowOff>
                  </from>
                  <to>
                    <xdr:col>49</xdr:col>
                    <xdr:colOff>76200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4" name="Atuação [1]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22</xdr:row>
                    <xdr:rowOff>76200</xdr:rowOff>
                  </from>
                  <to>
                    <xdr:col>49</xdr:col>
                    <xdr:colOff>76200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5" name="Atuação [2]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24</xdr:row>
                    <xdr:rowOff>76200</xdr:rowOff>
                  </from>
                  <to>
                    <xdr:col>49</xdr:col>
                    <xdr:colOff>76200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16" name="Cavalgar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26</xdr:row>
                    <xdr:rowOff>76200</xdr:rowOff>
                  </from>
                  <to>
                    <xdr:col>49</xdr:col>
                    <xdr:colOff>76200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17" name="Conhecimento [1]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28</xdr:row>
                    <xdr:rowOff>76200</xdr:rowOff>
                  </from>
                  <to>
                    <xdr:col>49</xdr:col>
                    <xdr:colOff>76200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18" name="Conhecimento [2]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30</xdr:row>
                    <xdr:rowOff>76200</xdr:rowOff>
                  </from>
                  <to>
                    <xdr:col>49</xdr:col>
                    <xdr:colOff>76200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19" name="Conhecimento [3]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32</xdr:row>
                    <xdr:rowOff>76200</xdr:rowOff>
                  </from>
                  <to>
                    <xdr:col>49</xdr:col>
                    <xdr:colOff>76200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0" name="Cura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34</xdr:row>
                    <xdr:rowOff>76200</xdr:rowOff>
                  </from>
                  <to>
                    <xdr:col>49</xdr:col>
                    <xdr:colOff>76200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1" name="Diplomacia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36</xdr:row>
                    <xdr:rowOff>76200</xdr:rowOff>
                  </from>
                  <to>
                    <xdr:col>49</xdr:col>
                    <xdr:colOff>76200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2" name="Enganação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38</xdr:row>
                    <xdr:rowOff>76200</xdr:rowOff>
                  </from>
                  <to>
                    <xdr:col>49</xdr:col>
                    <xdr:colOff>76200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3" name="Furtividade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40</xdr:row>
                    <xdr:rowOff>76200</xdr:rowOff>
                  </from>
                  <to>
                    <xdr:col>49</xdr:col>
                    <xdr:colOff>76200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4" name="Identificar Magia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42</xdr:row>
                    <xdr:rowOff>76200</xdr:rowOff>
                  </from>
                  <to>
                    <xdr:col>49</xdr:col>
                    <xdr:colOff>76200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5" name="Iniciativa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44</xdr:row>
                    <xdr:rowOff>76200</xdr:rowOff>
                  </from>
                  <to>
                    <xdr:col>49</xdr:col>
                    <xdr:colOff>76200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26" name="Intimidação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46</xdr:row>
                    <xdr:rowOff>76200</xdr:rowOff>
                  </from>
                  <to>
                    <xdr:col>49</xdr:col>
                    <xdr:colOff>76200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27" name="Intuição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48</xdr:row>
                    <xdr:rowOff>76200</xdr:rowOff>
                  </from>
                  <to>
                    <xdr:col>49</xdr:col>
                    <xdr:colOff>76200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28" name="Ladinagem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52</xdr:row>
                    <xdr:rowOff>57150</xdr:rowOff>
                  </from>
                  <to>
                    <xdr:col>49</xdr:col>
                    <xdr:colOff>76200</xdr:colOff>
                    <xdr:row>54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29" name="Obter Informação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54</xdr:row>
                    <xdr:rowOff>76200</xdr:rowOff>
                  </from>
                  <to>
                    <xdr:col>49</xdr:col>
                    <xdr:colOff>76200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0" name="Ofício [1]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56</xdr:row>
                    <xdr:rowOff>76200</xdr:rowOff>
                  </from>
                  <to>
                    <xdr:col>49</xdr:col>
                    <xdr:colOff>76200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1" name="Ofício [2]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58</xdr:row>
                    <xdr:rowOff>76200</xdr:rowOff>
                  </from>
                  <to>
                    <xdr:col>49</xdr:col>
                    <xdr:colOff>76200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2" name="Percepção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60</xdr:row>
                    <xdr:rowOff>76200</xdr:rowOff>
                  </from>
                  <to>
                    <xdr:col>49</xdr:col>
                    <xdr:colOff>76200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3" name="Sobrevivência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62</xdr:row>
                    <xdr:rowOff>76200</xdr:rowOff>
                  </from>
                  <to>
                    <xdr:col>49</xdr:col>
                    <xdr:colOff>76200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4" name="Customizada [1]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64</xdr:row>
                    <xdr:rowOff>76200</xdr:rowOff>
                  </from>
                  <to>
                    <xdr:col>49</xdr:col>
                    <xdr:colOff>76200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5" name="Customizada [2]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66</xdr:row>
                    <xdr:rowOff>76200</xdr:rowOff>
                  </from>
                  <to>
                    <xdr:col>49</xdr:col>
                    <xdr:colOff>76200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36" name="Spinner 53">
              <controlPr defaultSize="0" print="0" autoPict="0">
                <anchor moveWithCells="1" sizeWithCells="1">
                  <from>
                    <xdr:col>44</xdr:col>
                    <xdr:colOff>0</xdr:colOff>
                    <xdr:row>41</xdr:row>
                    <xdr:rowOff>0</xdr:rowOff>
                  </from>
                  <to>
                    <xdr:col>44</xdr:col>
                    <xdr:colOff>104775</xdr:colOff>
                    <xdr:row>42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8" r:id="rId37" name="Spinner 56">
              <controlPr defaultSize="0" print="0" autoPict="0">
                <anchor moveWithCells="1" sizeWithCells="1">
                  <from>
                    <xdr:col>44</xdr:col>
                    <xdr:colOff>0</xdr:colOff>
                    <xdr:row>45</xdr:row>
                    <xdr:rowOff>0</xdr:rowOff>
                  </from>
                  <to>
                    <xdr:col>44</xdr:col>
                    <xdr:colOff>104775</xdr:colOff>
                    <xdr:row>46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9" r:id="rId38" name="Spinner 57">
              <controlPr defaultSize="0" print="0" autoPict="0">
                <anchor moveWithCells="1" sizeWithCells="1">
                  <from>
                    <xdr:col>44</xdr:col>
                    <xdr:colOff>0</xdr:colOff>
                    <xdr:row>49</xdr:row>
                    <xdr:rowOff>0</xdr:rowOff>
                  </from>
                  <to>
                    <xdr:col>44</xdr:col>
                    <xdr:colOff>104775</xdr:colOff>
                    <xdr:row>50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0" r:id="rId39" name="Spinner 58">
              <controlPr defaultSize="0" print="0" autoPict="0">
                <anchor moveWithCells="1" sizeWithCells="1">
                  <from>
                    <xdr:col>44</xdr:col>
                    <xdr:colOff>0</xdr:colOff>
                    <xdr:row>53</xdr:row>
                    <xdr:rowOff>0</xdr:rowOff>
                  </from>
                  <to>
                    <xdr:col>44</xdr:col>
                    <xdr:colOff>104775</xdr:colOff>
                    <xdr:row>54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2" r:id="rId40" name="Spinner 60">
              <controlPr defaultSize="0" print="0" autoPict="0">
                <anchor moveWithCells="1" sizeWithCells="1">
                  <from>
                    <xdr:col>44</xdr:col>
                    <xdr:colOff>0</xdr:colOff>
                    <xdr:row>57</xdr:row>
                    <xdr:rowOff>0</xdr:rowOff>
                  </from>
                  <to>
                    <xdr:col>44</xdr:col>
                    <xdr:colOff>104775</xdr:colOff>
                    <xdr:row>58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3" r:id="rId41" name="Spinner 61">
              <controlPr defaultSize="0" print="0" autoPict="0">
                <anchor moveWithCells="1" sizeWithCells="1">
                  <from>
                    <xdr:col>44</xdr:col>
                    <xdr:colOff>0</xdr:colOff>
                    <xdr:row>61</xdr:row>
                    <xdr:rowOff>0</xdr:rowOff>
                  </from>
                  <to>
                    <xdr:col>44</xdr:col>
                    <xdr:colOff>104775</xdr:colOff>
                    <xdr:row>62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4" r:id="rId42" name="Spinner 62">
              <controlPr defaultSize="0" print="0" autoPict="0">
                <anchor moveWithCells="1" sizeWithCells="1">
                  <from>
                    <xdr:col>44</xdr:col>
                    <xdr:colOff>0</xdr:colOff>
                    <xdr:row>65</xdr:row>
                    <xdr:rowOff>0</xdr:rowOff>
                  </from>
                  <to>
                    <xdr:col>44</xdr:col>
                    <xdr:colOff>104775</xdr:colOff>
                    <xdr:row>66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6" r:id="rId43" name="Check Box 64">
              <controlPr locked="0" defaultSize="0" autoFill="0" autoLine="0" autoPict="0">
                <anchor moveWithCells="1">
                  <from>
                    <xdr:col>47</xdr:col>
                    <xdr:colOff>0</xdr:colOff>
                    <xdr:row>50</xdr:row>
                    <xdr:rowOff>57150</xdr:rowOff>
                  </from>
                  <to>
                    <xdr:col>49</xdr:col>
                    <xdr:colOff>76200</xdr:colOff>
                    <xdr:row>52</xdr:row>
                    <xdr:rowOff>85725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6" id="{8BDB8482-5F47-4B1B-B259-4C1D3C317322}">
            <xm:f>Engine!$AG$4="x"</xm:f>
            <x14:dxf>
              <font>
                <color rgb="FF800000"/>
              </font>
            </x14:dxf>
          </x14:cfRule>
          <xm:sqref>AX18:BM19</xm:sqref>
        </x14:conditionalFormatting>
        <x14:conditionalFormatting xmlns:xm="http://schemas.microsoft.com/office/excel/2006/main">
          <x14:cfRule type="expression" priority="55" id="{A5AD4563-B3DE-4735-8C96-53ED47FDEB89}">
            <xm:f>Engine!$AG$5="x"</xm:f>
            <x14:dxf>
              <font>
                <color rgb="FF800000"/>
              </font>
            </x14:dxf>
          </x14:cfRule>
          <xm:sqref>AX20:BM21</xm:sqref>
        </x14:conditionalFormatting>
        <x14:conditionalFormatting xmlns:xm="http://schemas.microsoft.com/office/excel/2006/main">
          <x14:cfRule type="expression" priority="54" id="{3F799BFD-12FF-4D8D-BB46-0D176B956B46}">
            <xm:f>Engine!$AG$6="x"</xm:f>
            <x14:dxf>
              <font>
                <color rgb="FF800000"/>
              </font>
            </x14:dxf>
          </x14:cfRule>
          <xm:sqref>AX22:BM23</xm:sqref>
        </x14:conditionalFormatting>
        <x14:conditionalFormatting xmlns:xm="http://schemas.microsoft.com/office/excel/2006/main">
          <x14:cfRule type="expression" priority="53" id="{ADFC83E8-A603-406C-BE0C-7DC4D02A6E7B}">
            <xm:f>Engine!$AG$7="x"</xm:f>
            <x14:dxf>
              <font>
                <color rgb="FF800000"/>
              </font>
            </x14:dxf>
          </x14:cfRule>
          <xm:sqref>AX24:BM27</xm:sqref>
        </x14:conditionalFormatting>
        <x14:conditionalFormatting xmlns:xm="http://schemas.microsoft.com/office/excel/2006/main">
          <x14:cfRule type="expression" priority="52" id="{084875E6-A040-482C-B69B-3CCA11135AAD}">
            <xm:f>Engine!$AG$9="x"</xm:f>
            <x14:dxf>
              <font>
                <color rgb="FF800000"/>
              </font>
            </x14:dxf>
          </x14:cfRule>
          <xm:sqref>AX28:BM29</xm:sqref>
        </x14:conditionalFormatting>
        <x14:conditionalFormatting xmlns:xm="http://schemas.microsoft.com/office/excel/2006/main">
          <x14:cfRule type="expression" priority="51" id="{A0DAD512-187C-4DB9-92C2-A60C28BC6523}">
            <xm:f>Engine!$AG$10="x"</xm:f>
            <x14:dxf>
              <font>
                <color rgb="FF800000"/>
              </font>
            </x14:dxf>
          </x14:cfRule>
          <xm:sqref>AX30:BM35</xm:sqref>
        </x14:conditionalFormatting>
        <x14:conditionalFormatting xmlns:xm="http://schemas.microsoft.com/office/excel/2006/main">
          <x14:cfRule type="expression" priority="50" id="{C42A61E2-5274-430D-9EC6-944B2163613A}">
            <xm:f>Engine!$AG$13="x"</xm:f>
            <x14:dxf>
              <font>
                <color rgb="FF800000"/>
              </font>
            </x14:dxf>
          </x14:cfRule>
          <xm:sqref>AX36:BM37</xm:sqref>
        </x14:conditionalFormatting>
        <x14:conditionalFormatting xmlns:xm="http://schemas.microsoft.com/office/excel/2006/main">
          <x14:cfRule type="expression" priority="49" id="{98D6BF7E-732B-4DB1-BFAE-3E6E5E523FA9}">
            <xm:f>Engine!$AG$14="x"</xm:f>
            <x14:dxf>
              <font>
                <color rgb="FF800000"/>
              </font>
            </x14:dxf>
          </x14:cfRule>
          <xm:sqref>AX38:BM39</xm:sqref>
        </x14:conditionalFormatting>
        <x14:conditionalFormatting xmlns:xm="http://schemas.microsoft.com/office/excel/2006/main">
          <x14:cfRule type="expression" priority="48" id="{9F3774FD-E387-4C7C-99FA-BC54E90333D2}">
            <xm:f>Engine!$AG$15="x"</xm:f>
            <x14:dxf>
              <font>
                <color rgb="FF800000"/>
              </font>
            </x14:dxf>
          </x14:cfRule>
          <xm:sqref>AX40:BM41</xm:sqref>
        </x14:conditionalFormatting>
        <x14:conditionalFormatting xmlns:xm="http://schemas.microsoft.com/office/excel/2006/main">
          <x14:cfRule type="expression" priority="47" id="{B9A6E90A-3F6D-4492-9E2B-D138CB8A8D5B}">
            <xm:f>Engine!$AG$16="x"</xm:f>
            <x14:dxf>
              <font>
                <color rgb="FF800000"/>
              </font>
            </x14:dxf>
          </x14:cfRule>
          <xm:sqref>AX42:BM43</xm:sqref>
        </x14:conditionalFormatting>
        <x14:conditionalFormatting xmlns:xm="http://schemas.microsoft.com/office/excel/2006/main">
          <x14:cfRule type="expression" priority="46" id="{DFB2BB13-49B3-445B-AE55-3A3CB280DF1D}">
            <xm:f>Engine!$AG$17="x"</xm:f>
            <x14:dxf>
              <font>
                <color rgb="FF800000"/>
              </font>
            </x14:dxf>
          </x14:cfRule>
          <xm:sqref>AX44:BM45</xm:sqref>
        </x14:conditionalFormatting>
        <x14:conditionalFormatting xmlns:xm="http://schemas.microsoft.com/office/excel/2006/main">
          <x14:cfRule type="expression" priority="45" id="{39E68565-AA4C-46A2-8A76-209877D25D5D}">
            <xm:f>Engine!$AG$18="x"</xm:f>
            <x14:dxf>
              <font>
                <color rgb="FF800000"/>
              </font>
            </x14:dxf>
          </x14:cfRule>
          <xm:sqref>AX46:BM47</xm:sqref>
        </x14:conditionalFormatting>
        <x14:conditionalFormatting xmlns:xm="http://schemas.microsoft.com/office/excel/2006/main">
          <x14:cfRule type="expression" priority="44" id="{4D4FB98A-261C-4A67-88C9-FAE8FB4B63E5}">
            <xm:f>Engine!$AG$19="x"</xm:f>
            <x14:dxf>
              <font>
                <color rgb="FF800000"/>
              </font>
            </x14:dxf>
          </x14:cfRule>
          <xm:sqref>AX48:BM49</xm:sqref>
        </x14:conditionalFormatting>
        <x14:conditionalFormatting xmlns:xm="http://schemas.microsoft.com/office/excel/2006/main">
          <x14:cfRule type="expression" priority="43" id="{B364AEE8-461D-4445-858F-C52A45E50CAA}">
            <xm:f>Engine!$AG$20="x"</xm:f>
            <x14:dxf>
              <font>
                <color rgb="FF800000"/>
              </font>
            </x14:dxf>
          </x14:cfRule>
          <xm:sqref>AX50:BM51</xm:sqref>
        </x14:conditionalFormatting>
        <x14:conditionalFormatting xmlns:xm="http://schemas.microsoft.com/office/excel/2006/main">
          <x14:cfRule type="expression" priority="41" id="{2D60F2FA-3B0A-4207-B701-1B652C1753A6}">
            <xm:f>Engine!$AG$22="x"</xm:f>
            <x14:dxf>
              <font>
                <color rgb="FF800000"/>
              </font>
            </x14:dxf>
          </x14:cfRule>
          <xm:sqref>AX56:BM57</xm:sqref>
        </x14:conditionalFormatting>
        <x14:conditionalFormatting xmlns:xm="http://schemas.microsoft.com/office/excel/2006/main">
          <x14:cfRule type="expression" priority="40" id="{0E84AA6E-1D4F-4CCF-BAB6-C2A870378236}">
            <xm:f>Engine!$AG$23="x"</xm:f>
            <x14:dxf>
              <font>
                <color rgb="FF800000"/>
              </font>
            </x14:dxf>
          </x14:cfRule>
          <xm:sqref>AX60:BA61 BK60:BM61</xm:sqref>
        </x14:conditionalFormatting>
        <x14:conditionalFormatting xmlns:xm="http://schemas.microsoft.com/office/excel/2006/main">
          <x14:cfRule type="expression" priority="38" id="{971FCD14-8498-4C3B-B01B-C5CAB7E45B4F}">
            <xm:f>Engine!$AG$26="x"</xm:f>
            <x14:dxf>
              <font>
                <color rgb="FF800000"/>
              </font>
            </x14:dxf>
          </x14:cfRule>
          <xm:sqref>AX64:BM65</xm:sqref>
        </x14:conditionalFormatting>
        <x14:conditionalFormatting xmlns:xm="http://schemas.microsoft.com/office/excel/2006/main">
          <x14:cfRule type="expression" priority="37" id="{08A5BE4C-C177-403B-B819-9B9F10359B5F}">
            <xm:f>Engine!$AF$4</xm:f>
            <x14:dxf>
              <font>
                <b/>
                <i val="0"/>
                <color theme="1"/>
              </font>
            </x14:dxf>
          </x14:cfRule>
          <xm:sqref>BN18:BP19</xm:sqref>
        </x14:conditionalFormatting>
        <x14:conditionalFormatting xmlns:xm="http://schemas.microsoft.com/office/excel/2006/main">
          <x14:cfRule type="expression" priority="36" id="{8161847C-6CF4-44F8-81E6-9597F8EA8436}">
            <xm:f>Engine!$AF$5</xm:f>
            <x14:dxf>
              <font>
                <b/>
                <i val="0"/>
                <color theme="1"/>
              </font>
            </x14:dxf>
          </x14:cfRule>
          <xm:sqref>BN20:BP21</xm:sqref>
        </x14:conditionalFormatting>
        <x14:conditionalFormatting xmlns:xm="http://schemas.microsoft.com/office/excel/2006/main">
          <x14:cfRule type="expression" priority="35" id="{EC96F666-5690-43CF-846F-44A92221A29D}">
            <xm:f>Engine!$AF$6</xm:f>
            <x14:dxf>
              <font>
                <b/>
                <i val="0"/>
                <color theme="1"/>
              </font>
            </x14:dxf>
          </x14:cfRule>
          <xm:sqref>BN22:BP23</xm:sqref>
        </x14:conditionalFormatting>
        <x14:conditionalFormatting xmlns:xm="http://schemas.microsoft.com/office/excel/2006/main">
          <x14:cfRule type="expression" priority="34" id="{94382043-3B46-4E52-A106-2DE9865B2A7C}">
            <xm:f>Engine!$AF$7</xm:f>
            <x14:dxf>
              <font>
                <b/>
                <i val="0"/>
                <color theme="1"/>
              </font>
            </x14:dxf>
          </x14:cfRule>
          <xm:sqref>BN24:BP25</xm:sqref>
        </x14:conditionalFormatting>
        <x14:conditionalFormatting xmlns:xm="http://schemas.microsoft.com/office/excel/2006/main">
          <x14:cfRule type="expression" priority="33" id="{81CB5CD8-40CA-4F54-AD47-B7E1DC5EDF70}">
            <xm:f>Engine!$AF$8</xm:f>
            <x14:dxf>
              <font>
                <b/>
                <i val="0"/>
                <color theme="1"/>
              </font>
            </x14:dxf>
          </x14:cfRule>
          <xm:sqref>BN26:BP27</xm:sqref>
        </x14:conditionalFormatting>
        <x14:conditionalFormatting xmlns:xm="http://schemas.microsoft.com/office/excel/2006/main">
          <x14:cfRule type="expression" priority="32" id="{F6AF8253-203D-4CFE-95FF-DAFCA6F3C006}">
            <xm:f>Engine!$AF$9</xm:f>
            <x14:dxf>
              <font>
                <b/>
                <i val="0"/>
                <color theme="1"/>
              </font>
            </x14:dxf>
          </x14:cfRule>
          <xm:sqref>BN28:BP29</xm:sqref>
        </x14:conditionalFormatting>
        <x14:conditionalFormatting xmlns:xm="http://schemas.microsoft.com/office/excel/2006/main">
          <x14:cfRule type="expression" priority="31" id="{F564B44F-9718-4293-8D97-4F7B959DC85D}">
            <xm:f>Engine!$AF$10</xm:f>
            <x14:dxf>
              <font>
                <b/>
                <i val="0"/>
                <color theme="1"/>
              </font>
            </x14:dxf>
          </x14:cfRule>
          <xm:sqref>BN30:BP31</xm:sqref>
        </x14:conditionalFormatting>
        <x14:conditionalFormatting xmlns:xm="http://schemas.microsoft.com/office/excel/2006/main">
          <x14:cfRule type="expression" priority="30" id="{61381709-A590-4DBF-B087-F14A269B79F2}">
            <xm:f>Engine!$AF$11</xm:f>
            <x14:dxf>
              <font>
                <b/>
                <i val="0"/>
                <color theme="1"/>
              </font>
            </x14:dxf>
          </x14:cfRule>
          <xm:sqref>BN32:BP33</xm:sqref>
        </x14:conditionalFormatting>
        <x14:conditionalFormatting xmlns:xm="http://schemas.microsoft.com/office/excel/2006/main">
          <x14:cfRule type="expression" priority="29" id="{2C16AD3C-17F0-4513-8B2F-65751026C7A9}">
            <xm:f>Engine!$AF$12</xm:f>
            <x14:dxf>
              <font>
                <b/>
                <i val="0"/>
                <color theme="1"/>
              </font>
            </x14:dxf>
          </x14:cfRule>
          <xm:sqref>BN34:BP35</xm:sqref>
        </x14:conditionalFormatting>
        <x14:conditionalFormatting xmlns:xm="http://schemas.microsoft.com/office/excel/2006/main">
          <x14:cfRule type="expression" priority="28" id="{90312B46-4F19-47D0-BC39-3E6995DF5500}">
            <xm:f>Engine!$AF$13</xm:f>
            <x14:dxf>
              <font>
                <b/>
                <i val="0"/>
                <color theme="1"/>
              </font>
            </x14:dxf>
          </x14:cfRule>
          <xm:sqref>BN36:BP37</xm:sqref>
        </x14:conditionalFormatting>
        <x14:conditionalFormatting xmlns:xm="http://schemas.microsoft.com/office/excel/2006/main">
          <x14:cfRule type="expression" priority="27" id="{834D5A73-29B4-42DB-BEA4-0A95F11C9B18}">
            <xm:f>Engine!$AF$14</xm:f>
            <x14:dxf>
              <font>
                <b/>
                <i val="0"/>
                <color theme="1"/>
              </font>
            </x14:dxf>
          </x14:cfRule>
          <xm:sqref>BN38:BP39</xm:sqref>
        </x14:conditionalFormatting>
        <x14:conditionalFormatting xmlns:xm="http://schemas.microsoft.com/office/excel/2006/main">
          <x14:cfRule type="expression" priority="26" id="{EADD333D-C2FB-401D-8B24-670B85955326}">
            <xm:f>Engine!$AF$15</xm:f>
            <x14:dxf>
              <font>
                <b/>
                <i val="0"/>
                <color theme="1"/>
              </font>
            </x14:dxf>
          </x14:cfRule>
          <xm:sqref>BN40:BP41</xm:sqref>
        </x14:conditionalFormatting>
        <x14:conditionalFormatting xmlns:xm="http://schemas.microsoft.com/office/excel/2006/main">
          <x14:cfRule type="expression" priority="25" id="{7A28F266-612A-4E71-9703-3C103F81AEC2}">
            <xm:f>Engine!$AF$16</xm:f>
            <x14:dxf>
              <font>
                <b/>
                <i val="0"/>
                <color theme="1"/>
              </font>
            </x14:dxf>
          </x14:cfRule>
          <xm:sqref>BN42:BP43</xm:sqref>
        </x14:conditionalFormatting>
        <x14:conditionalFormatting xmlns:xm="http://schemas.microsoft.com/office/excel/2006/main">
          <x14:cfRule type="expression" priority="24" id="{717366F5-EDF9-41C8-AAEF-1E3FC68B516C}">
            <xm:f>Engine!$AF$17</xm:f>
            <x14:dxf>
              <font>
                <b/>
                <i val="0"/>
                <color theme="1"/>
              </font>
            </x14:dxf>
          </x14:cfRule>
          <xm:sqref>BN44:BP45</xm:sqref>
        </x14:conditionalFormatting>
        <x14:conditionalFormatting xmlns:xm="http://schemas.microsoft.com/office/excel/2006/main">
          <x14:cfRule type="expression" priority="23" id="{486EDE3F-D37A-4413-81D0-451C2AEB05C9}">
            <xm:f>Engine!$AF$18</xm:f>
            <x14:dxf>
              <font>
                <b/>
                <i val="0"/>
                <color theme="1"/>
              </font>
            </x14:dxf>
          </x14:cfRule>
          <xm:sqref>BN46:BP47</xm:sqref>
        </x14:conditionalFormatting>
        <x14:conditionalFormatting xmlns:xm="http://schemas.microsoft.com/office/excel/2006/main">
          <x14:cfRule type="expression" priority="22" id="{1168995A-4481-4EC2-AD15-E1952A775261}">
            <xm:f>Engine!$AF$19</xm:f>
            <x14:dxf>
              <font>
                <b/>
                <i val="0"/>
                <color theme="1"/>
              </font>
            </x14:dxf>
          </x14:cfRule>
          <xm:sqref>BN48:BP49</xm:sqref>
        </x14:conditionalFormatting>
        <x14:conditionalFormatting xmlns:xm="http://schemas.microsoft.com/office/excel/2006/main">
          <x14:cfRule type="expression" priority="21" id="{446A88B1-AE07-4778-AA83-117C8D615B90}">
            <xm:f>Engine!$AF$20</xm:f>
            <x14:dxf>
              <font>
                <b/>
                <i val="0"/>
                <color theme="1"/>
              </font>
            </x14:dxf>
          </x14:cfRule>
          <xm:sqref>BN50:BP53</xm:sqref>
        </x14:conditionalFormatting>
        <x14:conditionalFormatting xmlns:xm="http://schemas.microsoft.com/office/excel/2006/main">
          <x14:cfRule type="expression" priority="19" id="{B04CF29B-F83D-4514-8F7F-7E36B7FFD0D8}">
            <xm:f>Engine!$AF$22</xm:f>
            <x14:dxf>
              <font>
                <b/>
                <i val="0"/>
                <color theme="1"/>
              </font>
            </x14:dxf>
          </x14:cfRule>
          <xm:sqref>BN56:BP57</xm:sqref>
        </x14:conditionalFormatting>
        <x14:conditionalFormatting xmlns:xm="http://schemas.microsoft.com/office/excel/2006/main">
          <x14:cfRule type="expression" priority="17" id="{C620F0EC-D779-48B4-9F95-7538AEDFC000}">
            <xm:f>Engine!$AF$24</xm:f>
            <x14:dxf>
              <font>
                <b/>
                <i val="0"/>
                <color theme="1"/>
              </font>
            </x14:dxf>
          </x14:cfRule>
          <xm:sqref>BN60:BP61</xm:sqref>
        </x14:conditionalFormatting>
        <x14:conditionalFormatting xmlns:xm="http://schemas.microsoft.com/office/excel/2006/main">
          <x14:cfRule type="expression" priority="15" id="{1CE2104A-53F9-43CB-BE90-D9093C9DE3F1}">
            <xm:f>Engine!$AF$26</xm:f>
            <x14:dxf>
              <font>
                <b/>
                <i val="0"/>
                <color theme="1"/>
              </font>
            </x14:dxf>
          </x14:cfRule>
          <xm:sqref>BN64:BP65</xm:sqref>
        </x14:conditionalFormatting>
        <x14:conditionalFormatting xmlns:xm="http://schemas.microsoft.com/office/excel/2006/main">
          <x14:cfRule type="expression" priority="14" id="{4712E2C8-606F-41FF-AE40-5A5477C24E94}">
            <xm:f>Engine!$AF$27</xm:f>
            <x14:dxf>
              <font>
                <b/>
                <i val="0"/>
                <color theme="1"/>
              </font>
            </x14:dxf>
          </x14:cfRule>
          <xm:sqref>BN66:BP67</xm:sqref>
        </x14:conditionalFormatting>
        <x14:conditionalFormatting xmlns:xm="http://schemas.microsoft.com/office/excel/2006/main">
          <x14:cfRule type="expression" priority="13" id="{3C4E5AD8-2287-4964-A29A-877FD2CF6CE2}">
            <xm:f>Engine!$AF$28</xm:f>
            <x14:dxf>
              <font>
                <b/>
                <i val="0"/>
                <color theme="1"/>
              </font>
            </x14:dxf>
          </x14:cfRule>
          <xm:sqref>BN68</xm:sqref>
        </x14:conditionalFormatting>
        <x14:conditionalFormatting xmlns:xm="http://schemas.microsoft.com/office/excel/2006/main">
          <x14:cfRule type="expression" priority="11" id="{136CEAF3-41DA-402E-8C65-B189EB3E3B0B}">
            <xm:f>Engine!$AG$19="x"</xm:f>
            <x14:dxf>
              <font>
                <color rgb="FF800000"/>
              </font>
            </x14:dxf>
          </x14:cfRule>
          <xm:sqref>AX52:BM53</xm:sqref>
        </x14:conditionalFormatting>
        <x14:conditionalFormatting xmlns:xm="http://schemas.microsoft.com/office/excel/2006/main">
          <x14:cfRule type="expression" priority="9" id="{4D02E548-034C-4207-A7CC-DCB95130F08A}">
            <xm:f>Engine!$AG$22="x"</xm:f>
            <x14:dxf>
              <font>
                <color rgb="FF800000"/>
              </font>
            </x14:dxf>
          </x14:cfRule>
          <xm:sqref>AX54:BM55</xm:sqref>
        </x14:conditionalFormatting>
        <x14:conditionalFormatting xmlns:xm="http://schemas.microsoft.com/office/excel/2006/main">
          <x14:cfRule type="expression" priority="8" id="{2360DE13-ABCA-4E22-BE2B-C72B5ED72B9D}">
            <xm:f>Engine!$AF$22</xm:f>
            <x14:dxf>
              <font>
                <b/>
                <i val="0"/>
                <color theme="1"/>
              </font>
            </x14:dxf>
          </x14:cfRule>
          <xm:sqref>BN54:BP55</xm:sqref>
        </x14:conditionalFormatting>
        <x14:conditionalFormatting xmlns:xm="http://schemas.microsoft.com/office/excel/2006/main">
          <x14:cfRule type="expression" priority="6" id="{F2A06EDA-1B02-4058-9F61-92029AA77C1D}">
            <xm:f>Engine!$AF$22</xm:f>
            <x14:dxf>
              <font>
                <b/>
                <i val="0"/>
                <color theme="1"/>
              </font>
            </x14:dxf>
          </x14:cfRule>
          <xm:sqref>BN58:BP59</xm:sqref>
        </x14:conditionalFormatting>
        <x14:conditionalFormatting xmlns:xm="http://schemas.microsoft.com/office/excel/2006/main">
          <x14:cfRule type="expression" priority="5" id="{3E5A1773-292B-465F-8E13-A62D72541BE8}">
            <xm:f>Engine!$AG$22="x"</xm:f>
            <x14:dxf>
              <font>
                <color rgb="FF800000"/>
              </font>
            </x14:dxf>
          </x14:cfRule>
          <xm:sqref>AX62:BM63</xm:sqref>
        </x14:conditionalFormatting>
        <x14:conditionalFormatting xmlns:xm="http://schemas.microsoft.com/office/excel/2006/main">
          <x14:cfRule type="expression" priority="4" id="{BBF95E7B-2CE6-48B6-B764-9513F82C2E7F}">
            <xm:f>Engine!$AF$22</xm:f>
            <x14:dxf>
              <font>
                <b/>
                <i val="0"/>
                <color theme="1"/>
              </font>
            </x14:dxf>
          </x14:cfRule>
          <xm:sqref>BN62:BP63</xm:sqref>
        </x14:conditionalFormatting>
        <x14:conditionalFormatting xmlns:xm="http://schemas.microsoft.com/office/excel/2006/main">
          <x14:cfRule type="expression" priority="3" id="{4B55A11D-5F50-4274-8C8D-B271BA4F36BF}">
            <xm:f>Engine!$AG$23="x"</xm:f>
            <x14:dxf>
              <font>
                <color rgb="FF800000"/>
              </font>
            </x14:dxf>
          </x14:cfRule>
          <xm:sqref>AX58:BA59 BK58:BM59</xm:sqref>
        </x14:conditionalFormatting>
        <x14:conditionalFormatting xmlns:xm="http://schemas.microsoft.com/office/excel/2006/main">
          <x14:cfRule type="expression" priority="2" id="{0F05D6FC-08E4-4FA2-8745-BEA3EE6AA12D}">
            <xm:f>Engine!$AG$7="x"</xm:f>
            <x14:dxf>
              <font>
                <color rgb="FF800000"/>
              </font>
            </x14:dxf>
          </x14:cfRule>
          <xm:sqref>BB58:BJ59</xm:sqref>
        </x14:conditionalFormatting>
        <x14:conditionalFormatting xmlns:xm="http://schemas.microsoft.com/office/excel/2006/main">
          <x14:cfRule type="expression" priority="1" id="{16CBDBCD-DC30-4CE9-A835-C1CF56783DFB}">
            <xm:f>Engine!$AG$7="x"</xm:f>
            <x14:dxf>
              <font>
                <color rgb="FF800000"/>
              </font>
            </x14:dxf>
          </x14:cfRule>
          <xm:sqref>BB60:BJ61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FFCC"/>
  </sheetPr>
  <dimension ref="A1:EG188"/>
  <sheetViews>
    <sheetView showGridLines="0" zoomScaleNormal="100" zoomScalePageLayoutView="55" workbookViewId="0">
      <selection activeCell="BO10" sqref="BO10:CC12"/>
    </sheetView>
  </sheetViews>
  <sheetFormatPr defaultColWidth="1.7109375" defaultRowHeight="3.95" customHeight="1" x14ac:dyDescent="0.25"/>
  <cols>
    <col min="1" max="38" width="1.7109375" style="201"/>
    <col min="39" max="40" width="2.7109375" style="229" hidden="1" customWidth="1"/>
    <col min="41" max="16384" width="1.7109375" style="201"/>
  </cols>
  <sheetData>
    <row r="1" spans="1:82" ht="3.95" customHeight="1" x14ac:dyDescent="0.25">
      <c r="A1" s="228"/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AO1" s="228"/>
      <c r="AP1" s="230"/>
      <c r="AQ1" s="230"/>
      <c r="AR1" s="230"/>
      <c r="AS1" s="230"/>
      <c r="AT1" s="230"/>
      <c r="AU1" s="230"/>
      <c r="AV1" s="230"/>
      <c r="AW1" s="230"/>
      <c r="AX1" s="230"/>
      <c r="AY1" s="230"/>
      <c r="AZ1" s="230"/>
      <c r="BA1" s="230"/>
      <c r="BB1" s="230"/>
      <c r="BC1" s="230"/>
      <c r="BD1" s="230"/>
      <c r="BE1" s="230"/>
      <c r="BF1" s="230"/>
      <c r="BG1" s="230"/>
      <c r="BH1" s="230"/>
      <c r="BI1" s="230"/>
      <c r="BJ1" s="231"/>
      <c r="BK1" s="231"/>
      <c r="BL1" s="231"/>
      <c r="BM1" s="231"/>
      <c r="BN1" s="231"/>
      <c r="BO1" s="231"/>
      <c r="BP1" s="231"/>
      <c r="BQ1" s="231"/>
      <c r="BR1" s="231"/>
      <c r="BS1" s="231"/>
      <c r="BT1" s="231"/>
      <c r="BU1" s="231"/>
      <c r="BV1" s="231"/>
      <c r="BW1" s="231"/>
      <c r="BX1" s="231"/>
      <c r="BY1" s="231"/>
      <c r="BZ1" s="231"/>
      <c r="CA1" s="231"/>
      <c r="CB1" s="231"/>
      <c r="CC1" s="231"/>
      <c r="CD1" s="231"/>
    </row>
    <row r="2" spans="1:82" ht="3.95" customHeight="1" x14ac:dyDescent="0.25">
      <c r="A2" s="22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AO2" s="228"/>
      <c r="AP2" s="230"/>
      <c r="AQ2" s="230"/>
      <c r="AR2" s="230"/>
      <c r="AS2" s="230"/>
      <c r="AT2" s="230"/>
      <c r="AU2" s="230"/>
      <c r="AV2" s="230"/>
      <c r="AW2" s="230"/>
      <c r="AX2" s="230"/>
      <c r="AY2" s="230"/>
      <c r="AZ2" s="230"/>
      <c r="BA2" s="230"/>
      <c r="BB2" s="230"/>
      <c r="BC2" s="230"/>
      <c r="BD2" s="230"/>
      <c r="BE2" s="230"/>
      <c r="BF2" s="230"/>
      <c r="BG2" s="230"/>
      <c r="BH2" s="230"/>
      <c r="BI2" s="230"/>
      <c r="BJ2" s="231"/>
      <c r="BK2" s="231"/>
      <c r="BL2" s="231"/>
      <c r="BM2" s="231"/>
      <c r="BN2" s="231"/>
      <c r="BO2" s="231"/>
      <c r="BP2" s="231"/>
      <c r="BQ2" s="231"/>
      <c r="BR2" s="231"/>
      <c r="BS2" s="231"/>
      <c r="BT2" s="231"/>
      <c r="BU2" s="231"/>
      <c r="BV2" s="231"/>
      <c r="BW2" s="231"/>
      <c r="BX2" s="231"/>
      <c r="BY2" s="231"/>
      <c r="BZ2" s="231"/>
      <c r="CA2" s="231"/>
      <c r="CB2" s="231"/>
      <c r="CC2" s="231"/>
      <c r="CD2" s="231"/>
    </row>
    <row r="3" spans="1:82" ht="3.95" customHeight="1" x14ac:dyDescent="0.25">
      <c r="A3" s="228"/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1116"/>
      <c r="O3" s="1117"/>
      <c r="P3" s="1117"/>
      <c r="Q3" s="1117"/>
      <c r="R3" s="1117"/>
      <c r="S3" s="1117"/>
      <c r="T3" s="1117"/>
      <c r="U3" s="1117"/>
      <c r="V3" s="1118"/>
      <c r="X3" s="1116"/>
      <c r="Y3" s="1117"/>
      <c r="Z3" s="1117"/>
      <c r="AA3" s="1117"/>
      <c r="AB3" s="1117"/>
      <c r="AC3" s="1117"/>
      <c r="AD3" s="1117"/>
      <c r="AE3" s="1117"/>
      <c r="AF3" s="1117"/>
      <c r="AG3" s="1117"/>
      <c r="AH3" s="1117"/>
      <c r="AI3" s="1117"/>
      <c r="AJ3" s="1117"/>
      <c r="AK3" s="1117"/>
      <c r="AL3" s="1118"/>
      <c r="AM3" s="232"/>
      <c r="AN3" s="232"/>
      <c r="AO3" s="228"/>
      <c r="AP3" s="231"/>
      <c r="AQ3" s="1019" t="s">
        <v>81</v>
      </c>
      <c r="AR3" s="1020"/>
      <c r="AS3" s="1020"/>
      <c r="AT3" s="1020"/>
      <c r="AU3" s="1020"/>
      <c r="AV3" s="1020"/>
      <c r="AW3" s="1020"/>
      <c r="AX3" s="1020"/>
      <c r="AY3" s="1020"/>
      <c r="AZ3" s="1020"/>
      <c r="BA3" s="1020"/>
      <c r="BB3" s="1020"/>
      <c r="BC3" s="1020"/>
      <c r="BD3" s="1020"/>
      <c r="BE3" s="1020"/>
      <c r="BF3" s="1020"/>
      <c r="BG3" s="1020"/>
      <c r="BH3" s="1020"/>
      <c r="BI3" s="1021"/>
      <c r="BJ3" s="231"/>
      <c r="BK3" s="1019" t="s">
        <v>84</v>
      </c>
      <c r="BL3" s="1020"/>
      <c r="BM3" s="1020"/>
      <c r="BN3" s="1020"/>
      <c r="BO3" s="1020"/>
      <c r="BP3" s="1020"/>
      <c r="BQ3" s="1020"/>
      <c r="BR3" s="1020"/>
      <c r="BS3" s="1020"/>
      <c r="BT3" s="1020"/>
      <c r="BU3" s="1020"/>
      <c r="BV3" s="1020"/>
      <c r="BW3" s="1020"/>
      <c r="BX3" s="1020"/>
      <c r="BY3" s="1020"/>
      <c r="BZ3" s="1020"/>
      <c r="CA3" s="1020"/>
      <c r="CB3" s="1020"/>
      <c r="CC3" s="1021"/>
      <c r="CD3" s="231"/>
    </row>
    <row r="4" spans="1:82" ht="3.95" customHeight="1" x14ac:dyDescent="0.25">
      <c r="A4" s="228"/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1119"/>
      <c r="O4" s="1120"/>
      <c r="P4" s="1120"/>
      <c r="Q4" s="1120"/>
      <c r="R4" s="1120"/>
      <c r="S4" s="1120"/>
      <c r="T4" s="1120"/>
      <c r="U4" s="1120"/>
      <c r="V4" s="1121"/>
      <c r="X4" s="1119"/>
      <c r="Y4" s="1120"/>
      <c r="Z4" s="1120"/>
      <c r="AA4" s="1120"/>
      <c r="AB4" s="1120"/>
      <c r="AC4" s="1120"/>
      <c r="AD4" s="1120"/>
      <c r="AE4" s="1120"/>
      <c r="AF4" s="1120"/>
      <c r="AG4" s="1120"/>
      <c r="AH4" s="1120"/>
      <c r="AI4" s="1120"/>
      <c r="AJ4" s="1120"/>
      <c r="AK4" s="1120"/>
      <c r="AL4" s="1121"/>
      <c r="AM4" s="232"/>
      <c r="AN4" s="232"/>
      <c r="AO4" s="228"/>
      <c r="AP4" s="231"/>
      <c r="AQ4" s="1022"/>
      <c r="AR4" s="1023"/>
      <c r="AS4" s="1023"/>
      <c r="AT4" s="1023"/>
      <c r="AU4" s="1023"/>
      <c r="AV4" s="1023"/>
      <c r="AW4" s="1023"/>
      <c r="AX4" s="1023"/>
      <c r="AY4" s="1023"/>
      <c r="AZ4" s="1023"/>
      <c r="BA4" s="1023"/>
      <c r="BB4" s="1023"/>
      <c r="BC4" s="1023"/>
      <c r="BD4" s="1023"/>
      <c r="BE4" s="1023"/>
      <c r="BF4" s="1023"/>
      <c r="BG4" s="1023"/>
      <c r="BH4" s="1023"/>
      <c r="BI4" s="1024"/>
      <c r="BJ4" s="231"/>
      <c r="BK4" s="1022"/>
      <c r="BL4" s="1023"/>
      <c r="BM4" s="1023"/>
      <c r="BN4" s="1023"/>
      <c r="BO4" s="1023"/>
      <c r="BP4" s="1023"/>
      <c r="BQ4" s="1023"/>
      <c r="BR4" s="1023"/>
      <c r="BS4" s="1023"/>
      <c r="BT4" s="1023"/>
      <c r="BU4" s="1023"/>
      <c r="BV4" s="1023"/>
      <c r="BW4" s="1023"/>
      <c r="BX4" s="1023"/>
      <c r="BY4" s="1023"/>
      <c r="BZ4" s="1023"/>
      <c r="CA4" s="1023"/>
      <c r="CB4" s="1023"/>
      <c r="CC4" s="1024"/>
      <c r="CD4" s="231"/>
    </row>
    <row r="5" spans="1:82" ht="3.95" customHeight="1" x14ac:dyDescent="0.25">
      <c r="A5" s="228"/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1119"/>
      <c r="O5" s="1120"/>
      <c r="P5" s="1120"/>
      <c r="Q5" s="1120"/>
      <c r="R5" s="1120"/>
      <c r="S5" s="1120"/>
      <c r="T5" s="1120"/>
      <c r="U5" s="1120"/>
      <c r="V5" s="1121"/>
      <c r="X5" s="1119"/>
      <c r="Y5" s="1120"/>
      <c r="Z5" s="1120"/>
      <c r="AA5" s="1120"/>
      <c r="AB5" s="1120"/>
      <c r="AC5" s="1120"/>
      <c r="AD5" s="1120"/>
      <c r="AE5" s="1120"/>
      <c r="AF5" s="1120"/>
      <c r="AG5" s="1120"/>
      <c r="AH5" s="1120"/>
      <c r="AI5" s="1120"/>
      <c r="AJ5" s="1120"/>
      <c r="AK5" s="1120"/>
      <c r="AL5" s="1121"/>
      <c r="AM5" s="232"/>
      <c r="AN5" s="232"/>
      <c r="AO5" s="228"/>
      <c r="AP5" s="231"/>
      <c r="AQ5" s="1022"/>
      <c r="AR5" s="1023"/>
      <c r="AS5" s="1023"/>
      <c r="AT5" s="1023"/>
      <c r="AU5" s="1023"/>
      <c r="AV5" s="1023"/>
      <c r="AW5" s="1023"/>
      <c r="AX5" s="1023"/>
      <c r="AY5" s="1023"/>
      <c r="AZ5" s="1023"/>
      <c r="BA5" s="1023"/>
      <c r="BB5" s="1023"/>
      <c r="BC5" s="1023"/>
      <c r="BD5" s="1023"/>
      <c r="BE5" s="1023"/>
      <c r="BF5" s="1023"/>
      <c r="BG5" s="1023"/>
      <c r="BH5" s="1023"/>
      <c r="BI5" s="1024"/>
      <c r="BJ5" s="231"/>
      <c r="BK5" s="1022"/>
      <c r="BL5" s="1023"/>
      <c r="BM5" s="1023"/>
      <c r="BN5" s="1023"/>
      <c r="BO5" s="1023"/>
      <c r="BP5" s="1023"/>
      <c r="BQ5" s="1023"/>
      <c r="BR5" s="1023"/>
      <c r="BS5" s="1023"/>
      <c r="BT5" s="1023"/>
      <c r="BU5" s="1023"/>
      <c r="BV5" s="1023"/>
      <c r="BW5" s="1023"/>
      <c r="BX5" s="1023"/>
      <c r="BY5" s="1023"/>
      <c r="BZ5" s="1023"/>
      <c r="CA5" s="1023"/>
      <c r="CB5" s="1023"/>
      <c r="CC5" s="1024"/>
      <c r="CD5" s="231"/>
    </row>
    <row r="6" spans="1:82" ht="3.95" customHeight="1" x14ac:dyDescent="0.25">
      <c r="A6" s="228"/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1122"/>
      <c r="O6" s="1123"/>
      <c r="P6" s="1123"/>
      <c r="Q6" s="1123"/>
      <c r="R6" s="1123"/>
      <c r="S6" s="1123"/>
      <c r="T6" s="1123"/>
      <c r="U6" s="1123"/>
      <c r="V6" s="1124"/>
      <c r="X6" s="1122"/>
      <c r="Y6" s="1123"/>
      <c r="Z6" s="1123"/>
      <c r="AA6" s="1123"/>
      <c r="AB6" s="1123"/>
      <c r="AC6" s="1123"/>
      <c r="AD6" s="1123"/>
      <c r="AE6" s="1123"/>
      <c r="AF6" s="1123"/>
      <c r="AG6" s="1123"/>
      <c r="AH6" s="1123"/>
      <c r="AI6" s="1123"/>
      <c r="AJ6" s="1123"/>
      <c r="AK6" s="1123"/>
      <c r="AL6" s="1124"/>
      <c r="AM6" s="232"/>
      <c r="AN6" s="232"/>
      <c r="AO6" s="228"/>
      <c r="AP6" s="231"/>
      <c r="AQ6" s="1025"/>
      <c r="AR6" s="1026"/>
      <c r="AS6" s="1026"/>
      <c r="AT6" s="1026"/>
      <c r="AU6" s="1026"/>
      <c r="AV6" s="1026"/>
      <c r="AW6" s="1026"/>
      <c r="AX6" s="1026"/>
      <c r="AY6" s="1026"/>
      <c r="AZ6" s="1026"/>
      <c r="BA6" s="1026"/>
      <c r="BB6" s="1026"/>
      <c r="BC6" s="1026"/>
      <c r="BD6" s="1026"/>
      <c r="BE6" s="1026"/>
      <c r="BF6" s="1026"/>
      <c r="BG6" s="1026"/>
      <c r="BH6" s="1026"/>
      <c r="BI6" s="1027"/>
      <c r="BJ6" s="231"/>
      <c r="BK6" s="1025"/>
      <c r="BL6" s="1026"/>
      <c r="BM6" s="1026"/>
      <c r="BN6" s="1026"/>
      <c r="BO6" s="1026"/>
      <c r="BP6" s="1026"/>
      <c r="BQ6" s="1026"/>
      <c r="BR6" s="1026"/>
      <c r="BS6" s="1026"/>
      <c r="BT6" s="1026"/>
      <c r="BU6" s="1026"/>
      <c r="BV6" s="1026"/>
      <c r="BW6" s="1026"/>
      <c r="BX6" s="1026"/>
      <c r="BY6" s="1026"/>
      <c r="BZ6" s="1026"/>
      <c r="CA6" s="1026"/>
      <c r="CB6" s="1026"/>
      <c r="CC6" s="1027"/>
      <c r="CD6" s="231"/>
    </row>
    <row r="7" spans="1:82" ht="3.95" customHeight="1" x14ac:dyDescent="0.25">
      <c r="A7" s="228"/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963" t="s">
        <v>528</v>
      </c>
      <c r="O7" s="963"/>
      <c r="P7" s="963"/>
      <c r="Q7" s="963"/>
      <c r="R7" s="963"/>
      <c r="S7" s="963"/>
      <c r="T7" s="963"/>
      <c r="U7" s="963"/>
      <c r="V7" s="963"/>
      <c r="W7" s="206"/>
      <c r="X7" s="1225" t="s">
        <v>82</v>
      </c>
      <c r="Y7" s="1225"/>
      <c r="Z7" s="1225"/>
      <c r="AA7" s="1225"/>
      <c r="AB7" s="1225"/>
      <c r="AC7" s="1225"/>
      <c r="AD7" s="1225"/>
      <c r="AE7" s="1225"/>
      <c r="AF7" s="1225"/>
      <c r="AG7" s="1225"/>
      <c r="AH7" s="1225"/>
      <c r="AI7" s="1225"/>
      <c r="AJ7" s="1225"/>
      <c r="AK7" s="1225"/>
      <c r="AL7" s="1225"/>
      <c r="AM7" s="233"/>
      <c r="AN7" s="233"/>
      <c r="AO7" s="228"/>
      <c r="AP7" s="231"/>
      <c r="AQ7" s="1056"/>
      <c r="AR7" s="1057"/>
      <c r="AS7" s="1057"/>
      <c r="AT7" s="1057"/>
      <c r="AU7" s="1058"/>
      <c r="AV7" s="1058"/>
      <c r="AW7" s="1058"/>
      <c r="AX7" s="1058"/>
      <c r="AY7" s="1058"/>
      <c r="AZ7" s="1058"/>
      <c r="BA7" s="1058"/>
      <c r="BB7" s="1058"/>
      <c r="BC7" s="1058"/>
      <c r="BD7" s="1058"/>
      <c r="BE7" s="1058"/>
      <c r="BF7" s="1058"/>
      <c r="BG7" s="1058"/>
      <c r="BH7" s="1058"/>
      <c r="BI7" s="1059"/>
      <c r="BJ7" s="231"/>
      <c r="BK7" s="1056"/>
      <c r="BL7" s="1057"/>
      <c r="BM7" s="1057"/>
      <c r="BN7" s="1057"/>
      <c r="BO7" s="1058"/>
      <c r="BP7" s="1058"/>
      <c r="BQ7" s="1058"/>
      <c r="BR7" s="1058"/>
      <c r="BS7" s="1058"/>
      <c r="BT7" s="1058"/>
      <c r="BU7" s="1058"/>
      <c r="BV7" s="1058"/>
      <c r="BW7" s="1058"/>
      <c r="BX7" s="1058"/>
      <c r="BY7" s="1058"/>
      <c r="BZ7" s="1058"/>
      <c r="CA7" s="1058"/>
      <c r="CB7" s="1058"/>
      <c r="CC7" s="1059"/>
      <c r="CD7" s="231"/>
    </row>
    <row r="8" spans="1:82" ht="3.95" customHeight="1" x14ac:dyDescent="0.25">
      <c r="A8" s="228"/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963"/>
      <c r="O8" s="963"/>
      <c r="P8" s="963"/>
      <c r="Q8" s="963"/>
      <c r="R8" s="963"/>
      <c r="S8" s="963"/>
      <c r="T8" s="963"/>
      <c r="U8" s="963"/>
      <c r="V8" s="963"/>
      <c r="W8" s="206"/>
      <c r="X8" s="963"/>
      <c r="Y8" s="963"/>
      <c r="Z8" s="963"/>
      <c r="AA8" s="963"/>
      <c r="AB8" s="963"/>
      <c r="AC8" s="963"/>
      <c r="AD8" s="963"/>
      <c r="AE8" s="963"/>
      <c r="AF8" s="963"/>
      <c r="AG8" s="963"/>
      <c r="AH8" s="963"/>
      <c r="AI8" s="963"/>
      <c r="AJ8" s="963"/>
      <c r="AK8" s="963"/>
      <c r="AL8" s="963"/>
      <c r="AM8" s="233"/>
      <c r="AN8" s="233"/>
      <c r="AO8" s="228"/>
      <c r="AP8" s="231"/>
      <c r="AQ8" s="1037"/>
      <c r="AR8" s="1038"/>
      <c r="AS8" s="1038"/>
      <c r="AT8" s="1038"/>
      <c r="AU8" s="1054"/>
      <c r="AV8" s="1054"/>
      <c r="AW8" s="1054"/>
      <c r="AX8" s="1054"/>
      <c r="AY8" s="1054"/>
      <c r="AZ8" s="1054"/>
      <c r="BA8" s="1054"/>
      <c r="BB8" s="1054"/>
      <c r="BC8" s="1054"/>
      <c r="BD8" s="1054"/>
      <c r="BE8" s="1054"/>
      <c r="BF8" s="1054"/>
      <c r="BG8" s="1054"/>
      <c r="BH8" s="1054"/>
      <c r="BI8" s="1055"/>
      <c r="BJ8" s="231"/>
      <c r="BK8" s="1037"/>
      <c r="BL8" s="1038"/>
      <c r="BM8" s="1038"/>
      <c r="BN8" s="1038"/>
      <c r="BO8" s="1054"/>
      <c r="BP8" s="1054"/>
      <c r="BQ8" s="1054"/>
      <c r="BR8" s="1054"/>
      <c r="BS8" s="1054"/>
      <c r="BT8" s="1054"/>
      <c r="BU8" s="1054"/>
      <c r="BV8" s="1054"/>
      <c r="BW8" s="1054"/>
      <c r="BX8" s="1054"/>
      <c r="BY8" s="1054"/>
      <c r="BZ8" s="1054"/>
      <c r="CA8" s="1054"/>
      <c r="CB8" s="1054"/>
      <c r="CC8" s="1055"/>
      <c r="CD8" s="231"/>
    </row>
    <row r="9" spans="1:82" ht="3.95" customHeight="1" x14ac:dyDescent="0.25">
      <c r="A9" s="228"/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963"/>
      <c r="O9" s="963"/>
      <c r="P9" s="963"/>
      <c r="Q9" s="963"/>
      <c r="R9" s="963"/>
      <c r="S9" s="963"/>
      <c r="T9" s="963"/>
      <c r="U9" s="963"/>
      <c r="V9" s="963"/>
      <c r="W9" s="206"/>
      <c r="X9" s="963"/>
      <c r="Y9" s="963"/>
      <c r="Z9" s="963"/>
      <c r="AA9" s="963"/>
      <c r="AB9" s="963"/>
      <c r="AC9" s="963"/>
      <c r="AD9" s="963"/>
      <c r="AE9" s="963"/>
      <c r="AF9" s="963"/>
      <c r="AG9" s="963"/>
      <c r="AH9" s="963"/>
      <c r="AI9" s="963"/>
      <c r="AJ9" s="963"/>
      <c r="AK9" s="963"/>
      <c r="AL9" s="963"/>
      <c r="AM9" s="233"/>
      <c r="AN9" s="233"/>
      <c r="AO9" s="228"/>
      <c r="AP9" s="231"/>
      <c r="AQ9" s="1037"/>
      <c r="AR9" s="1038"/>
      <c r="AS9" s="1038"/>
      <c r="AT9" s="1038"/>
      <c r="AU9" s="1054"/>
      <c r="AV9" s="1054"/>
      <c r="AW9" s="1054"/>
      <c r="AX9" s="1054"/>
      <c r="AY9" s="1054"/>
      <c r="AZ9" s="1054"/>
      <c r="BA9" s="1054"/>
      <c r="BB9" s="1054"/>
      <c r="BC9" s="1054"/>
      <c r="BD9" s="1054"/>
      <c r="BE9" s="1054"/>
      <c r="BF9" s="1054"/>
      <c r="BG9" s="1054"/>
      <c r="BH9" s="1054"/>
      <c r="BI9" s="1055"/>
      <c r="BJ9" s="231"/>
      <c r="BK9" s="1037"/>
      <c r="BL9" s="1038"/>
      <c r="BM9" s="1038"/>
      <c r="BN9" s="1038"/>
      <c r="BO9" s="1054"/>
      <c r="BP9" s="1054"/>
      <c r="BQ9" s="1054"/>
      <c r="BR9" s="1054"/>
      <c r="BS9" s="1054"/>
      <c r="BT9" s="1054"/>
      <c r="BU9" s="1054"/>
      <c r="BV9" s="1054"/>
      <c r="BW9" s="1054"/>
      <c r="BX9" s="1054"/>
      <c r="BY9" s="1054"/>
      <c r="BZ9" s="1054"/>
      <c r="CA9" s="1054"/>
      <c r="CB9" s="1054"/>
      <c r="CC9" s="1055"/>
      <c r="CD9" s="231"/>
    </row>
    <row r="10" spans="1:82" ht="3.95" customHeight="1" thickBot="1" x14ac:dyDescent="0.3">
      <c r="A10" s="228"/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963"/>
      <c r="O10" s="963"/>
      <c r="P10" s="963"/>
      <c r="Q10" s="963"/>
      <c r="R10" s="963"/>
      <c r="S10" s="963"/>
      <c r="T10" s="963"/>
      <c r="U10" s="963"/>
      <c r="V10" s="963"/>
      <c r="X10" s="963"/>
      <c r="Y10" s="963"/>
      <c r="Z10" s="963"/>
      <c r="AA10" s="963"/>
      <c r="AB10" s="963"/>
      <c r="AC10" s="963"/>
      <c r="AD10" s="963"/>
      <c r="AE10" s="963"/>
      <c r="AF10" s="963"/>
      <c r="AG10" s="963"/>
      <c r="AH10" s="963"/>
      <c r="AI10" s="963"/>
      <c r="AJ10" s="963"/>
      <c r="AK10" s="963"/>
      <c r="AL10" s="963"/>
      <c r="AM10" s="233"/>
      <c r="AN10" s="233"/>
      <c r="AO10" s="228"/>
      <c r="AP10" s="231"/>
      <c r="AQ10" s="1044"/>
      <c r="AR10" s="1045"/>
      <c r="AS10" s="1045"/>
      <c r="AT10" s="1046"/>
      <c r="AU10" s="1028"/>
      <c r="AV10" s="1029"/>
      <c r="AW10" s="1029"/>
      <c r="AX10" s="1029"/>
      <c r="AY10" s="1029"/>
      <c r="AZ10" s="1029"/>
      <c r="BA10" s="1029"/>
      <c r="BB10" s="1029"/>
      <c r="BC10" s="1029"/>
      <c r="BD10" s="1029"/>
      <c r="BE10" s="1029"/>
      <c r="BF10" s="1029"/>
      <c r="BG10" s="1029"/>
      <c r="BH10" s="1029"/>
      <c r="BI10" s="1030"/>
      <c r="BJ10" s="231"/>
      <c r="BK10" s="1037"/>
      <c r="BL10" s="1038"/>
      <c r="BM10" s="1038"/>
      <c r="BN10" s="1038"/>
      <c r="BO10" s="1054"/>
      <c r="BP10" s="1054"/>
      <c r="BQ10" s="1054"/>
      <c r="BR10" s="1054"/>
      <c r="BS10" s="1054"/>
      <c r="BT10" s="1054"/>
      <c r="BU10" s="1054"/>
      <c r="BV10" s="1054"/>
      <c r="BW10" s="1054"/>
      <c r="BX10" s="1054"/>
      <c r="BY10" s="1054"/>
      <c r="BZ10" s="1054"/>
      <c r="CA10" s="1054"/>
      <c r="CB10" s="1054"/>
      <c r="CC10" s="1055"/>
      <c r="CD10" s="231"/>
    </row>
    <row r="11" spans="1:82" ht="3.95" customHeight="1" x14ac:dyDescent="0.25">
      <c r="A11" s="228"/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1098"/>
      <c r="O11" s="1099"/>
      <c r="P11" s="1099"/>
      <c r="Q11" s="1099"/>
      <c r="R11" s="1099"/>
      <c r="S11" s="1099"/>
      <c r="T11" s="1099"/>
      <c r="U11" s="1099"/>
      <c r="V11" s="1100"/>
      <c r="X11" s="1107">
        <f>(1000*(NÍVEL+AJUSTE))+(500*((NÍVEL+AJUSTE)-1)*(NÍVEL+AJUSTE))</f>
        <v>1000</v>
      </c>
      <c r="Y11" s="1108"/>
      <c r="Z11" s="1108"/>
      <c r="AA11" s="1108"/>
      <c r="AB11" s="1108"/>
      <c r="AC11" s="1108"/>
      <c r="AD11" s="1108"/>
      <c r="AE11" s="1108"/>
      <c r="AF11" s="1109"/>
      <c r="AH11" s="1226"/>
      <c r="AI11" s="1227"/>
      <c r="AJ11" s="1227"/>
      <c r="AK11" s="1227"/>
      <c r="AL11" s="1228"/>
      <c r="AM11" s="232"/>
      <c r="AN11" s="232"/>
      <c r="AO11" s="228"/>
      <c r="AP11" s="231"/>
      <c r="AQ11" s="1047"/>
      <c r="AR11" s="1048"/>
      <c r="AS11" s="1048"/>
      <c r="AT11" s="1049"/>
      <c r="AU11" s="1031"/>
      <c r="AV11" s="1032"/>
      <c r="AW11" s="1032"/>
      <c r="AX11" s="1032"/>
      <c r="AY11" s="1032"/>
      <c r="AZ11" s="1032"/>
      <c r="BA11" s="1032"/>
      <c r="BB11" s="1032"/>
      <c r="BC11" s="1032"/>
      <c r="BD11" s="1032"/>
      <c r="BE11" s="1032"/>
      <c r="BF11" s="1032"/>
      <c r="BG11" s="1032"/>
      <c r="BH11" s="1032"/>
      <c r="BI11" s="1033"/>
      <c r="BJ11" s="231"/>
      <c r="BK11" s="1037"/>
      <c r="BL11" s="1038"/>
      <c r="BM11" s="1038"/>
      <c r="BN11" s="1038"/>
      <c r="BO11" s="1054"/>
      <c r="BP11" s="1054"/>
      <c r="BQ11" s="1054"/>
      <c r="BR11" s="1054"/>
      <c r="BS11" s="1054"/>
      <c r="BT11" s="1054"/>
      <c r="BU11" s="1054"/>
      <c r="BV11" s="1054"/>
      <c r="BW11" s="1054"/>
      <c r="BX11" s="1054"/>
      <c r="BY11" s="1054"/>
      <c r="BZ11" s="1054"/>
      <c r="CA11" s="1054"/>
      <c r="CB11" s="1054"/>
      <c r="CC11" s="1055"/>
      <c r="CD11" s="231"/>
    </row>
    <row r="12" spans="1:82" ht="3.95" customHeight="1" x14ac:dyDescent="0.25">
      <c r="A12" s="228"/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1101"/>
      <c r="O12" s="1102"/>
      <c r="P12" s="1102"/>
      <c r="Q12" s="1102"/>
      <c r="R12" s="1102"/>
      <c r="S12" s="1102"/>
      <c r="T12" s="1102"/>
      <c r="U12" s="1102"/>
      <c r="V12" s="1103"/>
      <c r="X12" s="1110"/>
      <c r="Y12" s="1111"/>
      <c r="Z12" s="1111"/>
      <c r="AA12" s="1111"/>
      <c r="AB12" s="1111"/>
      <c r="AC12" s="1111"/>
      <c r="AD12" s="1111"/>
      <c r="AE12" s="1111"/>
      <c r="AF12" s="1112"/>
      <c r="AH12" s="1229"/>
      <c r="AI12" s="1230"/>
      <c r="AJ12" s="1230"/>
      <c r="AK12" s="1230"/>
      <c r="AL12" s="1231"/>
      <c r="AM12" s="232"/>
      <c r="AN12" s="232"/>
      <c r="AO12" s="228"/>
      <c r="AP12" s="231"/>
      <c r="AQ12" s="1050"/>
      <c r="AR12" s="1051"/>
      <c r="AS12" s="1051"/>
      <c r="AT12" s="1052"/>
      <c r="AU12" s="1034"/>
      <c r="AV12" s="1035"/>
      <c r="AW12" s="1035"/>
      <c r="AX12" s="1035"/>
      <c r="AY12" s="1035"/>
      <c r="AZ12" s="1035"/>
      <c r="BA12" s="1035"/>
      <c r="BB12" s="1035"/>
      <c r="BC12" s="1035"/>
      <c r="BD12" s="1035"/>
      <c r="BE12" s="1035"/>
      <c r="BF12" s="1035"/>
      <c r="BG12" s="1035"/>
      <c r="BH12" s="1035"/>
      <c r="BI12" s="1036"/>
      <c r="BJ12" s="231"/>
      <c r="BK12" s="1037"/>
      <c r="BL12" s="1038"/>
      <c r="BM12" s="1038"/>
      <c r="BN12" s="1038"/>
      <c r="BO12" s="1054"/>
      <c r="BP12" s="1054"/>
      <c r="BQ12" s="1054"/>
      <c r="BR12" s="1054"/>
      <c r="BS12" s="1054"/>
      <c r="BT12" s="1054"/>
      <c r="BU12" s="1054"/>
      <c r="BV12" s="1054"/>
      <c r="BW12" s="1054"/>
      <c r="BX12" s="1054"/>
      <c r="BY12" s="1054"/>
      <c r="BZ12" s="1054"/>
      <c r="CA12" s="1054"/>
      <c r="CB12" s="1054"/>
      <c r="CC12" s="1055"/>
      <c r="CD12" s="231"/>
    </row>
    <row r="13" spans="1:82" ht="3.95" customHeight="1" x14ac:dyDescent="0.25">
      <c r="A13" s="228"/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1101"/>
      <c r="O13" s="1102"/>
      <c r="P13" s="1102"/>
      <c r="Q13" s="1102"/>
      <c r="R13" s="1102"/>
      <c r="S13" s="1102"/>
      <c r="T13" s="1102"/>
      <c r="U13" s="1102"/>
      <c r="V13" s="1103"/>
      <c r="X13" s="1110"/>
      <c r="Y13" s="1111"/>
      <c r="Z13" s="1111"/>
      <c r="AA13" s="1111"/>
      <c r="AB13" s="1111"/>
      <c r="AC13" s="1111"/>
      <c r="AD13" s="1111"/>
      <c r="AE13" s="1111"/>
      <c r="AF13" s="1112"/>
      <c r="AH13" s="1229"/>
      <c r="AI13" s="1230"/>
      <c r="AJ13" s="1230"/>
      <c r="AK13" s="1230"/>
      <c r="AL13" s="1231"/>
      <c r="AM13" s="232"/>
      <c r="AN13" s="232"/>
      <c r="AO13" s="228"/>
      <c r="AP13" s="231"/>
      <c r="AQ13" s="1044"/>
      <c r="AR13" s="1045"/>
      <c r="AS13" s="1045"/>
      <c r="AT13" s="1046"/>
      <c r="AU13" s="1028"/>
      <c r="AV13" s="1029"/>
      <c r="AW13" s="1029"/>
      <c r="AX13" s="1029"/>
      <c r="AY13" s="1029"/>
      <c r="AZ13" s="1029"/>
      <c r="BA13" s="1029"/>
      <c r="BB13" s="1029"/>
      <c r="BC13" s="1029"/>
      <c r="BD13" s="1029"/>
      <c r="BE13" s="1029"/>
      <c r="BF13" s="1029"/>
      <c r="BG13" s="1029"/>
      <c r="BH13" s="1029"/>
      <c r="BI13" s="1030"/>
      <c r="BJ13" s="231"/>
      <c r="BK13" s="1037"/>
      <c r="BL13" s="1038"/>
      <c r="BM13" s="1038"/>
      <c r="BN13" s="1038"/>
      <c r="BO13" s="1028"/>
      <c r="BP13" s="1029"/>
      <c r="BQ13" s="1029"/>
      <c r="BR13" s="1029"/>
      <c r="BS13" s="1029"/>
      <c r="BT13" s="1029"/>
      <c r="BU13" s="1029"/>
      <c r="BV13" s="1029"/>
      <c r="BW13" s="1029"/>
      <c r="BX13" s="1029"/>
      <c r="BY13" s="1029"/>
      <c r="BZ13" s="1029"/>
      <c r="CA13" s="1029"/>
      <c r="CB13" s="1029"/>
      <c r="CC13" s="1030"/>
      <c r="CD13" s="231"/>
    </row>
    <row r="14" spans="1:82" ht="3.95" customHeight="1" thickBot="1" x14ac:dyDescent="0.3">
      <c r="A14" s="228"/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228"/>
      <c r="M14" s="228"/>
      <c r="N14" s="1104"/>
      <c r="O14" s="1105"/>
      <c r="P14" s="1105"/>
      <c r="Q14" s="1105"/>
      <c r="R14" s="1105"/>
      <c r="S14" s="1105"/>
      <c r="T14" s="1105"/>
      <c r="U14" s="1105"/>
      <c r="V14" s="1106"/>
      <c r="X14" s="1113"/>
      <c r="Y14" s="1114"/>
      <c r="Z14" s="1114"/>
      <c r="AA14" s="1114"/>
      <c r="AB14" s="1114"/>
      <c r="AC14" s="1114"/>
      <c r="AD14" s="1114"/>
      <c r="AE14" s="1114"/>
      <c r="AF14" s="1115"/>
      <c r="AH14" s="1232"/>
      <c r="AI14" s="1233"/>
      <c r="AJ14" s="1233"/>
      <c r="AK14" s="1233"/>
      <c r="AL14" s="1234"/>
      <c r="AM14" s="232"/>
      <c r="AN14" s="232"/>
      <c r="AO14" s="228"/>
      <c r="AP14" s="231"/>
      <c r="AQ14" s="1047"/>
      <c r="AR14" s="1048"/>
      <c r="AS14" s="1048"/>
      <c r="AT14" s="1049"/>
      <c r="AU14" s="1031"/>
      <c r="AV14" s="1032"/>
      <c r="AW14" s="1032"/>
      <c r="AX14" s="1032"/>
      <c r="AY14" s="1032"/>
      <c r="AZ14" s="1032"/>
      <c r="BA14" s="1032"/>
      <c r="BB14" s="1032"/>
      <c r="BC14" s="1032"/>
      <c r="BD14" s="1032"/>
      <c r="BE14" s="1032"/>
      <c r="BF14" s="1032"/>
      <c r="BG14" s="1032"/>
      <c r="BH14" s="1032"/>
      <c r="BI14" s="1033"/>
      <c r="BJ14" s="231"/>
      <c r="BK14" s="1037"/>
      <c r="BL14" s="1038"/>
      <c r="BM14" s="1038"/>
      <c r="BN14" s="1038"/>
      <c r="BO14" s="1031"/>
      <c r="BP14" s="1032"/>
      <c r="BQ14" s="1032"/>
      <c r="BR14" s="1032"/>
      <c r="BS14" s="1032"/>
      <c r="BT14" s="1032"/>
      <c r="BU14" s="1032"/>
      <c r="BV14" s="1032"/>
      <c r="BW14" s="1032"/>
      <c r="BX14" s="1032"/>
      <c r="BY14" s="1032"/>
      <c r="BZ14" s="1032"/>
      <c r="CA14" s="1032"/>
      <c r="CB14" s="1032"/>
      <c r="CC14" s="1033"/>
      <c r="CD14" s="231"/>
    </row>
    <row r="15" spans="1:82" ht="3.95" customHeight="1" x14ac:dyDescent="0.25">
      <c r="A15" s="228"/>
      <c r="B15" s="228"/>
      <c r="C15" s="228"/>
      <c r="D15" s="228"/>
      <c r="E15" s="228"/>
      <c r="F15" s="228"/>
      <c r="G15" s="228"/>
      <c r="H15" s="228"/>
      <c r="I15" s="228"/>
      <c r="J15" s="228"/>
      <c r="K15" s="228"/>
      <c r="L15" s="228"/>
      <c r="M15" s="228"/>
      <c r="N15" s="1053" t="s">
        <v>83</v>
      </c>
      <c r="O15" s="1053"/>
      <c r="P15" s="1053"/>
      <c r="Q15" s="1053"/>
      <c r="R15" s="1053"/>
      <c r="S15" s="1053"/>
      <c r="T15" s="1053"/>
      <c r="U15" s="1053"/>
      <c r="V15" s="1053"/>
      <c r="W15" s="200"/>
      <c r="X15" s="963" t="s">
        <v>543</v>
      </c>
      <c r="Y15" s="963"/>
      <c r="Z15" s="963"/>
      <c r="AA15" s="963"/>
      <c r="AB15" s="963"/>
      <c r="AC15" s="963"/>
      <c r="AD15" s="963"/>
      <c r="AE15" s="963"/>
      <c r="AF15" s="963"/>
      <c r="AH15" s="963" t="s">
        <v>529</v>
      </c>
      <c r="AI15" s="963"/>
      <c r="AJ15" s="963"/>
      <c r="AK15" s="963"/>
      <c r="AL15" s="963"/>
      <c r="AM15" s="233"/>
      <c r="AN15" s="233"/>
      <c r="AO15" s="228"/>
      <c r="AP15" s="231"/>
      <c r="AQ15" s="1050"/>
      <c r="AR15" s="1051"/>
      <c r="AS15" s="1051"/>
      <c r="AT15" s="1052"/>
      <c r="AU15" s="1034"/>
      <c r="AV15" s="1035"/>
      <c r="AW15" s="1035"/>
      <c r="AX15" s="1035"/>
      <c r="AY15" s="1035"/>
      <c r="AZ15" s="1035"/>
      <c r="BA15" s="1035"/>
      <c r="BB15" s="1035"/>
      <c r="BC15" s="1035"/>
      <c r="BD15" s="1035"/>
      <c r="BE15" s="1035"/>
      <c r="BF15" s="1035"/>
      <c r="BG15" s="1035"/>
      <c r="BH15" s="1035"/>
      <c r="BI15" s="1036"/>
      <c r="BJ15" s="231"/>
      <c r="BK15" s="1037"/>
      <c r="BL15" s="1038"/>
      <c r="BM15" s="1038"/>
      <c r="BN15" s="1038"/>
      <c r="BO15" s="1034"/>
      <c r="BP15" s="1035"/>
      <c r="BQ15" s="1035"/>
      <c r="BR15" s="1035"/>
      <c r="BS15" s="1035"/>
      <c r="BT15" s="1035"/>
      <c r="BU15" s="1035"/>
      <c r="BV15" s="1035"/>
      <c r="BW15" s="1035"/>
      <c r="BX15" s="1035"/>
      <c r="BY15" s="1035"/>
      <c r="BZ15" s="1035"/>
      <c r="CA15" s="1035"/>
      <c r="CB15" s="1035"/>
      <c r="CC15" s="1036"/>
      <c r="CD15" s="231"/>
    </row>
    <row r="16" spans="1:82" ht="3.95" customHeight="1" x14ac:dyDescent="0.25">
      <c r="A16" s="228"/>
      <c r="B16" s="228"/>
      <c r="C16" s="228"/>
      <c r="D16" s="228"/>
      <c r="E16" s="228"/>
      <c r="F16" s="228"/>
      <c r="G16" s="228"/>
      <c r="H16" s="228"/>
      <c r="I16" s="228"/>
      <c r="J16" s="228"/>
      <c r="K16" s="228"/>
      <c r="L16" s="228"/>
      <c r="M16" s="228"/>
      <c r="N16" s="1053"/>
      <c r="O16" s="1053"/>
      <c r="P16" s="1053"/>
      <c r="Q16" s="1053"/>
      <c r="R16" s="1053"/>
      <c r="S16" s="1053"/>
      <c r="T16" s="1053"/>
      <c r="U16" s="1053"/>
      <c r="V16" s="1053"/>
      <c r="W16" s="200"/>
      <c r="X16" s="963"/>
      <c r="Y16" s="963"/>
      <c r="Z16" s="963"/>
      <c r="AA16" s="963"/>
      <c r="AB16" s="963"/>
      <c r="AC16" s="963"/>
      <c r="AD16" s="963"/>
      <c r="AE16" s="963"/>
      <c r="AF16" s="963"/>
      <c r="AH16" s="963"/>
      <c r="AI16" s="963"/>
      <c r="AJ16" s="963"/>
      <c r="AK16" s="963"/>
      <c r="AL16" s="963"/>
      <c r="AM16" s="233"/>
      <c r="AN16" s="233"/>
      <c r="AO16" s="228"/>
      <c r="AP16" s="231"/>
      <c r="AQ16" s="1044"/>
      <c r="AR16" s="1045"/>
      <c r="AS16" s="1045"/>
      <c r="AT16" s="1046"/>
      <c r="AU16" s="1028"/>
      <c r="AV16" s="1029"/>
      <c r="AW16" s="1029"/>
      <c r="AX16" s="1029"/>
      <c r="AY16" s="1029"/>
      <c r="AZ16" s="1029"/>
      <c r="BA16" s="1029"/>
      <c r="BB16" s="1029"/>
      <c r="BC16" s="1029"/>
      <c r="BD16" s="1029"/>
      <c r="BE16" s="1029"/>
      <c r="BF16" s="1029"/>
      <c r="BG16" s="1029"/>
      <c r="BH16" s="1029"/>
      <c r="BI16" s="1030"/>
      <c r="BJ16" s="231"/>
      <c r="BK16" s="1037"/>
      <c r="BL16" s="1038"/>
      <c r="BM16" s="1038"/>
      <c r="BN16" s="1038"/>
      <c r="BO16" s="1028"/>
      <c r="BP16" s="1029"/>
      <c r="BQ16" s="1029"/>
      <c r="BR16" s="1029"/>
      <c r="BS16" s="1029"/>
      <c r="BT16" s="1029"/>
      <c r="BU16" s="1029"/>
      <c r="BV16" s="1029"/>
      <c r="BW16" s="1029"/>
      <c r="BX16" s="1029"/>
      <c r="BY16" s="1029"/>
      <c r="BZ16" s="1029"/>
      <c r="CA16" s="1029"/>
      <c r="CB16" s="1029"/>
      <c r="CC16" s="1030"/>
      <c r="CD16" s="231"/>
    </row>
    <row r="17" spans="1:82" ht="3.95" customHeight="1" x14ac:dyDescent="0.25">
      <c r="A17" s="228"/>
      <c r="B17" s="228"/>
      <c r="C17" s="228"/>
      <c r="D17" s="228"/>
      <c r="E17" s="228"/>
      <c r="F17" s="228"/>
      <c r="G17" s="228"/>
      <c r="H17" s="228"/>
      <c r="I17" s="228"/>
      <c r="J17" s="228"/>
      <c r="K17" s="228"/>
      <c r="L17" s="228"/>
      <c r="N17" s="1053"/>
      <c r="O17" s="1053"/>
      <c r="P17" s="1053"/>
      <c r="Q17" s="1053"/>
      <c r="R17" s="1053"/>
      <c r="S17" s="1053"/>
      <c r="T17" s="1053"/>
      <c r="U17" s="1053"/>
      <c r="V17" s="1053"/>
      <c r="W17" s="200"/>
      <c r="X17" s="963"/>
      <c r="Y17" s="963"/>
      <c r="Z17" s="963"/>
      <c r="AA17" s="963"/>
      <c r="AB17" s="963"/>
      <c r="AC17" s="963"/>
      <c r="AD17" s="963"/>
      <c r="AE17" s="963"/>
      <c r="AF17" s="963"/>
      <c r="AH17" s="963"/>
      <c r="AI17" s="963"/>
      <c r="AJ17" s="963"/>
      <c r="AK17" s="963"/>
      <c r="AL17" s="963"/>
      <c r="AM17" s="233"/>
      <c r="AN17" s="233"/>
      <c r="AO17" s="228"/>
      <c r="AP17" s="231"/>
      <c r="AQ17" s="1047"/>
      <c r="AR17" s="1048"/>
      <c r="AS17" s="1048"/>
      <c r="AT17" s="1049"/>
      <c r="AU17" s="1031"/>
      <c r="AV17" s="1032"/>
      <c r="AW17" s="1032"/>
      <c r="AX17" s="1032"/>
      <c r="AY17" s="1032"/>
      <c r="AZ17" s="1032"/>
      <c r="BA17" s="1032"/>
      <c r="BB17" s="1032"/>
      <c r="BC17" s="1032"/>
      <c r="BD17" s="1032"/>
      <c r="BE17" s="1032"/>
      <c r="BF17" s="1032"/>
      <c r="BG17" s="1032"/>
      <c r="BH17" s="1032"/>
      <c r="BI17" s="1033"/>
      <c r="BJ17" s="231"/>
      <c r="BK17" s="1037"/>
      <c r="BL17" s="1038"/>
      <c r="BM17" s="1038"/>
      <c r="BN17" s="1038"/>
      <c r="BO17" s="1031"/>
      <c r="BP17" s="1032"/>
      <c r="BQ17" s="1032"/>
      <c r="BR17" s="1032"/>
      <c r="BS17" s="1032"/>
      <c r="BT17" s="1032"/>
      <c r="BU17" s="1032"/>
      <c r="BV17" s="1032"/>
      <c r="BW17" s="1032"/>
      <c r="BX17" s="1032"/>
      <c r="BY17" s="1032"/>
      <c r="BZ17" s="1032"/>
      <c r="CA17" s="1032"/>
      <c r="CB17" s="1032"/>
      <c r="CC17" s="1033"/>
      <c r="CD17" s="231"/>
    </row>
    <row r="18" spans="1:82" ht="3.95" customHeight="1" x14ac:dyDescent="0.25">
      <c r="A18" s="228"/>
      <c r="B18" s="228"/>
      <c r="C18" s="228"/>
      <c r="D18" s="228"/>
      <c r="E18" s="228"/>
      <c r="F18" s="228"/>
      <c r="G18" s="228"/>
      <c r="H18" s="228"/>
      <c r="I18" s="228"/>
      <c r="J18" s="228"/>
      <c r="K18" s="228"/>
      <c r="L18" s="228"/>
      <c r="N18" s="1053"/>
      <c r="O18" s="1053"/>
      <c r="P18" s="1053"/>
      <c r="Q18" s="1053"/>
      <c r="R18" s="1053"/>
      <c r="S18" s="1053"/>
      <c r="T18" s="1053"/>
      <c r="U18" s="1053"/>
      <c r="V18" s="1053"/>
      <c r="X18" s="963"/>
      <c r="Y18" s="963"/>
      <c r="Z18" s="963"/>
      <c r="AA18" s="963"/>
      <c r="AB18" s="963"/>
      <c r="AC18" s="963"/>
      <c r="AD18" s="963"/>
      <c r="AE18" s="963"/>
      <c r="AF18" s="963"/>
      <c r="AH18" s="963"/>
      <c r="AI18" s="963"/>
      <c r="AJ18" s="963"/>
      <c r="AK18" s="963"/>
      <c r="AL18" s="963"/>
      <c r="AM18" s="233"/>
      <c r="AN18" s="233"/>
      <c r="AO18" s="228"/>
      <c r="AP18" s="231"/>
      <c r="AQ18" s="1050"/>
      <c r="AR18" s="1051"/>
      <c r="AS18" s="1051"/>
      <c r="AT18" s="1052"/>
      <c r="AU18" s="1034"/>
      <c r="AV18" s="1035"/>
      <c r="AW18" s="1035"/>
      <c r="AX18" s="1035"/>
      <c r="AY18" s="1035"/>
      <c r="AZ18" s="1035"/>
      <c r="BA18" s="1035"/>
      <c r="BB18" s="1035"/>
      <c r="BC18" s="1035"/>
      <c r="BD18" s="1035"/>
      <c r="BE18" s="1035"/>
      <c r="BF18" s="1035"/>
      <c r="BG18" s="1035"/>
      <c r="BH18" s="1035"/>
      <c r="BI18" s="1036"/>
      <c r="BJ18" s="231"/>
      <c r="BK18" s="1037"/>
      <c r="BL18" s="1038"/>
      <c r="BM18" s="1038"/>
      <c r="BN18" s="1038"/>
      <c r="BO18" s="1034"/>
      <c r="BP18" s="1035"/>
      <c r="BQ18" s="1035"/>
      <c r="BR18" s="1035"/>
      <c r="BS18" s="1035"/>
      <c r="BT18" s="1035"/>
      <c r="BU18" s="1035"/>
      <c r="BV18" s="1035"/>
      <c r="BW18" s="1035"/>
      <c r="BX18" s="1035"/>
      <c r="BY18" s="1035"/>
      <c r="BZ18" s="1035"/>
      <c r="CA18" s="1035"/>
      <c r="CB18" s="1035"/>
      <c r="CC18" s="1036"/>
      <c r="CD18" s="231"/>
    </row>
    <row r="19" spans="1:82" ht="3.95" customHeight="1" x14ac:dyDescent="0.25">
      <c r="A19" s="228"/>
      <c r="B19" s="228"/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AO19" s="228"/>
      <c r="AP19" s="231"/>
      <c r="AQ19" s="1037"/>
      <c r="AR19" s="1038"/>
      <c r="AS19" s="1038"/>
      <c r="AT19" s="1038"/>
      <c r="AU19" s="1028"/>
      <c r="AV19" s="1029"/>
      <c r="AW19" s="1029"/>
      <c r="AX19" s="1029"/>
      <c r="AY19" s="1029"/>
      <c r="AZ19" s="1029"/>
      <c r="BA19" s="1029"/>
      <c r="BB19" s="1029"/>
      <c r="BC19" s="1029"/>
      <c r="BD19" s="1029"/>
      <c r="BE19" s="1029"/>
      <c r="BF19" s="1029"/>
      <c r="BG19" s="1029"/>
      <c r="BH19" s="1029"/>
      <c r="BI19" s="1030"/>
      <c r="BJ19" s="231"/>
      <c r="BK19" s="1037"/>
      <c r="BL19" s="1038"/>
      <c r="BM19" s="1038"/>
      <c r="BN19" s="1038"/>
      <c r="BO19" s="1028"/>
      <c r="BP19" s="1029"/>
      <c r="BQ19" s="1029"/>
      <c r="BR19" s="1029"/>
      <c r="BS19" s="1029"/>
      <c r="BT19" s="1029"/>
      <c r="BU19" s="1029"/>
      <c r="BV19" s="1029"/>
      <c r="BW19" s="1029"/>
      <c r="BX19" s="1029"/>
      <c r="BY19" s="1029"/>
      <c r="BZ19" s="1029"/>
      <c r="CA19" s="1029"/>
      <c r="CB19" s="1029"/>
      <c r="CC19" s="1030"/>
      <c r="CD19" s="231"/>
    </row>
    <row r="20" spans="1:82" ht="3.95" customHeight="1" x14ac:dyDescent="0.25">
      <c r="A20" s="231"/>
      <c r="B20" s="231"/>
      <c r="C20" s="231"/>
      <c r="D20" s="231"/>
      <c r="E20" s="231"/>
      <c r="F20" s="231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O20" s="228"/>
      <c r="AP20" s="231"/>
      <c r="AQ20" s="1037"/>
      <c r="AR20" s="1038"/>
      <c r="AS20" s="1038"/>
      <c r="AT20" s="1038"/>
      <c r="AU20" s="1031"/>
      <c r="AV20" s="1032"/>
      <c r="AW20" s="1032"/>
      <c r="AX20" s="1032"/>
      <c r="AY20" s="1032"/>
      <c r="AZ20" s="1032"/>
      <c r="BA20" s="1032"/>
      <c r="BB20" s="1032"/>
      <c r="BC20" s="1032"/>
      <c r="BD20" s="1032"/>
      <c r="BE20" s="1032"/>
      <c r="BF20" s="1032"/>
      <c r="BG20" s="1032"/>
      <c r="BH20" s="1032"/>
      <c r="BI20" s="1033"/>
      <c r="BJ20" s="231"/>
      <c r="BK20" s="1037"/>
      <c r="BL20" s="1038"/>
      <c r="BM20" s="1038"/>
      <c r="BN20" s="1038"/>
      <c r="BO20" s="1031"/>
      <c r="BP20" s="1032"/>
      <c r="BQ20" s="1032"/>
      <c r="BR20" s="1032"/>
      <c r="BS20" s="1032"/>
      <c r="BT20" s="1032"/>
      <c r="BU20" s="1032"/>
      <c r="BV20" s="1032"/>
      <c r="BW20" s="1032"/>
      <c r="BX20" s="1032"/>
      <c r="BY20" s="1032"/>
      <c r="BZ20" s="1032"/>
      <c r="CA20" s="1032"/>
      <c r="CB20" s="1032"/>
      <c r="CC20" s="1033"/>
      <c r="CD20" s="231"/>
    </row>
    <row r="21" spans="1:82" ht="3.95" customHeight="1" x14ac:dyDescent="0.25">
      <c r="A21" s="231"/>
      <c r="B21" s="231"/>
      <c r="C21" s="231"/>
      <c r="D21" s="231"/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O21" s="228"/>
      <c r="AP21" s="231"/>
      <c r="AQ21" s="1037"/>
      <c r="AR21" s="1038"/>
      <c r="AS21" s="1038"/>
      <c r="AT21" s="1038"/>
      <c r="AU21" s="1034"/>
      <c r="AV21" s="1035"/>
      <c r="AW21" s="1035"/>
      <c r="AX21" s="1035"/>
      <c r="AY21" s="1035"/>
      <c r="AZ21" s="1035"/>
      <c r="BA21" s="1035"/>
      <c r="BB21" s="1035"/>
      <c r="BC21" s="1035"/>
      <c r="BD21" s="1035"/>
      <c r="BE21" s="1035"/>
      <c r="BF21" s="1035"/>
      <c r="BG21" s="1035"/>
      <c r="BH21" s="1035"/>
      <c r="BI21" s="1036"/>
      <c r="BJ21" s="231"/>
      <c r="BK21" s="1037"/>
      <c r="BL21" s="1038"/>
      <c r="BM21" s="1038"/>
      <c r="BN21" s="1038"/>
      <c r="BO21" s="1034"/>
      <c r="BP21" s="1035"/>
      <c r="BQ21" s="1035"/>
      <c r="BR21" s="1035"/>
      <c r="BS21" s="1035"/>
      <c r="BT21" s="1035"/>
      <c r="BU21" s="1035"/>
      <c r="BV21" s="1035"/>
      <c r="BW21" s="1035"/>
      <c r="BX21" s="1035"/>
      <c r="BY21" s="1035"/>
      <c r="BZ21" s="1035"/>
      <c r="CA21" s="1035"/>
      <c r="CB21" s="1035"/>
      <c r="CC21" s="1036"/>
      <c r="CD21" s="231"/>
    </row>
    <row r="22" spans="1:82" ht="3.95" customHeight="1" x14ac:dyDescent="0.25">
      <c r="A22" s="231"/>
      <c r="B22" s="1080" t="s">
        <v>86</v>
      </c>
      <c r="C22" s="1081"/>
      <c r="D22" s="1081"/>
      <c r="E22" s="1081"/>
      <c r="F22" s="1081"/>
      <c r="G22" s="1081"/>
      <c r="H22" s="1081"/>
      <c r="I22" s="1081"/>
      <c r="J22" s="1081"/>
      <c r="K22" s="1081"/>
      <c r="L22" s="1081"/>
      <c r="M22" s="1081"/>
      <c r="N22" s="1081"/>
      <c r="O22" s="1081"/>
      <c r="P22" s="1081"/>
      <c r="Q22" s="1081"/>
      <c r="R22" s="1081"/>
      <c r="S22" s="1081"/>
      <c r="T22" s="1081"/>
      <c r="U22" s="1081"/>
      <c r="V22" s="1081"/>
      <c r="W22" s="1081"/>
      <c r="X22" s="1081"/>
      <c r="Y22" s="1081"/>
      <c r="Z22" s="1081"/>
      <c r="AA22" s="1081"/>
      <c r="AB22" s="1081"/>
      <c r="AC22" s="1081"/>
      <c r="AD22" s="1081"/>
      <c r="AE22" s="1081"/>
      <c r="AF22" s="1081"/>
      <c r="AG22" s="1081"/>
      <c r="AH22" s="1081"/>
      <c r="AI22" s="1081"/>
      <c r="AJ22" s="1081"/>
      <c r="AK22" s="1082"/>
      <c r="AL22" s="231"/>
      <c r="AO22" s="228"/>
      <c r="AP22" s="231"/>
      <c r="AQ22" s="1037"/>
      <c r="AR22" s="1038"/>
      <c r="AS22" s="1038"/>
      <c r="AT22" s="1038"/>
      <c r="AU22" s="1028"/>
      <c r="AV22" s="1029"/>
      <c r="AW22" s="1029"/>
      <c r="AX22" s="1029"/>
      <c r="AY22" s="1029"/>
      <c r="AZ22" s="1029"/>
      <c r="BA22" s="1029"/>
      <c r="BB22" s="1029"/>
      <c r="BC22" s="1029"/>
      <c r="BD22" s="1029"/>
      <c r="BE22" s="1029"/>
      <c r="BF22" s="1029"/>
      <c r="BG22" s="1029"/>
      <c r="BH22" s="1029"/>
      <c r="BI22" s="1030"/>
      <c r="BJ22" s="231"/>
      <c r="BK22" s="1037"/>
      <c r="BL22" s="1038"/>
      <c r="BM22" s="1038"/>
      <c r="BN22" s="1038"/>
      <c r="BO22" s="1028"/>
      <c r="BP22" s="1029"/>
      <c r="BQ22" s="1029"/>
      <c r="BR22" s="1029"/>
      <c r="BS22" s="1029"/>
      <c r="BT22" s="1029"/>
      <c r="BU22" s="1029"/>
      <c r="BV22" s="1029"/>
      <c r="BW22" s="1029"/>
      <c r="BX22" s="1029"/>
      <c r="BY22" s="1029"/>
      <c r="BZ22" s="1029"/>
      <c r="CA22" s="1029"/>
      <c r="CB22" s="1029"/>
      <c r="CC22" s="1030"/>
      <c r="CD22" s="231"/>
    </row>
    <row r="23" spans="1:82" ht="3.95" customHeight="1" x14ac:dyDescent="0.25">
      <c r="A23" s="231"/>
      <c r="B23" s="1083"/>
      <c r="C23" s="1084"/>
      <c r="D23" s="1084"/>
      <c r="E23" s="1084"/>
      <c r="F23" s="1084"/>
      <c r="G23" s="1084"/>
      <c r="H23" s="1084"/>
      <c r="I23" s="1084"/>
      <c r="J23" s="1084"/>
      <c r="K23" s="1084"/>
      <c r="L23" s="1084"/>
      <c r="M23" s="1084"/>
      <c r="N23" s="1084"/>
      <c r="O23" s="1084"/>
      <c r="P23" s="1084"/>
      <c r="Q23" s="1084"/>
      <c r="R23" s="1084"/>
      <c r="S23" s="1084"/>
      <c r="T23" s="1084"/>
      <c r="U23" s="1084"/>
      <c r="V23" s="1084"/>
      <c r="W23" s="1084"/>
      <c r="X23" s="1084"/>
      <c r="Y23" s="1084"/>
      <c r="Z23" s="1084"/>
      <c r="AA23" s="1084"/>
      <c r="AB23" s="1084"/>
      <c r="AC23" s="1084"/>
      <c r="AD23" s="1084"/>
      <c r="AE23" s="1084"/>
      <c r="AF23" s="1084"/>
      <c r="AG23" s="1084"/>
      <c r="AH23" s="1084"/>
      <c r="AI23" s="1084"/>
      <c r="AJ23" s="1084"/>
      <c r="AK23" s="1085"/>
      <c r="AL23" s="231"/>
      <c r="AO23" s="228"/>
      <c r="AP23" s="231"/>
      <c r="AQ23" s="1037"/>
      <c r="AR23" s="1038"/>
      <c r="AS23" s="1038"/>
      <c r="AT23" s="1038"/>
      <c r="AU23" s="1031"/>
      <c r="AV23" s="1032"/>
      <c r="AW23" s="1032"/>
      <c r="AX23" s="1032"/>
      <c r="AY23" s="1032"/>
      <c r="AZ23" s="1032"/>
      <c r="BA23" s="1032"/>
      <c r="BB23" s="1032"/>
      <c r="BC23" s="1032"/>
      <c r="BD23" s="1032"/>
      <c r="BE23" s="1032"/>
      <c r="BF23" s="1032"/>
      <c r="BG23" s="1032"/>
      <c r="BH23" s="1032"/>
      <c r="BI23" s="1033"/>
      <c r="BJ23" s="231"/>
      <c r="BK23" s="1037"/>
      <c r="BL23" s="1038"/>
      <c r="BM23" s="1038"/>
      <c r="BN23" s="1038"/>
      <c r="BO23" s="1031"/>
      <c r="BP23" s="1032"/>
      <c r="BQ23" s="1032"/>
      <c r="BR23" s="1032"/>
      <c r="BS23" s="1032"/>
      <c r="BT23" s="1032"/>
      <c r="BU23" s="1032"/>
      <c r="BV23" s="1032"/>
      <c r="BW23" s="1032"/>
      <c r="BX23" s="1032"/>
      <c r="BY23" s="1032"/>
      <c r="BZ23" s="1032"/>
      <c r="CA23" s="1032"/>
      <c r="CB23" s="1032"/>
      <c r="CC23" s="1033"/>
      <c r="CD23" s="231"/>
    </row>
    <row r="24" spans="1:82" ht="3.95" customHeight="1" x14ac:dyDescent="0.25">
      <c r="A24" s="231"/>
      <c r="B24" s="1083"/>
      <c r="C24" s="1084"/>
      <c r="D24" s="1084"/>
      <c r="E24" s="1084"/>
      <c r="F24" s="1084"/>
      <c r="G24" s="1084"/>
      <c r="H24" s="1084"/>
      <c r="I24" s="1084"/>
      <c r="J24" s="1084"/>
      <c r="K24" s="1084"/>
      <c r="L24" s="1084"/>
      <c r="M24" s="1084"/>
      <c r="N24" s="1084"/>
      <c r="O24" s="1084"/>
      <c r="P24" s="1084"/>
      <c r="Q24" s="1084"/>
      <c r="R24" s="1084"/>
      <c r="S24" s="1084"/>
      <c r="T24" s="1084"/>
      <c r="U24" s="1084"/>
      <c r="V24" s="1084"/>
      <c r="W24" s="1084"/>
      <c r="X24" s="1084"/>
      <c r="Y24" s="1084"/>
      <c r="Z24" s="1084"/>
      <c r="AA24" s="1084"/>
      <c r="AB24" s="1084"/>
      <c r="AC24" s="1084"/>
      <c r="AD24" s="1084"/>
      <c r="AE24" s="1084"/>
      <c r="AF24" s="1084"/>
      <c r="AG24" s="1084"/>
      <c r="AH24" s="1084"/>
      <c r="AI24" s="1084"/>
      <c r="AJ24" s="1084"/>
      <c r="AK24" s="1085"/>
      <c r="AL24" s="231"/>
      <c r="AO24" s="228"/>
      <c r="AP24" s="231"/>
      <c r="AQ24" s="1037"/>
      <c r="AR24" s="1038"/>
      <c r="AS24" s="1038"/>
      <c r="AT24" s="1038"/>
      <c r="AU24" s="1034"/>
      <c r="AV24" s="1035"/>
      <c r="AW24" s="1035"/>
      <c r="AX24" s="1035"/>
      <c r="AY24" s="1035"/>
      <c r="AZ24" s="1035"/>
      <c r="BA24" s="1035"/>
      <c r="BB24" s="1035"/>
      <c r="BC24" s="1035"/>
      <c r="BD24" s="1035"/>
      <c r="BE24" s="1035"/>
      <c r="BF24" s="1035"/>
      <c r="BG24" s="1035"/>
      <c r="BH24" s="1035"/>
      <c r="BI24" s="1036"/>
      <c r="BJ24" s="231"/>
      <c r="BK24" s="1037"/>
      <c r="BL24" s="1038"/>
      <c r="BM24" s="1038"/>
      <c r="BN24" s="1038"/>
      <c r="BO24" s="1034"/>
      <c r="BP24" s="1035"/>
      <c r="BQ24" s="1035"/>
      <c r="BR24" s="1035"/>
      <c r="BS24" s="1035"/>
      <c r="BT24" s="1035"/>
      <c r="BU24" s="1035"/>
      <c r="BV24" s="1035"/>
      <c r="BW24" s="1035"/>
      <c r="BX24" s="1035"/>
      <c r="BY24" s="1035"/>
      <c r="BZ24" s="1035"/>
      <c r="CA24" s="1035"/>
      <c r="CB24" s="1035"/>
      <c r="CC24" s="1036"/>
      <c r="CD24" s="231"/>
    </row>
    <row r="25" spans="1:82" ht="3.95" customHeight="1" x14ac:dyDescent="0.25">
      <c r="A25" s="231"/>
      <c r="B25" s="1086"/>
      <c r="C25" s="1087"/>
      <c r="D25" s="1087"/>
      <c r="E25" s="1087"/>
      <c r="F25" s="1087"/>
      <c r="G25" s="1087"/>
      <c r="H25" s="1087"/>
      <c r="I25" s="1087"/>
      <c r="J25" s="1087"/>
      <c r="K25" s="1087"/>
      <c r="L25" s="1087"/>
      <c r="M25" s="1087"/>
      <c r="N25" s="1087"/>
      <c r="O25" s="1087"/>
      <c r="P25" s="1087"/>
      <c r="Q25" s="1087"/>
      <c r="R25" s="1087"/>
      <c r="S25" s="1087"/>
      <c r="T25" s="1087"/>
      <c r="U25" s="1087"/>
      <c r="V25" s="1087"/>
      <c r="W25" s="1087"/>
      <c r="X25" s="1087"/>
      <c r="Y25" s="1087"/>
      <c r="Z25" s="1087"/>
      <c r="AA25" s="1087"/>
      <c r="AB25" s="1087"/>
      <c r="AC25" s="1087"/>
      <c r="AD25" s="1087"/>
      <c r="AE25" s="1087"/>
      <c r="AF25" s="1087"/>
      <c r="AG25" s="1087"/>
      <c r="AH25" s="1087"/>
      <c r="AI25" s="1087"/>
      <c r="AJ25" s="1087"/>
      <c r="AK25" s="1088"/>
      <c r="AL25" s="231"/>
      <c r="AO25" s="228"/>
      <c r="AP25" s="231"/>
      <c r="AQ25" s="1037"/>
      <c r="AR25" s="1038"/>
      <c r="AS25" s="1038"/>
      <c r="AT25" s="1038"/>
      <c r="AU25" s="1028"/>
      <c r="AV25" s="1029"/>
      <c r="AW25" s="1029"/>
      <c r="AX25" s="1029"/>
      <c r="AY25" s="1029"/>
      <c r="AZ25" s="1029"/>
      <c r="BA25" s="1029"/>
      <c r="BB25" s="1029"/>
      <c r="BC25" s="1029"/>
      <c r="BD25" s="1029"/>
      <c r="BE25" s="1029"/>
      <c r="BF25" s="1029"/>
      <c r="BG25" s="1029"/>
      <c r="BH25" s="1029"/>
      <c r="BI25" s="1030"/>
      <c r="BJ25" s="231"/>
      <c r="BK25" s="1037"/>
      <c r="BL25" s="1038"/>
      <c r="BM25" s="1038"/>
      <c r="BN25" s="1038"/>
      <c r="BO25" s="1028"/>
      <c r="BP25" s="1029"/>
      <c r="BQ25" s="1029"/>
      <c r="BR25" s="1029"/>
      <c r="BS25" s="1029"/>
      <c r="BT25" s="1029"/>
      <c r="BU25" s="1029"/>
      <c r="BV25" s="1029"/>
      <c r="BW25" s="1029"/>
      <c r="BX25" s="1029"/>
      <c r="BY25" s="1029"/>
      <c r="BZ25" s="1029"/>
      <c r="CA25" s="1029"/>
      <c r="CB25" s="1029"/>
      <c r="CC25" s="1030"/>
      <c r="CD25" s="231"/>
    </row>
    <row r="26" spans="1:82" ht="3.95" customHeight="1" x14ac:dyDescent="0.25">
      <c r="A26" s="231"/>
      <c r="B26" s="1139" t="s">
        <v>606</v>
      </c>
      <c r="C26" s="1140"/>
      <c r="D26" s="1140"/>
      <c r="E26" s="1140"/>
      <c r="F26" s="1140"/>
      <c r="G26" s="1140"/>
      <c r="H26" s="1140"/>
      <c r="I26" s="1140"/>
      <c r="J26" s="1140"/>
      <c r="K26" s="1140"/>
      <c r="L26" s="1140"/>
      <c r="M26" s="1140"/>
      <c r="N26" s="1143" t="s">
        <v>93</v>
      </c>
      <c r="O26" s="1144"/>
      <c r="P26" s="1144"/>
      <c r="Q26" s="1144"/>
      <c r="R26" s="1144"/>
      <c r="S26" s="1144"/>
      <c r="T26" s="1144"/>
      <c r="U26" s="1144"/>
      <c r="V26" s="1144"/>
      <c r="W26" s="1144"/>
      <c r="X26" s="1144"/>
      <c r="Y26" s="1144"/>
      <c r="Z26" s="1144"/>
      <c r="AA26" s="1144"/>
      <c r="AB26" s="1144"/>
      <c r="AC26" s="1144"/>
      <c r="AD26" s="1144"/>
      <c r="AE26" s="1144"/>
      <c r="AF26" s="1144"/>
      <c r="AG26" s="1144"/>
      <c r="AH26" s="1144"/>
      <c r="AI26" s="231"/>
      <c r="AJ26" s="1093" t="s">
        <v>94</v>
      </c>
      <c r="AK26" s="1093"/>
      <c r="AL26" s="231"/>
      <c r="AO26" s="228"/>
      <c r="AP26" s="231"/>
      <c r="AQ26" s="1037"/>
      <c r="AR26" s="1038"/>
      <c r="AS26" s="1038"/>
      <c r="AT26" s="1038"/>
      <c r="AU26" s="1031"/>
      <c r="AV26" s="1032"/>
      <c r="AW26" s="1032"/>
      <c r="AX26" s="1032"/>
      <c r="AY26" s="1032"/>
      <c r="AZ26" s="1032"/>
      <c r="BA26" s="1032"/>
      <c r="BB26" s="1032"/>
      <c r="BC26" s="1032"/>
      <c r="BD26" s="1032"/>
      <c r="BE26" s="1032"/>
      <c r="BF26" s="1032"/>
      <c r="BG26" s="1032"/>
      <c r="BH26" s="1032"/>
      <c r="BI26" s="1033"/>
      <c r="BJ26" s="231"/>
      <c r="BK26" s="1037"/>
      <c r="BL26" s="1038"/>
      <c r="BM26" s="1038"/>
      <c r="BN26" s="1038"/>
      <c r="BO26" s="1031"/>
      <c r="BP26" s="1032"/>
      <c r="BQ26" s="1032"/>
      <c r="BR26" s="1032"/>
      <c r="BS26" s="1032"/>
      <c r="BT26" s="1032"/>
      <c r="BU26" s="1032"/>
      <c r="BV26" s="1032"/>
      <c r="BW26" s="1032"/>
      <c r="BX26" s="1032"/>
      <c r="BY26" s="1032"/>
      <c r="BZ26" s="1032"/>
      <c r="CA26" s="1032"/>
      <c r="CB26" s="1032"/>
      <c r="CC26" s="1033"/>
      <c r="CD26" s="231"/>
    </row>
    <row r="27" spans="1:82" ht="3.95" customHeight="1" x14ac:dyDescent="0.25">
      <c r="A27" s="231"/>
      <c r="B27" s="1141"/>
      <c r="C27" s="1141"/>
      <c r="D27" s="1141"/>
      <c r="E27" s="1141"/>
      <c r="F27" s="1141"/>
      <c r="G27" s="1141"/>
      <c r="H27" s="1141"/>
      <c r="I27" s="1141"/>
      <c r="J27" s="1141"/>
      <c r="K27" s="1141"/>
      <c r="L27" s="1141"/>
      <c r="M27" s="1141"/>
      <c r="N27" s="1145"/>
      <c r="O27" s="1145"/>
      <c r="P27" s="1145"/>
      <c r="Q27" s="1145"/>
      <c r="R27" s="1145"/>
      <c r="S27" s="1145"/>
      <c r="T27" s="1145"/>
      <c r="U27" s="1145"/>
      <c r="V27" s="1145"/>
      <c r="W27" s="1145"/>
      <c r="X27" s="1145"/>
      <c r="Y27" s="1145"/>
      <c r="Z27" s="1145"/>
      <c r="AA27" s="1145"/>
      <c r="AB27" s="1145"/>
      <c r="AC27" s="1145"/>
      <c r="AD27" s="1145"/>
      <c r="AE27" s="1145"/>
      <c r="AF27" s="1145"/>
      <c r="AG27" s="1145"/>
      <c r="AH27" s="1145"/>
      <c r="AI27" s="231"/>
      <c r="AJ27" s="1094"/>
      <c r="AK27" s="1094"/>
      <c r="AL27" s="231"/>
      <c r="AO27" s="228"/>
      <c r="AP27" s="231"/>
      <c r="AQ27" s="1037"/>
      <c r="AR27" s="1038"/>
      <c r="AS27" s="1038"/>
      <c r="AT27" s="1038"/>
      <c r="AU27" s="1034"/>
      <c r="AV27" s="1035"/>
      <c r="AW27" s="1035"/>
      <c r="AX27" s="1035"/>
      <c r="AY27" s="1035"/>
      <c r="AZ27" s="1035"/>
      <c r="BA27" s="1035"/>
      <c r="BB27" s="1035"/>
      <c r="BC27" s="1035"/>
      <c r="BD27" s="1035"/>
      <c r="BE27" s="1035"/>
      <c r="BF27" s="1035"/>
      <c r="BG27" s="1035"/>
      <c r="BH27" s="1035"/>
      <c r="BI27" s="1036"/>
      <c r="BJ27" s="231"/>
      <c r="BK27" s="1037"/>
      <c r="BL27" s="1038"/>
      <c r="BM27" s="1038"/>
      <c r="BN27" s="1038"/>
      <c r="BO27" s="1034"/>
      <c r="BP27" s="1035"/>
      <c r="BQ27" s="1035"/>
      <c r="BR27" s="1035"/>
      <c r="BS27" s="1035"/>
      <c r="BT27" s="1035"/>
      <c r="BU27" s="1035"/>
      <c r="BV27" s="1035"/>
      <c r="BW27" s="1035"/>
      <c r="BX27" s="1035"/>
      <c r="BY27" s="1035"/>
      <c r="BZ27" s="1035"/>
      <c r="CA27" s="1035"/>
      <c r="CB27" s="1035"/>
      <c r="CC27" s="1036"/>
      <c r="CD27" s="231"/>
    </row>
    <row r="28" spans="1:82" ht="3.95" customHeight="1" x14ac:dyDescent="0.25">
      <c r="A28" s="231"/>
      <c r="B28" s="1141"/>
      <c r="C28" s="1141"/>
      <c r="D28" s="1141"/>
      <c r="E28" s="1141"/>
      <c r="F28" s="1141"/>
      <c r="G28" s="1141"/>
      <c r="H28" s="1141"/>
      <c r="I28" s="1141"/>
      <c r="J28" s="1141"/>
      <c r="K28" s="1141"/>
      <c r="L28" s="1141"/>
      <c r="M28" s="1141"/>
      <c r="N28" s="1145"/>
      <c r="O28" s="1145"/>
      <c r="P28" s="1145"/>
      <c r="Q28" s="1145"/>
      <c r="R28" s="1145"/>
      <c r="S28" s="1145"/>
      <c r="T28" s="1145"/>
      <c r="U28" s="1145"/>
      <c r="V28" s="1145"/>
      <c r="W28" s="1145"/>
      <c r="X28" s="1145"/>
      <c r="Y28" s="1145"/>
      <c r="Z28" s="1145"/>
      <c r="AA28" s="1145"/>
      <c r="AB28" s="1145"/>
      <c r="AC28" s="1145"/>
      <c r="AD28" s="1145"/>
      <c r="AE28" s="1145"/>
      <c r="AF28" s="1145"/>
      <c r="AG28" s="1145"/>
      <c r="AH28" s="1145"/>
      <c r="AI28" s="231"/>
      <c r="AJ28" s="1094"/>
      <c r="AK28" s="1094"/>
      <c r="AL28" s="231"/>
      <c r="AO28" s="228"/>
      <c r="AP28" s="231"/>
      <c r="AQ28" s="1037"/>
      <c r="AR28" s="1038"/>
      <c r="AS28" s="1038"/>
      <c r="AT28" s="1038"/>
      <c r="AU28" s="1028"/>
      <c r="AV28" s="1029"/>
      <c r="AW28" s="1029"/>
      <c r="AX28" s="1029"/>
      <c r="AY28" s="1029"/>
      <c r="AZ28" s="1029"/>
      <c r="BA28" s="1029"/>
      <c r="BB28" s="1029"/>
      <c r="BC28" s="1029"/>
      <c r="BD28" s="1029"/>
      <c r="BE28" s="1029"/>
      <c r="BF28" s="1029"/>
      <c r="BG28" s="1029"/>
      <c r="BH28" s="1029"/>
      <c r="BI28" s="1030"/>
      <c r="BJ28" s="231"/>
      <c r="BK28" s="1037"/>
      <c r="BL28" s="1038"/>
      <c r="BM28" s="1038"/>
      <c r="BN28" s="1038"/>
      <c r="BO28" s="1028"/>
      <c r="BP28" s="1029"/>
      <c r="BQ28" s="1029"/>
      <c r="BR28" s="1029"/>
      <c r="BS28" s="1029"/>
      <c r="BT28" s="1029"/>
      <c r="BU28" s="1029"/>
      <c r="BV28" s="1029"/>
      <c r="BW28" s="1029"/>
      <c r="BX28" s="1029"/>
      <c r="BY28" s="1029"/>
      <c r="BZ28" s="1029"/>
      <c r="CA28" s="1029"/>
      <c r="CB28" s="1029"/>
      <c r="CC28" s="1030"/>
      <c r="CD28" s="231"/>
    </row>
    <row r="29" spans="1:82" ht="3.95" customHeight="1" x14ac:dyDescent="0.25">
      <c r="A29" s="231"/>
      <c r="B29" s="1142"/>
      <c r="C29" s="1142"/>
      <c r="D29" s="1142"/>
      <c r="E29" s="1142"/>
      <c r="F29" s="1142"/>
      <c r="G29" s="1142"/>
      <c r="H29" s="1142"/>
      <c r="I29" s="1142"/>
      <c r="J29" s="1142"/>
      <c r="K29" s="1142"/>
      <c r="L29" s="1142"/>
      <c r="M29" s="1142"/>
      <c r="N29" s="1146"/>
      <c r="O29" s="1146"/>
      <c r="P29" s="1146"/>
      <c r="Q29" s="1146"/>
      <c r="R29" s="1146"/>
      <c r="S29" s="1146"/>
      <c r="T29" s="1146"/>
      <c r="U29" s="1146"/>
      <c r="V29" s="1146"/>
      <c r="W29" s="1146"/>
      <c r="X29" s="1146"/>
      <c r="Y29" s="1146"/>
      <c r="Z29" s="1146"/>
      <c r="AA29" s="1146"/>
      <c r="AB29" s="1146"/>
      <c r="AC29" s="1146"/>
      <c r="AD29" s="1146"/>
      <c r="AE29" s="1146"/>
      <c r="AF29" s="1146"/>
      <c r="AG29" s="1146"/>
      <c r="AH29" s="1146"/>
      <c r="AI29" s="231"/>
      <c r="AJ29" s="1094"/>
      <c r="AK29" s="1094"/>
      <c r="AL29" s="231"/>
      <c r="AO29" s="228"/>
      <c r="AP29" s="231"/>
      <c r="AQ29" s="1037"/>
      <c r="AR29" s="1038"/>
      <c r="AS29" s="1038"/>
      <c r="AT29" s="1038"/>
      <c r="AU29" s="1031"/>
      <c r="AV29" s="1032"/>
      <c r="AW29" s="1032"/>
      <c r="AX29" s="1032"/>
      <c r="AY29" s="1032"/>
      <c r="AZ29" s="1032"/>
      <c r="BA29" s="1032"/>
      <c r="BB29" s="1032"/>
      <c r="BC29" s="1032"/>
      <c r="BD29" s="1032"/>
      <c r="BE29" s="1032"/>
      <c r="BF29" s="1032"/>
      <c r="BG29" s="1032"/>
      <c r="BH29" s="1032"/>
      <c r="BI29" s="1033"/>
      <c r="BJ29" s="231"/>
      <c r="BK29" s="1037"/>
      <c r="BL29" s="1038"/>
      <c r="BM29" s="1038"/>
      <c r="BN29" s="1038"/>
      <c r="BO29" s="1031"/>
      <c r="BP29" s="1032"/>
      <c r="BQ29" s="1032"/>
      <c r="BR29" s="1032"/>
      <c r="BS29" s="1032"/>
      <c r="BT29" s="1032"/>
      <c r="BU29" s="1032"/>
      <c r="BV29" s="1032"/>
      <c r="BW29" s="1032"/>
      <c r="BX29" s="1032"/>
      <c r="BY29" s="1032"/>
      <c r="BZ29" s="1032"/>
      <c r="CA29" s="1032"/>
      <c r="CB29" s="1032"/>
      <c r="CC29" s="1033"/>
      <c r="CD29" s="231"/>
    </row>
    <row r="30" spans="1:82" ht="3.95" customHeight="1" x14ac:dyDescent="0.25">
      <c r="A30" s="231"/>
      <c r="B30" s="1089"/>
      <c r="C30" s="1058"/>
      <c r="D30" s="1058"/>
      <c r="E30" s="1058"/>
      <c r="F30" s="1058"/>
      <c r="G30" s="1058"/>
      <c r="H30" s="1058"/>
      <c r="I30" s="1058"/>
      <c r="J30" s="1058"/>
      <c r="K30" s="1058"/>
      <c r="L30" s="1058"/>
      <c r="M30" s="1058"/>
      <c r="N30" s="1147"/>
      <c r="O30" s="1147"/>
      <c r="P30" s="1147"/>
      <c r="Q30" s="1147"/>
      <c r="R30" s="1147"/>
      <c r="S30" s="1147"/>
      <c r="T30" s="1147"/>
      <c r="U30" s="1147"/>
      <c r="V30" s="1147"/>
      <c r="W30" s="1147"/>
      <c r="X30" s="1147"/>
      <c r="Y30" s="1147"/>
      <c r="Z30" s="1147"/>
      <c r="AA30" s="1147"/>
      <c r="AB30" s="1147"/>
      <c r="AC30" s="1147"/>
      <c r="AD30" s="1147"/>
      <c r="AE30" s="1147"/>
      <c r="AF30" s="1147"/>
      <c r="AG30" s="1147"/>
      <c r="AH30" s="1147"/>
      <c r="AI30" s="1147"/>
      <c r="AJ30" s="1057"/>
      <c r="AK30" s="1091"/>
      <c r="AL30" s="231"/>
      <c r="AO30" s="228"/>
      <c r="AP30" s="231"/>
      <c r="AQ30" s="1037"/>
      <c r="AR30" s="1038"/>
      <c r="AS30" s="1038"/>
      <c r="AT30" s="1038"/>
      <c r="AU30" s="1034"/>
      <c r="AV30" s="1035"/>
      <c r="AW30" s="1035"/>
      <c r="AX30" s="1035"/>
      <c r="AY30" s="1035"/>
      <c r="AZ30" s="1035"/>
      <c r="BA30" s="1035"/>
      <c r="BB30" s="1035"/>
      <c r="BC30" s="1035"/>
      <c r="BD30" s="1035"/>
      <c r="BE30" s="1035"/>
      <c r="BF30" s="1035"/>
      <c r="BG30" s="1035"/>
      <c r="BH30" s="1035"/>
      <c r="BI30" s="1036"/>
      <c r="BJ30" s="231"/>
      <c r="BK30" s="1037"/>
      <c r="BL30" s="1038"/>
      <c r="BM30" s="1038"/>
      <c r="BN30" s="1038"/>
      <c r="BO30" s="1034"/>
      <c r="BP30" s="1035"/>
      <c r="BQ30" s="1035"/>
      <c r="BR30" s="1035"/>
      <c r="BS30" s="1035"/>
      <c r="BT30" s="1035"/>
      <c r="BU30" s="1035"/>
      <c r="BV30" s="1035"/>
      <c r="BW30" s="1035"/>
      <c r="BX30" s="1035"/>
      <c r="BY30" s="1035"/>
      <c r="BZ30" s="1035"/>
      <c r="CA30" s="1035"/>
      <c r="CB30" s="1035"/>
      <c r="CC30" s="1036"/>
      <c r="CD30" s="231"/>
    </row>
    <row r="31" spans="1:82" ht="3.95" customHeight="1" x14ac:dyDescent="0.25">
      <c r="A31" s="231"/>
      <c r="B31" s="1090"/>
      <c r="C31" s="1054"/>
      <c r="D31" s="1054"/>
      <c r="E31" s="1054"/>
      <c r="F31" s="1054"/>
      <c r="G31" s="1054"/>
      <c r="H31" s="1054"/>
      <c r="I31" s="1054"/>
      <c r="J31" s="1054"/>
      <c r="K31" s="1054"/>
      <c r="L31" s="1054"/>
      <c r="M31" s="1054"/>
      <c r="N31" s="1075"/>
      <c r="O31" s="1075"/>
      <c r="P31" s="1075"/>
      <c r="Q31" s="1075"/>
      <c r="R31" s="1075"/>
      <c r="S31" s="1075"/>
      <c r="T31" s="1075"/>
      <c r="U31" s="1075"/>
      <c r="V31" s="1075"/>
      <c r="W31" s="1075"/>
      <c r="X31" s="1075"/>
      <c r="Y31" s="1075"/>
      <c r="Z31" s="1075"/>
      <c r="AA31" s="1075"/>
      <c r="AB31" s="1075"/>
      <c r="AC31" s="1075"/>
      <c r="AD31" s="1075"/>
      <c r="AE31" s="1075"/>
      <c r="AF31" s="1075"/>
      <c r="AG31" s="1075"/>
      <c r="AH31" s="1075"/>
      <c r="AI31" s="1075"/>
      <c r="AJ31" s="1038"/>
      <c r="AK31" s="1092"/>
      <c r="AL31" s="231"/>
      <c r="AO31" s="228"/>
      <c r="AP31" s="231"/>
      <c r="AQ31" s="1037"/>
      <c r="AR31" s="1038"/>
      <c r="AS31" s="1038"/>
      <c r="AT31" s="1038"/>
      <c r="AU31" s="1028"/>
      <c r="AV31" s="1029"/>
      <c r="AW31" s="1029"/>
      <c r="AX31" s="1029"/>
      <c r="AY31" s="1029"/>
      <c r="AZ31" s="1029"/>
      <c r="BA31" s="1029"/>
      <c r="BB31" s="1029"/>
      <c r="BC31" s="1029"/>
      <c r="BD31" s="1029"/>
      <c r="BE31" s="1029"/>
      <c r="BF31" s="1029"/>
      <c r="BG31" s="1029"/>
      <c r="BH31" s="1029"/>
      <c r="BI31" s="1030"/>
      <c r="BJ31" s="231"/>
      <c r="BK31" s="1037"/>
      <c r="BL31" s="1038"/>
      <c r="BM31" s="1038"/>
      <c r="BN31" s="1038"/>
      <c r="BO31" s="1028"/>
      <c r="BP31" s="1029"/>
      <c r="BQ31" s="1029"/>
      <c r="BR31" s="1029"/>
      <c r="BS31" s="1029"/>
      <c r="BT31" s="1029"/>
      <c r="BU31" s="1029"/>
      <c r="BV31" s="1029"/>
      <c r="BW31" s="1029"/>
      <c r="BX31" s="1029"/>
      <c r="BY31" s="1029"/>
      <c r="BZ31" s="1029"/>
      <c r="CA31" s="1029"/>
      <c r="CB31" s="1029"/>
      <c r="CC31" s="1030"/>
      <c r="CD31" s="231"/>
    </row>
    <row r="32" spans="1:82" ht="3.95" customHeight="1" x14ac:dyDescent="0.25">
      <c r="A32" s="231"/>
      <c r="B32" s="1090"/>
      <c r="C32" s="1054"/>
      <c r="D32" s="1054"/>
      <c r="E32" s="1054"/>
      <c r="F32" s="1054"/>
      <c r="G32" s="1054"/>
      <c r="H32" s="1054"/>
      <c r="I32" s="1054"/>
      <c r="J32" s="1054"/>
      <c r="K32" s="1054"/>
      <c r="L32" s="1054"/>
      <c r="M32" s="1054"/>
      <c r="N32" s="1075"/>
      <c r="O32" s="1075"/>
      <c r="P32" s="1075"/>
      <c r="Q32" s="1075"/>
      <c r="R32" s="1075"/>
      <c r="S32" s="1075"/>
      <c r="T32" s="1075"/>
      <c r="U32" s="1075"/>
      <c r="V32" s="1075"/>
      <c r="W32" s="1075"/>
      <c r="X32" s="1075"/>
      <c r="Y32" s="1075"/>
      <c r="Z32" s="1075"/>
      <c r="AA32" s="1075"/>
      <c r="AB32" s="1075"/>
      <c r="AC32" s="1075"/>
      <c r="AD32" s="1075"/>
      <c r="AE32" s="1075"/>
      <c r="AF32" s="1075"/>
      <c r="AG32" s="1075"/>
      <c r="AH32" s="1075"/>
      <c r="AI32" s="1075"/>
      <c r="AJ32" s="1038"/>
      <c r="AK32" s="1092"/>
      <c r="AL32" s="231"/>
      <c r="AO32" s="228"/>
      <c r="AP32" s="231"/>
      <c r="AQ32" s="1037"/>
      <c r="AR32" s="1038"/>
      <c r="AS32" s="1038"/>
      <c r="AT32" s="1038"/>
      <c r="AU32" s="1031"/>
      <c r="AV32" s="1032"/>
      <c r="AW32" s="1032"/>
      <c r="AX32" s="1032"/>
      <c r="AY32" s="1032"/>
      <c r="AZ32" s="1032"/>
      <c r="BA32" s="1032"/>
      <c r="BB32" s="1032"/>
      <c r="BC32" s="1032"/>
      <c r="BD32" s="1032"/>
      <c r="BE32" s="1032"/>
      <c r="BF32" s="1032"/>
      <c r="BG32" s="1032"/>
      <c r="BH32" s="1032"/>
      <c r="BI32" s="1033"/>
      <c r="BJ32" s="231"/>
      <c r="BK32" s="1037"/>
      <c r="BL32" s="1038"/>
      <c r="BM32" s="1038"/>
      <c r="BN32" s="1038"/>
      <c r="BO32" s="1031"/>
      <c r="BP32" s="1032"/>
      <c r="BQ32" s="1032"/>
      <c r="BR32" s="1032"/>
      <c r="BS32" s="1032"/>
      <c r="BT32" s="1032"/>
      <c r="BU32" s="1032"/>
      <c r="BV32" s="1032"/>
      <c r="BW32" s="1032"/>
      <c r="BX32" s="1032"/>
      <c r="BY32" s="1032"/>
      <c r="BZ32" s="1032"/>
      <c r="CA32" s="1032"/>
      <c r="CB32" s="1032"/>
      <c r="CC32" s="1033"/>
      <c r="CD32" s="231"/>
    </row>
    <row r="33" spans="1:82" ht="3.95" customHeight="1" x14ac:dyDescent="0.25">
      <c r="A33" s="231"/>
      <c r="B33" s="1090"/>
      <c r="C33" s="1054"/>
      <c r="D33" s="1054"/>
      <c r="E33" s="1054"/>
      <c r="F33" s="1054"/>
      <c r="G33" s="1054"/>
      <c r="H33" s="1054"/>
      <c r="I33" s="1054"/>
      <c r="J33" s="1054"/>
      <c r="K33" s="1054"/>
      <c r="L33" s="1054"/>
      <c r="M33" s="1054"/>
      <c r="N33" s="1075"/>
      <c r="O33" s="1075"/>
      <c r="P33" s="1075"/>
      <c r="Q33" s="1075"/>
      <c r="R33" s="1075"/>
      <c r="S33" s="1075"/>
      <c r="T33" s="1075"/>
      <c r="U33" s="1075"/>
      <c r="V33" s="1075"/>
      <c r="W33" s="1075"/>
      <c r="X33" s="1075"/>
      <c r="Y33" s="1075"/>
      <c r="Z33" s="1075"/>
      <c r="AA33" s="1075"/>
      <c r="AB33" s="1075"/>
      <c r="AC33" s="1075"/>
      <c r="AD33" s="1075"/>
      <c r="AE33" s="1075"/>
      <c r="AF33" s="1075"/>
      <c r="AG33" s="1075"/>
      <c r="AH33" s="1075"/>
      <c r="AI33" s="1075"/>
      <c r="AJ33" s="1038"/>
      <c r="AK33" s="1092"/>
      <c r="AL33" s="231"/>
      <c r="AO33" s="228"/>
      <c r="AP33" s="231"/>
      <c r="AQ33" s="1037"/>
      <c r="AR33" s="1038"/>
      <c r="AS33" s="1038"/>
      <c r="AT33" s="1038"/>
      <c r="AU33" s="1034"/>
      <c r="AV33" s="1035"/>
      <c r="AW33" s="1035"/>
      <c r="AX33" s="1035"/>
      <c r="AY33" s="1035"/>
      <c r="AZ33" s="1035"/>
      <c r="BA33" s="1035"/>
      <c r="BB33" s="1035"/>
      <c r="BC33" s="1035"/>
      <c r="BD33" s="1035"/>
      <c r="BE33" s="1035"/>
      <c r="BF33" s="1035"/>
      <c r="BG33" s="1035"/>
      <c r="BH33" s="1035"/>
      <c r="BI33" s="1036"/>
      <c r="BJ33" s="231"/>
      <c r="BK33" s="1037"/>
      <c r="BL33" s="1038"/>
      <c r="BM33" s="1038"/>
      <c r="BN33" s="1038"/>
      <c r="BO33" s="1034"/>
      <c r="BP33" s="1035"/>
      <c r="BQ33" s="1035"/>
      <c r="BR33" s="1035"/>
      <c r="BS33" s="1035"/>
      <c r="BT33" s="1035"/>
      <c r="BU33" s="1035"/>
      <c r="BV33" s="1035"/>
      <c r="BW33" s="1035"/>
      <c r="BX33" s="1035"/>
      <c r="BY33" s="1035"/>
      <c r="BZ33" s="1035"/>
      <c r="CA33" s="1035"/>
      <c r="CB33" s="1035"/>
      <c r="CC33" s="1036"/>
      <c r="CD33" s="231"/>
    </row>
    <row r="34" spans="1:82" ht="3.95" customHeight="1" x14ac:dyDescent="0.25">
      <c r="A34" s="231"/>
      <c r="B34" s="1090"/>
      <c r="C34" s="1054"/>
      <c r="D34" s="1054"/>
      <c r="E34" s="1054"/>
      <c r="F34" s="1054"/>
      <c r="G34" s="1054"/>
      <c r="H34" s="1054"/>
      <c r="I34" s="1054"/>
      <c r="J34" s="1054"/>
      <c r="K34" s="1054"/>
      <c r="L34" s="1054"/>
      <c r="M34" s="1054"/>
      <c r="N34" s="1075"/>
      <c r="O34" s="1075"/>
      <c r="P34" s="1075"/>
      <c r="Q34" s="1075"/>
      <c r="R34" s="1075"/>
      <c r="S34" s="1075"/>
      <c r="T34" s="1075"/>
      <c r="U34" s="1075"/>
      <c r="V34" s="1075"/>
      <c r="W34" s="1075"/>
      <c r="X34" s="1075"/>
      <c r="Y34" s="1075"/>
      <c r="Z34" s="1075"/>
      <c r="AA34" s="1075"/>
      <c r="AB34" s="1075"/>
      <c r="AC34" s="1075"/>
      <c r="AD34" s="1075"/>
      <c r="AE34" s="1075"/>
      <c r="AF34" s="1075"/>
      <c r="AG34" s="1075"/>
      <c r="AH34" s="1075"/>
      <c r="AI34" s="1075"/>
      <c r="AJ34" s="1038"/>
      <c r="AK34" s="1092"/>
      <c r="AL34" s="231"/>
      <c r="AO34" s="228"/>
      <c r="AP34" s="231"/>
      <c r="AQ34" s="1037"/>
      <c r="AR34" s="1038"/>
      <c r="AS34" s="1038"/>
      <c r="AT34" s="1038"/>
      <c r="AU34" s="1028"/>
      <c r="AV34" s="1029"/>
      <c r="AW34" s="1029"/>
      <c r="AX34" s="1029"/>
      <c r="AY34" s="1029"/>
      <c r="AZ34" s="1029"/>
      <c r="BA34" s="1029"/>
      <c r="BB34" s="1029"/>
      <c r="BC34" s="1029"/>
      <c r="BD34" s="1029"/>
      <c r="BE34" s="1029"/>
      <c r="BF34" s="1029"/>
      <c r="BG34" s="1029"/>
      <c r="BH34" s="1029"/>
      <c r="BI34" s="1030"/>
      <c r="BJ34" s="231"/>
      <c r="BK34" s="1037"/>
      <c r="BL34" s="1038"/>
      <c r="BM34" s="1038"/>
      <c r="BN34" s="1038"/>
      <c r="BO34" s="1028"/>
      <c r="BP34" s="1029"/>
      <c r="BQ34" s="1029"/>
      <c r="BR34" s="1029"/>
      <c r="BS34" s="1029"/>
      <c r="BT34" s="1029"/>
      <c r="BU34" s="1029"/>
      <c r="BV34" s="1029"/>
      <c r="BW34" s="1029"/>
      <c r="BX34" s="1029"/>
      <c r="BY34" s="1029"/>
      <c r="BZ34" s="1029"/>
      <c r="CA34" s="1029"/>
      <c r="CB34" s="1029"/>
      <c r="CC34" s="1030"/>
      <c r="CD34" s="231"/>
    </row>
    <row r="35" spans="1:82" ht="3.95" customHeight="1" x14ac:dyDescent="0.25">
      <c r="A35" s="231"/>
      <c r="B35" s="1090"/>
      <c r="C35" s="1054"/>
      <c r="D35" s="1054"/>
      <c r="E35" s="1054"/>
      <c r="F35" s="1054"/>
      <c r="G35" s="1054"/>
      <c r="H35" s="1054"/>
      <c r="I35" s="1054"/>
      <c r="J35" s="1054"/>
      <c r="K35" s="1054"/>
      <c r="L35" s="1054"/>
      <c r="M35" s="1054"/>
      <c r="N35" s="1075"/>
      <c r="O35" s="1075"/>
      <c r="P35" s="1075"/>
      <c r="Q35" s="1075"/>
      <c r="R35" s="1075"/>
      <c r="S35" s="1075"/>
      <c r="T35" s="1075"/>
      <c r="U35" s="1075"/>
      <c r="V35" s="1075"/>
      <c r="W35" s="1075"/>
      <c r="X35" s="1075"/>
      <c r="Y35" s="1075"/>
      <c r="Z35" s="1075"/>
      <c r="AA35" s="1075"/>
      <c r="AB35" s="1075"/>
      <c r="AC35" s="1075"/>
      <c r="AD35" s="1075"/>
      <c r="AE35" s="1075"/>
      <c r="AF35" s="1075"/>
      <c r="AG35" s="1075"/>
      <c r="AH35" s="1075"/>
      <c r="AI35" s="1075"/>
      <c r="AJ35" s="1038"/>
      <c r="AK35" s="1092"/>
      <c r="AL35" s="231"/>
      <c r="AO35" s="228"/>
      <c r="AP35" s="231"/>
      <c r="AQ35" s="1037"/>
      <c r="AR35" s="1038"/>
      <c r="AS35" s="1038"/>
      <c r="AT35" s="1038"/>
      <c r="AU35" s="1031"/>
      <c r="AV35" s="1032"/>
      <c r="AW35" s="1032"/>
      <c r="AX35" s="1032"/>
      <c r="AY35" s="1032"/>
      <c r="AZ35" s="1032"/>
      <c r="BA35" s="1032"/>
      <c r="BB35" s="1032"/>
      <c r="BC35" s="1032"/>
      <c r="BD35" s="1032"/>
      <c r="BE35" s="1032"/>
      <c r="BF35" s="1032"/>
      <c r="BG35" s="1032"/>
      <c r="BH35" s="1032"/>
      <c r="BI35" s="1033"/>
      <c r="BJ35" s="231"/>
      <c r="BK35" s="1037"/>
      <c r="BL35" s="1038"/>
      <c r="BM35" s="1038"/>
      <c r="BN35" s="1038"/>
      <c r="BO35" s="1031"/>
      <c r="BP35" s="1032"/>
      <c r="BQ35" s="1032"/>
      <c r="BR35" s="1032"/>
      <c r="BS35" s="1032"/>
      <c r="BT35" s="1032"/>
      <c r="BU35" s="1032"/>
      <c r="BV35" s="1032"/>
      <c r="BW35" s="1032"/>
      <c r="BX35" s="1032"/>
      <c r="BY35" s="1032"/>
      <c r="BZ35" s="1032"/>
      <c r="CA35" s="1032"/>
      <c r="CB35" s="1032"/>
      <c r="CC35" s="1033"/>
      <c r="CD35" s="231"/>
    </row>
    <row r="36" spans="1:82" ht="3.95" customHeight="1" x14ac:dyDescent="0.25">
      <c r="A36" s="231"/>
      <c r="B36" s="1090"/>
      <c r="C36" s="1054"/>
      <c r="D36" s="1054"/>
      <c r="E36" s="1054"/>
      <c r="F36" s="1054"/>
      <c r="G36" s="1054"/>
      <c r="H36" s="1054"/>
      <c r="I36" s="1054"/>
      <c r="J36" s="1054"/>
      <c r="K36" s="1054"/>
      <c r="L36" s="1054"/>
      <c r="M36" s="1054"/>
      <c r="N36" s="1075"/>
      <c r="O36" s="1075"/>
      <c r="P36" s="1075"/>
      <c r="Q36" s="1075"/>
      <c r="R36" s="1075"/>
      <c r="S36" s="1075"/>
      <c r="T36" s="1075"/>
      <c r="U36" s="1075"/>
      <c r="V36" s="1075"/>
      <c r="W36" s="1075"/>
      <c r="X36" s="1075"/>
      <c r="Y36" s="1075"/>
      <c r="Z36" s="1075"/>
      <c r="AA36" s="1075"/>
      <c r="AB36" s="1075"/>
      <c r="AC36" s="1075"/>
      <c r="AD36" s="1075"/>
      <c r="AE36" s="1075"/>
      <c r="AF36" s="1075"/>
      <c r="AG36" s="1075"/>
      <c r="AH36" s="1075"/>
      <c r="AI36" s="1075"/>
      <c r="AJ36" s="1038"/>
      <c r="AK36" s="1092"/>
      <c r="AL36" s="231"/>
      <c r="AO36" s="228"/>
      <c r="AP36" s="231"/>
      <c r="AQ36" s="1037"/>
      <c r="AR36" s="1038"/>
      <c r="AS36" s="1038"/>
      <c r="AT36" s="1038"/>
      <c r="AU36" s="1034"/>
      <c r="AV36" s="1035"/>
      <c r="AW36" s="1035"/>
      <c r="AX36" s="1035"/>
      <c r="AY36" s="1035"/>
      <c r="AZ36" s="1035"/>
      <c r="BA36" s="1035"/>
      <c r="BB36" s="1035"/>
      <c r="BC36" s="1035"/>
      <c r="BD36" s="1035"/>
      <c r="BE36" s="1035"/>
      <c r="BF36" s="1035"/>
      <c r="BG36" s="1035"/>
      <c r="BH36" s="1035"/>
      <c r="BI36" s="1036"/>
      <c r="BJ36" s="231"/>
      <c r="BK36" s="1037"/>
      <c r="BL36" s="1038"/>
      <c r="BM36" s="1038"/>
      <c r="BN36" s="1038"/>
      <c r="BO36" s="1034"/>
      <c r="BP36" s="1035"/>
      <c r="BQ36" s="1035"/>
      <c r="BR36" s="1035"/>
      <c r="BS36" s="1035"/>
      <c r="BT36" s="1035"/>
      <c r="BU36" s="1035"/>
      <c r="BV36" s="1035"/>
      <c r="BW36" s="1035"/>
      <c r="BX36" s="1035"/>
      <c r="BY36" s="1035"/>
      <c r="BZ36" s="1035"/>
      <c r="CA36" s="1035"/>
      <c r="CB36" s="1035"/>
      <c r="CC36" s="1036"/>
      <c r="CD36" s="231"/>
    </row>
    <row r="37" spans="1:82" ht="3.95" customHeight="1" x14ac:dyDescent="0.25">
      <c r="A37" s="231"/>
      <c r="B37" s="1090"/>
      <c r="C37" s="1054"/>
      <c r="D37" s="1054"/>
      <c r="E37" s="1054"/>
      <c r="F37" s="1054"/>
      <c r="G37" s="1054"/>
      <c r="H37" s="1054"/>
      <c r="I37" s="1054"/>
      <c r="J37" s="1054"/>
      <c r="K37" s="1054"/>
      <c r="L37" s="1054"/>
      <c r="M37" s="1054"/>
      <c r="N37" s="1075"/>
      <c r="O37" s="1075"/>
      <c r="P37" s="1075"/>
      <c r="Q37" s="1075"/>
      <c r="R37" s="1075"/>
      <c r="S37" s="1075"/>
      <c r="T37" s="1075"/>
      <c r="U37" s="1075"/>
      <c r="V37" s="1075"/>
      <c r="W37" s="1075"/>
      <c r="X37" s="1075"/>
      <c r="Y37" s="1075"/>
      <c r="Z37" s="1075"/>
      <c r="AA37" s="1075"/>
      <c r="AB37" s="1075"/>
      <c r="AC37" s="1075"/>
      <c r="AD37" s="1075"/>
      <c r="AE37" s="1075"/>
      <c r="AF37" s="1075"/>
      <c r="AG37" s="1075"/>
      <c r="AH37" s="1075"/>
      <c r="AI37" s="1075"/>
      <c r="AJ37" s="1038"/>
      <c r="AK37" s="1092"/>
      <c r="AL37" s="231"/>
      <c r="AO37" s="228"/>
      <c r="AP37" s="231"/>
      <c r="AQ37" s="1037"/>
      <c r="AR37" s="1038"/>
      <c r="AS37" s="1038"/>
      <c r="AT37" s="1038"/>
      <c r="AU37" s="1028"/>
      <c r="AV37" s="1029"/>
      <c r="AW37" s="1029"/>
      <c r="AX37" s="1029"/>
      <c r="AY37" s="1029"/>
      <c r="AZ37" s="1029"/>
      <c r="BA37" s="1029"/>
      <c r="BB37" s="1029"/>
      <c r="BC37" s="1029"/>
      <c r="BD37" s="1029"/>
      <c r="BE37" s="1029"/>
      <c r="BF37" s="1029"/>
      <c r="BG37" s="1029"/>
      <c r="BH37" s="1029"/>
      <c r="BI37" s="1030"/>
      <c r="BJ37" s="231"/>
      <c r="BK37" s="1037"/>
      <c r="BL37" s="1038"/>
      <c r="BM37" s="1038"/>
      <c r="BN37" s="1038"/>
      <c r="BO37" s="1028"/>
      <c r="BP37" s="1029"/>
      <c r="BQ37" s="1029"/>
      <c r="BR37" s="1029"/>
      <c r="BS37" s="1029"/>
      <c r="BT37" s="1029"/>
      <c r="BU37" s="1029"/>
      <c r="BV37" s="1029"/>
      <c r="BW37" s="1029"/>
      <c r="BX37" s="1029"/>
      <c r="BY37" s="1029"/>
      <c r="BZ37" s="1029"/>
      <c r="CA37" s="1029"/>
      <c r="CB37" s="1029"/>
      <c r="CC37" s="1030"/>
      <c r="CD37" s="231"/>
    </row>
    <row r="38" spans="1:82" ht="3.95" customHeight="1" x14ac:dyDescent="0.25">
      <c r="A38" s="231"/>
      <c r="B38" s="1090"/>
      <c r="C38" s="1054"/>
      <c r="D38" s="1054"/>
      <c r="E38" s="1054"/>
      <c r="F38" s="1054"/>
      <c r="G38" s="1054"/>
      <c r="H38" s="1054"/>
      <c r="I38" s="1054"/>
      <c r="J38" s="1054"/>
      <c r="K38" s="1054"/>
      <c r="L38" s="1054"/>
      <c r="M38" s="1054"/>
      <c r="N38" s="1075"/>
      <c r="O38" s="1075"/>
      <c r="P38" s="1075"/>
      <c r="Q38" s="1075"/>
      <c r="R38" s="1075"/>
      <c r="S38" s="1075"/>
      <c r="T38" s="1075"/>
      <c r="U38" s="1075"/>
      <c r="V38" s="1075"/>
      <c r="W38" s="1075"/>
      <c r="X38" s="1075"/>
      <c r="Y38" s="1075"/>
      <c r="Z38" s="1075"/>
      <c r="AA38" s="1075"/>
      <c r="AB38" s="1075"/>
      <c r="AC38" s="1075"/>
      <c r="AD38" s="1075"/>
      <c r="AE38" s="1075"/>
      <c r="AF38" s="1075"/>
      <c r="AG38" s="1075"/>
      <c r="AH38" s="1075"/>
      <c r="AI38" s="1075"/>
      <c r="AJ38" s="1038"/>
      <c r="AK38" s="1092"/>
      <c r="AL38" s="231"/>
      <c r="AO38" s="228"/>
      <c r="AP38" s="231"/>
      <c r="AQ38" s="1037"/>
      <c r="AR38" s="1038"/>
      <c r="AS38" s="1038"/>
      <c r="AT38" s="1038"/>
      <c r="AU38" s="1031"/>
      <c r="AV38" s="1032"/>
      <c r="AW38" s="1032"/>
      <c r="AX38" s="1032"/>
      <c r="AY38" s="1032"/>
      <c r="AZ38" s="1032"/>
      <c r="BA38" s="1032"/>
      <c r="BB38" s="1032"/>
      <c r="BC38" s="1032"/>
      <c r="BD38" s="1032"/>
      <c r="BE38" s="1032"/>
      <c r="BF38" s="1032"/>
      <c r="BG38" s="1032"/>
      <c r="BH38" s="1032"/>
      <c r="BI38" s="1033"/>
      <c r="BJ38" s="231"/>
      <c r="BK38" s="1037"/>
      <c r="BL38" s="1038"/>
      <c r="BM38" s="1038"/>
      <c r="BN38" s="1038"/>
      <c r="BO38" s="1031"/>
      <c r="BP38" s="1032"/>
      <c r="BQ38" s="1032"/>
      <c r="BR38" s="1032"/>
      <c r="BS38" s="1032"/>
      <c r="BT38" s="1032"/>
      <c r="BU38" s="1032"/>
      <c r="BV38" s="1032"/>
      <c r="BW38" s="1032"/>
      <c r="BX38" s="1032"/>
      <c r="BY38" s="1032"/>
      <c r="BZ38" s="1032"/>
      <c r="CA38" s="1032"/>
      <c r="CB38" s="1032"/>
      <c r="CC38" s="1033"/>
      <c r="CD38" s="231"/>
    </row>
    <row r="39" spans="1:82" ht="3.95" customHeight="1" x14ac:dyDescent="0.25">
      <c r="A39" s="231"/>
      <c r="B39" s="1090"/>
      <c r="C39" s="1054"/>
      <c r="D39" s="1054"/>
      <c r="E39" s="1054"/>
      <c r="F39" s="1054"/>
      <c r="G39" s="1054"/>
      <c r="H39" s="1054"/>
      <c r="I39" s="1054"/>
      <c r="J39" s="1054"/>
      <c r="K39" s="1054"/>
      <c r="L39" s="1054"/>
      <c r="M39" s="1054"/>
      <c r="N39" s="1075"/>
      <c r="O39" s="1075"/>
      <c r="P39" s="1075"/>
      <c r="Q39" s="1075"/>
      <c r="R39" s="1075"/>
      <c r="S39" s="1075"/>
      <c r="T39" s="1075"/>
      <c r="U39" s="1075"/>
      <c r="V39" s="1075"/>
      <c r="W39" s="1075"/>
      <c r="X39" s="1075"/>
      <c r="Y39" s="1075"/>
      <c r="Z39" s="1075"/>
      <c r="AA39" s="1075"/>
      <c r="AB39" s="1075"/>
      <c r="AC39" s="1075"/>
      <c r="AD39" s="1075"/>
      <c r="AE39" s="1075"/>
      <c r="AF39" s="1075"/>
      <c r="AG39" s="1075"/>
      <c r="AH39" s="1075"/>
      <c r="AI39" s="1075"/>
      <c r="AJ39" s="1038"/>
      <c r="AK39" s="1092"/>
      <c r="AL39" s="231"/>
      <c r="AO39" s="228"/>
      <c r="AP39" s="231"/>
      <c r="AQ39" s="1037"/>
      <c r="AR39" s="1038"/>
      <c r="AS39" s="1038"/>
      <c r="AT39" s="1038"/>
      <c r="AU39" s="1034"/>
      <c r="AV39" s="1035"/>
      <c r="AW39" s="1035"/>
      <c r="AX39" s="1035"/>
      <c r="AY39" s="1035"/>
      <c r="AZ39" s="1035"/>
      <c r="BA39" s="1035"/>
      <c r="BB39" s="1035"/>
      <c r="BC39" s="1035"/>
      <c r="BD39" s="1035"/>
      <c r="BE39" s="1035"/>
      <c r="BF39" s="1035"/>
      <c r="BG39" s="1035"/>
      <c r="BH39" s="1035"/>
      <c r="BI39" s="1036"/>
      <c r="BJ39" s="231"/>
      <c r="BK39" s="1037"/>
      <c r="BL39" s="1038"/>
      <c r="BM39" s="1038"/>
      <c r="BN39" s="1038"/>
      <c r="BO39" s="1034"/>
      <c r="BP39" s="1035"/>
      <c r="BQ39" s="1035"/>
      <c r="BR39" s="1035"/>
      <c r="BS39" s="1035"/>
      <c r="BT39" s="1035"/>
      <c r="BU39" s="1035"/>
      <c r="BV39" s="1035"/>
      <c r="BW39" s="1035"/>
      <c r="BX39" s="1035"/>
      <c r="BY39" s="1035"/>
      <c r="BZ39" s="1035"/>
      <c r="CA39" s="1035"/>
      <c r="CB39" s="1035"/>
      <c r="CC39" s="1036"/>
      <c r="CD39" s="231"/>
    </row>
    <row r="40" spans="1:82" ht="3.95" customHeight="1" x14ac:dyDescent="0.25">
      <c r="A40" s="231"/>
      <c r="B40" s="1090"/>
      <c r="C40" s="1054"/>
      <c r="D40" s="1054"/>
      <c r="E40" s="1054"/>
      <c r="F40" s="1054"/>
      <c r="G40" s="1054"/>
      <c r="H40" s="1054"/>
      <c r="I40" s="1054"/>
      <c r="J40" s="1054"/>
      <c r="K40" s="1054"/>
      <c r="L40" s="1054"/>
      <c r="M40" s="1054"/>
      <c r="N40" s="1075"/>
      <c r="O40" s="1075"/>
      <c r="P40" s="1075"/>
      <c r="Q40" s="1075"/>
      <c r="R40" s="1075"/>
      <c r="S40" s="1075"/>
      <c r="T40" s="1075"/>
      <c r="U40" s="1075"/>
      <c r="V40" s="1075"/>
      <c r="W40" s="1075"/>
      <c r="X40" s="1075"/>
      <c r="Y40" s="1075"/>
      <c r="Z40" s="1075"/>
      <c r="AA40" s="1075"/>
      <c r="AB40" s="1075"/>
      <c r="AC40" s="1075"/>
      <c r="AD40" s="1075"/>
      <c r="AE40" s="1075"/>
      <c r="AF40" s="1075"/>
      <c r="AG40" s="1075"/>
      <c r="AH40" s="1075"/>
      <c r="AI40" s="1075"/>
      <c r="AJ40" s="1038"/>
      <c r="AK40" s="1092"/>
      <c r="AL40" s="231"/>
      <c r="AO40" s="228"/>
      <c r="AP40" s="231"/>
      <c r="AQ40" s="1037"/>
      <c r="AR40" s="1038"/>
      <c r="AS40" s="1038"/>
      <c r="AT40" s="1038"/>
      <c r="AU40" s="1028"/>
      <c r="AV40" s="1029"/>
      <c r="AW40" s="1029"/>
      <c r="AX40" s="1029"/>
      <c r="AY40" s="1029"/>
      <c r="AZ40" s="1029"/>
      <c r="BA40" s="1029"/>
      <c r="BB40" s="1029"/>
      <c r="BC40" s="1029"/>
      <c r="BD40" s="1029"/>
      <c r="BE40" s="1029"/>
      <c r="BF40" s="1029"/>
      <c r="BG40" s="1029"/>
      <c r="BH40" s="1029"/>
      <c r="BI40" s="1030"/>
      <c r="BJ40" s="231"/>
      <c r="BK40" s="1037"/>
      <c r="BL40" s="1038"/>
      <c r="BM40" s="1038"/>
      <c r="BN40" s="1038"/>
      <c r="BO40" s="1028"/>
      <c r="BP40" s="1029"/>
      <c r="BQ40" s="1029"/>
      <c r="BR40" s="1029"/>
      <c r="BS40" s="1029"/>
      <c r="BT40" s="1029"/>
      <c r="BU40" s="1029"/>
      <c r="BV40" s="1029"/>
      <c r="BW40" s="1029"/>
      <c r="BX40" s="1029"/>
      <c r="BY40" s="1029"/>
      <c r="BZ40" s="1029"/>
      <c r="CA40" s="1029"/>
      <c r="CB40" s="1029"/>
      <c r="CC40" s="1030"/>
      <c r="CD40" s="231"/>
    </row>
    <row r="41" spans="1:82" ht="3.95" customHeight="1" x14ac:dyDescent="0.25">
      <c r="A41" s="231"/>
      <c r="B41" s="1136"/>
      <c r="C41" s="1137"/>
      <c r="D41" s="1137"/>
      <c r="E41" s="1137"/>
      <c r="F41" s="1137"/>
      <c r="G41" s="1137"/>
      <c r="H41" s="1137"/>
      <c r="I41" s="1137"/>
      <c r="J41" s="1137"/>
      <c r="K41" s="1137"/>
      <c r="L41" s="1137"/>
      <c r="M41" s="1137"/>
      <c r="N41" s="1148"/>
      <c r="O41" s="1148"/>
      <c r="P41" s="1148"/>
      <c r="Q41" s="1148"/>
      <c r="R41" s="1148"/>
      <c r="S41" s="1148"/>
      <c r="T41" s="1148"/>
      <c r="U41" s="1148"/>
      <c r="V41" s="1148"/>
      <c r="W41" s="1148"/>
      <c r="X41" s="1148"/>
      <c r="Y41" s="1148"/>
      <c r="Z41" s="1148"/>
      <c r="AA41" s="1148"/>
      <c r="AB41" s="1148"/>
      <c r="AC41" s="1148"/>
      <c r="AD41" s="1148"/>
      <c r="AE41" s="1148"/>
      <c r="AF41" s="1148"/>
      <c r="AG41" s="1148"/>
      <c r="AH41" s="1148"/>
      <c r="AI41" s="1148"/>
      <c r="AJ41" s="1040"/>
      <c r="AK41" s="1138"/>
      <c r="AL41" s="231"/>
      <c r="AO41" s="228"/>
      <c r="AP41" s="231"/>
      <c r="AQ41" s="1037"/>
      <c r="AR41" s="1038"/>
      <c r="AS41" s="1038"/>
      <c r="AT41" s="1038"/>
      <c r="AU41" s="1031"/>
      <c r="AV41" s="1032"/>
      <c r="AW41" s="1032"/>
      <c r="AX41" s="1032"/>
      <c r="AY41" s="1032"/>
      <c r="AZ41" s="1032"/>
      <c r="BA41" s="1032"/>
      <c r="BB41" s="1032"/>
      <c r="BC41" s="1032"/>
      <c r="BD41" s="1032"/>
      <c r="BE41" s="1032"/>
      <c r="BF41" s="1032"/>
      <c r="BG41" s="1032"/>
      <c r="BH41" s="1032"/>
      <c r="BI41" s="1033"/>
      <c r="BJ41" s="231"/>
      <c r="BK41" s="1037"/>
      <c r="BL41" s="1038"/>
      <c r="BM41" s="1038"/>
      <c r="BN41" s="1038"/>
      <c r="BO41" s="1031"/>
      <c r="BP41" s="1032"/>
      <c r="BQ41" s="1032"/>
      <c r="BR41" s="1032"/>
      <c r="BS41" s="1032"/>
      <c r="BT41" s="1032"/>
      <c r="BU41" s="1032"/>
      <c r="BV41" s="1032"/>
      <c r="BW41" s="1032"/>
      <c r="BX41" s="1032"/>
      <c r="BY41" s="1032"/>
      <c r="BZ41" s="1032"/>
      <c r="CA41" s="1032"/>
      <c r="CB41" s="1032"/>
      <c r="CC41" s="1033"/>
      <c r="CD41" s="231"/>
    </row>
    <row r="42" spans="1:82" ht="3.95" customHeight="1" x14ac:dyDescent="0.25">
      <c r="A42" s="231"/>
      <c r="B42" s="1093" t="s">
        <v>531</v>
      </c>
      <c r="C42" s="1093"/>
      <c r="D42" s="1095" t="s">
        <v>530</v>
      </c>
      <c r="E42" s="1095"/>
      <c r="F42" s="1095"/>
      <c r="G42" s="1095"/>
      <c r="H42" s="1095"/>
      <c r="I42" s="1095"/>
      <c r="J42" s="1095"/>
      <c r="K42" s="1095"/>
      <c r="L42" s="1095"/>
      <c r="M42" s="1095"/>
      <c r="N42" s="1095"/>
      <c r="O42" s="1095"/>
      <c r="P42" s="1095"/>
      <c r="Q42" s="1095"/>
      <c r="R42" s="1093" t="s">
        <v>534</v>
      </c>
      <c r="S42" s="1093"/>
      <c r="T42" s="1093" t="s">
        <v>531</v>
      </c>
      <c r="U42" s="1093"/>
      <c r="V42" s="1095" t="s">
        <v>530</v>
      </c>
      <c r="W42" s="1095"/>
      <c r="X42" s="1095"/>
      <c r="Y42" s="1095"/>
      <c r="Z42" s="1095"/>
      <c r="AA42" s="1095"/>
      <c r="AB42" s="1095"/>
      <c r="AC42" s="1095"/>
      <c r="AD42" s="1095"/>
      <c r="AE42" s="1095"/>
      <c r="AF42" s="1095"/>
      <c r="AG42" s="1095"/>
      <c r="AH42" s="1095"/>
      <c r="AI42" s="1095"/>
      <c r="AJ42" s="1093" t="s">
        <v>534</v>
      </c>
      <c r="AK42" s="1093"/>
      <c r="AL42" s="231"/>
      <c r="AO42" s="228"/>
      <c r="AP42" s="231"/>
      <c r="AQ42" s="1037"/>
      <c r="AR42" s="1038"/>
      <c r="AS42" s="1038"/>
      <c r="AT42" s="1038"/>
      <c r="AU42" s="1034"/>
      <c r="AV42" s="1035"/>
      <c r="AW42" s="1035"/>
      <c r="AX42" s="1035"/>
      <c r="AY42" s="1035"/>
      <c r="AZ42" s="1035"/>
      <c r="BA42" s="1035"/>
      <c r="BB42" s="1035"/>
      <c r="BC42" s="1035"/>
      <c r="BD42" s="1035"/>
      <c r="BE42" s="1035"/>
      <c r="BF42" s="1035"/>
      <c r="BG42" s="1035"/>
      <c r="BH42" s="1035"/>
      <c r="BI42" s="1036"/>
      <c r="BJ42" s="231"/>
      <c r="BK42" s="1037"/>
      <c r="BL42" s="1038"/>
      <c r="BM42" s="1038"/>
      <c r="BN42" s="1038"/>
      <c r="BO42" s="1034"/>
      <c r="BP42" s="1035"/>
      <c r="BQ42" s="1035"/>
      <c r="BR42" s="1035"/>
      <c r="BS42" s="1035"/>
      <c r="BT42" s="1035"/>
      <c r="BU42" s="1035"/>
      <c r="BV42" s="1035"/>
      <c r="BW42" s="1035"/>
      <c r="BX42" s="1035"/>
      <c r="BY42" s="1035"/>
      <c r="BZ42" s="1035"/>
      <c r="CA42" s="1035"/>
      <c r="CB42" s="1035"/>
      <c r="CC42" s="1036"/>
      <c r="CD42" s="231"/>
    </row>
    <row r="43" spans="1:82" ht="3.95" customHeight="1" x14ac:dyDescent="0.25">
      <c r="A43" s="231"/>
      <c r="B43" s="1094"/>
      <c r="C43" s="1094"/>
      <c r="D43" s="1096"/>
      <c r="E43" s="1096"/>
      <c r="F43" s="1096"/>
      <c r="G43" s="1096"/>
      <c r="H43" s="1096"/>
      <c r="I43" s="1096"/>
      <c r="J43" s="1096"/>
      <c r="K43" s="1096"/>
      <c r="L43" s="1096"/>
      <c r="M43" s="1096"/>
      <c r="N43" s="1096"/>
      <c r="O43" s="1096"/>
      <c r="P43" s="1096"/>
      <c r="Q43" s="1096"/>
      <c r="R43" s="1094"/>
      <c r="S43" s="1094"/>
      <c r="T43" s="1094"/>
      <c r="U43" s="1094"/>
      <c r="V43" s="1096"/>
      <c r="W43" s="1096"/>
      <c r="X43" s="1096"/>
      <c r="Y43" s="1096"/>
      <c r="Z43" s="1096"/>
      <c r="AA43" s="1096"/>
      <c r="AB43" s="1096"/>
      <c r="AC43" s="1096"/>
      <c r="AD43" s="1096"/>
      <c r="AE43" s="1096"/>
      <c r="AF43" s="1096"/>
      <c r="AG43" s="1096"/>
      <c r="AH43" s="1096"/>
      <c r="AI43" s="1096"/>
      <c r="AJ43" s="1094"/>
      <c r="AK43" s="1094"/>
      <c r="AL43" s="231"/>
      <c r="AO43" s="228"/>
      <c r="AP43" s="231"/>
      <c r="AQ43" s="1037"/>
      <c r="AR43" s="1038"/>
      <c r="AS43" s="1038"/>
      <c r="AT43" s="1038"/>
      <c r="AU43" s="1028"/>
      <c r="AV43" s="1029"/>
      <c r="AW43" s="1029"/>
      <c r="AX43" s="1029"/>
      <c r="AY43" s="1029"/>
      <c r="AZ43" s="1029"/>
      <c r="BA43" s="1029"/>
      <c r="BB43" s="1029"/>
      <c r="BC43" s="1029"/>
      <c r="BD43" s="1029"/>
      <c r="BE43" s="1029"/>
      <c r="BF43" s="1029"/>
      <c r="BG43" s="1029"/>
      <c r="BH43" s="1029"/>
      <c r="BI43" s="1030"/>
      <c r="BJ43" s="231"/>
      <c r="BK43" s="1037"/>
      <c r="BL43" s="1038"/>
      <c r="BM43" s="1038"/>
      <c r="BN43" s="1038"/>
      <c r="BO43" s="1028"/>
      <c r="BP43" s="1029"/>
      <c r="BQ43" s="1029"/>
      <c r="BR43" s="1029"/>
      <c r="BS43" s="1029"/>
      <c r="BT43" s="1029"/>
      <c r="BU43" s="1029"/>
      <c r="BV43" s="1029"/>
      <c r="BW43" s="1029"/>
      <c r="BX43" s="1029"/>
      <c r="BY43" s="1029"/>
      <c r="BZ43" s="1029"/>
      <c r="CA43" s="1029"/>
      <c r="CB43" s="1029"/>
      <c r="CC43" s="1030"/>
      <c r="CD43" s="231"/>
    </row>
    <row r="44" spans="1:82" ht="3.95" customHeight="1" x14ac:dyDescent="0.25">
      <c r="A44" s="231"/>
      <c r="B44" s="1094"/>
      <c r="C44" s="1094"/>
      <c r="D44" s="1096"/>
      <c r="E44" s="1096"/>
      <c r="F44" s="1096"/>
      <c r="G44" s="1096"/>
      <c r="H44" s="1096"/>
      <c r="I44" s="1096"/>
      <c r="J44" s="1096"/>
      <c r="K44" s="1096"/>
      <c r="L44" s="1096"/>
      <c r="M44" s="1096"/>
      <c r="N44" s="1096"/>
      <c r="O44" s="1096"/>
      <c r="P44" s="1096"/>
      <c r="Q44" s="1096"/>
      <c r="R44" s="1094"/>
      <c r="S44" s="1094"/>
      <c r="T44" s="1094"/>
      <c r="U44" s="1094"/>
      <c r="V44" s="1096"/>
      <c r="W44" s="1096"/>
      <c r="X44" s="1096"/>
      <c r="Y44" s="1096"/>
      <c r="Z44" s="1096"/>
      <c r="AA44" s="1096"/>
      <c r="AB44" s="1096"/>
      <c r="AC44" s="1096"/>
      <c r="AD44" s="1096"/>
      <c r="AE44" s="1096"/>
      <c r="AF44" s="1096"/>
      <c r="AG44" s="1096"/>
      <c r="AH44" s="1096"/>
      <c r="AI44" s="1096"/>
      <c r="AJ44" s="1094"/>
      <c r="AK44" s="1094"/>
      <c r="AL44" s="231"/>
      <c r="AO44" s="228"/>
      <c r="AP44" s="231"/>
      <c r="AQ44" s="1037"/>
      <c r="AR44" s="1038"/>
      <c r="AS44" s="1038"/>
      <c r="AT44" s="1038"/>
      <c r="AU44" s="1031"/>
      <c r="AV44" s="1032"/>
      <c r="AW44" s="1032"/>
      <c r="AX44" s="1032"/>
      <c r="AY44" s="1032"/>
      <c r="AZ44" s="1032"/>
      <c r="BA44" s="1032"/>
      <c r="BB44" s="1032"/>
      <c r="BC44" s="1032"/>
      <c r="BD44" s="1032"/>
      <c r="BE44" s="1032"/>
      <c r="BF44" s="1032"/>
      <c r="BG44" s="1032"/>
      <c r="BH44" s="1032"/>
      <c r="BI44" s="1033"/>
      <c r="BJ44" s="231"/>
      <c r="BK44" s="1037"/>
      <c r="BL44" s="1038"/>
      <c r="BM44" s="1038"/>
      <c r="BN44" s="1038"/>
      <c r="BO44" s="1031"/>
      <c r="BP44" s="1032"/>
      <c r="BQ44" s="1032"/>
      <c r="BR44" s="1032"/>
      <c r="BS44" s="1032"/>
      <c r="BT44" s="1032"/>
      <c r="BU44" s="1032"/>
      <c r="BV44" s="1032"/>
      <c r="BW44" s="1032"/>
      <c r="BX44" s="1032"/>
      <c r="BY44" s="1032"/>
      <c r="BZ44" s="1032"/>
      <c r="CA44" s="1032"/>
      <c r="CB44" s="1032"/>
      <c r="CC44" s="1033"/>
      <c r="CD44" s="231"/>
    </row>
    <row r="45" spans="1:82" ht="3.95" customHeight="1" x14ac:dyDescent="0.25">
      <c r="A45" s="231"/>
      <c r="B45" s="928"/>
      <c r="C45" s="928"/>
      <c r="D45" s="1097"/>
      <c r="E45" s="1097"/>
      <c r="F45" s="1097"/>
      <c r="G45" s="1097"/>
      <c r="H45" s="1097"/>
      <c r="I45" s="1097"/>
      <c r="J45" s="1097"/>
      <c r="K45" s="1097"/>
      <c r="L45" s="1097"/>
      <c r="M45" s="1097"/>
      <c r="N45" s="1097"/>
      <c r="O45" s="1097"/>
      <c r="P45" s="1097"/>
      <c r="Q45" s="1097"/>
      <c r="R45" s="928"/>
      <c r="S45" s="928"/>
      <c r="T45" s="928"/>
      <c r="U45" s="928"/>
      <c r="V45" s="1097"/>
      <c r="W45" s="1097"/>
      <c r="X45" s="1097"/>
      <c r="Y45" s="1097"/>
      <c r="Z45" s="1097"/>
      <c r="AA45" s="1097"/>
      <c r="AB45" s="1097"/>
      <c r="AC45" s="1097"/>
      <c r="AD45" s="1097"/>
      <c r="AE45" s="1097"/>
      <c r="AF45" s="1097"/>
      <c r="AG45" s="1097"/>
      <c r="AH45" s="1097"/>
      <c r="AI45" s="1097"/>
      <c r="AJ45" s="928"/>
      <c r="AK45" s="928"/>
      <c r="AL45" s="231"/>
      <c r="AO45" s="228"/>
      <c r="AP45" s="231"/>
      <c r="AQ45" s="1037"/>
      <c r="AR45" s="1038"/>
      <c r="AS45" s="1038"/>
      <c r="AT45" s="1038"/>
      <c r="AU45" s="1034"/>
      <c r="AV45" s="1035"/>
      <c r="AW45" s="1035"/>
      <c r="AX45" s="1035"/>
      <c r="AY45" s="1035"/>
      <c r="AZ45" s="1035"/>
      <c r="BA45" s="1035"/>
      <c r="BB45" s="1035"/>
      <c r="BC45" s="1035"/>
      <c r="BD45" s="1035"/>
      <c r="BE45" s="1035"/>
      <c r="BF45" s="1035"/>
      <c r="BG45" s="1035"/>
      <c r="BH45" s="1035"/>
      <c r="BI45" s="1036"/>
      <c r="BJ45" s="231"/>
      <c r="BK45" s="1037"/>
      <c r="BL45" s="1038"/>
      <c r="BM45" s="1038"/>
      <c r="BN45" s="1038"/>
      <c r="BO45" s="1034"/>
      <c r="BP45" s="1035"/>
      <c r="BQ45" s="1035"/>
      <c r="BR45" s="1035"/>
      <c r="BS45" s="1035"/>
      <c r="BT45" s="1035"/>
      <c r="BU45" s="1035"/>
      <c r="BV45" s="1035"/>
      <c r="BW45" s="1035"/>
      <c r="BX45" s="1035"/>
      <c r="BY45" s="1035"/>
      <c r="BZ45" s="1035"/>
      <c r="CA45" s="1035"/>
      <c r="CB45" s="1035"/>
      <c r="CC45" s="1036"/>
      <c r="CD45" s="231"/>
    </row>
    <row r="46" spans="1:82" ht="3.95" customHeight="1" x14ac:dyDescent="0.25">
      <c r="A46" s="231"/>
      <c r="B46" s="1175"/>
      <c r="C46" s="1176"/>
      <c r="D46" s="1147"/>
      <c r="E46" s="1147"/>
      <c r="F46" s="1147"/>
      <c r="G46" s="1147"/>
      <c r="H46" s="1147"/>
      <c r="I46" s="1147"/>
      <c r="J46" s="1147"/>
      <c r="K46" s="1147"/>
      <c r="L46" s="1147"/>
      <c r="M46" s="1147"/>
      <c r="N46" s="1147"/>
      <c r="O46" s="1147"/>
      <c r="P46" s="1147"/>
      <c r="Q46" s="1147"/>
      <c r="R46" s="1173"/>
      <c r="S46" s="1174"/>
      <c r="T46" s="1177"/>
      <c r="U46" s="1176"/>
      <c r="V46" s="1147"/>
      <c r="W46" s="1147"/>
      <c r="X46" s="1147"/>
      <c r="Y46" s="1147"/>
      <c r="Z46" s="1147"/>
      <c r="AA46" s="1147"/>
      <c r="AB46" s="1147"/>
      <c r="AC46" s="1147"/>
      <c r="AD46" s="1147"/>
      <c r="AE46" s="1147"/>
      <c r="AF46" s="1147"/>
      <c r="AG46" s="1147"/>
      <c r="AH46" s="1147"/>
      <c r="AI46" s="1147"/>
      <c r="AJ46" s="1173"/>
      <c r="AK46" s="1174"/>
      <c r="AL46" s="231"/>
      <c r="AM46" s="1077">
        <f>B46*R46</f>
        <v>0</v>
      </c>
      <c r="AN46" s="1077">
        <f>T46*AJ46</f>
        <v>0</v>
      </c>
      <c r="AP46" s="231"/>
      <c r="AQ46" s="1037"/>
      <c r="AR46" s="1038"/>
      <c r="AS46" s="1038"/>
      <c r="AT46" s="1038"/>
      <c r="AU46" s="1028"/>
      <c r="AV46" s="1029"/>
      <c r="AW46" s="1029"/>
      <c r="AX46" s="1029"/>
      <c r="AY46" s="1029"/>
      <c r="AZ46" s="1029"/>
      <c r="BA46" s="1029"/>
      <c r="BB46" s="1029"/>
      <c r="BC46" s="1029"/>
      <c r="BD46" s="1029"/>
      <c r="BE46" s="1029"/>
      <c r="BF46" s="1029"/>
      <c r="BG46" s="1029"/>
      <c r="BH46" s="1029"/>
      <c r="BI46" s="1030"/>
      <c r="BJ46" s="231"/>
      <c r="BK46" s="1037"/>
      <c r="BL46" s="1038"/>
      <c r="BM46" s="1038"/>
      <c r="BN46" s="1038"/>
      <c r="BO46" s="1028"/>
      <c r="BP46" s="1029"/>
      <c r="BQ46" s="1029"/>
      <c r="BR46" s="1029"/>
      <c r="BS46" s="1029"/>
      <c r="BT46" s="1029"/>
      <c r="BU46" s="1029"/>
      <c r="BV46" s="1029"/>
      <c r="BW46" s="1029"/>
      <c r="BX46" s="1029"/>
      <c r="BY46" s="1029"/>
      <c r="BZ46" s="1029"/>
      <c r="CA46" s="1029"/>
      <c r="CB46" s="1029"/>
      <c r="CC46" s="1030"/>
      <c r="CD46" s="231"/>
    </row>
    <row r="47" spans="1:82" ht="3.95" customHeight="1" x14ac:dyDescent="0.25">
      <c r="A47" s="231"/>
      <c r="B47" s="1062"/>
      <c r="C47" s="1063"/>
      <c r="D47" s="1075"/>
      <c r="E47" s="1075"/>
      <c r="F47" s="1075"/>
      <c r="G47" s="1075"/>
      <c r="H47" s="1075"/>
      <c r="I47" s="1075"/>
      <c r="J47" s="1075"/>
      <c r="K47" s="1075"/>
      <c r="L47" s="1075"/>
      <c r="M47" s="1075"/>
      <c r="N47" s="1075"/>
      <c r="O47" s="1075"/>
      <c r="P47" s="1075"/>
      <c r="Q47" s="1075"/>
      <c r="R47" s="1060"/>
      <c r="S47" s="1061"/>
      <c r="T47" s="1076"/>
      <c r="U47" s="1063"/>
      <c r="V47" s="1075"/>
      <c r="W47" s="1075"/>
      <c r="X47" s="1075"/>
      <c r="Y47" s="1075"/>
      <c r="Z47" s="1075"/>
      <c r="AA47" s="1075"/>
      <c r="AB47" s="1075"/>
      <c r="AC47" s="1075"/>
      <c r="AD47" s="1075"/>
      <c r="AE47" s="1075"/>
      <c r="AF47" s="1075"/>
      <c r="AG47" s="1075"/>
      <c r="AH47" s="1075"/>
      <c r="AI47" s="1075"/>
      <c r="AJ47" s="1060"/>
      <c r="AK47" s="1061"/>
      <c r="AL47" s="231"/>
      <c r="AM47" s="1077"/>
      <c r="AN47" s="1077"/>
      <c r="AP47" s="231"/>
      <c r="AQ47" s="1037"/>
      <c r="AR47" s="1038"/>
      <c r="AS47" s="1038"/>
      <c r="AT47" s="1038"/>
      <c r="AU47" s="1031"/>
      <c r="AV47" s="1032"/>
      <c r="AW47" s="1032"/>
      <c r="AX47" s="1032"/>
      <c r="AY47" s="1032"/>
      <c r="AZ47" s="1032"/>
      <c r="BA47" s="1032"/>
      <c r="BB47" s="1032"/>
      <c r="BC47" s="1032"/>
      <c r="BD47" s="1032"/>
      <c r="BE47" s="1032"/>
      <c r="BF47" s="1032"/>
      <c r="BG47" s="1032"/>
      <c r="BH47" s="1032"/>
      <c r="BI47" s="1033"/>
      <c r="BJ47" s="231"/>
      <c r="BK47" s="1037"/>
      <c r="BL47" s="1038"/>
      <c r="BM47" s="1038"/>
      <c r="BN47" s="1038"/>
      <c r="BO47" s="1031"/>
      <c r="BP47" s="1032"/>
      <c r="BQ47" s="1032"/>
      <c r="BR47" s="1032"/>
      <c r="BS47" s="1032"/>
      <c r="BT47" s="1032"/>
      <c r="BU47" s="1032"/>
      <c r="BV47" s="1032"/>
      <c r="BW47" s="1032"/>
      <c r="BX47" s="1032"/>
      <c r="BY47" s="1032"/>
      <c r="BZ47" s="1032"/>
      <c r="CA47" s="1032"/>
      <c r="CB47" s="1032"/>
      <c r="CC47" s="1033"/>
      <c r="CD47" s="231"/>
    </row>
    <row r="48" spans="1:82" ht="3.95" customHeight="1" x14ac:dyDescent="0.25">
      <c r="A48" s="231"/>
      <c r="B48" s="1062"/>
      <c r="C48" s="1063"/>
      <c r="D48" s="1075"/>
      <c r="E48" s="1075"/>
      <c r="F48" s="1075"/>
      <c r="G48" s="1075"/>
      <c r="H48" s="1075"/>
      <c r="I48" s="1075"/>
      <c r="J48" s="1075"/>
      <c r="K48" s="1075"/>
      <c r="L48" s="1075"/>
      <c r="M48" s="1075"/>
      <c r="N48" s="1075"/>
      <c r="O48" s="1075"/>
      <c r="P48" s="1075"/>
      <c r="Q48" s="1075"/>
      <c r="R48" s="1060"/>
      <c r="S48" s="1061"/>
      <c r="T48" s="1076"/>
      <c r="U48" s="1063"/>
      <c r="V48" s="1075"/>
      <c r="W48" s="1075"/>
      <c r="X48" s="1075"/>
      <c r="Y48" s="1075"/>
      <c r="Z48" s="1075"/>
      <c r="AA48" s="1075"/>
      <c r="AB48" s="1075"/>
      <c r="AC48" s="1075"/>
      <c r="AD48" s="1075"/>
      <c r="AE48" s="1075"/>
      <c r="AF48" s="1075"/>
      <c r="AG48" s="1075"/>
      <c r="AH48" s="1075"/>
      <c r="AI48" s="1075"/>
      <c r="AJ48" s="1060"/>
      <c r="AK48" s="1061"/>
      <c r="AL48" s="231"/>
      <c r="AM48" s="1077"/>
      <c r="AN48" s="1077"/>
      <c r="AP48" s="231"/>
      <c r="AQ48" s="1037"/>
      <c r="AR48" s="1038"/>
      <c r="AS48" s="1038"/>
      <c r="AT48" s="1038"/>
      <c r="AU48" s="1034"/>
      <c r="AV48" s="1035"/>
      <c r="AW48" s="1035"/>
      <c r="AX48" s="1035"/>
      <c r="AY48" s="1035"/>
      <c r="AZ48" s="1035"/>
      <c r="BA48" s="1035"/>
      <c r="BB48" s="1035"/>
      <c r="BC48" s="1035"/>
      <c r="BD48" s="1035"/>
      <c r="BE48" s="1035"/>
      <c r="BF48" s="1035"/>
      <c r="BG48" s="1035"/>
      <c r="BH48" s="1035"/>
      <c r="BI48" s="1036"/>
      <c r="BJ48" s="231"/>
      <c r="BK48" s="1037"/>
      <c r="BL48" s="1038"/>
      <c r="BM48" s="1038"/>
      <c r="BN48" s="1038"/>
      <c r="BO48" s="1034"/>
      <c r="BP48" s="1035"/>
      <c r="BQ48" s="1035"/>
      <c r="BR48" s="1035"/>
      <c r="BS48" s="1035"/>
      <c r="BT48" s="1035"/>
      <c r="BU48" s="1035"/>
      <c r="BV48" s="1035"/>
      <c r="BW48" s="1035"/>
      <c r="BX48" s="1035"/>
      <c r="BY48" s="1035"/>
      <c r="BZ48" s="1035"/>
      <c r="CA48" s="1035"/>
      <c r="CB48" s="1035"/>
      <c r="CC48" s="1036"/>
      <c r="CD48" s="231"/>
    </row>
    <row r="49" spans="1:82" ht="3.95" customHeight="1" x14ac:dyDescent="0.25">
      <c r="A49" s="231"/>
      <c r="B49" s="1062"/>
      <c r="C49" s="1063"/>
      <c r="D49" s="1064"/>
      <c r="E49" s="1065"/>
      <c r="F49" s="1065"/>
      <c r="G49" s="1065"/>
      <c r="H49" s="1065"/>
      <c r="I49" s="1065"/>
      <c r="J49" s="1065"/>
      <c r="K49" s="1065"/>
      <c r="L49" s="1065"/>
      <c r="M49" s="1065"/>
      <c r="N49" s="1065"/>
      <c r="O49" s="1065"/>
      <c r="P49" s="1065"/>
      <c r="Q49" s="1066"/>
      <c r="R49" s="1060"/>
      <c r="S49" s="1061"/>
      <c r="T49" s="1076"/>
      <c r="U49" s="1063"/>
      <c r="V49" s="1075"/>
      <c r="W49" s="1075"/>
      <c r="X49" s="1075"/>
      <c r="Y49" s="1075"/>
      <c r="Z49" s="1075"/>
      <c r="AA49" s="1075"/>
      <c r="AB49" s="1075"/>
      <c r="AC49" s="1075"/>
      <c r="AD49" s="1075"/>
      <c r="AE49" s="1075"/>
      <c r="AF49" s="1075"/>
      <c r="AG49" s="1075"/>
      <c r="AH49" s="1075"/>
      <c r="AI49" s="1075"/>
      <c r="AJ49" s="1060"/>
      <c r="AK49" s="1061"/>
      <c r="AL49" s="231"/>
      <c r="AM49" s="1077">
        <f>B49*R49</f>
        <v>0</v>
      </c>
      <c r="AN49" s="1077">
        <f>T49*AJ49</f>
        <v>0</v>
      </c>
      <c r="AP49" s="231"/>
      <c r="AQ49" s="1037"/>
      <c r="AR49" s="1038"/>
      <c r="AS49" s="1038"/>
      <c r="AT49" s="1038"/>
      <c r="AU49" s="1028"/>
      <c r="AV49" s="1029"/>
      <c r="AW49" s="1029"/>
      <c r="AX49" s="1029"/>
      <c r="AY49" s="1029"/>
      <c r="AZ49" s="1029"/>
      <c r="BA49" s="1029"/>
      <c r="BB49" s="1029"/>
      <c r="BC49" s="1029"/>
      <c r="BD49" s="1029"/>
      <c r="BE49" s="1029"/>
      <c r="BF49" s="1029"/>
      <c r="BG49" s="1029"/>
      <c r="BH49" s="1029"/>
      <c r="BI49" s="1030"/>
      <c r="BJ49" s="231"/>
      <c r="BK49" s="1037"/>
      <c r="BL49" s="1038"/>
      <c r="BM49" s="1038"/>
      <c r="BN49" s="1038"/>
      <c r="BO49" s="1028"/>
      <c r="BP49" s="1029"/>
      <c r="BQ49" s="1029"/>
      <c r="BR49" s="1029"/>
      <c r="BS49" s="1029"/>
      <c r="BT49" s="1029"/>
      <c r="BU49" s="1029"/>
      <c r="BV49" s="1029"/>
      <c r="BW49" s="1029"/>
      <c r="BX49" s="1029"/>
      <c r="BY49" s="1029"/>
      <c r="BZ49" s="1029"/>
      <c r="CA49" s="1029"/>
      <c r="CB49" s="1029"/>
      <c r="CC49" s="1030"/>
      <c r="CD49" s="231"/>
    </row>
    <row r="50" spans="1:82" ht="3.95" customHeight="1" x14ac:dyDescent="0.25">
      <c r="A50" s="231"/>
      <c r="B50" s="1062"/>
      <c r="C50" s="1063"/>
      <c r="D50" s="1067"/>
      <c r="E50" s="1068"/>
      <c r="F50" s="1068"/>
      <c r="G50" s="1068"/>
      <c r="H50" s="1068"/>
      <c r="I50" s="1068"/>
      <c r="J50" s="1068"/>
      <c r="K50" s="1068"/>
      <c r="L50" s="1068"/>
      <c r="M50" s="1068"/>
      <c r="N50" s="1068"/>
      <c r="O50" s="1068"/>
      <c r="P50" s="1068"/>
      <c r="Q50" s="1069"/>
      <c r="R50" s="1060"/>
      <c r="S50" s="1061"/>
      <c r="T50" s="1076"/>
      <c r="U50" s="1063"/>
      <c r="V50" s="1075"/>
      <c r="W50" s="1075"/>
      <c r="X50" s="1075"/>
      <c r="Y50" s="1075"/>
      <c r="Z50" s="1075"/>
      <c r="AA50" s="1075"/>
      <c r="AB50" s="1075"/>
      <c r="AC50" s="1075"/>
      <c r="AD50" s="1075"/>
      <c r="AE50" s="1075"/>
      <c r="AF50" s="1075"/>
      <c r="AG50" s="1075"/>
      <c r="AH50" s="1075"/>
      <c r="AI50" s="1075"/>
      <c r="AJ50" s="1060"/>
      <c r="AK50" s="1061"/>
      <c r="AL50" s="231"/>
      <c r="AM50" s="1077"/>
      <c r="AN50" s="1077"/>
      <c r="AP50" s="231"/>
      <c r="AQ50" s="1037"/>
      <c r="AR50" s="1038"/>
      <c r="AS50" s="1038"/>
      <c r="AT50" s="1038"/>
      <c r="AU50" s="1031"/>
      <c r="AV50" s="1032"/>
      <c r="AW50" s="1032"/>
      <c r="AX50" s="1032"/>
      <c r="AY50" s="1032"/>
      <c r="AZ50" s="1032"/>
      <c r="BA50" s="1032"/>
      <c r="BB50" s="1032"/>
      <c r="BC50" s="1032"/>
      <c r="BD50" s="1032"/>
      <c r="BE50" s="1032"/>
      <c r="BF50" s="1032"/>
      <c r="BG50" s="1032"/>
      <c r="BH50" s="1032"/>
      <c r="BI50" s="1033"/>
      <c r="BJ50" s="231"/>
      <c r="BK50" s="1037"/>
      <c r="BL50" s="1038"/>
      <c r="BM50" s="1038"/>
      <c r="BN50" s="1038"/>
      <c r="BO50" s="1031"/>
      <c r="BP50" s="1032"/>
      <c r="BQ50" s="1032"/>
      <c r="BR50" s="1032"/>
      <c r="BS50" s="1032"/>
      <c r="BT50" s="1032"/>
      <c r="BU50" s="1032"/>
      <c r="BV50" s="1032"/>
      <c r="BW50" s="1032"/>
      <c r="BX50" s="1032"/>
      <c r="BY50" s="1032"/>
      <c r="BZ50" s="1032"/>
      <c r="CA50" s="1032"/>
      <c r="CB50" s="1032"/>
      <c r="CC50" s="1033"/>
      <c r="CD50" s="231"/>
    </row>
    <row r="51" spans="1:82" ht="3.95" customHeight="1" x14ac:dyDescent="0.25">
      <c r="A51" s="231"/>
      <c r="B51" s="1062"/>
      <c r="C51" s="1063"/>
      <c r="D51" s="1070"/>
      <c r="E51" s="1071"/>
      <c r="F51" s="1071"/>
      <c r="G51" s="1071"/>
      <c r="H51" s="1071"/>
      <c r="I51" s="1071"/>
      <c r="J51" s="1071"/>
      <c r="K51" s="1071"/>
      <c r="L51" s="1071"/>
      <c r="M51" s="1071"/>
      <c r="N51" s="1071"/>
      <c r="O51" s="1071"/>
      <c r="P51" s="1071"/>
      <c r="Q51" s="1072"/>
      <c r="R51" s="1060"/>
      <c r="S51" s="1061"/>
      <c r="T51" s="1076"/>
      <c r="U51" s="1063"/>
      <c r="V51" s="1075"/>
      <c r="W51" s="1075"/>
      <c r="X51" s="1075"/>
      <c r="Y51" s="1075"/>
      <c r="Z51" s="1075"/>
      <c r="AA51" s="1075"/>
      <c r="AB51" s="1075"/>
      <c r="AC51" s="1075"/>
      <c r="AD51" s="1075"/>
      <c r="AE51" s="1075"/>
      <c r="AF51" s="1075"/>
      <c r="AG51" s="1075"/>
      <c r="AH51" s="1075"/>
      <c r="AI51" s="1075"/>
      <c r="AJ51" s="1060"/>
      <c r="AK51" s="1061"/>
      <c r="AL51" s="231"/>
      <c r="AM51" s="1077"/>
      <c r="AN51" s="1077"/>
      <c r="AP51" s="231"/>
      <c r="AQ51" s="1037"/>
      <c r="AR51" s="1038"/>
      <c r="AS51" s="1038"/>
      <c r="AT51" s="1038"/>
      <c r="AU51" s="1034"/>
      <c r="AV51" s="1035"/>
      <c r="AW51" s="1035"/>
      <c r="AX51" s="1035"/>
      <c r="AY51" s="1035"/>
      <c r="AZ51" s="1035"/>
      <c r="BA51" s="1035"/>
      <c r="BB51" s="1035"/>
      <c r="BC51" s="1035"/>
      <c r="BD51" s="1035"/>
      <c r="BE51" s="1035"/>
      <c r="BF51" s="1035"/>
      <c r="BG51" s="1035"/>
      <c r="BH51" s="1035"/>
      <c r="BI51" s="1036"/>
      <c r="BJ51" s="231"/>
      <c r="BK51" s="1037"/>
      <c r="BL51" s="1038"/>
      <c r="BM51" s="1038"/>
      <c r="BN51" s="1038"/>
      <c r="BO51" s="1034"/>
      <c r="BP51" s="1035"/>
      <c r="BQ51" s="1035"/>
      <c r="BR51" s="1035"/>
      <c r="BS51" s="1035"/>
      <c r="BT51" s="1035"/>
      <c r="BU51" s="1035"/>
      <c r="BV51" s="1035"/>
      <c r="BW51" s="1035"/>
      <c r="BX51" s="1035"/>
      <c r="BY51" s="1035"/>
      <c r="BZ51" s="1035"/>
      <c r="CA51" s="1035"/>
      <c r="CB51" s="1035"/>
      <c r="CC51" s="1036"/>
      <c r="CD51" s="231"/>
    </row>
    <row r="52" spans="1:82" ht="3.95" customHeight="1" x14ac:dyDescent="0.25">
      <c r="A52" s="231"/>
      <c r="B52" s="1062"/>
      <c r="C52" s="1063"/>
      <c r="D52" s="1064"/>
      <c r="E52" s="1065"/>
      <c r="F52" s="1065"/>
      <c r="G52" s="1065"/>
      <c r="H52" s="1065"/>
      <c r="I52" s="1065"/>
      <c r="J52" s="1065"/>
      <c r="K52" s="1065"/>
      <c r="L52" s="1065"/>
      <c r="M52" s="1065"/>
      <c r="N52" s="1065"/>
      <c r="O52" s="1065"/>
      <c r="P52" s="1065"/>
      <c r="Q52" s="1066"/>
      <c r="R52" s="1060"/>
      <c r="S52" s="1061"/>
      <c r="T52" s="1073"/>
      <c r="U52" s="1074"/>
      <c r="V52" s="1075"/>
      <c r="W52" s="1075"/>
      <c r="X52" s="1075"/>
      <c r="Y52" s="1075"/>
      <c r="Z52" s="1075"/>
      <c r="AA52" s="1075"/>
      <c r="AB52" s="1075"/>
      <c r="AC52" s="1075"/>
      <c r="AD52" s="1075"/>
      <c r="AE52" s="1075"/>
      <c r="AF52" s="1075"/>
      <c r="AG52" s="1075"/>
      <c r="AH52" s="1075"/>
      <c r="AI52" s="1075"/>
      <c r="AJ52" s="1060"/>
      <c r="AK52" s="1061"/>
      <c r="AL52" s="231"/>
      <c r="AM52" s="1077">
        <f>B52*R52</f>
        <v>0</v>
      </c>
      <c r="AN52" s="1077">
        <f>T52*AJ52</f>
        <v>0</v>
      </c>
      <c r="AO52" s="228"/>
      <c r="AP52" s="231"/>
      <c r="AQ52" s="1037"/>
      <c r="AR52" s="1038"/>
      <c r="AS52" s="1038"/>
      <c r="AT52" s="1038"/>
      <c r="AU52" s="1028"/>
      <c r="AV52" s="1029"/>
      <c r="AW52" s="1029"/>
      <c r="AX52" s="1029"/>
      <c r="AY52" s="1029"/>
      <c r="AZ52" s="1029"/>
      <c r="BA52" s="1029"/>
      <c r="BB52" s="1029"/>
      <c r="BC52" s="1029"/>
      <c r="BD52" s="1029"/>
      <c r="BE52" s="1029"/>
      <c r="BF52" s="1029"/>
      <c r="BG52" s="1029"/>
      <c r="BH52" s="1029"/>
      <c r="BI52" s="1030"/>
      <c r="BJ52" s="231"/>
      <c r="BK52" s="1037"/>
      <c r="BL52" s="1038"/>
      <c r="BM52" s="1038"/>
      <c r="BN52" s="1038"/>
      <c r="BO52" s="1028"/>
      <c r="BP52" s="1029"/>
      <c r="BQ52" s="1029"/>
      <c r="BR52" s="1029"/>
      <c r="BS52" s="1029"/>
      <c r="BT52" s="1029"/>
      <c r="BU52" s="1029"/>
      <c r="BV52" s="1029"/>
      <c r="BW52" s="1029"/>
      <c r="BX52" s="1029"/>
      <c r="BY52" s="1029"/>
      <c r="BZ52" s="1029"/>
      <c r="CA52" s="1029"/>
      <c r="CB52" s="1029"/>
      <c r="CC52" s="1030"/>
      <c r="CD52" s="231"/>
    </row>
    <row r="53" spans="1:82" ht="3.95" customHeight="1" x14ac:dyDescent="0.25">
      <c r="A53" s="231"/>
      <c r="B53" s="1062"/>
      <c r="C53" s="1063"/>
      <c r="D53" s="1067"/>
      <c r="E53" s="1068"/>
      <c r="F53" s="1068"/>
      <c r="G53" s="1068"/>
      <c r="H53" s="1068"/>
      <c r="I53" s="1068"/>
      <c r="J53" s="1068"/>
      <c r="K53" s="1068"/>
      <c r="L53" s="1068"/>
      <c r="M53" s="1068"/>
      <c r="N53" s="1068"/>
      <c r="O53" s="1068"/>
      <c r="P53" s="1068"/>
      <c r="Q53" s="1069"/>
      <c r="R53" s="1060"/>
      <c r="S53" s="1061"/>
      <c r="T53" s="1073"/>
      <c r="U53" s="1074"/>
      <c r="V53" s="1075"/>
      <c r="W53" s="1075"/>
      <c r="X53" s="1075"/>
      <c r="Y53" s="1075"/>
      <c r="Z53" s="1075"/>
      <c r="AA53" s="1075"/>
      <c r="AB53" s="1075"/>
      <c r="AC53" s="1075"/>
      <c r="AD53" s="1075"/>
      <c r="AE53" s="1075"/>
      <c r="AF53" s="1075"/>
      <c r="AG53" s="1075"/>
      <c r="AH53" s="1075"/>
      <c r="AI53" s="1075"/>
      <c r="AJ53" s="1060"/>
      <c r="AK53" s="1061"/>
      <c r="AL53" s="231"/>
      <c r="AM53" s="1077"/>
      <c r="AN53" s="1077"/>
      <c r="AO53" s="228"/>
      <c r="AP53" s="231"/>
      <c r="AQ53" s="1037"/>
      <c r="AR53" s="1038"/>
      <c r="AS53" s="1038"/>
      <c r="AT53" s="1038"/>
      <c r="AU53" s="1031"/>
      <c r="AV53" s="1032"/>
      <c r="AW53" s="1032"/>
      <c r="AX53" s="1032"/>
      <c r="AY53" s="1032"/>
      <c r="AZ53" s="1032"/>
      <c r="BA53" s="1032"/>
      <c r="BB53" s="1032"/>
      <c r="BC53" s="1032"/>
      <c r="BD53" s="1032"/>
      <c r="BE53" s="1032"/>
      <c r="BF53" s="1032"/>
      <c r="BG53" s="1032"/>
      <c r="BH53" s="1032"/>
      <c r="BI53" s="1033"/>
      <c r="BJ53" s="231"/>
      <c r="BK53" s="1037"/>
      <c r="BL53" s="1038"/>
      <c r="BM53" s="1038"/>
      <c r="BN53" s="1038"/>
      <c r="BO53" s="1031"/>
      <c r="BP53" s="1032"/>
      <c r="BQ53" s="1032"/>
      <c r="BR53" s="1032"/>
      <c r="BS53" s="1032"/>
      <c r="BT53" s="1032"/>
      <c r="BU53" s="1032"/>
      <c r="BV53" s="1032"/>
      <c r="BW53" s="1032"/>
      <c r="BX53" s="1032"/>
      <c r="BY53" s="1032"/>
      <c r="BZ53" s="1032"/>
      <c r="CA53" s="1032"/>
      <c r="CB53" s="1032"/>
      <c r="CC53" s="1033"/>
      <c r="CD53" s="231"/>
    </row>
    <row r="54" spans="1:82" ht="3.95" customHeight="1" x14ac:dyDescent="0.25">
      <c r="A54" s="231"/>
      <c r="B54" s="1062"/>
      <c r="C54" s="1063"/>
      <c r="D54" s="1070"/>
      <c r="E54" s="1071"/>
      <c r="F54" s="1071"/>
      <c r="G54" s="1071"/>
      <c r="H54" s="1071"/>
      <c r="I54" s="1071"/>
      <c r="J54" s="1071"/>
      <c r="K54" s="1071"/>
      <c r="L54" s="1071"/>
      <c r="M54" s="1071"/>
      <c r="N54" s="1071"/>
      <c r="O54" s="1071"/>
      <c r="P54" s="1071"/>
      <c r="Q54" s="1072"/>
      <c r="R54" s="1060"/>
      <c r="S54" s="1061"/>
      <c r="T54" s="1073"/>
      <c r="U54" s="1074"/>
      <c r="V54" s="1075"/>
      <c r="W54" s="1075"/>
      <c r="X54" s="1075"/>
      <c r="Y54" s="1075"/>
      <c r="Z54" s="1075"/>
      <c r="AA54" s="1075"/>
      <c r="AB54" s="1075"/>
      <c r="AC54" s="1075"/>
      <c r="AD54" s="1075"/>
      <c r="AE54" s="1075"/>
      <c r="AF54" s="1075"/>
      <c r="AG54" s="1075"/>
      <c r="AH54" s="1075"/>
      <c r="AI54" s="1075"/>
      <c r="AJ54" s="1060"/>
      <c r="AK54" s="1061"/>
      <c r="AL54" s="231"/>
      <c r="AM54" s="1077"/>
      <c r="AN54" s="1077"/>
      <c r="AO54" s="228"/>
      <c r="AP54" s="231"/>
      <c r="AQ54" s="1037"/>
      <c r="AR54" s="1038"/>
      <c r="AS54" s="1038"/>
      <c r="AT54" s="1038"/>
      <c r="AU54" s="1034"/>
      <c r="AV54" s="1035"/>
      <c r="AW54" s="1035"/>
      <c r="AX54" s="1035"/>
      <c r="AY54" s="1035"/>
      <c r="AZ54" s="1035"/>
      <c r="BA54" s="1035"/>
      <c r="BB54" s="1035"/>
      <c r="BC54" s="1035"/>
      <c r="BD54" s="1035"/>
      <c r="BE54" s="1035"/>
      <c r="BF54" s="1035"/>
      <c r="BG54" s="1035"/>
      <c r="BH54" s="1035"/>
      <c r="BI54" s="1036"/>
      <c r="BJ54" s="231"/>
      <c r="BK54" s="1037"/>
      <c r="BL54" s="1038"/>
      <c r="BM54" s="1038"/>
      <c r="BN54" s="1038"/>
      <c r="BO54" s="1034"/>
      <c r="BP54" s="1035"/>
      <c r="BQ54" s="1035"/>
      <c r="BR54" s="1035"/>
      <c r="BS54" s="1035"/>
      <c r="BT54" s="1035"/>
      <c r="BU54" s="1035"/>
      <c r="BV54" s="1035"/>
      <c r="BW54" s="1035"/>
      <c r="BX54" s="1035"/>
      <c r="BY54" s="1035"/>
      <c r="BZ54" s="1035"/>
      <c r="CA54" s="1035"/>
      <c r="CB54" s="1035"/>
      <c r="CC54" s="1036"/>
      <c r="CD54" s="231"/>
    </row>
    <row r="55" spans="1:82" ht="3.95" customHeight="1" x14ac:dyDescent="0.25">
      <c r="A55" s="231"/>
      <c r="B55" s="1062"/>
      <c r="C55" s="1063"/>
      <c r="D55" s="1064"/>
      <c r="E55" s="1065"/>
      <c r="F55" s="1065"/>
      <c r="G55" s="1065"/>
      <c r="H55" s="1065"/>
      <c r="I55" s="1065"/>
      <c r="J55" s="1065"/>
      <c r="K55" s="1065"/>
      <c r="L55" s="1065"/>
      <c r="M55" s="1065"/>
      <c r="N55" s="1065"/>
      <c r="O55" s="1065"/>
      <c r="P55" s="1065"/>
      <c r="Q55" s="1066"/>
      <c r="R55" s="1060"/>
      <c r="S55" s="1061"/>
      <c r="T55" s="1076"/>
      <c r="U55" s="1063"/>
      <c r="V55" s="1075"/>
      <c r="W55" s="1075"/>
      <c r="X55" s="1075"/>
      <c r="Y55" s="1075"/>
      <c r="Z55" s="1075"/>
      <c r="AA55" s="1075"/>
      <c r="AB55" s="1075"/>
      <c r="AC55" s="1075"/>
      <c r="AD55" s="1075"/>
      <c r="AE55" s="1075"/>
      <c r="AF55" s="1075"/>
      <c r="AG55" s="1075"/>
      <c r="AH55" s="1075"/>
      <c r="AI55" s="1075"/>
      <c r="AJ55" s="1060"/>
      <c r="AK55" s="1061"/>
      <c r="AL55" s="231"/>
      <c r="AM55" s="1077">
        <f>B55*R55</f>
        <v>0</v>
      </c>
      <c r="AN55" s="1077">
        <f>T55*AJ55</f>
        <v>0</v>
      </c>
      <c r="AO55" s="228"/>
      <c r="AP55" s="231"/>
      <c r="AQ55" s="1037"/>
      <c r="AR55" s="1038"/>
      <c r="AS55" s="1038"/>
      <c r="AT55" s="1038"/>
      <c r="AU55" s="1028"/>
      <c r="AV55" s="1029"/>
      <c r="AW55" s="1029"/>
      <c r="AX55" s="1029"/>
      <c r="AY55" s="1029"/>
      <c r="AZ55" s="1029"/>
      <c r="BA55" s="1029"/>
      <c r="BB55" s="1029"/>
      <c r="BC55" s="1029"/>
      <c r="BD55" s="1029"/>
      <c r="BE55" s="1029"/>
      <c r="BF55" s="1029"/>
      <c r="BG55" s="1029"/>
      <c r="BH55" s="1029"/>
      <c r="BI55" s="1030"/>
      <c r="BJ55" s="231"/>
      <c r="BK55" s="1037"/>
      <c r="BL55" s="1038"/>
      <c r="BM55" s="1038"/>
      <c r="BN55" s="1038"/>
      <c r="BO55" s="1028"/>
      <c r="BP55" s="1029"/>
      <c r="BQ55" s="1029"/>
      <c r="BR55" s="1029"/>
      <c r="BS55" s="1029"/>
      <c r="BT55" s="1029"/>
      <c r="BU55" s="1029"/>
      <c r="BV55" s="1029"/>
      <c r="BW55" s="1029"/>
      <c r="BX55" s="1029"/>
      <c r="BY55" s="1029"/>
      <c r="BZ55" s="1029"/>
      <c r="CA55" s="1029"/>
      <c r="CB55" s="1029"/>
      <c r="CC55" s="1030"/>
      <c r="CD55" s="231"/>
    </row>
    <row r="56" spans="1:82" ht="3.95" customHeight="1" x14ac:dyDescent="0.25">
      <c r="A56" s="231"/>
      <c r="B56" s="1062"/>
      <c r="C56" s="1063"/>
      <c r="D56" s="1067"/>
      <c r="E56" s="1068"/>
      <c r="F56" s="1068"/>
      <c r="G56" s="1068"/>
      <c r="H56" s="1068"/>
      <c r="I56" s="1068"/>
      <c r="J56" s="1068"/>
      <c r="K56" s="1068"/>
      <c r="L56" s="1068"/>
      <c r="M56" s="1068"/>
      <c r="N56" s="1068"/>
      <c r="O56" s="1068"/>
      <c r="P56" s="1068"/>
      <c r="Q56" s="1069"/>
      <c r="R56" s="1060"/>
      <c r="S56" s="1061"/>
      <c r="T56" s="1076"/>
      <c r="U56" s="1063"/>
      <c r="V56" s="1075"/>
      <c r="W56" s="1075"/>
      <c r="X56" s="1075"/>
      <c r="Y56" s="1075"/>
      <c r="Z56" s="1075"/>
      <c r="AA56" s="1075"/>
      <c r="AB56" s="1075"/>
      <c r="AC56" s="1075"/>
      <c r="AD56" s="1075"/>
      <c r="AE56" s="1075"/>
      <c r="AF56" s="1075"/>
      <c r="AG56" s="1075"/>
      <c r="AH56" s="1075"/>
      <c r="AI56" s="1075"/>
      <c r="AJ56" s="1060"/>
      <c r="AK56" s="1061"/>
      <c r="AL56" s="231"/>
      <c r="AM56" s="1077"/>
      <c r="AN56" s="1077"/>
      <c r="AO56" s="228"/>
      <c r="AP56" s="231"/>
      <c r="AQ56" s="1037"/>
      <c r="AR56" s="1038"/>
      <c r="AS56" s="1038"/>
      <c r="AT56" s="1038"/>
      <c r="AU56" s="1031"/>
      <c r="AV56" s="1032"/>
      <c r="AW56" s="1032"/>
      <c r="AX56" s="1032"/>
      <c r="AY56" s="1032"/>
      <c r="AZ56" s="1032"/>
      <c r="BA56" s="1032"/>
      <c r="BB56" s="1032"/>
      <c r="BC56" s="1032"/>
      <c r="BD56" s="1032"/>
      <c r="BE56" s="1032"/>
      <c r="BF56" s="1032"/>
      <c r="BG56" s="1032"/>
      <c r="BH56" s="1032"/>
      <c r="BI56" s="1033"/>
      <c r="BJ56" s="231"/>
      <c r="BK56" s="1037"/>
      <c r="BL56" s="1038"/>
      <c r="BM56" s="1038"/>
      <c r="BN56" s="1038"/>
      <c r="BO56" s="1031"/>
      <c r="BP56" s="1032"/>
      <c r="BQ56" s="1032"/>
      <c r="BR56" s="1032"/>
      <c r="BS56" s="1032"/>
      <c r="BT56" s="1032"/>
      <c r="BU56" s="1032"/>
      <c r="BV56" s="1032"/>
      <c r="BW56" s="1032"/>
      <c r="BX56" s="1032"/>
      <c r="BY56" s="1032"/>
      <c r="BZ56" s="1032"/>
      <c r="CA56" s="1032"/>
      <c r="CB56" s="1032"/>
      <c r="CC56" s="1033"/>
      <c r="CD56" s="231"/>
    </row>
    <row r="57" spans="1:82" ht="3.95" customHeight="1" x14ac:dyDescent="0.25">
      <c r="A57" s="231"/>
      <c r="B57" s="1062"/>
      <c r="C57" s="1063"/>
      <c r="D57" s="1070"/>
      <c r="E57" s="1071"/>
      <c r="F57" s="1071"/>
      <c r="G57" s="1071"/>
      <c r="H57" s="1071"/>
      <c r="I57" s="1071"/>
      <c r="J57" s="1071"/>
      <c r="K57" s="1071"/>
      <c r="L57" s="1071"/>
      <c r="M57" s="1071"/>
      <c r="N57" s="1071"/>
      <c r="O57" s="1071"/>
      <c r="P57" s="1071"/>
      <c r="Q57" s="1072"/>
      <c r="R57" s="1060"/>
      <c r="S57" s="1061"/>
      <c r="T57" s="1076"/>
      <c r="U57" s="1063"/>
      <c r="V57" s="1075"/>
      <c r="W57" s="1075"/>
      <c r="X57" s="1075"/>
      <c r="Y57" s="1075"/>
      <c r="Z57" s="1075"/>
      <c r="AA57" s="1075"/>
      <c r="AB57" s="1075"/>
      <c r="AC57" s="1075"/>
      <c r="AD57" s="1075"/>
      <c r="AE57" s="1075"/>
      <c r="AF57" s="1075"/>
      <c r="AG57" s="1075"/>
      <c r="AH57" s="1075"/>
      <c r="AI57" s="1075"/>
      <c r="AJ57" s="1060"/>
      <c r="AK57" s="1061"/>
      <c r="AL57" s="231"/>
      <c r="AM57" s="1077"/>
      <c r="AN57" s="1077"/>
      <c r="AO57" s="228"/>
      <c r="AP57" s="231"/>
      <c r="AQ57" s="1037"/>
      <c r="AR57" s="1038"/>
      <c r="AS57" s="1038"/>
      <c r="AT57" s="1038"/>
      <c r="AU57" s="1034"/>
      <c r="AV57" s="1035"/>
      <c r="AW57" s="1035"/>
      <c r="AX57" s="1035"/>
      <c r="AY57" s="1035"/>
      <c r="AZ57" s="1035"/>
      <c r="BA57" s="1035"/>
      <c r="BB57" s="1035"/>
      <c r="BC57" s="1035"/>
      <c r="BD57" s="1035"/>
      <c r="BE57" s="1035"/>
      <c r="BF57" s="1035"/>
      <c r="BG57" s="1035"/>
      <c r="BH57" s="1035"/>
      <c r="BI57" s="1036"/>
      <c r="BJ57" s="231"/>
      <c r="BK57" s="1037"/>
      <c r="BL57" s="1038"/>
      <c r="BM57" s="1038"/>
      <c r="BN57" s="1038"/>
      <c r="BO57" s="1034"/>
      <c r="BP57" s="1035"/>
      <c r="BQ57" s="1035"/>
      <c r="BR57" s="1035"/>
      <c r="BS57" s="1035"/>
      <c r="BT57" s="1035"/>
      <c r="BU57" s="1035"/>
      <c r="BV57" s="1035"/>
      <c r="BW57" s="1035"/>
      <c r="BX57" s="1035"/>
      <c r="BY57" s="1035"/>
      <c r="BZ57" s="1035"/>
      <c r="CA57" s="1035"/>
      <c r="CB57" s="1035"/>
      <c r="CC57" s="1036"/>
      <c r="CD57" s="231"/>
    </row>
    <row r="58" spans="1:82" ht="3.95" customHeight="1" x14ac:dyDescent="0.25">
      <c r="A58" s="231"/>
      <c r="B58" s="1062"/>
      <c r="C58" s="1063"/>
      <c r="D58" s="1075"/>
      <c r="E58" s="1075"/>
      <c r="F58" s="1075"/>
      <c r="G58" s="1075"/>
      <c r="H58" s="1075"/>
      <c r="I58" s="1075"/>
      <c r="J58" s="1075"/>
      <c r="K58" s="1075"/>
      <c r="L58" s="1075"/>
      <c r="M58" s="1075"/>
      <c r="N58" s="1075"/>
      <c r="O58" s="1075"/>
      <c r="P58" s="1075"/>
      <c r="Q58" s="1075"/>
      <c r="R58" s="1060"/>
      <c r="S58" s="1061"/>
      <c r="T58" s="1076"/>
      <c r="U58" s="1063"/>
      <c r="V58" s="1075"/>
      <c r="W58" s="1075"/>
      <c r="X58" s="1075"/>
      <c r="Y58" s="1075"/>
      <c r="Z58" s="1075"/>
      <c r="AA58" s="1075"/>
      <c r="AB58" s="1075"/>
      <c r="AC58" s="1075"/>
      <c r="AD58" s="1075"/>
      <c r="AE58" s="1075"/>
      <c r="AF58" s="1075"/>
      <c r="AG58" s="1075"/>
      <c r="AH58" s="1075"/>
      <c r="AI58" s="1075"/>
      <c r="AJ58" s="1060"/>
      <c r="AK58" s="1061"/>
      <c r="AL58" s="231"/>
      <c r="AM58" s="1077">
        <f>B58*R58</f>
        <v>0</v>
      </c>
      <c r="AN58" s="1077">
        <f>T58*AJ58</f>
        <v>0</v>
      </c>
      <c r="AO58" s="228"/>
      <c r="AP58" s="231"/>
      <c r="AQ58" s="1037"/>
      <c r="AR58" s="1038"/>
      <c r="AS58" s="1038"/>
      <c r="AT58" s="1038"/>
      <c r="AU58" s="1028"/>
      <c r="AV58" s="1029"/>
      <c r="AW58" s="1029"/>
      <c r="AX58" s="1029"/>
      <c r="AY58" s="1029"/>
      <c r="AZ58" s="1029"/>
      <c r="BA58" s="1029"/>
      <c r="BB58" s="1029"/>
      <c r="BC58" s="1029"/>
      <c r="BD58" s="1029"/>
      <c r="BE58" s="1029"/>
      <c r="BF58" s="1029"/>
      <c r="BG58" s="1029"/>
      <c r="BH58" s="1029"/>
      <c r="BI58" s="1030"/>
      <c r="BJ58" s="231"/>
      <c r="BK58" s="1037"/>
      <c r="BL58" s="1038"/>
      <c r="BM58" s="1038"/>
      <c r="BN58" s="1038"/>
      <c r="BO58" s="1028"/>
      <c r="BP58" s="1029"/>
      <c r="BQ58" s="1029"/>
      <c r="BR58" s="1029"/>
      <c r="BS58" s="1029"/>
      <c r="BT58" s="1029"/>
      <c r="BU58" s="1029"/>
      <c r="BV58" s="1029"/>
      <c r="BW58" s="1029"/>
      <c r="BX58" s="1029"/>
      <c r="BY58" s="1029"/>
      <c r="BZ58" s="1029"/>
      <c r="CA58" s="1029"/>
      <c r="CB58" s="1029"/>
      <c r="CC58" s="1030"/>
      <c r="CD58" s="231"/>
    </row>
    <row r="59" spans="1:82" ht="3.95" customHeight="1" x14ac:dyDescent="0.25">
      <c r="A59" s="231"/>
      <c r="B59" s="1062"/>
      <c r="C59" s="1063"/>
      <c r="D59" s="1075"/>
      <c r="E59" s="1075"/>
      <c r="F59" s="1075"/>
      <c r="G59" s="1075"/>
      <c r="H59" s="1075"/>
      <c r="I59" s="1075"/>
      <c r="J59" s="1075"/>
      <c r="K59" s="1075"/>
      <c r="L59" s="1075"/>
      <c r="M59" s="1075"/>
      <c r="N59" s="1075"/>
      <c r="O59" s="1075"/>
      <c r="P59" s="1075"/>
      <c r="Q59" s="1075"/>
      <c r="R59" s="1060"/>
      <c r="S59" s="1061"/>
      <c r="T59" s="1076"/>
      <c r="U59" s="1063"/>
      <c r="V59" s="1075"/>
      <c r="W59" s="1075"/>
      <c r="X59" s="1075"/>
      <c r="Y59" s="1075"/>
      <c r="Z59" s="1075"/>
      <c r="AA59" s="1075"/>
      <c r="AB59" s="1075"/>
      <c r="AC59" s="1075"/>
      <c r="AD59" s="1075"/>
      <c r="AE59" s="1075"/>
      <c r="AF59" s="1075"/>
      <c r="AG59" s="1075"/>
      <c r="AH59" s="1075"/>
      <c r="AI59" s="1075"/>
      <c r="AJ59" s="1060"/>
      <c r="AK59" s="1061"/>
      <c r="AL59" s="231"/>
      <c r="AM59" s="1077"/>
      <c r="AN59" s="1077"/>
      <c r="AO59" s="228"/>
      <c r="AP59" s="231"/>
      <c r="AQ59" s="1037"/>
      <c r="AR59" s="1038"/>
      <c r="AS59" s="1038"/>
      <c r="AT59" s="1038"/>
      <c r="AU59" s="1031"/>
      <c r="AV59" s="1032"/>
      <c r="AW59" s="1032"/>
      <c r="AX59" s="1032"/>
      <c r="AY59" s="1032"/>
      <c r="AZ59" s="1032"/>
      <c r="BA59" s="1032"/>
      <c r="BB59" s="1032"/>
      <c r="BC59" s="1032"/>
      <c r="BD59" s="1032"/>
      <c r="BE59" s="1032"/>
      <c r="BF59" s="1032"/>
      <c r="BG59" s="1032"/>
      <c r="BH59" s="1032"/>
      <c r="BI59" s="1033"/>
      <c r="BJ59" s="231"/>
      <c r="BK59" s="1037"/>
      <c r="BL59" s="1038"/>
      <c r="BM59" s="1038"/>
      <c r="BN59" s="1038"/>
      <c r="BO59" s="1031"/>
      <c r="BP59" s="1032"/>
      <c r="BQ59" s="1032"/>
      <c r="BR59" s="1032"/>
      <c r="BS59" s="1032"/>
      <c r="BT59" s="1032"/>
      <c r="BU59" s="1032"/>
      <c r="BV59" s="1032"/>
      <c r="BW59" s="1032"/>
      <c r="BX59" s="1032"/>
      <c r="BY59" s="1032"/>
      <c r="BZ59" s="1032"/>
      <c r="CA59" s="1032"/>
      <c r="CB59" s="1032"/>
      <c r="CC59" s="1033"/>
      <c r="CD59" s="231"/>
    </row>
    <row r="60" spans="1:82" ht="3.95" customHeight="1" x14ac:dyDescent="0.25">
      <c r="A60" s="231"/>
      <c r="B60" s="1062"/>
      <c r="C60" s="1063"/>
      <c r="D60" s="1075"/>
      <c r="E60" s="1075"/>
      <c r="F60" s="1075"/>
      <c r="G60" s="1075"/>
      <c r="H60" s="1075"/>
      <c r="I60" s="1075"/>
      <c r="J60" s="1075"/>
      <c r="K60" s="1075"/>
      <c r="L60" s="1075"/>
      <c r="M60" s="1075"/>
      <c r="N60" s="1075"/>
      <c r="O60" s="1075"/>
      <c r="P60" s="1075"/>
      <c r="Q60" s="1075"/>
      <c r="R60" s="1060"/>
      <c r="S60" s="1061"/>
      <c r="T60" s="1076"/>
      <c r="U60" s="1063"/>
      <c r="V60" s="1075"/>
      <c r="W60" s="1075"/>
      <c r="X60" s="1075"/>
      <c r="Y60" s="1075"/>
      <c r="Z60" s="1075"/>
      <c r="AA60" s="1075"/>
      <c r="AB60" s="1075"/>
      <c r="AC60" s="1075"/>
      <c r="AD60" s="1075"/>
      <c r="AE60" s="1075"/>
      <c r="AF60" s="1075"/>
      <c r="AG60" s="1075"/>
      <c r="AH60" s="1075"/>
      <c r="AI60" s="1075"/>
      <c r="AJ60" s="1060"/>
      <c r="AK60" s="1061"/>
      <c r="AL60" s="231"/>
      <c r="AM60" s="1077"/>
      <c r="AN60" s="1077"/>
      <c r="AO60" s="228"/>
      <c r="AP60" s="231"/>
      <c r="AQ60" s="1037"/>
      <c r="AR60" s="1038"/>
      <c r="AS60" s="1038"/>
      <c r="AT60" s="1038"/>
      <c r="AU60" s="1034"/>
      <c r="AV60" s="1035"/>
      <c r="AW60" s="1035"/>
      <c r="AX60" s="1035"/>
      <c r="AY60" s="1035"/>
      <c r="AZ60" s="1035"/>
      <c r="BA60" s="1035"/>
      <c r="BB60" s="1035"/>
      <c r="BC60" s="1035"/>
      <c r="BD60" s="1035"/>
      <c r="BE60" s="1035"/>
      <c r="BF60" s="1035"/>
      <c r="BG60" s="1035"/>
      <c r="BH60" s="1035"/>
      <c r="BI60" s="1036"/>
      <c r="BJ60" s="231"/>
      <c r="BK60" s="1037"/>
      <c r="BL60" s="1038"/>
      <c r="BM60" s="1038"/>
      <c r="BN60" s="1038"/>
      <c r="BO60" s="1034"/>
      <c r="BP60" s="1035"/>
      <c r="BQ60" s="1035"/>
      <c r="BR60" s="1035"/>
      <c r="BS60" s="1035"/>
      <c r="BT60" s="1035"/>
      <c r="BU60" s="1035"/>
      <c r="BV60" s="1035"/>
      <c r="BW60" s="1035"/>
      <c r="BX60" s="1035"/>
      <c r="BY60" s="1035"/>
      <c r="BZ60" s="1035"/>
      <c r="CA60" s="1035"/>
      <c r="CB60" s="1035"/>
      <c r="CC60" s="1036"/>
      <c r="CD60" s="231"/>
    </row>
    <row r="61" spans="1:82" ht="3.95" customHeight="1" x14ac:dyDescent="0.25">
      <c r="A61" s="231"/>
      <c r="B61" s="1062"/>
      <c r="C61" s="1063"/>
      <c r="D61" s="1075"/>
      <c r="E61" s="1075"/>
      <c r="F61" s="1075"/>
      <c r="G61" s="1075"/>
      <c r="H61" s="1075"/>
      <c r="I61" s="1075"/>
      <c r="J61" s="1075"/>
      <c r="K61" s="1075"/>
      <c r="L61" s="1075"/>
      <c r="M61" s="1075"/>
      <c r="N61" s="1075"/>
      <c r="O61" s="1075"/>
      <c r="P61" s="1075"/>
      <c r="Q61" s="1075"/>
      <c r="R61" s="1060"/>
      <c r="S61" s="1061"/>
      <c r="T61" s="1076"/>
      <c r="U61" s="1063"/>
      <c r="V61" s="1075"/>
      <c r="W61" s="1075"/>
      <c r="X61" s="1075"/>
      <c r="Y61" s="1075"/>
      <c r="Z61" s="1075"/>
      <c r="AA61" s="1075"/>
      <c r="AB61" s="1075"/>
      <c r="AC61" s="1075"/>
      <c r="AD61" s="1075"/>
      <c r="AE61" s="1075"/>
      <c r="AF61" s="1075"/>
      <c r="AG61" s="1075"/>
      <c r="AH61" s="1075"/>
      <c r="AI61" s="1075"/>
      <c r="AJ61" s="1060"/>
      <c r="AK61" s="1061"/>
      <c r="AL61" s="231"/>
      <c r="AM61" s="1077">
        <f>B61*R61</f>
        <v>0</v>
      </c>
      <c r="AN61" s="1077">
        <f>T61*AJ61</f>
        <v>0</v>
      </c>
      <c r="AO61" s="228"/>
      <c r="AP61" s="231"/>
      <c r="AQ61" s="1037"/>
      <c r="AR61" s="1038"/>
      <c r="AS61" s="1038"/>
      <c r="AT61" s="1038"/>
      <c r="AU61" s="1028"/>
      <c r="AV61" s="1029"/>
      <c r="AW61" s="1029"/>
      <c r="AX61" s="1029"/>
      <c r="AY61" s="1029"/>
      <c r="AZ61" s="1029"/>
      <c r="BA61" s="1029"/>
      <c r="BB61" s="1029"/>
      <c r="BC61" s="1029"/>
      <c r="BD61" s="1029"/>
      <c r="BE61" s="1029"/>
      <c r="BF61" s="1029"/>
      <c r="BG61" s="1029"/>
      <c r="BH61" s="1029"/>
      <c r="BI61" s="1030"/>
      <c r="BJ61" s="231"/>
      <c r="BK61" s="1037"/>
      <c r="BL61" s="1038"/>
      <c r="BM61" s="1038"/>
      <c r="BN61" s="1038"/>
      <c r="BO61" s="1028"/>
      <c r="BP61" s="1029"/>
      <c r="BQ61" s="1029"/>
      <c r="BR61" s="1029"/>
      <c r="BS61" s="1029"/>
      <c r="BT61" s="1029"/>
      <c r="BU61" s="1029"/>
      <c r="BV61" s="1029"/>
      <c r="BW61" s="1029"/>
      <c r="BX61" s="1029"/>
      <c r="BY61" s="1029"/>
      <c r="BZ61" s="1029"/>
      <c r="CA61" s="1029"/>
      <c r="CB61" s="1029"/>
      <c r="CC61" s="1030"/>
      <c r="CD61" s="231"/>
    </row>
    <row r="62" spans="1:82" ht="3.95" customHeight="1" x14ac:dyDescent="0.25">
      <c r="A62" s="231"/>
      <c r="B62" s="1062"/>
      <c r="C62" s="1063"/>
      <c r="D62" s="1075"/>
      <c r="E62" s="1075"/>
      <c r="F62" s="1075"/>
      <c r="G62" s="1075"/>
      <c r="H62" s="1075"/>
      <c r="I62" s="1075"/>
      <c r="J62" s="1075"/>
      <c r="K62" s="1075"/>
      <c r="L62" s="1075"/>
      <c r="M62" s="1075"/>
      <c r="N62" s="1075"/>
      <c r="O62" s="1075"/>
      <c r="P62" s="1075"/>
      <c r="Q62" s="1075"/>
      <c r="R62" s="1060"/>
      <c r="S62" s="1061"/>
      <c r="T62" s="1076"/>
      <c r="U62" s="1063"/>
      <c r="V62" s="1075"/>
      <c r="W62" s="1075"/>
      <c r="X62" s="1075"/>
      <c r="Y62" s="1075"/>
      <c r="Z62" s="1075"/>
      <c r="AA62" s="1075"/>
      <c r="AB62" s="1075"/>
      <c r="AC62" s="1075"/>
      <c r="AD62" s="1075"/>
      <c r="AE62" s="1075"/>
      <c r="AF62" s="1075"/>
      <c r="AG62" s="1075"/>
      <c r="AH62" s="1075"/>
      <c r="AI62" s="1075"/>
      <c r="AJ62" s="1060"/>
      <c r="AK62" s="1061"/>
      <c r="AL62" s="231"/>
      <c r="AM62" s="1077"/>
      <c r="AN62" s="1077"/>
      <c r="AO62" s="228"/>
      <c r="AP62" s="231"/>
      <c r="AQ62" s="1037"/>
      <c r="AR62" s="1038"/>
      <c r="AS62" s="1038"/>
      <c r="AT62" s="1038"/>
      <c r="AU62" s="1031"/>
      <c r="AV62" s="1032"/>
      <c r="AW62" s="1032"/>
      <c r="AX62" s="1032"/>
      <c r="AY62" s="1032"/>
      <c r="AZ62" s="1032"/>
      <c r="BA62" s="1032"/>
      <c r="BB62" s="1032"/>
      <c r="BC62" s="1032"/>
      <c r="BD62" s="1032"/>
      <c r="BE62" s="1032"/>
      <c r="BF62" s="1032"/>
      <c r="BG62" s="1032"/>
      <c r="BH62" s="1032"/>
      <c r="BI62" s="1033"/>
      <c r="BJ62" s="231"/>
      <c r="BK62" s="1037"/>
      <c r="BL62" s="1038"/>
      <c r="BM62" s="1038"/>
      <c r="BN62" s="1038"/>
      <c r="BO62" s="1031"/>
      <c r="BP62" s="1032"/>
      <c r="BQ62" s="1032"/>
      <c r="BR62" s="1032"/>
      <c r="BS62" s="1032"/>
      <c r="BT62" s="1032"/>
      <c r="BU62" s="1032"/>
      <c r="BV62" s="1032"/>
      <c r="BW62" s="1032"/>
      <c r="BX62" s="1032"/>
      <c r="BY62" s="1032"/>
      <c r="BZ62" s="1032"/>
      <c r="CA62" s="1032"/>
      <c r="CB62" s="1032"/>
      <c r="CC62" s="1033"/>
      <c r="CD62" s="231"/>
    </row>
    <row r="63" spans="1:82" ht="3.95" customHeight="1" x14ac:dyDescent="0.25">
      <c r="A63" s="231"/>
      <c r="B63" s="1062"/>
      <c r="C63" s="1063"/>
      <c r="D63" s="1075"/>
      <c r="E63" s="1075"/>
      <c r="F63" s="1075"/>
      <c r="G63" s="1075"/>
      <c r="H63" s="1075"/>
      <c r="I63" s="1075"/>
      <c r="J63" s="1075"/>
      <c r="K63" s="1075"/>
      <c r="L63" s="1075"/>
      <c r="M63" s="1075"/>
      <c r="N63" s="1075"/>
      <c r="O63" s="1075"/>
      <c r="P63" s="1075"/>
      <c r="Q63" s="1075"/>
      <c r="R63" s="1060"/>
      <c r="S63" s="1061"/>
      <c r="T63" s="1076"/>
      <c r="U63" s="1063"/>
      <c r="V63" s="1075"/>
      <c r="W63" s="1075"/>
      <c r="X63" s="1075"/>
      <c r="Y63" s="1075"/>
      <c r="Z63" s="1075"/>
      <c r="AA63" s="1075"/>
      <c r="AB63" s="1075"/>
      <c r="AC63" s="1075"/>
      <c r="AD63" s="1075"/>
      <c r="AE63" s="1075"/>
      <c r="AF63" s="1075"/>
      <c r="AG63" s="1075"/>
      <c r="AH63" s="1075"/>
      <c r="AI63" s="1075"/>
      <c r="AJ63" s="1060"/>
      <c r="AK63" s="1061"/>
      <c r="AL63" s="231"/>
      <c r="AM63" s="1077"/>
      <c r="AN63" s="1077"/>
      <c r="AO63" s="228"/>
      <c r="AP63" s="231"/>
      <c r="AQ63" s="1037"/>
      <c r="AR63" s="1038"/>
      <c r="AS63" s="1038"/>
      <c r="AT63" s="1038"/>
      <c r="AU63" s="1034"/>
      <c r="AV63" s="1035"/>
      <c r="AW63" s="1035"/>
      <c r="AX63" s="1035"/>
      <c r="AY63" s="1035"/>
      <c r="AZ63" s="1035"/>
      <c r="BA63" s="1035"/>
      <c r="BB63" s="1035"/>
      <c r="BC63" s="1035"/>
      <c r="BD63" s="1035"/>
      <c r="BE63" s="1035"/>
      <c r="BF63" s="1035"/>
      <c r="BG63" s="1035"/>
      <c r="BH63" s="1035"/>
      <c r="BI63" s="1036"/>
      <c r="BJ63" s="231"/>
      <c r="BK63" s="1037"/>
      <c r="BL63" s="1038"/>
      <c r="BM63" s="1038"/>
      <c r="BN63" s="1038"/>
      <c r="BO63" s="1034"/>
      <c r="BP63" s="1035"/>
      <c r="BQ63" s="1035"/>
      <c r="BR63" s="1035"/>
      <c r="BS63" s="1035"/>
      <c r="BT63" s="1035"/>
      <c r="BU63" s="1035"/>
      <c r="BV63" s="1035"/>
      <c r="BW63" s="1035"/>
      <c r="BX63" s="1035"/>
      <c r="BY63" s="1035"/>
      <c r="BZ63" s="1035"/>
      <c r="CA63" s="1035"/>
      <c r="CB63" s="1035"/>
      <c r="CC63" s="1036"/>
      <c r="CD63" s="231"/>
    </row>
    <row r="64" spans="1:82" ht="3.95" customHeight="1" x14ac:dyDescent="0.25">
      <c r="A64" s="231"/>
      <c r="B64" s="1062"/>
      <c r="C64" s="1063"/>
      <c r="D64" s="1075"/>
      <c r="E64" s="1075"/>
      <c r="F64" s="1075"/>
      <c r="G64" s="1075"/>
      <c r="H64" s="1075"/>
      <c r="I64" s="1075"/>
      <c r="J64" s="1075"/>
      <c r="K64" s="1075"/>
      <c r="L64" s="1075"/>
      <c r="M64" s="1075"/>
      <c r="N64" s="1075"/>
      <c r="O64" s="1075"/>
      <c r="P64" s="1075"/>
      <c r="Q64" s="1075"/>
      <c r="R64" s="1060"/>
      <c r="S64" s="1061"/>
      <c r="T64" s="1076"/>
      <c r="U64" s="1063"/>
      <c r="V64" s="1075"/>
      <c r="W64" s="1075"/>
      <c r="X64" s="1075"/>
      <c r="Y64" s="1075"/>
      <c r="Z64" s="1075"/>
      <c r="AA64" s="1075"/>
      <c r="AB64" s="1075"/>
      <c r="AC64" s="1075"/>
      <c r="AD64" s="1075"/>
      <c r="AE64" s="1075"/>
      <c r="AF64" s="1075"/>
      <c r="AG64" s="1075"/>
      <c r="AH64" s="1075"/>
      <c r="AI64" s="1075"/>
      <c r="AJ64" s="1060"/>
      <c r="AK64" s="1061"/>
      <c r="AL64" s="231"/>
      <c r="AM64" s="1077">
        <f>B64*R64</f>
        <v>0</v>
      </c>
      <c r="AN64" s="1077">
        <f>T64*AJ64</f>
        <v>0</v>
      </c>
      <c r="AO64" s="228"/>
      <c r="AP64" s="231"/>
      <c r="AQ64" s="1037"/>
      <c r="AR64" s="1038"/>
      <c r="AS64" s="1038"/>
      <c r="AT64" s="1038"/>
      <c r="AU64" s="1028"/>
      <c r="AV64" s="1029"/>
      <c r="AW64" s="1029"/>
      <c r="AX64" s="1029"/>
      <c r="AY64" s="1029"/>
      <c r="AZ64" s="1029"/>
      <c r="BA64" s="1029"/>
      <c r="BB64" s="1029"/>
      <c r="BC64" s="1029"/>
      <c r="BD64" s="1029"/>
      <c r="BE64" s="1029"/>
      <c r="BF64" s="1029"/>
      <c r="BG64" s="1029"/>
      <c r="BH64" s="1029"/>
      <c r="BI64" s="1030"/>
      <c r="BJ64" s="231"/>
      <c r="BK64" s="1037"/>
      <c r="BL64" s="1038"/>
      <c r="BM64" s="1038"/>
      <c r="BN64" s="1038"/>
      <c r="BO64" s="1028"/>
      <c r="BP64" s="1029"/>
      <c r="BQ64" s="1029"/>
      <c r="BR64" s="1029"/>
      <c r="BS64" s="1029"/>
      <c r="BT64" s="1029"/>
      <c r="BU64" s="1029"/>
      <c r="BV64" s="1029"/>
      <c r="BW64" s="1029"/>
      <c r="BX64" s="1029"/>
      <c r="BY64" s="1029"/>
      <c r="BZ64" s="1029"/>
      <c r="CA64" s="1029"/>
      <c r="CB64" s="1029"/>
      <c r="CC64" s="1030"/>
      <c r="CD64" s="231"/>
    </row>
    <row r="65" spans="1:120" ht="3.95" customHeight="1" x14ac:dyDescent="0.25">
      <c r="A65" s="231"/>
      <c r="B65" s="1062"/>
      <c r="C65" s="1063"/>
      <c r="D65" s="1075"/>
      <c r="E65" s="1075"/>
      <c r="F65" s="1075"/>
      <c r="G65" s="1075"/>
      <c r="H65" s="1075"/>
      <c r="I65" s="1075"/>
      <c r="J65" s="1075"/>
      <c r="K65" s="1075"/>
      <c r="L65" s="1075"/>
      <c r="M65" s="1075"/>
      <c r="N65" s="1075"/>
      <c r="O65" s="1075"/>
      <c r="P65" s="1075"/>
      <c r="Q65" s="1075"/>
      <c r="R65" s="1060"/>
      <c r="S65" s="1061"/>
      <c r="T65" s="1076"/>
      <c r="U65" s="1063"/>
      <c r="V65" s="1075"/>
      <c r="W65" s="1075"/>
      <c r="X65" s="1075"/>
      <c r="Y65" s="1075"/>
      <c r="Z65" s="1075"/>
      <c r="AA65" s="1075"/>
      <c r="AB65" s="1075"/>
      <c r="AC65" s="1075"/>
      <c r="AD65" s="1075"/>
      <c r="AE65" s="1075"/>
      <c r="AF65" s="1075"/>
      <c r="AG65" s="1075"/>
      <c r="AH65" s="1075"/>
      <c r="AI65" s="1075"/>
      <c r="AJ65" s="1060"/>
      <c r="AK65" s="1061"/>
      <c r="AL65" s="231"/>
      <c r="AM65" s="1077"/>
      <c r="AN65" s="1077"/>
      <c r="AO65" s="228"/>
      <c r="AP65" s="231"/>
      <c r="AQ65" s="1037"/>
      <c r="AR65" s="1038"/>
      <c r="AS65" s="1038"/>
      <c r="AT65" s="1038"/>
      <c r="AU65" s="1031"/>
      <c r="AV65" s="1032"/>
      <c r="AW65" s="1032"/>
      <c r="AX65" s="1032"/>
      <c r="AY65" s="1032"/>
      <c r="AZ65" s="1032"/>
      <c r="BA65" s="1032"/>
      <c r="BB65" s="1032"/>
      <c r="BC65" s="1032"/>
      <c r="BD65" s="1032"/>
      <c r="BE65" s="1032"/>
      <c r="BF65" s="1032"/>
      <c r="BG65" s="1032"/>
      <c r="BH65" s="1032"/>
      <c r="BI65" s="1033"/>
      <c r="BJ65" s="231"/>
      <c r="BK65" s="1037"/>
      <c r="BL65" s="1038"/>
      <c r="BM65" s="1038"/>
      <c r="BN65" s="1038"/>
      <c r="BO65" s="1031"/>
      <c r="BP65" s="1032"/>
      <c r="BQ65" s="1032"/>
      <c r="BR65" s="1032"/>
      <c r="BS65" s="1032"/>
      <c r="BT65" s="1032"/>
      <c r="BU65" s="1032"/>
      <c r="BV65" s="1032"/>
      <c r="BW65" s="1032"/>
      <c r="BX65" s="1032"/>
      <c r="BY65" s="1032"/>
      <c r="BZ65" s="1032"/>
      <c r="CA65" s="1032"/>
      <c r="CB65" s="1032"/>
      <c r="CC65" s="1033"/>
      <c r="CD65" s="231"/>
    </row>
    <row r="66" spans="1:120" ht="3.95" customHeight="1" x14ac:dyDescent="0.25">
      <c r="A66" s="231"/>
      <c r="B66" s="1062"/>
      <c r="C66" s="1063"/>
      <c r="D66" s="1075"/>
      <c r="E66" s="1075"/>
      <c r="F66" s="1075"/>
      <c r="G66" s="1075"/>
      <c r="H66" s="1075"/>
      <c r="I66" s="1075"/>
      <c r="J66" s="1075"/>
      <c r="K66" s="1075"/>
      <c r="L66" s="1075"/>
      <c r="M66" s="1075"/>
      <c r="N66" s="1075"/>
      <c r="O66" s="1075"/>
      <c r="P66" s="1075"/>
      <c r="Q66" s="1075"/>
      <c r="R66" s="1060"/>
      <c r="S66" s="1061"/>
      <c r="T66" s="1076"/>
      <c r="U66" s="1063"/>
      <c r="V66" s="1075"/>
      <c r="W66" s="1075"/>
      <c r="X66" s="1075"/>
      <c r="Y66" s="1075"/>
      <c r="Z66" s="1075"/>
      <c r="AA66" s="1075"/>
      <c r="AB66" s="1075"/>
      <c r="AC66" s="1075"/>
      <c r="AD66" s="1075"/>
      <c r="AE66" s="1075"/>
      <c r="AF66" s="1075"/>
      <c r="AG66" s="1075"/>
      <c r="AH66" s="1075"/>
      <c r="AI66" s="1075"/>
      <c r="AJ66" s="1060"/>
      <c r="AK66" s="1061"/>
      <c r="AL66" s="231"/>
      <c r="AM66" s="1077"/>
      <c r="AN66" s="1077"/>
      <c r="AO66" s="228"/>
      <c r="AP66" s="231"/>
      <c r="AQ66" s="1037"/>
      <c r="AR66" s="1038"/>
      <c r="AS66" s="1038"/>
      <c r="AT66" s="1038"/>
      <c r="AU66" s="1034"/>
      <c r="AV66" s="1035"/>
      <c r="AW66" s="1035"/>
      <c r="AX66" s="1035"/>
      <c r="AY66" s="1035"/>
      <c r="AZ66" s="1035"/>
      <c r="BA66" s="1035"/>
      <c r="BB66" s="1035"/>
      <c r="BC66" s="1035"/>
      <c r="BD66" s="1035"/>
      <c r="BE66" s="1035"/>
      <c r="BF66" s="1035"/>
      <c r="BG66" s="1035"/>
      <c r="BH66" s="1035"/>
      <c r="BI66" s="1036"/>
      <c r="BJ66" s="231"/>
      <c r="BK66" s="1037"/>
      <c r="BL66" s="1038"/>
      <c r="BM66" s="1038"/>
      <c r="BN66" s="1038"/>
      <c r="BO66" s="1034"/>
      <c r="BP66" s="1035"/>
      <c r="BQ66" s="1035"/>
      <c r="BR66" s="1035"/>
      <c r="BS66" s="1035"/>
      <c r="BT66" s="1035"/>
      <c r="BU66" s="1035"/>
      <c r="BV66" s="1035"/>
      <c r="BW66" s="1035"/>
      <c r="BX66" s="1035"/>
      <c r="BY66" s="1035"/>
      <c r="BZ66" s="1035"/>
      <c r="CA66" s="1035"/>
      <c r="CB66" s="1035"/>
      <c r="CC66" s="1036"/>
      <c r="CD66" s="231"/>
    </row>
    <row r="67" spans="1:120" ht="3.95" customHeight="1" x14ac:dyDescent="0.25">
      <c r="A67" s="231"/>
      <c r="B67" s="1062"/>
      <c r="C67" s="1063"/>
      <c r="D67" s="1075"/>
      <c r="E67" s="1075"/>
      <c r="F67" s="1075"/>
      <c r="G67" s="1075"/>
      <c r="H67" s="1075"/>
      <c r="I67" s="1075"/>
      <c r="J67" s="1075"/>
      <c r="K67" s="1075"/>
      <c r="L67" s="1075"/>
      <c r="M67" s="1075"/>
      <c r="N67" s="1075"/>
      <c r="O67" s="1075"/>
      <c r="P67" s="1075"/>
      <c r="Q67" s="1075"/>
      <c r="R67" s="1060"/>
      <c r="S67" s="1061"/>
      <c r="T67" s="1076"/>
      <c r="U67" s="1063"/>
      <c r="V67" s="1075"/>
      <c r="W67" s="1075"/>
      <c r="X67" s="1075"/>
      <c r="Y67" s="1075"/>
      <c r="Z67" s="1075"/>
      <c r="AA67" s="1075"/>
      <c r="AB67" s="1075"/>
      <c r="AC67" s="1075"/>
      <c r="AD67" s="1075"/>
      <c r="AE67" s="1075"/>
      <c r="AF67" s="1075"/>
      <c r="AG67" s="1075"/>
      <c r="AH67" s="1075"/>
      <c r="AI67" s="1075"/>
      <c r="AJ67" s="1060"/>
      <c r="AK67" s="1061"/>
      <c r="AL67" s="231"/>
      <c r="AM67" s="1077">
        <f>B67*R67</f>
        <v>0</v>
      </c>
      <c r="AN67" s="1077">
        <f>T67*AJ67</f>
        <v>0</v>
      </c>
      <c r="AO67" s="228"/>
      <c r="AP67" s="231"/>
      <c r="AQ67" s="1037"/>
      <c r="AR67" s="1038"/>
      <c r="AS67" s="1038"/>
      <c r="AT67" s="1038"/>
      <c r="AU67" s="1028"/>
      <c r="AV67" s="1029"/>
      <c r="AW67" s="1029"/>
      <c r="AX67" s="1029"/>
      <c r="AY67" s="1029"/>
      <c r="AZ67" s="1029"/>
      <c r="BA67" s="1029"/>
      <c r="BB67" s="1029"/>
      <c r="BC67" s="1029"/>
      <c r="BD67" s="1029"/>
      <c r="BE67" s="1029"/>
      <c r="BF67" s="1029"/>
      <c r="BG67" s="1029"/>
      <c r="BH67" s="1029"/>
      <c r="BI67" s="1030"/>
      <c r="BJ67" s="231"/>
      <c r="BK67" s="1037"/>
      <c r="BL67" s="1038"/>
      <c r="BM67" s="1038"/>
      <c r="BN67" s="1038"/>
      <c r="BO67" s="1028"/>
      <c r="BP67" s="1029"/>
      <c r="BQ67" s="1029"/>
      <c r="BR67" s="1029"/>
      <c r="BS67" s="1029"/>
      <c r="BT67" s="1029"/>
      <c r="BU67" s="1029"/>
      <c r="BV67" s="1029"/>
      <c r="BW67" s="1029"/>
      <c r="BX67" s="1029"/>
      <c r="BY67" s="1029"/>
      <c r="BZ67" s="1029"/>
      <c r="CA67" s="1029"/>
      <c r="CB67" s="1029"/>
      <c r="CC67" s="1030"/>
      <c r="CD67" s="231"/>
    </row>
    <row r="68" spans="1:120" ht="3.95" customHeight="1" x14ac:dyDescent="0.25">
      <c r="A68" s="231"/>
      <c r="B68" s="1062"/>
      <c r="C68" s="1063"/>
      <c r="D68" s="1075"/>
      <c r="E68" s="1075"/>
      <c r="F68" s="1075"/>
      <c r="G68" s="1075"/>
      <c r="H68" s="1075"/>
      <c r="I68" s="1075"/>
      <c r="J68" s="1075"/>
      <c r="K68" s="1075"/>
      <c r="L68" s="1075"/>
      <c r="M68" s="1075"/>
      <c r="N68" s="1075"/>
      <c r="O68" s="1075"/>
      <c r="P68" s="1075"/>
      <c r="Q68" s="1075"/>
      <c r="R68" s="1060"/>
      <c r="S68" s="1061"/>
      <c r="T68" s="1076"/>
      <c r="U68" s="1063"/>
      <c r="V68" s="1075"/>
      <c r="W68" s="1075"/>
      <c r="X68" s="1075"/>
      <c r="Y68" s="1075"/>
      <c r="Z68" s="1075"/>
      <c r="AA68" s="1075"/>
      <c r="AB68" s="1075"/>
      <c r="AC68" s="1075"/>
      <c r="AD68" s="1075"/>
      <c r="AE68" s="1075"/>
      <c r="AF68" s="1075"/>
      <c r="AG68" s="1075"/>
      <c r="AH68" s="1075"/>
      <c r="AI68" s="1075"/>
      <c r="AJ68" s="1060"/>
      <c r="AK68" s="1061"/>
      <c r="AL68" s="231"/>
      <c r="AM68" s="1077"/>
      <c r="AN68" s="1077"/>
      <c r="AO68" s="228"/>
      <c r="AP68" s="231"/>
      <c r="AQ68" s="1037"/>
      <c r="AR68" s="1038"/>
      <c r="AS68" s="1038"/>
      <c r="AT68" s="1038"/>
      <c r="AU68" s="1031"/>
      <c r="AV68" s="1032"/>
      <c r="AW68" s="1032"/>
      <c r="AX68" s="1032"/>
      <c r="AY68" s="1032"/>
      <c r="AZ68" s="1032"/>
      <c r="BA68" s="1032"/>
      <c r="BB68" s="1032"/>
      <c r="BC68" s="1032"/>
      <c r="BD68" s="1032"/>
      <c r="BE68" s="1032"/>
      <c r="BF68" s="1032"/>
      <c r="BG68" s="1032"/>
      <c r="BH68" s="1032"/>
      <c r="BI68" s="1033"/>
      <c r="BJ68" s="231"/>
      <c r="BK68" s="1037"/>
      <c r="BL68" s="1038"/>
      <c r="BM68" s="1038"/>
      <c r="BN68" s="1038"/>
      <c r="BO68" s="1031"/>
      <c r="BP68" s="1032"/>
      <c r="BQ68" s="1032"/>
      <c r="BR68" s="1032"/>
      <c r="BS68" s="1032"/>
      <c r="BT68" s="1032"/>
      <c r="BU68" s="1032"/>
      <c r="BV68" s="1032"/>
      <c r="BW68" s="1032"/>
      <c r="BX68" s="1032"/>
      <c r="BY68" s="1032"/>
      <c r="BZ68" s="1032"/>
      <c r="CA68" s="1032"/>
      <c r="CB68" s="1032"/>
      <c r="CC68" s="1033"/>
      <c r="CD68" s="231"/>
    </row>
    <row r="69" spans="1:120" ht="3.95" customHeight="1" x14ac:dyDescent="0.25">
      <c r="A69" s="231"/>
      <c r="B69" s="1062"/>
      <c r="C69" s="1063"/>
      <c r="D69" s="1075"/>
      <c r="E69" s="1075"/>
      <c r="F69" s="1075"/>
      <c r="G69" s="1075"/>
      <c r="H69" s="1075"/>
      <c r="I69" s="1075"/>
      <c r="J69" s="1075"/>
      <c r="K69" s="1075"/>
      <c r="L69" s="1075"/>
      <c r="M69" s="1075"/>
      <c r="N69" s="1075"/>
      <c r="O69" s="1075"/>
      <c r="P69" s="1075"/>
      <c r="Q69" s="1075"/>
      <c r="R69" s="1060"/>
      <c r="S69" s="1061"/>
      <c r="T69" s="1076"/>
      <c r="U69" s="1063"/>
      <c r="V69" s="1075"/>
      <c r="W69" s="1075"/>
      <c r="X69" s="1075"/>
      <c r="Y69" s="1075"/>
      <c r="Z69" s="1075"/>
      <c r="AA69" s="1075"/>
      <c r="AB69" s="1075"/>
      <c r="AC69" s="1075"/>
      <c r="AD69" s="1075"/>
      <c r="AE69" s="1075"/>
      <c r="AF69" s="1075"/>
      <c r="AG69" s="1075"/>
      <c r="AH69" s="1075"/>
      <c r="AI69" s="1075"/>
      <c r="AJ69" s="1060"/>
      <c r="AK69" s="1061"/>
      <c r="AL69" s="231"/>
      <c r="AM69" s="1077"/>
      <c r="AN69" s="1077"/>
      <c r="AO69" s="228"/>
      <c r="AP69" s="231"/>
      <c r="AQ69" s="1037"/>
      <c r="AR69" s="1038"/>
      <c r="AS69" s="1038"/>
      <c r="AT69" s="1038"/>
      <c r="AU69" s="1034"/>
      <c r="AV69" s="1035"/>
      <c r="AW69" s="1035"/>
      <c r="AX69" s="1035"/>
      <c r="AY69" s="1035"/>
      <c r="AZ69" s="1035"/>
      <c r="BA69" s="1035"/>
      <c r="BB69" s="1035"/>
      <c r="BC69" s="1035"/>
      <c r="BD69" s="1035"/>
      <c r="BE69" s="1035"/>
      <c r="BF69" s="1035"/>
      <c r="BG69" s="1035"/>
      <c r="BH69" s="1035"/>
      <c r="BI69" s="1036"/>
      <c r="BJ69" s="231"/>
      <c r="BK69" s="1037"/>
      <c r="BL69" s="1038"/>
      <c r="BM69" s="1038"/>
      <c r="BN69" s="1038"/>
      <c r="BO69" s="1034"/>
      <c r="BP69" s="1035"/>
      <c r="BQ69" s="1035"/>
      <c r="BR69" s="1035"/>
      <c r="BS69" s="1035"/>
      <c r="BT69" s="1035"/>
      <c r="BU69" s="1035"/>
      <c r="BV69" s="1035"/>
      <c r="BW69" s="1035"/>
      <c r="BX69" s="1035"/>
      <c r="BY69" s="1035"/>
      <c r="BZ69" s="1035"/>
      <c r="CA69" s="1035"/>
      <c r="CB69" s="1035"/>
      <c r="CC69" s="1036"/>
      <c r="CD69" s="231"/>
    </row>
    <row r="70" spans="1:120" ht="3.95" customHeight="1" x14ac:dyDescent="0.25">
      <c r="A70" s="231"/>
      <c r="B70" s="1062"/>
      <c r="C70" s="1063"/>
      <c r="D70" s="1075"/>
      <c r="E70" s="1075"/>
      <c r="F70" s="1075"/>
      <c r="G70" s="1075"/>
      <c r="H70" s="1075"/>
      <c r="I70" s="1075"/>
      <c r="J70" s="1075"/>
      <c r="K70" s="1075"/>
      <c r="L70" s="1075"/>
      <c r="M70" s="1075"/>
      <c r="N70" s="1075"/>
      <c r="O70" s="1075"/>
      <c r="P70" s="1075"/>
      <c r="Q70" s="1075"/>
      <c r="R70" s="1060"/>
      <c r="S70" s="1061"/>
      <c r="T70" s="1076"/>
      <c r="U70" s="1063"/>
      <c r="V70" s="1075"/>
      <c r="W70" s="1075"/>
      <c r="X70" s="1075"/>
      <c r="Y70" s="1075"/>
      <c r="Z70" s="1075"/>
      <c r="AA70" s="1075"/>
      <c r="AB70" s="1075"/>
      <c r="AC70" s="1075"/>
      <c r="AD70" s="1075"/>
      <c r="AE70" s="1075"/>
      <c r="AF70" s="1075"/>
      <c r="AG70" s="1075"/>
      <c r="AH70" s="1075"/>
      <c r="AI70" s="1075"/>
      <c r="AJ70" s="1060"/>
      <c r="AK70" s="1061"/>
      <c r="AL70" s="231"/>
      <c r="AM70" s="1077">
        <f>B70*R70</f>
        <v>0</v>
      </c>
      <c r="AN70" s="1077">
        <f>T70*AJ70</f>
        <v>0</v>
      </c>
      <c r="AO70" s="228"/>
      <c r="AP70" s="231"/>
      <c r="AQ70" s="1037"/>
      <c r="AR70" s="1038"/>
      <c r="AS70" s="1038"/>
      <c r="AT70" s="1038"/>
      <c r="AU70" s="1028"/>
      <c r="AV70" s="1029"/>
      <c r="AW70" s="1029"/>
      <c r="AX70" s="1029"/>
      <c r="AY70" s="1029"/>
      <c r="AZ70" s="1029"/>
      <c r="BA70" s="1029"/>
      <c r="BB70" s="1029"/>
      <c r="BC70" s="1029"/>
      <c r="BD70" s="1029"/>
      <c r="BE70" s="1029"/>
      <c r="BF70" s="1029"/>
      <c r="BG70" s="1029"/>
      <c r="BH70" s="1029"/>
      <c r="BI70" s="1030"/>
      <c r="BJ70" s="231"/>
      <c r="BK70" s="1037"/>
      <c r="BL70" s="1038"/>
      <c r="BM70" s="1038"/>
      <c r="BN70" s="1038"/>
      <c r="BO70" s="1028"/>
      <c r="BP70" s="1029"/>
      <c r="BQ70" s="1029"/>
      <c r="BR70" s="1029"/>
      <c r="BS70" s="1029"/>
      <c r="BT70" s="1029"/>
      <c r="BU70" s="1029"/>
      <c r="BV70" s="1029"/>
      <c r="BW70" s="1029"/>
      <c r="BX70" s="1029"/>
      <c r="BY70" s="1029"/>
      <c r="BZ70" s="1029"/>
      <c r="CA70" s="1029"/>
      <c r="CB70" s="1029"/>
      <c r="CC70" s="1030"/>
      <c r="CD70" s="231"/>
    </row>
    <row r="71" spans="1:120" ht="3.95" customHeight="1" x14ac:dyDescent="0.25">
      <c r="A71" s="231"/>
      <c r="B71" s="1062"/>
      <c r="C71" s="1063"/>
      <c r="D71" s="1075"/>
      <c r="E71" s="1075"/>
      <c r="F71" s="1075"/>
      <c r="G71" s="1075"/>
      <c r="H71" s="1075"/>
      <c r="I71" s="1075"/>
      <c r="J71" s="1075"/>
      <c r="K71" s="1075"/>
      <c r="L71" s="1075"/>
      <c r="M71" s="1075"/>
      <c r="N71" s="1075"/>
      <c r="O71" s="1075"/>
      <c r="P71" s="1075"/>
      <c r="Q71" s="1075"/>
      <c r="R71" s="1060"/>
      <c r="S71" s="1061"/>
      <c r="T71" s="1076"/>
      <c r="U71" s="1063"/>
      <c r="V71" s="1075"/>
      <c r="W71" s="1075"/>
      <c r="X71" s="1075"/>
      <c r="Y71" s="1075"/>
      <c r="Z71" s="1075"/>
      <c r="AA71" s="1075"/>
      <c r="AB71" s="1075"/>
      <c r="AC71" s="1075"/>
      <c r="AD71" s="1075"/>
      <c r="AE71" s="1075"/>
      <c r="AF71" s="1075"/>
      <c r="AG71" s="1075"/>
      <c r="AH71" s="1075"/>
      <c r="AI71" s="1075"/>
      <c r="AJ71" s="1060"/>
      <c r="AK71" s="1061"/>
      <c r="AL71" s="231"/>
      <c r="AM71" s="1077"/>
      <c r="AN71" s="1077"/>
      <c r="AO71" s="228"/>
      <c r="AP71" s="231"/>
      <c r="AQ71" s="1037"/>
      <c r="AR71" s="1038"/>
      <c r="AS71" s="1038"/>
      <c r="AT71" s="1038"/>
      <c r="AU71" s="1031"/>
      <c r="AV71" s="1032"/>
      <c r="AW71" s="1032"/>
      <c r="AX71" s="1032"/>
      <c r="AY71" s="1032"/>
      <c r="AZ71" s="1032"/>
      <c r="BA71" s="1032"/>
      <c r="BB71" s="1032"/>
      <c r="BC71" s="1032"/>
      <c r="BD71" s="1032"/>
      <c r="BE71" s="1032"/>
      <c r="BF71" s="1032"/>
      <c r="BG71" s="1032"/>
      <c r="BH71" s="1032"/>
      <c r="BI71" s="1033"/>
      <c r="BJ71" s="231"/>
      <c r="BK71" s="1037"/>
      <c r="BL71" s="1038"/>
      <c r="BM71" s="1038"/>
      <c r="BN71" s="1038"/>
      <c r="BO71" s="1031"/>
      <c r="BP71" s="1032"/>
      <c r="BQ71" s="1032"/>
      <c r="BR71" s="1032"/>
      <c r="BS71" s="1032"/>
      <c r="BT71" s="1032"/>
      <c r="BU71" s="1032"/>
      <c r="BV71" s="1032"/>
      <c r="BW71" s="1032"/>
      <c r="BX71" s="1032"/>
      <c r="BY71" s="1032"/>
      <c r="BZ71" s="1032"/>
      <c r="CA71" s="1032"/>
      <c r="CB71" s="1032"/>
      <c r="CC71" s="1033"/>
      <c r="CD71" s="231"/>
    </row>
    <row r="72" spans="1:120" ht="3.95" customHeight="1" x14ac:dyDescent="0.25">
      <c r="A72" s="231"/>
      <c r="B72" s="1062"/>
      <c r="C72" s="1063"/>
      <c r="D72" s="1075"/>
      <c r="E72" s="1075"/>
      <c r="F72" s="1075"/>
      <c r="G72" s="1075"/>
      <c r="H72" s="1075"/>
      <c r="I72" s="1075"/>
      <c r="J72" s="1075"/>
      <c r="K72" s="1075"/>
      <c r="L72" s="1075"/>
      <c r="M72" s="1075"/>
      <c r="N72" s="1075"/>
      <c r="O72" s="1075"/>
      <c r="P72" s="1075"/>
      <c r="Q72" s="1075"/>
      <c r="R72" s="1060"/>
      <c r="S72" s="1061"/>
      <c r="T72" s="1076"/>
      <c r="U72" s="1063"/>
      <c r="V72" s="1075"/>
      <c r="W72" s="1075"/>
      <c r="X72" s="1075"/>
      <c r="Y72" s="1075"/>
      <c r="Z72" s="1075"/>
      <c r="AA72" s="1075"/>
      <c r="AB72" s="1075"/>
      <c r="AC72" s="1075"/>
      <c r="AD72" s="1075"/>
      <c r="AE72" s="1075"/>
      <c r="AF72" s="1075"/>
      <c r="AG72" s="1075"/>
      <c r="AH72" s="1075"/>
      <c r="AI72" s="1075"/>
      <c r="AJ72" s="1060"/>
      <c r="AK72" s="1061"/>
      <c r="AL72" s="231"/>
      <c r="AM72" s="1077"/>
      <c r="AN72" s="1077"/>
      <c r="AO72" s="228"/>
      <c r="AP72" s="231"/>
      <c r="AQ72" s="1037"/>
      <c r="AR72" s="1038"/>
      <c r="AS72" s="1038"/>
      <c r="AT72" s="1038"/>
      <c r="AU72" s="1034"/>
      <c r="AV72" s="1035"/>
      <c r="AW72" s="1035"/>
      <c r="AX72" s="1035"/>
      <c r="AY72" s="1035"/>
      <c r="AZ72" s="1035"/>
      <c r="BA72" s="1035"/>
      <c r="BB72" s="1035"/>
      <c r="BC72" s="1035"/>
      <c r="BD72" s="1035"/>
      <c r="BE72" s="1035"/>
      <c r="BF72" s="1035"/>
      <c r="BG72" s="1035"/>
      <c r="BH72" s="1035"/>
      <c r="BI72" s="1036"/>
      <c r="BJ72" s="231"/>
      <c r="BK72" s="1037"/>
      <c r="BL72" s="1038"/>
      <c r="BM72" s="1038"/>
      <c r="BN72" s="1038"/>
      <c r="BO72" s="1034"/>
      <c r="BP72" s="1035"/>
      <c r="BQ72" s="1035"/>
      <c r="BR72" s="1035"/>
      <c r="BS72" s="1035"/>
      <c r="BT72" s="1035"/>
      <c r="BU72" s="1035"/>
      <c r="BV72" s="1035"/>
      <c r="BW72" s="1035"/>
      <c r="BX72" s="1035"/>
      <c r="BY72" s="1035"/>
      <c r="BZ72" s="1035"/>
      <c r="CA72" s="1035"/>
      <c r="CB72" s="1035"/>
      <c r="CC72" s="1036"/>
      <c r="CD72" s="231"/>
    </row>
    <row r="73" spans="1:120" ht="3.95" customHeight="1" x14ac:dyDescent="0.25">
      <c r="A73" s="231"/>
      <c r="B73" s="1062"/>
      <c r="C73" s="1063"/>
      <c r="D73" s="1075"/>
      <c r="E73" s="1075"/>
      <c r="F73" s="1075"/>
      <c r="G73" s="1075"/>
      <c r="H73" s="1075"/>
      <c r="I73" s="1075"/>
      <c r="J73" s="1075"/>
      <c r="K73" s="1075"/>
      <c r="L73" s="1075"/>
      <c r="M73" s="1075"/>
      <c r="N73" s="1075"/>
      <c r="O73" s="1075"/>
      <c r="P73" s="1075"/>
      <c r="Q73" s="1075"/>
      <c r="R73" s="1060"/>
      <c r="S73" s="1061"/>
      <c r="T73" s="1076"/>
      <c r="U73" s="1063"/>
      <c r="V73" s="1075"/>
      <c r="W73" s="1075"/>
      <c r="X73" s="1075"/>
      <c r="Y73" s="1075"/>
      <c r="Z73" s="1075"/>
      <c r="AA73" s="1075"/>
      <c r="AB73" s="1075"/>
      <c r="AC73" s="1075"/>
      <c r="AD73" s="1075"/>
      <c r="AE73" s="1075"/>
      <c r="AF73" s="1075"/>
      <c r="AG73" s="1075"/>
      <c r="AH73" s="1075"/>
      <c r="AI73" s="1075"/>
      <c r="AJ73" s="1060"/>
      <c r="AK73" s="1061"/>
      <c r="AL73" s="231"/>
      <c r="AM73" s="1077">
        <f>B73*R73</f>
        <v>0</v>
      </c>
      <c r="AN73" s="1077">
        <f>T73*AJ73</f>
        <v>0</v>
      </c>
      <c r="AO73" s="228"/>
      <c r="AP73" s="231"/>
      <c r="AQ73" s="1037"/>
      <c r="AR73" s="1038"/>
      <c r="AS73" s="1038"/>
      <c r="AT73" s="1038"/>
      <c r="AU73" s="1028"/>
      <c r="AV73" s="1029"/>
      <c r="AW73" s="1029"/>
      <c r="AX73" s="1029"/>
      <c r="AY73" s="1029"/>
      <c r="AZ73" s="1029"/>
      <c r="BA73" s="1029"/>
      <c r="BB73" s="1029"/>
      <c r="BC73" s="1029"/>
      <c r="BD73" s="1029"/>
      <c r="BE73" s="1029"/>
      <c r="BF73" s="1029"/>
      <c r="BG73" s="1029"/>
      <c r="BH73" s="1029"/>
      <c r="BI73" s="1030"/>
      <c r="BJ73" s="231"/>
      <c r="BK73" s="1037"/>
      <c r="BL73" s="1038"/>
      <c r="BM73" s="1038"/>
      <c r="BN73" s="1038"/>
      <c r="BO73" s="1028"/>
      <c r="BP73" s="1029"/>
      <c r="BQ73" s="1029"/>
      <c r="BR73" s="1029"/>
      <c r="BS73" s="1029"/>
      <c r="BT73" s="1029"/>
      <c r="BU73" s="1029"/>
      <c r="BV73" s="1029"/>
      <c r="BW73" s="1029"/>
      <c r="BX73" s="1029"/>
      <c r="BY73" s="1029"/>
      <c r="BZ73" s="1029"/>
      <c r="CA73" s="1029"/>
      <c r="CB73" s="1029"/>
      <c r="CC73" s="1030"/>
      <c r="CD73" s="231"/>
      <c r="CN73" s="228"/>
      <c r="CO73" s="228"/>
      <c r="CP73" s="228"/>
      <c r="CQ73" s="228"/>
      <c r="CR73" s="228"/>
      <c r="CS73" s="228"/>
      <c r="CT73" s="228"/>
      <c r="CU73" s="228"/>
      <c r="CV73" s="228"/>
      <c r="CW73" s="228"/>
      <c r="CX73" s="228"/>
      <c r="CY73" s="228"/>
      <c r="CZ73" s="228"/>
      <c r="DA73" s="228"/>
      <c r="DB73" s="228"/>
      <c r="DC73" s="228"/>
      <c r="DD73" s="228"/>
      <c r="DE73" s="228"/>
      <c r="DF73" s="228"/>
      <c r="DG73" s="228"/>
      <c r="DH73" s="228"/>
      <c r="DI73" s="228"/>
      <c r="DJ73" s="228"/>
      <c r="DK73" s="228"/>
      <c r="DL73" s="228"/>
      <c r="DM73" s="228"/>
      <c r="DN73" s="228"/>
      <c r="DO73" s="228"/>
      <c r="DP73" s="228"/>
    </row>
    <row r="74" spans="1:120" ht="3.95" customHeight="1" x14ac:dyDescent="0.25">
      <c r="A74" s="231"/>
      <c r="B74" s="1062"/>
      <c r="C74" s="1063"/>
      <c r="D74" s="1075"/>
      <c r="E74" s="1075"/>
      <c r="F74" s="1075"/>
      <c r="G74" s="1075"/>
      <c r="H74" s="1075"/>
      <c r="I74" s="1075"/>
      <c r="J74" s="1075"/>
      <c r="K74" s="1075"/>
      <c r="L74" s="1075"/>
      <c r="M74" s="1075"/>
      <c r="N74" s="1075"/>
      <c r="O74" s="1075"/>
      <c r="P74" s="1075"/>
      <c r="Q74" s="1075"/>
      <c r="R74" s="1060"/>
      <c r="S74" s="1061"/>
      <c r="T74" s="1076"/>
      <c r="U74" s="1063"/>
      <c r="V74" s="1075"/>
      <c r="W74" s="1075"/>
      <c r="X74" s="1075"/>
      <c r="Y74" s="1075"/>
      <c r="Z74" s="1075"/>
      <c r="AA74" s="1075"/>
      <c r="AB74" s="1075"/>
      <c r="AC74" s="1075"/>
      <c r="AD74" s="1075"/>
      <c r="AE74" s="1075"/>
      <c r="AF74" s="1075"/>
      <c r="AG74" s="1075"/>
      <c r="AH74" s="1075"/>
      <c r="AI74" s="1075"/>
      <c r="AJ74" s="1060"/>
      <c r="AK74" s="1061"/>
      <c r="AL74" s="231"/>
      <c r="AM74" s="1077"/>
      <c r="AN74" s="1077"/>
      <c r="AO74" s="228"/>
      <c r="AP74" s="231"/>
      <c r="AQ74" s="1037"/>
      <c r="AR74" s="1038"/>
      <c r="AS74" s="1038"/>
      <c r="AT74" s="1038"/>
      <c r="AU74" s="1031"/>
      <c r="AV74" s="1032"/>
      <c r="AW74" s="1032"/>
      <c r="AX74" s="1032"/>
      <c r="AY74" s="1032"/>
      <c r="AZ74" s="1032"/>
      <c r="BA74" s="1032"/>
      <c r="BB74" s="1032"/>
      <c r="BC74" s="1032"/>
      <c r="BD74" s="1032"/>
      <c r="BE74" s="1032"/>
      <c r="BF74" s="1032"/>
      <c r="BG74" s="1032"/>
      <c r="BH74" s="1032"/>
      <c r="BI74" s="1033"/>
      <c r="BJ74" s="231"/>
      <c r="BK74" s="1037"/>
      <c r="BL74" s="1038"/>
      <c r="BM74" s="1038"/>
      <c r="BN74" s="1038"/>
      <c r="BO74" s="1031"/>
      <c r="BP74" s="1032"/>
      <c r="BQ74" s="1032"/>
      <c r="BR74" s="1032"/>
      <c r="BS74" s="1032"/>
      <c r="BT74" s="1032"/>
      <c r="BU74" s="1032"/>
      <c r="BV74" s="1032"/>
      <c r="BW74" s="1032"/>
      <c r="BX74" s="1032"/>
      <c r="BY74" s="1032"/>
      <c r="BZ74" s="1032"/>
      <c r="CA74" s="1032"/>
      <c r="CB74" s="1032"/>
      <c r="CC74" s="1033"/>
      <c r="CD74" s="231"/>
      <c r="CN74" s="228"/>
      <c r="CO74" s="228"/>
      <c r="CP74" s="228"/>
      <c r="CQ74" s="228"/>
      <c r="CR74" s="228"/>
      <c r="CS74" s="228"/>
      <c r="CT74" s="228"/>
      <c r="CU74" s="228"/>
      <c r="CV74" s="228"/>
      <c r="CW74" s="228"/>
      <c r="CX74" s="228"/>
      <c r="CY74" s="228"/>
      <c r="CZ74" s="228"/>
      <c r="DA74" s="228"/>
      <c r="DB74" s="228"/>
      <c r="DC74" s="228"/>
      <c r="DD74" s="228"/>
      <c r="DE74" s="228"/>
      <c r="DF74" s="228"/>
      <c r="DG74" s="228"/>
      <c r="DH74" s="228"/>
      <c r="DI74" s="228"/>
      <c r="DJ74" s="228"/>
      <c r="DK74" s="228"/>
      <c r="DL74" s="228"/>
      <c r="DM74" s="228"/>
      <c r="DN74" s="228"/>
      <c r="DO74" s="228"/>
      <c r="DP74" s="228"/>
    </row>
    <row r="75" spans="1:120" ht="3.95" customHeight="1" x14ac:dyDescent="0.25">
      <c r="A75" s="231"/>
      <c r="B75" s="1062"/>
      <c r="C75" s="1063"/>
      <c r="D75" s="1075"/>
      <c r="E75" s="1075"/>
      <c r="F75" s="1075"/>
      <c r="G75" s="1075"/>
      <c r="H75" s="1075"/>
      <c r="I75" s="1075"/>
      <c r="J75" s="1075"/>
      <c r="K75" s="1075"/>
      <c r="L75" s="1075"/>
      <c r="M75" s="1075"/>
      <c r="N75" s="1075"/>
      <c r="O75" s="1075"/>
      <c r="P75" s="1075"/>
      <c r="Q75" s="1075"/>
      <c r="R75" s="1060"/>
      <c r="S75" s="1061"/>
      <c r="T75" s="1076"/>
      <c r="U75" s="1063"/>
      <c r="V75" s="1075"/>
      <c r="W75" s="1075"/>
      <c r="X75" s="1075"/>
      <c r="Y75" s="1075"/>
      <c r="Z75" s="1075"/>
      <c r="AA75" s="1075"/>
      <c r="AB75" s="1075"/>
      <c r="AC75" s="1075"/>
      <c r="AD75" s="1075"/>
      <c r="AE75" s="1075"/>
      <c r="AF75" s="1075"/>
      <c r="AG75" s="1075"/>
      <c r="AH75" s="1075"/>
      <c r="AI75" s="1075"/>
      <c r="AJ75" s="1060"/>
      <c r="AK75" s="1061"/>
      <c r="AL75" s="231"/>
      <c r="AM75" s="1077"/>
      <c r="AN75" s="1077"/>
      <c r="AO75" s="228"/>
      <c r="AP75" s="231"/>
      <c r="AQ75" s="1037"/>
      <c r="AR75" s="1038"/>
      <c r="AS75" s="1038"/>
      <c r="AT75" s="1038"/>
      <c r="AU75" s="1034"/>
      <c r="AV75" s="1035"/>
      <c r="AW75" s="1035"/>
      <c r="AX75" s="1035"/>
      <c r="AY75" s="1035"/>
      <c r="AZ75" s="1035"/>
      <c r="BA75" s="1035"/>
      <c r="BB75" s="1035"/>
      <c r="BC75" s="1035"/>
      <c r="BD75" s="1035"/>
      <c r="BE75" s="1035"/>
      <c r="BF75" s="1035"/>
      <c r="BG75" s="1035"/>
      <c r="BH75" s="1035"/>
      <c r="BI75" s="1036"/>
      <c r="BJ75" s="231"/>
      <c r="BK75" s="1037"/>
      <c r="BL75" s="1038"/>
      <c r="BM75" s="1038"/>
      <c r="BN75" s="1038"/>
      <c r="BO75" s="1034"/>
      <c r="BP75" s="1035"/>
      <c r="BQ75" s="1035"/>
      <c r="BR75" s="1035"/>
      <c r="BS75" s="1035"/>
      <c r="BT75" s="1035"/>
      <c r="BU75" s="1035"/>
      <c r="BV75" s="1035"/>
      <c r="BW75" s="1035"/>
      <c r="BX75" s="1035"/>
      <c r="BY75" s="1035"/>
      <c r="BZ75" s="1035"/>
      <c r="CA75" s="1035"/>
      <c r="CB75" s="1035"/>
      <c r="CC75" s="1036"/>
      <c r="CD75" s="231"/>
      <c r="CN75" s="228"/>
      <c r="CO75" s="228"/>
      <c r="CP75" s="228"/>
      <c r="CQ75" s="228"/>
      <c r="CR75" s="228"/>
      <c r="CS75" s="228"/>
      <c r="CT75" s="228"/>
      <c r="CU75" s="228"/>
      <c r="CV75" s="228"/>
      <c r="CW75" s="228"/>
      <c r="CX75" s="228"/>
      <c r="CY75" s="228"/>
      <c r="CZ75" s="228"/>
      <c r="DA75" s="228"/>
      <c r="DB75" s="228"/>
      <c r="DC75" s="228"/>
      <c r="DD75" s="228"/>
      <c r="DE75" s="228"/>
      <c r="DF75" s="228"/>
      <c r="DG75" s="228"/>
      <c r="DH75" s="228"/>
      <c r="DI75" s="228"/>
      <c r="DJ75" s="228"/>
      <c r="DK75" s="228"/>
      <c r="DL75" s="228"/>
      <c r="DM75" s="228"/>
      <c r="DN75" s="228"/>
      <c r="DO75" s="228"/>
      <c r="DP75" s="228"/>
    </row>
    <row r="76" spans="1:120" ht="3.95" customHeight="1" x14ac:dyDescent="0.25">
      <c r="A76" s="231"/>
      <c r="B76" s="1062"/>
      <c r="C76" s="1063"/>
      <c r="D76" s="1075"/>
      <c r="E76" s="1075"/>
      <c r="F76" s="1075"/>
      <c r="G76" s="1075"/>
      <c r="H76" s="1075"/>
      <c r="I76" s="1075"/>
      <c r="J76" s="1075"/>
      <c r="K76" s="1075"/>
      <c r="L76" s="1075"/>
      <c r="M76" s="1075"/>
      <c r="N76" s="1075"/>
      <c r="O76" s="1075"/>
      <c r="P76" s="1075"/>
      <c r="Q76" s="1075"/>
      <c r="R76" s="1060"/>
      <c r="S76" s="1061"/>
      <c r="T76" s="1076"/>
      <c r="U76" s="1063"/>
      <c r="V76" s="1075"/>
      <c r="W76" s="1075"/>
      <c r="X76" s="1075"/>
      <c r="Y76" s="1075"/>
      <c r="Z76" s="1075"/>
      <c r="AA76" s="1075"/>
      <c r="AB76" s="1075"/>
      <c r="AC76" s="1075"/>
      <c r="AD76" s="1075"/>
      <c r="AE76" s="1075"/>
      <c r="AF76" s="1075"/>
      <c r="AG76" s="1075"/>
      <c r="AH76" s="1075"/>
      <c r="AI76" s="1075"/>
      <c r="AJ76" s="1060"/>
      <c r="AK76" s="1061"/>
      <c r="AL76" s="231"/>
      <c r="AM76" s="1077">
        <f>B76*R76</f>
        <v>0</v>
      </c>
      <c r="AN76" s="1077">
        <f>T76*AJ76</f>
        <v>0</v>
      </c>
      <c r="AO76" s="228"/>
      <c r="AP76" s="231"/>
      <c r="AQ76" s="1037"/>
      <c r="AR76" s="1038"/>
      <c r="AS76" s="1038"/>
      <c r="AT76" s="1038"/>
      <c r="AU76" s="1028"/>
      <c r="AV76" s="1029"/>
      <c r="AW76" s="1029"/>
      <c r="AX76" s="1029"/>
      <c r="AY76" s="1029"/>
      <c r="AZ76" s="1029"/>
      <c r="BA76" s="1029"/>
      <c r="BB76" s="1029"/>
      <c r="BC76" s="1029"/>
      <c r="BD76" s="1029"/>
      <c r="BE76" s="1029"/>
      <c r="BF76" s="1029"/>
      <c r="BG76" s="1029"/>
      <c r="BH76" s="1029"/>
      <c r="BI76" s="1030"/>
      <c r="BJ76" s="231"/>
      <c r="BK76" s="1037"/>
      <c r="BL76" s="1038"/>
      <c r="BM76" s="1038"/>
      <c r="BN76" s="1038"/>
      <c r="BO76" s="1028"/>
      <c r="BP76" s="1029"/>
      <c r="BQ76" s="1029"/>
      <c r="BR76" s="1029"/>
      <c r="BS76" s="1029"/>
      <c r="BT76" s="1029"/>
      <c r="BU76" s="1029"/>
      <c r="BV76" s="1029"/>
      <c r="BW76" s="1029"/>
      <c r="BX76" s="1029"/>
      <c r="BY76" s="1029"/>
      <c r="BZ76" s="1029"/>
      <c r="CA76" s="1029"/>
      <c r="CB76" s="1029"/>
      <c r="CC76" s="1030"/>
      <c r="CD76" s="231"/>
      <c r="CN76" s="228"/>
      <c r="CO76" s="228"/>
      <c r="CP76" s="228"/>
      <c r="CQ76" s="228"/>
      <c r="CR76" s="228"/>
      <c r="CS76" s="228"/>
      <c r="CT76" s="228"/>
      <c r="CU76" s="228"/>
      <c r="CV76" s="228"/>
      <c r="CW76" s="228"/>
      <c r="CX76" s="228"/>
      <c r="CY76" s="228"/>
      <c r="CZ76" s="228"/>
      <c r="DA76" s="228"/>
      <c r="DB76" s="228"/>
      <c r="DC76" s="228"/>
      <c r="DD76" s="228"/>
      <c r="DE76" s="228"/>
      <c r="DF76" s="228"/>
      <c r="DG76" s="228"/>
      <c r="DH76" s="228"/>
      <c r="DI76" s="228"/>
      <c r="DJ76" s="228"/>
      <c r="DK76" s="228"/>
      <c r="DL76" s="228"/>
      <c r="DM76" s="228"/>
      <c r="DN76" s="228"/>
      <c r="DO76" s="228"/>
      <c r="DP76" s="228"/>
    </row>
    <row r="77" spans="1:120" ht="3.95" customHeight="1" x14ac:dyDescent="0.25">
      <c r="A77" s="231"/>
      <c r="B77" s="1062"/>
      <c r="C77" s="1063"/>
      <c r="D77" s="1075"/>
      <c r="E77" s="1075"/>
      <c r="F77" s="1075"/>
      <c r="G77" s="1075"/>
      <c r="H77" s="1075"/>
      <c r="I77" s="1075"/>
      <c r="J77" s="1075"/>
      <c r="K77" s="1075"/>
      <c r="L77" s="1075"/>
      <c r="M77" s="1075"/>
      <c r="N77" s="1075"/>
      <c r="O77" s="1075"/>
      <c r="P77" s="1075"/>
      <c r="Q77" s="1075"/>
      <c r="R77" s="1060"/>
      <c r="S77" s="1061"/>
      <c r="T77" s="1076"/>
      <c r="U77" s="1063"/>
      <c r="V77" s="1075"/>
      <c r="W77" s="1075"/>
      <c r="X77" s="1075"/>
      <c r="Y77" s="1075"/>
      <c r="Z77" s="1075"/>
      <c r="AA77" s="1075"/>
      <c r="AB77" s="1075"/>
      <c r="AC77" s="1075"/>
      <c r="AD77" s="1075"/>
      <c r="AE77" s="1075"/>
      <c r="AF77" s="1075"/>
      <c r="AG77" s="1075"/>
      <c r="AH77" s="1075"/>
      <c r="AI77" s="1075"/>
      <c r="AJ77" s="1060"/>
      <c r="AK77" s="1061"/>
      <c r="AL77" s="231"/>
      <c r="AM77" s="1077"/>
      <c r="AN77" s="1077"/>
      <c r="AO77" s="228"/>
      <c r="AP77" s="231"/>
      <c r="AQ77" s="1037"/>
      <c r="AR77" s="1038"/>
      <c r="AS77" s="1038"/>
      <c r="AT77" s="1038"/>
      <c r="AU77" s="1031"/>
      <c r="AV77" s="1032"/>
      <c r="AW77" s="1032"/>
      <c r="AX77" s="1032"/>
      <c r="AY77" s="1032"/>
      <c r="AZ77" s="1032"/>
      <c r="BA77" s="1032"/>
      <c r="BB77" s="1032"/>
      <c r="BC77" s="1032"/>
      <c r="BD77" s="1032"/>
      <c r="BE77" s="1032"/>
      <c r="BF77" s="1032"/>
      <c r="BG77" s="1032"/>
      <c r="BH77" s="1032"/>
      <c r="BI77" s="1033"/>
      <c r="BJ77" s="231"/>
      <c r="BK77" s="1037"/>
      <c r="BL77" s="1038"/>
      <c r="BM77" s="1038"/>
      <c r="BN77" s="1038"/>
      <c r="BO77" s="1031"/>
      <c r="BP77" s="1032"/>
      <c r="BQ77" s="1032"/>
      <c r="BR77" s="1032"/>
      <c r="BS77" s="1032"/>
      <c r="BT77" s="1032"/>
      <c r="BU77" s="1032"/>
      <c r="BV77" s="1032"/>
      <c r="BW77" s="1032"/>
      <c r="BX77" s="1032"/>
      <c r="BY77" s="1032"/>
      <c r="BZ77" s="1032"/>
      <c r="CA77" s="1032"/>
      <c r="CB77" s="1032"/>
      <c r="CC77" s="1033"/>
      <c r="CD77" s="231"/>
      <c r="CN77" s="228"/>
      <c r="CO77" s="228"/>
      <c r="CP77" s="228"/>
      <c r="CQ77" s="228"/>
      <c r="CR77" s="228"/>
      <c r="CS77" s="228"/>
      <c r="CT77" s="228"/>
      <c r="CU77" s="228"/>
      <c r="CV77" s="228"/>
      <c r="CW77" s="228"/>
      <c r="CX77" s="228"/>
      <c r="CY77" s="228"/>
      <c r="CZ77" s="228"/>
      <c r="DA77" s="228"/>
      <c r="DB77" s="228"/>
      <c r="DC77" s="228"/>
      <c r="DD77" s="228"/>
      <c r="DE77" s="228"/>
      <c r="DF77" s="228"/>
      <c r="DG77" s="228"/>
      <c r="DH77" s="228"/>
      <c r="DI77" s="228"/>
      <c r="DJ77" s="228"/>
      <c r="DK77" s="228"/>
      <c r="DL77" s="228"/>
      <c r="DM77" s="228"/>
      <c r="DN77" s="228"/>
      <c r="DO77" s="228"/>
      <c r="DP77" s="228"/>
    </row>
    <row r="78" spans="1:120" ht="3.95" customHeight="1" x14ac:dyDescent="0.25">
      <c r="A78" s="231"/>
      <c r="B78" s="1062"/>
      <c r="C78" s="1063"/>
      <c r="D78" s="1075"/>
      <c r="E78" s="1075"/>
      <c r="F78" s="1075"/>
      <c r="G78" s="1075"/>
      <c r="H78" s="1075"/>
      <c r="I78" s="1075"/>
      <c r="J78" s="1075"/>
      <c r="K78" s="1075"/>
      <c r="L78" s="1075"/>
      <c r="M78" s="1075"/>
      <c r="N78" s="1075"/>
      <c r="O78" s="1075"/>
      <c r="P78" s="1075"/>
      <c r="Q78" s="1075"/>
      <c r="R78" s="1060"/>
      <c r="S78" s="1061"/>
      <c r="T78" s="1076"/>
      <c r="U78" s="1063"/>
      <c r="V78" s="1075"/>
      <c r="W78" s="1075"/>
      <c r="X78" s="1075"/>
      <c r="Y78" s="1075"/>
      <c r="Z78" s="1075"/>
      <c r="AA78" s="1075"/>
      <c r="AB78" s="1075"/>
      <c r="AC78" s="1075"/>
      <c r="AD78" s="1075"/>
      <c r="AE78" s="1075"/>
      <c r="AF78" s="1075"/>
      <c r="AG78" s="1075"/>
      <c r="AH78" s="1075"/>
      <c r="AI78" s="1075"/>
      <c r="AJ78" s="1060"/>
      <c r="AK78" s="1061"/>
      <c r="AL78" s="231"/>
      <c r="AM78" s="1077"/>
      <c r="AN78" s="1077"/>
      <c r="AO78" s="228"/>
      <c r="AP78" s="231"/>
      <c r="AQ78" s="1037"/>
      <c r="AR78" s="1038"/>
      <c r="AS78" s="1038"/>
      <c r="AT78" s="1038"/>
      <c r="AU78" s="1034"/>
      <c r="AV78" s="1035"/>
      <c r="AW78" s="1035"/>
      <c r="AX78" s="1035"/>
      <c r="AY78" s="1035"/>
      <c r="AZ78" s="1035"/>
      <c r="BA78" s="1035"/>
      <c r="BB78" s="1035"/>
      <c r="BC78" s="1035"/>
      <c r="BD78" s="1035"/>
      <c r="BE78" s="1035"/>
      <c r="BF78" s="1035"/>
      <c r="BG78" s="1035"/>
      <c r="BH78" s="1035"/>
      <c r="BI78" s="1036"/>
      <c r="BJ78" s="231"/>
      <c r="BK78" s="1037"/>
      <c r="BL78" s="1038"/>
      <c r="BM78" s="1038"/>
      <c r="BN78" s="1038"/>
      <c r="BO78" s="1034"/>
      <c r="BP78" s="1035"/>
      <c r="BQ78" s="1035"/>
      <c r="BR78" s="1035"/>
      <c r="BS78" s="1035"/>
      <c r="BT78" s="1035"/>
      <c r="BU78" s="1035"/>
      <c r="BV78" s="1035"/>
      <c r="BW78" s="1035"/>
      <c r="BX78" s="1035"/>
      <c r="BY78" s="1035"/>
      <c r="BZ78" s="1035"/>
      <c r="CA78" s="1035"/>
      <c r="CB78" s="1035"/>
      <c r="CC78" s="1036"/>
      <c r="CD78" s="231"/>
      <c r="CN78" s="228"/>
      <c r="CO78" s="228"/>
      <c r="CP78" s="228"/>
      <c r="CQ78" s="228"/>
      <c r="CR78" s="228"/>
      <c r="CS78" s="228"/>
      <c r="CT78" s="228"/>
      <c r="CU78" s="228"/>
      <c r="CV78" s="228"/>
      <c r="CW78" s="228"/>
      <c r="CX78" s="228"/>
      <c r="CY78" s="228"/>
      <c r="CZ78" s="228"/>
      <c r="DA78" s="228"/>
      <c r="DB78" s="228"/>
      <c r="DC78" s="228"/>
      <c r="DD78" s="228"/>
      <c r="DE78" s="228"/>
      <c r="DF78" s="228"/>
      <c r="DG78" s="228"/>
      <c r="DH78" s="228"/>
      <c r="DI78" s="228"/>
      <c r="DJ78" s="228"/>
      <c r="DK78" s="228"/>
      <c r="DL78" s="228"/>
      <c r="DM78" s="228"/>
      <c r="DN78" s="228"/>
      <c r="DO78" s="228"/>
      <c r="DP78" s="228"/>
    </row>
    <row r="79" spans="1:120" ht="3.95" customHeight="1" x14ac:dyDescent="0.25">
      <c r="A79" s="231"/>
      <c r="B79" s="1062"/>
      <c r="C79" s="1063"/>
      <c r="D79" s="1075"/>
      <c r="E79" s="1075"/>
      <c r="F79" s="1075"/>
      <c r="G79" s="1075"/>
      <c r="H79" s="1075"/>
      <c r="I79" s="1075"/>
      <c r="J79" s="1075"/>
      <c r="K79" s="1075"/>
      <c r="L79" s="1075"/>
      <c r="M79" s="1075"/>
      <c r="N79" s="1075"/>
      <c r="O79" s="1075"/>
      <c r="P79" s="1075"/>
      <c r="Q79" s="1075"/>
      <c r="R79" s="1060"/>
      <c r="S79" s="1061"/>
      <c r="T79" s="1076"/>
      <c r="U79" s="1063"/>
      <c r="V79" s="1075"/>
      <c r="W79" s="1075"/>
      <c r="X79" s="1075"/>
      <c r="Y79" s="1075"/>
      <c r="Z79" s="1075"/>
      <c r="AA79" s="1075"/>
      <c r="AB79" s="1075"/>
      <c r="AC79" s="1075"/>
      <c r="AD79" s="1075"/>
      <c r="AE79" s="1075"/>
      <c r="AF79" s="1075"/>
      <c r="AG79" s="1075"/>
      <c r="AH79" s="1075"/>
      <c r="AI79" s="1075"/>
      <c r="AJ79" s="1060"/>
      <c r="AK79" s="1061"/>
      <c r="AL79" s="231"/>
      <c r="AM79" s="1077">
        <f>B79*R79</f>
        <v>0</v>
      </c>
      <c r="AN79" s="1077">
        <f>T79*AJ79</f>
        <v>0</v>
      </c>
      <c r="AO79" s="228"/>
      <c r="AP79" s="231"/>
      <c r="AQ79" s="1037"/>
      <c r="AR79" s="1038"/>
      <c r="AS79" s="1038"/>
      <c r="AT79" s="1038"/>
      <c r="AU79" s="1028"/>
      <c r="AV79" s="1029"/>
      <c r="AW79" s="1029"/>
      <c r="AX79" s="1029"/>
      <c r="AY79" s="1029"/>
      <c r="AZ79" s="1029"/>
      <c r="BA79" s="1029"/>
      <c r="BB79" s="1029"/>
      <c r="BC79" s="1029"/>
      <c r="BD79" s="1029"/>
      <c r="BE79" s="1029"/>
      <c r="BF79" s="1029"/>
      <c r="BG79" s="1029"/>
      <c r="BH79" s="1029"/>
      <c r="BI79" s="1030"/>
      <c r="BJ79" s="231"/>
      <c r="BK79" s="1037"/>
      <c r="BL79" s="1038"/>
      <c r="BM79" s="1038"/>
      <c r="BN79" s="1038"/>
      <c r="BO79" s="1028"/>
      <c r="BP79" s="1029"/>
      <c r="BQ79" s="1029"/>
      <c r="BR79" s="1029"/>
      <c r="BS79" s="1029"/>
      <c r="BT79" s="1029"/>
      <c r="BU79" s="1029"/>
      <c r="BV79" s="1029"/>
      <c r="BW79" s="1029"/>
      <c r="BX79" s="1029"/>
      <c r="BY79" s="1029"/>
      <c r="BZ79" s="1029"/>
      <c r="CA79" s="1029"/>
      <c r="CB79" s="1029"/>
      <c r="CC79" s="1030"/>
      <c r="CD79" s="231"/>
      <c r="CN79" s="228"/>
      <c r="CO79" s="228"/>
      <c r="CP79" s="228"/>
      <c r="CQ79" s="228"/>
      <c r="CR79" s="228"/>
      <c r="CS79" s="228"/>
      <c r="CT79" s="228"/>
      <c r="CU79" s="228"/>
      <c r="CV79" s="228"/>
      <c r="CW79" s="228"/>
      <c r="CX79" s="228"/>
      <c r="CY79" s="228"/>
      <c r="CZ79" s="228"/>
      <c r="DA79" s="228"/>
      <c r="DB79" s="228"/>
      <c r="DC79" s="228"/>
      <c r="DD79" s="228"/>
      <c r="DE79" s="228"/>
      <c r="DF79" s="228"/>
      <c r="DG79" s="228"/>
      <c r="DH79" s="228"/>
      <c r="DI79" s="228"/>
      <c r="DJ79" s="228"/>
      <c r="DK79" s="228"/>
      <c r="DL79" s="228"/>
      <c r="DM79" s="228"/>
      <c r="DN79" s="228"/>
      <c r="DO79" s="228"/>
      <c r="DP79" s="228"/>
    </row>
    <row r="80" spans="1:120" ht="3.95" customHeight="1" x14ac:dyDescent="0.25">
      <c r="A80" s="231"/>
      <c r="B80" s="1062"/>
      <c r="C80" s="1063"/>
      <c r="D80" s="1075"/>
      <c r="E80" s="1075"/>
      <c r="F80" s="1075"/>
      <c r="G80" s="1075"/>
      <c r="H80" s="1075"/>
      <c r="I80" s="1075"/>
      <c r="J80" s="1075"/>
      <c r="K80" s="1075"/>
      <c r="L80" s="1075"/>
      <c r="M80" s="1075"/>
      <c r="N80" s="1075"/>
      <c r="O80" s="1075"/>
      <c r="P80" s="1075"/>
      <c r="Q80" s="1075"/>
      <c r="R80" s="1060"/>
      <c r="S80" s="1061"/>
      <c r="T80" s="1076"/>
      <c r="U80" s="1063"/>
      <c r="V80" s="1075"/>
      <c r="W80" s="1075"/>
      <c r="X80" s="1075"/>
      <c r="Y80" s="1075"/>
      <c r="Z80" s="1075"/>
      <c r="AA80" s="1075"/>
      <c r="AB80" s="1075"/>
      <c r="AC80" s="1075"/>
      <c r="AD80" s="1075"/>
      <c r="AE80" s="1075"/>
      <c r="AF80" s="1075"/>
      <c r="AG80" s="1075"/>
      <c r="AH80" s="1075"/>
      <c r="AI80" s="1075"/>
      <c r="AJ80" s="1060"/>
      <c r="AK80" s="1061"/>
      <c r="AL80" s="231"/>
      <c r="AM80" s="1077"/>
      <c r="AN80" s="1077"/>
      <c r="AO80" s="228"/>
      <c r="AP80" s="231"/>
      <c r="AQ80" s="1037"/>
      <c r="AR80" s="1038"/>
      <c r="AS80" s="1038"/>
      <c r="AT80" s="1038"/>
      <c r="AU80" s="1031"/>
      <c r="AV80" s="1032"/>
      <c r="AW80" s="1032"/>
      <c r="AX80" s="1032"/>
      <c r="AY80" s="1032"/>
      <c r="AZ80" s="1032"/>
      <c r="BA80" s="1032"/>
      <c r="BB80" s="1032"/>
      <c r="BC80" s="1032"/>
      <c r="BD80" s="1032"/>
      <c r="BE80" s="1032"/>
      <c r="BF80" s="1032"/>
      <c r="BG80" s="1032"/>
      <c r="BH80" s="1032"/>
      <c r="BI80" s="1033"/>
      <c r="BJ80" s="231"/>
      <c r="BK80" s="1037"/>
      <c r="BL80" s="1038"/>
      <c r="BM80" s="1038"/>
      <c r="BN80" s="1038"/>
      <c r="BO80" s="1031"/>
      <c r="BP80" s="1032"/>
      <c r="BQ80" s="1032"/>
      <c r="BR80" s="1032"/>
      <c r="BS80" s="1032"/>
      <c r="BT80" s="1032"/>
      <c r="BU80" s="1032"/>
      <c r="BV80" s="1032"/>
      <c r="BW80" s="1032"/>
      <c r="BX80" s="1032"/>
      <c r="BY80" s="1032"/>
      <c r="BZ80" s="1032"/>
      <c r="CA80" s="1032"/>
      <c r="CB80" s="1032"/>
      <c r="CC80" s="1033"/>
      <c r="CD80" s="231"/>
      <c r="CN80" s="228"/>
      <c r="CO80" s="228"/>
      <c r="CP80" s="228"/>
      <c r="CQ80" s="228"/>
      <c r="CR80" s="228"/>
      <c r="CS80" s="228"/>
      <c r="CT80" s="228"/>
      <c r="CU80" s="228"/>
      <c r="CV80" s="228"/>
      <c r="CW80" s="228"/>
      <c r="CX80" s="228"/>
      <c r="CY80" s="228"/>
      <c r="CZ80" s="228"/>
      <c r="DA80" s="228"/>
      <c r="DB80" s="228"/>
      <c r="DC80" s="228"/>
      <c r="DD80" s="228"/>
      <c r="DE80" s="228"/>
      <c r="DF80" s="228"/>
      <c r="DG80" s="228"/>
      <c r="DH80" s="228"/>
      <c r="DI80" s="228"/>
      <c r="DJ80" s="228"/>
      <c r="DK80" s="228"/>
      <c r="DL80" s="228"/>
      <c r="DM80" s="228"/>
      <c r="DN80" s="228"/>
      <c r="DO80" s="228"/>
      <c r="DP80" s="228"/>
    </row>
    <row r="81" spans="1:120" ht="3.95" customHeight="1" x14ac:dyDescent="0.25">
      <c r="A81" s="231"/>
      <c r="B81" s="1062"/>
      <c r="C81" s="1063"/>
      <c r="D81" s="1075"/>
      <c r="E81" s="1075"/>
      <c r="F81" s="1075"/>
      <c r="G81" s="1075"/>
      <c r="H81" s="1075"/>
      <c r="I81" s="1075"/>
      <c r="J81" s="1075"/>
      <c r="K81" s="1075"/>
      <c r="L81" s="1075"/>
      <c r="M81" s="1075"/>
      <c r="N81" s="1075"/>
      <c r="O81" s="1075"/>
      <c r="P81" s="1075"/>
      <c r="Q81" s="1075"/>
      <c r="R81" s="1060"/>
      <c r="S81" s="1061"/>
      <c r="T81" s="1076"/>
      <c r="U81" s="1063"/>
      <c r="V81" s="1075"/>
      <c r="W81" s="1075"/>
      <c r="X81" s="1075"/>
      <c r="Y81" s="1075"/>
      <c r="Z81" s="1075"/>
      <c r="AA81" s="1075"/>
      <c r="AB81" s="1075"/>
      <c r="AC81" s="1075"/>
      <c r="AD81" s="1075"/>
      <c r="AE81" s="1075"/>
      <c r="AF81" s="1075"/>
      <c r="AG81" s="1075"/>
      <c r="AH81" s="1075"/>
      <c r="AI81" s="1075"/>
      <c r="AJ81" s="1060"/>
      <c r="AK81" s="1061"/>
      <c r="AL81" s="231"/>
      <c r="AM81" s="1077"/>
      <c r="AN81" s="1077"/>
      <c r="AO81" s="228"/>
      <c r="AP81" s="231"/>
      <c r="AQ81" s="1039"/>
      <c r="AR81" s="1040"/>
      <c r="AS81" s="1040"/>
      <c r="AT81" s="1040"/>
      <c r="AU81" s="1041"/>
      <c r="AV81" s="1042"/>
      <c r="AW81" s="1042"/>
      <c r="AX81" s="1042"/>
      <c r="AY81" s="1042"/>
      <c r="AZ81" s="1042"/>
      <c r="BA81" s="1042"/>
      <c r="BB81" s="1042"/>
      <c r="BC81" s="1042"/>
      <c r="BD81" s="1042"/>
      <c r="BE81" s="1042"/>
      <c r="BF81" s="1042"/>
      <c r="BG81" s="1042"/>
      <c r="BH81" s="1042"/>
      <c r="BI81" s="1043"/>
      <c r="BJ81" s="231"/>
      <c r="BK81" s="1037"/>
      <c r="BL81" s="1038"/>
      <c r="BM81" s="1038"/>
      <c r="BN81" s="1038"/>
      <c r="BO81" s="1034"/>
      <c r="BP81" s="1035"/>
      <c r="BQ81" s="1035"/>
      <c r="BR81" s="1035"/>
      <c r="BS81" s="1035"/>
      <c r="BT81" s="1035"/>
      <c r="BU81" s="1035"/>
      <c r="BV81" s="1035"/>
      <c r="BW81" s="1035"/>
      <c r="BX81" s="1035"/>
      <c r="BY81" s="1035"/>
      <c r="BZ81" s="1035"/>
      <c r="CA81" s="1035"/>
      <c r="CB81" s="1035"/>
      <c r="CC81" s="1036"/>
      <c r="CD81" s="231"/>
      <c r="CN81" s="228"/>
      <c r="CO81" s="228"/>
      <c r="CP81" s="228"/>
      <c r="CQ81" s="228"/>
      <c r="CR81" s="228"/>
      <c r="CS81" s="228"/>
      <c r="CT81" s="228"/>
      <c r="CU81" s="228"/>
      <c r="CV81" s="228"/>
      <c r="CW81" s="228"/>
      <c r="CX81" s="228"/>
      <c r="CY81" s="228"/>
      <c r="CZ81" s="228"/>
      <c r="DA81" s="228"/>
      <c r="DB81" s="228"/>
      <c r="DC81" s="228"/>
      <c r="DD81" s="228"/>
      <c r="DE81" s="228"/>
      <c r="DF81" s="228"/>
      <c r="DG81" s="228"/>
      <c r="DH81" s="228"/>
      <c r="DI81" s="228"/>
      <c r="DJ81" s="228"/>
      <c r="DK81" s="228"/>
      <c r="DL81" s="228"/>
      <c r="DM81" s="228"/>
      <c r="DN81" s="228"/>
      <c r="DO81" s="228"/>
      <c r="DP81" s="228"/>
    </row>
    <row r="82" spans="1:120" ht="3.95" customHeight="1" x14ac:dyDescent="0.25">
      <c r="A82" s="231"/>
      <c r="B82" s="1062"/>
      <c r="C82" s="1063"/>
      <c r="D82" s="1075"/>
      <c r="E82" s="1075"/>
      <c r="F82" s="1075"/>
      <c r="G82" s="1075"/>
      <c r="H82" s="1075"/>
      <c r="I82" s="1075"/>
      <c r="J82" s="1075"/>
      <c r="K82" s="1075"/>
      <c r="L82" s="1075"/>
      <c r="M82" s="1075"/>
      <c r="N82" s="1075"/>
      <c r="O82" s="1075"/>
      <c r="P82" s="1075"/>
      <c r="Q82" s="1075"/>
      <c r="R82" s="1060"/>
      <c r="S82" s="1061"/>
      <c r="T82" s="1076"/>
      <c r="U82" s="1063"/>
      <c r="V82" s="1075"/>
      <c r="W82" s="1075"/>
      <c r="X82" s="1075"/>
      <c r="Y82" s="1075"/>
      <c r="Z82" s="1075"/>
      <c r="AA82" s="1075"/>
      <c r="AB82" s="1075"/>
      <c r="AC82" s="1075"/>
      <c r="AD82" s="1075"/>
      <c r="AE82" s="1075"/>
      <c r="AF82" s="1075"/>
      <c r="AG82" s="1075"/>
      <c r="AH82" s="1075"/>
      <c r="AI82" s="1075"/>
      <c r="AJ82" s="1060"/>
      <c r="AK82" s="1061"/>
      <c r="AL82" s="231"/>
      <c r="AM82" s="1077">
        <f>B82*R82</f>
        <v>0</v>
      </c>
      <c r="AN82" s="1077">
        <f>T82*AJ82</f>
        <v>0</v>
      </c>
      <c r="AO82" s="228"/>
      <c r="AP82" s="231"/>
      <c r="AQ82" s="231"/>
      <c r="AR82" s="231"/>
      <c r="AS82" s="231"/>
      <c r="AT82" s="231"/>
      <c r="AU82" s="231"/>
      <c r="AV82" s="231"/>
      <c r="AW82" s="231"/>
      <c r="AX82" s="231"/>
      <c r="AY82" s="231"/>
      <c r="AZ82" s="231"/>
      <c r="BA82" s="231"/>
      <c r="BB82" s="231"/>
      <c r="BC82" s="231"/>
      <c r="BD82" s="231"/>
      <c r="BE82" s="231"/>
      <c r="BF82" s="231"/>
      <c r="BG82" s="231"/>
      <c r="BH82" s="231"/>
      <c r="BI82" s="231"/>
      <c r="BJ82" s="231"/>
      <c r="BK82" s="1037"/>
      <c r="BL82" s="1038"/>
      <c r="BM82" s="1038"/>
      <c r="BN82" s="1038"/>
      <c r="BO82" s="1028"/>
      <c r="BP82" s="1029"/>
      <c r="BQ82" s="1029"/>
      <c r="BR82" s="1029"/>
      <c r="BS82" s="1029"/>
      <c r="BT82" s="1029"/>
      <c r="BU82" s="1029"/>
      <c r="BV82" s="1029"/>
      <c r="BW82" s="1029"/>
      <c r="BX82" s="1029"/>
      <c r="BY82" s="1029"/>
      <c r="BZ82" s="1029"/>
      <c r="CA82" s="1029"/>
      <c r="CB82" s="1029"/>
      <c r="CC82" s="1030"/>
      <c r="CD82" s="231"/>
      <c r="CN82" s="228"/>
      <c r="CO82" s="228"/>
      <c r="CP82" s="228"/>
      <c r="CQ82" s="228"/>
      <c r="CR82" s="228"/>
      <c r="CS82" s="228"/>
      <c r="CT82" s="228"/>
      <c r="CU82" s="228"/>
      <c r="CV82" s="228"/>
      <c r="CW82" s="228"/>
      <c r="CX82" s="228"/>
      <c r="CY82" s="228"/>
      <c r="CZ82" s="228"/>
      <c r="DA82" s="228"/>
      <c r="DB82" s="228"/>
      <c r="DC82" s="228"/>
      <c r="DD82" s="228"/>
      <c r="DE82" s="228"/>
      <c r="DF82" s="228"/>
      <c r="DG82" s="228"/>
      <c r="DH82" s="228"/>
      <c r="DI82" s="228"/>
      <c r="DJ82" s="228"/>
      <c r="DK82" s="228"/>
      <c r="DL82" s="228"/>
      <c r="DM82" s="228"/>
      <c r="DN82" s="228"/>
      <c r="DO82" s="228"/>
      <c r="DP82" s="228"/>
    </row>
    <row r="83" spans="1:120" ht="3.95" customHeight="1" x14ac:dyDescent="0.25">
      <c r="A83" s="231"/>
      <c r="B83" s="1062"/>
      <c r="C83" s="1063"/>
      <c r="D83" s="1075"/>
      <c r="E83" s="1075"/>
      <c r="F83" s="1075"/>
      <c r="G83" s="1075"/>
      <c r="H83" s="1075"/>
      <c r="I83" s="1075"/>
      <c r="J83" s="1075"/>
      <c r="K83" s="1075"/>
      <c r="L83" s="1075"/>
      <c r="M83" s="1075"/>
      <c r="N83" s="1075"/>
      <c r="O83" s="1075"/>
      <c r="P83" s="1075"/>
      <c r="Q83" s="1075"/>
      <c r="R83" s="1060"/>
      <c r="S83" s="1061"/>
      <c r="T83" s="1076"/>
      <c r="U83" s="1063"/>
      <c r="V83" s="1075"/>
      <c r="W83" s="1075"/>
      <c r="X83" s="1075"/>
      <c r="Y83" s="1075"/>
      <c r="Z83" s="1075"/>
      <c r="AA83" s="1075"/>
      <c r="AB83" s="1075"/>
      <c r="AC83" s="1075"/>
      <c r="AD83" s="1075"/>
      <c r="AE83" s="1075"/>
      <c r="AF83" s="1075"/>
      <c r="AG83" s="1075"/>
      <c r="AH83" s="1075"/>
      <c r="AI83" s="1075"/>
      <c r="AJ83" s="1060"/>
      <c r="AK83" s="1061"/>
      <c r="AL83" s="231"/>
      <c r="AM83" s="1077"/>
      <c r="AN83" s="1077"/>
      <c r="AO83" s="228"/>
      <c r="AP83" s="231"/>
      <c r="AQ83" s="231"/>
      <c r="AR83" s="231"/>
      <c r="AS83" s="231"/>
      <c r="AT83" s="231"/>
      <c r="AU83" s="231"/>
      <c r="AV83" s="231"/>
      <c r="AW83" s="231"/>
      <c r="AX83" s="231"/>
      <c r="AY83" s="231"/>
      <c r="AZ83" s="231"/>
      <c r="BA83" s="231"/>
      <c r="BB83" s="231"/>
      <c r="BC83" s="231"/>
      <c r="BD83" s="231"/>
      <c r="BE83" s="231"/>
      <c r="BF83" s="231"/>
      <c r="BG83" s="231"/>
      <c r="BH83" s="231"/>
      <c r="BI83" s="231"/>
      <c r="BJ83" s="231"/>
      <c r="BK83" s="1037"/>
      <c r="BL83" s="1038"/>
      <c r="BM83" s="1038"/>
      <c r="BN83" s="1038"/>
      <c r="BO83" s="1031"/>
      <c r="BP83" s="1032"/>
      <c r="BQ83" s="1032"/>
      <c r="BR83" s="1032"/>
      <c r="BS83" s="1032"/>
      <c r="BT83" s="1032"/>
      <c r="BU83" s="1032"/>
      <c r="BV83" s="1032"/>
      <c r="BW83" s="1032"/>
      <c r="BX83" s="1032"/>
      <c r="BY83" s="1032"/>
      <c r="BZ83" s="1032"/>
      <c r="CA83" s="1032"/>
      <c r="CB83" s="1032"/>
      <c r="CC83" s="1033"/>
      <c r="CD83" s="231"/>
      <c r="CN83" s="228"/>
      <c r="CO83" s="228"/>
      <c r="CP83" s="228"/>
      <c r="CQ83" s="228"/>
      <c r="CR83" s="228"/>
      <c r="CS83" s="228"/>
      <c r="CT83" s="228"/>
      <c r="CU83" s="228"/>
      <c r="CV83" s="228"/>
      <c r="CW83" s="228"/>
      <c r="CX83" s="228"/>
      <c r="CY83" s="228"/>
      <c r="CZ83" s="228"/>
      <c r="DA83" s="228"/>
      <c r="DB83" s="228"/>
      <c r="DC83" s="228"/>
      <c r="DD83" s="228"/>
      <c r="DE83" s="228"/>
      <c r="DF83" s="228"/>
      <c r="DG83" s="228"/>
      <c r="DH83" s="228"/>
      <c r="DI83" s="228"/>
      <c r="DJ83" s="228"/>
      <c r="DK83" s="228"/>
      <c r="DL83" s="228"/>
      <c r="DM83" s="228"/>
      <c r="DN83" s="228"/>
      <c r="DO83" s="228"/>
      <c r="DP83" s="228"/>
    </row>
    <row r="84" spans="1:120" ht="3.95" customHeight="1" x14ac:dyDescent="0.25">
      <c r="A84" s="231"/>
      <c r="B84" s="1062"/>
      <c r="C84" s="1063"/>
      <c r="D84" s="1075"/>
      <c r="E84" s="1075"/>
      <c r="F84" s="1075"/>
      <c r="G84" s="1075"/>
      <c r="H84" s="1075"/>
      <c r="I84" s="1075"/>
      <c r="J84" s="1075"/>
      <c r="K84" s="1075"/>
      <c r="L84" s="1075"/>
      <c r="M84" s="1075"/>
      <c r="N84" s="1075"/>
      <c r="O84" s="1075"/>
      <c r="P84" s="1075"/>
      <c r="Q84" s="1075"/>
      <c r="R84" s="1060"/>
      <c r="S84" s="1061"/>
      <c r="T84" s="1076"/>
      <c r="U84" s="1063"/>
      <c r="V84" s="1075"/>
      <c r="W84" s="1075"/>
      <c r="X84" s="1075"/>
      <c r="Y84" s="1075"/>
      <c r="Z84" s="1075"/>
      <c r="AA84" s="1075"/>
      <c r="AB84" s="1075"/>
      <c r="AC84" s="1075"/>
      <c r="AD84" s="1075"/>
      <c r="AE84" s="1075"/>
      <c r="AF84" s="1075"/>
      <c r="AG84" s="1075"/>
      <c r="AH84" s="1075"/>
      <c r="AI84" s="1075"/>
      <c r="AJ84" s="1060"/>
      <c r="AK84" s="1061"/>
      <c r="AL84" s="231"/>
      <c r="AM84" s="1077"/>
      <c r="AN84" s="1077"/>
      <c r="AO84" s="228"/>
      <c r="AP84" s="231"/>
      <c r="AQ84" s="1019" t="s">
        <v>527</v>
      </c>
      <c r="AR84" s="1020"/>
      <c r="AS84" s="1020"/>
      <c r="AT84" s="1020"/>
      <c r="AU84" s="1020"/>
      <c r="AV84" s="1020"/>
      <c r="AW84" s="1020"/>
      <c r="AX84" s="1020"/>
      <c r="AY84" s="1020"/>
      <c r="AZ84" s="1020"/>
      <c r="BA84" s="1020"/>
      <c r="BB84" s="1020"/>
      <c r="BC84" s="1020"/>
      <c r="BD84" s="1020"/>
      <c r="BE84" s="1020"/>
      <c r="BF84" s="1020"/>
      <c r="BG84" s="1020"/>
      <c r="BH84" s="1020"/>
      <c r="BI84" s="1021"/>
      <c r="BJ84" s="231"/>
      <c r="BK84" s="1037"/>
      <c r="BL84" s="1038"/>
      <c r="BM84" s="1038"/>
      <c r="BN84" s="1038"/>
      <c r="BO84" s="1034"/>
      <c r="BP84" s="1035"/>
      <c r="BQ84" s="1035"/>
      <c r="BR84" s="1035"/>
      <c r="BS84" s="1035"/>
      <c r="BT84" s="1035"/>
      <c r="BU84" s="1035"/>
      <c r="BV84" s="1035"/>
      <c r="BW84" s="1035"/>
      <c r="BX84" s="1035"/>
      <c r="BY84" s="1035"/>
      <c r="BZ84" s="1035"/>
      <c r="CA84" s="1035"/>
      <c r="CB84" s="1035"/>
      <c r="CC84" s="1036"/>
      <c r="CD84" s="231"/>
      <c r="CN84" s="228"/>
      <c r="CO84" s="228"/>
      <c r="CP84" s="228"/>
      <c r="CQ84" s="228"/>
      <c r="CR84" s="228"/>
      <c r="CS84" s="228"/>
      <c r="CT84" s="228"/>
      <c r="CU84" s="228"/>
      <c r="CV84" s="228"/>
      <c r="CW84" s="228"/>
      <c r="CX84" s="228"/>
      <c r="CY84" s="228"/>
      <c r="CZ84" s="228"/>
      <c r="DA84" s="228"/>
      <c r="DB84" s="228"/>
      <c r="DC84" s="228"/>
      <c r="DD84" s="228"/>
      <c r="DE84" s="228"/>
      <c r="DF84" s="228"/>
      <c r="DG84" s="228"/>
      <c r="DH84" s="228"/>
      <c r="DI84" s="228"/>
      <c r="DJ84" s="228"/>
      <c r="DK84" s="228"/>
      <c r="DL84" s="228"/>
      <c r="DM84" s="228"/>
      <c r="DN84" s="228"/>
      <c r="DO84" s="228"/>
      <c r="DP84" s="228"/>
    </row>
    <row r="85" spans="1:120" ht="3.95" customHeight="1" x14ac:dyDescent="0.25">
      <c r="A85" s="231"/>
      <c r="B85" s="1062"/>
      <c r="C85" s="1063"/>
      <c r="D85" s="1075"/>
      <c r="E85" s="1075"/>
      <c r="F85" s="1075"/>
      <c r="G85" s="1075"/>
      <c r="H85" s="1075"/>
      <c r="I85" s="1075"/>
      <c r="J85" s="1075"/>
      <c r="K85" s="1075"/>
      <c r="L85" s="1075"/>
      <c r="M85" s="1075"/>
      <c r="N85" s="1075"/>
      <c r="O85" s="1075"/>
      <c r="P85" s="1075"/>
      <c r="Q85" s="1075"/>
      <c r="R85" s="1060"/>
      <c r="S85" s="1061"/>
      <c r="T85" s="1076"/>
      <c r="U85" s="1063"/>
      <c r="V85" s="1075"/>
      <c r="W85" s="1075"/>
      <c r="X85" s="1075"/>
      <c r="Y85" s="1075"/>
      <c r="Z85" s="1075"/>
      <c r="AA85" s="1075"/>
      <c r="AB85" s="1075"/>
      <c r="AC85" s="1075"/>
      <c r="AD85" s="1075"/>
      <c r="AE85" s="1075"/>
      <c r="AF85" s="1075"/>
      <c r="AG85" s="1075"/>
      <c r="AH85" s="1075"/>
      <c r="AI85" s="1075"/>
      <c r="AJ85" s="1060"/>
      <c r="AK85" s="1061"/>
      <c r="AL85" s="231"/>
      <c r="AM85" s="1077">
        <f>B85*R85</f>
        <v>0</v>
      </c>
      <c r="AN85" s="1077">
        <f>T85*AJ85</f>
        <v>0</v>
      </c>
      <c r="AO85" s="228"/>
      <c r="AP85" s="231"/>
      <c r="AQ85" s="1022"/>
      <c r="AR85" s="1023"/>
      <c r="AS85" s="1023"/>
      <c r="AT85" s="1023"/>
      <c r="AU85" s="1023"/>
      <c r="AV85" s="1023"/>
      <c r="AW85" s="1023"/>
      <c r="AX85" s="1023"/>
      <c r="AY85" s="1023"/>
      <c r="AZ85" s="1023"/>
      <c r="BA85" s="1023"/>
      <c r="BB85" s="1023"/>
      <c r="BC85" s="1023"/>
      <c r="BD85" s="1023"/>
      <c r="BE85" s="1023"/>
      <c r="BF85" s="1023"/>
      <c r="BG85" s="1023"/>
      <c r="BH85" s="1023"/>
      <c r="BI85" s="1024"/>
      <c r="BJ85" s="231"/>
      <c r="BK85" s="1037"/>
      <c r="BL85" s="1038"/>
      <c r="BM85" s="1038"/>
      <c r="BN85" s="1038"/>
      <c r="BO85" s="1028"/>
      <c r="BP85" s="1029"/>
      <c r="BQ85" s="1029"/>
      <c r="BR85" s="1029"/>
      <c r="BS85" s="1029"/>
      <c r="BT85" s="1029"/>
      <c r="BU85" s="1029"/>
      <c r="BV85" s="1029"/>
      <c r="BW85" s="1029"/>
      <c r="BX85" s="1029"/>
      <c r="BY85" s="1029"/>
      <c r="BZ85" s="1029"/>
      <c r="CA85" s="1029"/>
      <c r="CB85" s="1029"/>
      <c r="CC85" s="1030"/>
      <c r="CD85" s="231"/>
      <c r="CN85" s="228"/>
      <c r="CO85" s="228"/>
      <c r="CP85" s="228"/>
      <c r="CQ85" s="228"/>
      <c r="CR85" s="228"/>
      <c r="CS85" s="228"/>
      <c r="CT85" s="228"/>
      <c r="CU85" s="228"/>
      <c r="CV85" s="228"/>
      <c r="CW85" s="228"/>
      <c r="CX85" s="228"/>
      <c r="CY85" s="228"/>
      <c r="CZ85" s="228"/>
      <c r="DA85" s="228"/>
      <c r="DB85" s="228"/>
      <c r="DC85" s="228"/>
      <c r="DD85" s="228"/>
      <c r="DE85" s="228"/>
      <c r="DF85" s="228"/>
      <c r="DG85" s="228"/>
      <c r="DH85" s="228"/>
      <c r="DI85" s="228"/>
      <c r="DJ85" s="228"/>
      <c r="DK85" s="228"/>
      <c r="DL85" s="228"/>
      <c r="DM85" s="228"/>
      <c r="DN85" s="228"/>
      <c r="DO85" s="228"/>
      <c r="DP85" s="228"/>
    </row>
    <row r="86" spans="1:120" ht="3.95" customHeight="1" x14ac:dyDescent="0.25">
      <c r="A86" s="231"/>
      <c r="B86" s="1062"/>
      <c r="C86" s="1063"/>
      <c r="D86" s="1075"/>
      <c r="E86" s="1075"/>
      <c r="F86" s="1075"/>
      <c r="G86" s="1075"/>
      <c r="H86" s="1075"/>
      <c r="I86" s="1075"/>
      <c r="J86" s="1075"/>
      <c r="K86" s="1075"/>
      <c r="L86" s="1075"/>
      <c r="M86" s="1075"/>
      <c r="N86" s="1075"/>
      <c r="O86" s="1075"/>
      <c r="P86" s="1075"/>
      <c r="Q86" s="1075"/>
      <c r="R86" s="1060"/>
      <c r="S86" s="1061"/>
      <c r="T86" s="1076"/>
      <c r="U86" s="1063"/>
      <c r="V86" s="1075"/>
      <c r="W86" s="1075"/>
      <c r="X86" s="1075"/>
      <c r="Y86" s="1075"/>
      <c r="Z86" s="1075"/>
      <c r="AA86" s="1075"/>
      <c r="AB86" s="1075"/>
      <c r="AC86" s="1075"/>
      <c r="AD86" s="1075"/>
      <c r="AE86" s="1075"/>
      <c r="AF86" s="1075"/>
      <c r="AG86" s="1075"/>
      <c r="AH86" s="1075"/>
      <c r="AI86" s="1075"/>
      <c r="AJ86" s="1060"/>
      <c r="AK86" s="1061"/>
      <c r="AL86" s="231"/>
      <c r="AM86" s="1077"/>
      <c r="AN86" s="1077"/>
      <c r="AO86" s="228"/>
      <c r="AP86" s="231"/>
      <c r="AQ86" s="1022"/>
      <c r="AR86" s="1023"/>
      <c r="AS86" s="1023"/>
      <c r="AT86" s="1023"/>
      <c r="AU86" s="1023"/>
      <c r="AV86" s="1023"/>
      <c r="AW86" s="1023"/>
      <c r="AX86" s="1023"/>
      <c r="AY86" s="1023"/>
      <c r="AZ86" s="1023"/>
      <c r="BA86" s="1023"/>
      <c r="BB86" s="1023"/>
      <c r="BC86" s="1023"/>
      <c r="BD86" s="1023"/>
      <c r="BE86" s="1023"/>
      <c r="BF86" s="1023"/>
      <c r="BG86" s="1023"/>
      <c r="BH86" s="1023"/>
      <c r="BI86" s="1024"/>
      <c r="BJ86" s="231"/>
      <c r="BK86" s="1037"/>
      <c r="BL86" s="1038"/>
      <c r="BM86" s="1038"/>
      <c r="BN86" s="1038"/>
      <c r="BO86" s="1031"/>
      <c r="BP86" s="1032"/>
      <c r="BQ86" s="1032"/>
      <c r="BR86" s="1032"/>
      <c r="BS86" s="1032"/>
      <c r="BT86" s="1032"/>
      <c r="BU86" s="1032"/>
      <c r="BV86" s="1032"/>
      <c r="BW86" s="1032"/>
      <c r="BX86" s="1032"/>
      <c r="BY86" s="1032"/>
      <c r="BZ86" s="1032"/>
      <c r="CA86" s="1032"/>
      <c r="CB86" s="1032"/>
      <c r="CC86" s="1033"/>
      <c r="CD86" s="231"/>
      <c r="CN86" s="228"/>
      <c r="CO86" s="228"/>
      <c r="CP86" s="228"/>
      <c r="CQ86" s="228"/>
      <c r="CR86" s="228"/>
      <c r="CS86" s="228"/>
      <c r="CT86" s="228"/>
      <c r="CU86" s="228"/>
      <c r="CV86" s="228"/>
      <c r="CW86" s="228"/>
      <c r="CX86" s="228"/>
      <c r="CY86" s="228"/>
      <c r="CZ86" s="228"/>
      <c r="DA86" s="228"/>
      <c r="DB86" s="228"/>
      <c r="DC86" s="228"/>
      <c r="DD86" s="228"/>
      <c r="DE86" s="228"/>
      <c r="DF86" s="228"/>
      <c r="DG86" s="228"/>
      <c r="DH86" s="228"/>
      <c r="DI86" s="228"/>
      <c r="DJ86" s="228"/>
      <c r="DK86" s="228"/>
      <c r="DL86" s="228"/>
      <c r="DM86" s="228"/>
      <c r="DN86" s="228"/>
      <c r="DO86" s="228"/>
      <c r="DP86" s="228"/>
    </row>
    <row r="87" spans="1:120" ht="3.95" customHeight="1" x14ac:dyDescent="0.25">
      <c r="A87" s="231"/>
      <c r="B87" s="1062"/>
      <c r="C87" s="1063"/>
      <c r="D87" s="1075"/>
      <c r="E87" s="1075"/>
      <c r="F87" s="1075"/>
      <c r="G87" s="1075"/>
      <c r="H87" s="1075"/>
      <c r="I87" s="1075"/>
      <c r="J87" s="1075"/>
      <c r="K87" s="1075"/>
      <c r="L87" s="1075"/>
      <c r="M87" s="1075"/>
      <c r="N87" s="1075"/>
      <c r="O87" s="1075"/>
      <c r="P87" s="1075"/>
      <c r="Q87" s="1075"/>
      <c r="R87" s="1060"/>
      <c r="S87" s="1061"/>
      <c r="T87" s="1076"/>
      <c r="U87" s="1063"/>
      <c r="V87" s="1075"/>
      <c r="W87" s="1075"/>
      <c r="X87" s="1075"/>
      <c r="Y87" s="1075"/>
      <c r="Z87" s="1075"/>
      <c r="AA87" s="1075"/>
      <c r="AB87" s="1075"/>
      <c r="AC87" s="1075"/>
      <c r="AD87" s="1075"/>
      <c r="AE87" s="1075"/>
      <c r="AF87" s="1075"/>
      <c r="AG87" s="1075"/>
      <c r="AH87" s="1075"/>
      <c r="AI87" s="1075"/>
      <c r="AJ87" s="1060"/>
      <c r="AK87" s="1061"/>
      <c r="AL87" s="231"/>
      <c r="AM87" s="1077"/>
      <c r="AN87" s="1077"/>
      <c r="AO87" s="228"/>
      <c r="AP87" s="231"/>
      <c r="AQ87" s="1025"/>
      <c r="AR87" s="1026"/>
      <c r="AS87" s="1026"/>
      <c r="AT87" s="1026"/>
      <c r="AU87" s="1026"/>
      <c r="AV87" s="1026"/>
      <c r="AW87" s="1026"/>
      <c r="AX87" s="1026"/>
      <c r="AY87" s="1026"/>
      <c r="AZ87" s="1026"/>
      <c r="BA87" s="1026"/>
      <c r="BB87" s="1026"/>
      <c r="BC87" s="1026"/>
      <c r="BD87" s="1026"/>
      <c r="BE87" s="1026"/>
      <c r="BF87" s="1026"/>
      <c r="BG87" s="1026"/>
      <c r="BH87" s="1026"/>
      <c r="BI87" s="1027"/>
      <c r="BJ87" s="231"/>
      <c r="BK87" s="1037"/>
      <c r="BL87" s="1038"/>
      <c r="BM87" s="1038"/>
      <c r="BN87" s="1038"/>
      <c r="BO87" s="1034"/>
      <c r="BP87" s="1035"/>
      <c r="BQ87" s="1035"/>
      <c r="BR87" s="1035"/>
      <c r="BS87" s="1035"/>
      <c r="BT87" s="1035"/>
      <c r="BU87" s="1035"/>
      <c r="BV87" s="1035"/>
      <c r="BW87" s="1035"/>
      <c r="BX87" s="1035"/>
      <c r="BY87" s="1035"/>
      <c r="BZ87" s="1035"/>
      <c r="CA87" s="1035"/>
      <c r="CB87" s="1035"/>
      <c r="CC87" s="1036"/>
      <c r="CD87" s="231"/>
      <c r="CN87" s="228"/>
      <c r="CO87" s="228"/>
      <c r="CP87" s="228"/>
      <c r="CQ87" s="228"/>
      <c r="CR87" s="228"/>
      <c r="CS87" s="228"/>
      <c r="CT87" s="228"/>
      <c r="CU87" s="228"/>
      <c r="CV87" s="228"/>
      <c r="CW87" s="228"/>
      <c r="CX87" s="228"/>
      <c r="CY87" s="228"/>
      <c r="CZ87" s="228"/>
      <c r="DA87" s="228"/>
      <c r="DB87" s="228"/>
      <c r="DC87" s="228"/>
      <c r="DD87" s="228"/>
      <c r="DE87" s="228"/>
      <c r="DF87" s="228"/>
      <c r="DG87" s="228"/>
      <c r="DH87" s="228"/>
      <c r="DI87" s="228"/>
      <c r="DJ87" s="228"/>
      <c r="DK87" s="228"/>
      <c r="DL87" s="228"/>
      <c r="DM87" s="228"/>
      <c r="DN87" s="228"/>
      <c r="DO87" s="228"/>
      <c r="DP87" s="228"/>
    </row>
    <row r="88" spans="1:120" ht="3.95" customHeight="1" x14ac:dyDescent="0.25">
      <c r="A88" s="231"/>
      <c r="B88" s="1062"/>
      <c r="C88" s="1063"/>
      <c r="D88" s="1075"/>
      <c r="E88" s="1075"/>
      <c r="F88" s="1075"/>
      <c r="G88" s="1075"/>
      <c r="H88" s="1075"/>
      <c r="I88" s="1075"/>
      <c r="J88" s="1075"/>
      <c r="K88" s="1075"/>
      <c r="L88" s="1075"/>
      <c r="M88" s="1075"/>
      <c r="N88" s="1075"/>
      <c r="O88" s="1075"/>
      <c r="P88" s="1075"/>
      <c r="Q88" s="1075"/>
      <c r="R88" s="1060"/>
      <c r="S88" s="1061"/>
      <c r="T88" s="1076"/>
      <c r="U88" s="1063"/>
      <c r="V88" s="1075"/>
      <c r="W88" s="1075"/>
      <c r="X88" s="1075"/>
      <c r="Y88" s="1075"/>
      <c r="Z88" s="1075"/>
      <c r="AA88" s="1075"/>
      <c r="AB88" s="1075"/>
      <c r="AC88" s="1075"/>
      <c r="AD88" s="1075"/>
      <c r="AE88" s="1075"/>
      <c r="AF88" s="1075"/>
      <c r="AG88" s="1075"/>
      <c r="AH88" s="1075"/>
      <c r="AI88" s="1075"/>
      <c r="AJ88" s="1078"/>
      <c r="AK88" s="1079"/>
      <c r="AL88" s="231"/>
      <c r="AM88" s="1077">
        <f>B88*R88</f>
        <v>0</v>
      </c>
      <c r="AN88" s="1077">
        <f>T88*AJ88</f>
        <v>0</v>
      </c>
      <c r="AO88" s="228"/>
      <c r="AP88" s="231"/>
      <c r="AQ88" s="1185"/>
      <c r="AR88" s="1186"/>
      <c r="AS88" s="1186"/>
      <c r="AT88" s="1186"/>
      <c r="AU88" s="1186"/>
      <c r="AV88" s="1186"/>
      <c r="AW88" s="1186"/>
      <c r="AX88" s="1186"/>
      <c r="AY88" s="1186"/>
      <c r="AZ88" s="1186"/>
      <c r="BA88" s="1186"/>
      <c r="BB88" s="1186"/>
      <c r="BC88" s="1186"/>
      <c r="BD88" s="1186"/>
      <c r="BE88" s="1186"/>
      <c r="BF88" s="1186"/>
      <c r="BG88" s="1186"/>
      <c r="BH88" s="1186"/>
      <c r="BI88" s="1187"/>
      <c r="BJ88" s="231"/>
      <c r="BK88" s="1037"/>
      <c r="BL88" s="1038"/>
      <c r="BM88" s="1038"/>
      <c r="BN88" s="1038"/>
      <c r="BO88" s="1028"/>
      <c r="BP88" s="1029"/>
      <c r="BQ88" s="1029"/>
      <c r="BR88" s="1029"/>
      <c r="BS88" s="1029"/>
      <c r="BT88" s="1029"/>
      <c r="BU88" s="1029"/>
      <c r="BV88" s="1029"/>
      <c r="BW88" s="1029"/>
      <c r="BX88" s="1029"/>
      <c r="BY88" s="1029"/>
      <c r="BZ88" s="1029"/>
      <c r="CA88" s="1029"/>
      <c r="CB88" s="1029"/>
      <c r="CC88" s="1030"/>
      <c r="CD88" s="231"/>
      <c r="CN88" s="228"/>
      <c r="CO88" s="228"/>
      <c r="CP88" s="228"/>
      <c r="CQ88" s="228"/>
      <c r="CR88" s="228"/>
      <c r="CS88" s="228"/>
      <c r="CT88" s="228"/>
      <c r="CU88" s="228"/>
      <c r="CV88" s="228"/>
      <c r="CW88" s="228"/>
      <c r="CX88" s="228"/>
      <c r="CY88" s="228"/>
      <c r="CZ88" s="228"/>
      <c r="DA88" s="228"/>
      <c r="DB88" s="228"/>
      <c r="DC88" s="228"/>
      <c r="DD88" s="228"/>
      <c r="DE88" s="228"/>
      <c r="DF88" s="228"/>
      <c r="DG88" s="228"/>
      <c r="DH88" s="228"/>
      <c r="DI88" s="228"/>
      <c r="DJ88" s="228"/>
      <c r="DK88" s="228"/>
      <c r="DL88" s="228"/>
      <c r="DM88" s="228"/>
      <c r="DN88" s="228"/>
      <c r="DO88" s="228"/>
      <c r="DP88" s="228"/>
    </row>
    <row r="89" spans="1:120" ht="3.95" customHeight="1" x14ac:dyDescent="0.25">
      <c r="A89" s="231"/>
      <c r="B89" s="1062"/>
      <c r="C89" s="1063"/>
      <c r="D89" s="1075"/>
      <c r="E89" s="1075"/>
      <c r="F89" s="1075"/>
      <c r="G89" s="1075"/>
      <c r="H89" s="1075"/>
      <c r="I89" s="1075"/>
      <c r="J89" s="1075"/>
      <c r="K89" s="1075"/>
      <c r="L89" s="1075"/>
      <c r="M89" s="1075"/>
      <c r="N89" s="1075"/>
      <c r="O89" s="1075"/>
      <c r="P89" s="1075"/>
      <c r="Q89" s="1075"/>
      <c r="R89" s="1060"/>
      <c r="S89" s="1061"/>
      <c r="T89" s="1076"/>
      <c r="U89" s="1063"/>
      <c r="V89" s="1075"/>
      <c r="W89" s="1075"/>
      <c r="X89" s="1075"/>
      <c r="Y89" s="1075"/>
      <c r="Z89" s="1075"/>
      <c r="AA89" s="1075"/>
      <c r="AB89" s="1075"/>
      <c r="AC89" s="1075"/>
      <c r="AD89" s="1075"/>
      <c r="AE89" s="1075"/>
      <c r="AF89" s="1075"/>
      <c r="AG89" s="1075"/>
      <c r="AH89" s="1075"/>
      <c r="AI89" s="1075"/>
      <c r="AJ89" s="1078"/>
      <c r="AK89" s="1079"/>
      <c r="AL89" s="231"/>
      <c r="AM89" s="1077"/>
      <c r="AN89" s="1077"/>
      <c r="AO89" s="228"/>
      <c r="AP89" s="231"/>
      <c r="AQ89" s="1178"/>
      <c r="AR89" s="1179"/>
      <c r="AS89" s="1179"/>
      <c r="AT89" s="1179"/>
      <c r="AU89" s="1179"/>
      <c r="AV89" s="1179"/>
      <c r="AW89" s="1179"/>
      <c r="AX89" s="1179"/>
      <c r="AY89" s="1179"/>
      <c r="AZ89" s="1179"/>
      <c r="BA89" s="1179"/>
      <c r="BB89" s="1179"/>
      <c r="BC89" s="1179"/>
      <c r="BD89" s="1179"/>
      <c r="BE89" s="1179"/>
      <c r="BF89" s="1179"/>
      <c r="BG89" s="1179"/>
      <c r="BH89" s="1179"/>
      <c r="BI89" s="1188"/>
      <c r="BJ89" s="231"/>
      <c r="BK89" s="1037"/>
      <c r="BL89" s="1038"/>
      <c r="BM89" s="1038"/>
      <c r="BN89" s="1038"/>
      <c r="BO89" s="1031"/>
      <c r="BP89" s="1032"/>
      <c r="BQ89" s="1032"/>
      <c r="BR89" s="1032"/>
      <c r="BS89" s="1032"/>
      <c r="BT89" s="1032"/>
      <c r="BU89" s="1032"/>
      <c r="BV89" s="1032"/>
      <c r="BW89" s="1032"/>
      <c r="BX89" s="1032"/>
      <c r="BY89" s="1032"/>
      <c r="BZ89" s="1032"/>
      <c r="CA89" s="1032"/>
      <c r="CB89" s="1032"/>
      <c r="CC89" s="1033"/>
      <c r="CD89" s="231"/>
      <c r="CN89" s="228"/>
      <c r="CO89" s="228"/>
      <c r="CP89" s="228"/>
      <c r="CQ89" s="228"/>
      <c r="CR89" s="228"/>
      <c r="CS89" s="228"/>
      <c r="CT89" s="228"/>
      <c r="CU89" s="228"/>
      <c r="CV89" s="228"/>
      <c r="CW89" s="228"/>
      <c r="CX89" s="228"/>
      <c r="CY89" s="228"/>
      <c r="CZ89" s="228"/>
      <c r="DA89" s="228"/>
      <c r="DB89" s="228"/>
      <c r="DC89" s="228"/>
      <c r="DD89" s="228"/>
      <c r="DE89" s="228"/>
      <c r="DF89" s="228"/>
      <c r="DG89" s="228"/>
      <c r="DH89" s="228"/>
      <c r="DI89" s="228"/>
      <c r="DJ89" s="228"/>
      <c r="DK89" s="228"/>
      <c r="DL89" s="228"/>
      <c r="DM89" s="228"/>
      <c r="DN89" s="228"/>
      <c r="DO89" s="228"/>
      <c r="DP89" s="228"/>
    </row>
    <row r="90" spans="1:120" ht="3.95" customHeight="1" x14ac:dyDescent="0.25">
      <c r="A90" s="231"/>
      <c r="B90" s="1062"/>
      <c r="C90" s="1063"/>
      <c r="D90" s="1075"/>
      <c r="E90" s="1075"/>
      <c r="F90" s="1075"/>
      <c r="G90" s="1075"/>
      <c r="H90" s="1075"/>
      <c r="I90" s="1075"/>
      <c r="J90" s="1075"/>
      <c r="K90" s="1075"/>
      <c r="L90" s="1075"/>
      <c r="M90" s="1075"/>
      <c r="N90" s="1075"/>
      <c r="O90" s="1075"/>
      <c r="P90" s="1075"/>
      <c r="Q90" s="1075"/>
      <c r="R90" s="1060"/>
      <c r="S90" s="1061"/>
      <c r="T90" s="1076"/>
      <c r="U90" s="1063"/>
      <c r="V90" s="1075"/>
      <c r="W90" s="1075"/>
      <c r="X90" s="1075"/>
      <c r="Y90" s="1075"/>
      <c r="Z90" s="1075"/>
      <c r="AA90" s="1075"/>
      <c r="AB90" s="1075"/>
      <c r="AC90" s="1075"/>
      <c r="AD90" s="1075"/>
      <c r="AE90" s="1075"/>
      <c r="AF90" s="1075"/>
      <c r="AG90" s="1075"/>
      <c r="AH90" s="1075"/>
      <c r="AI90" s="1075"/>
      <c r="AJ90" s="1078"/>
      <c r="AK90" s="1079"/>
      <c r="AL90" s="231"/>
      <c r="AM90" s="1077"/>
      <c r="AN90" s="1077"/>
      <c r="AO90" s="228"/>
      <c r="AP90" s="231"/>
      <c r="AQ90" s="1178"/>
      <c r="AR90" s="1179"/>
      <c r="AS90" s="1179"/>
      <c r="AT90" s="1179"/>
      <c r="AU90" s="1179"/>
      <c r="AV90" s="1179"/>
      <c r="AW90" s="1179"/>
      <c r="AX90" s="1179"/>
      <c r="AY90" s="1179"/>
      <c r="AZ90" s="1179"/>
      <c r="BA90" s="1179"/>
      <c r="BB90" s="1179"/>
      <c r="BC90" s="1179"/>
      <c r="BD90" s="1179"/>
      <c r="BE90" s="1179"/>
      <c r="BF90" s="1179"/>
      <c r="BG90" s="1179"/>
      <c r="BH90" s="1179"/>
      <c r="BI90" s="1188"/>
      <c r="BJ90" s="231"/>
      <c r="BK90" s="1037"/>
      <c r="BL90" s="1038"/>
      <c r="BM90" s="1038"/>
      <c r="BN90" s="1038"/>
      <c r="BO90" s="1034"/>
      <c r="BP90" s="1035"/>
      <c r="BQ90" s="1035"/>
      <c r="BR90" s="1035"/>
      <c r="BS90" s="1035"/>
      <c r="BT90" s="1035"/>
      <c r="BU90" s="1035"/>
      <c r="BV90" s="1035"/>
      <c r="BW90" s="1035"/>
      <c r="BX90" s="1035"/>
      <c r="BY90" s="1035"/>
      <c r="BZ90" s="1035"/>
      <c r="CA90" s="1035"/>
      <c r="CB90" s="1035"/>
      <c r="CC90" s="1036"/>
      <c r="CD90" s="231"/>
      <c r="CN90" s="228"/>
      <c r="CO90" s="228"/>
      <c r="CP90" s="228"/>
      <c r="CQ90" s="228"/>
      <c r="CR90" s="228"/>
      <c r="CS90" s="228"/>
      <c r="CT90" s="228"/>
      <c r="CU90" s="228"/>
      <c r="CV90" s="228"/>
      <c r="CW90" s="228"/>
      <c r="CX90" s="228"/>
      <c r="CY90" s="228"/>
      <c r="CZ90" s="228"/>
      <c r="DA90" s="228"/>
      <c r="DB90" s="228"/>
      <c r="DC90" s="228"/>
      <c r="DD90" s="228"/>
      <c r="DE90" s="228"/>
      <c r="DF90" s="228"/>
      <c r="DG90" s="228"/>
      <c r="DH90" s="228"/>
      <c r="DI90" s="228"/>
      <c r="DJ90" s="228"/>
      <c r="DK90" s="228"/>
      <c r="DL90" s="228"/>
      <c r="DM90" s="228"/>
      <c r="DN90" s="228"/>
      <c r="DO90" s="228"/>
      <c r="DP90" s="228"/>
    </row>
    <row r="91" spans="1:120" ht="3.95" customHeight="1" x14ac:dyDescent="0.25">
      <c r="A91" s="231"/>
      <c r="B91" s="1062"/>
      <c r="C91" s="1063"/>
      <c r="D91" s="1075"/>
      <c r="E91" s="1075"/>
      <c r="F91" s="1075"/>
      <c r="G91" s="1075"/>
      <c r="H91" s="1075"/>
      <c r="I91" s="1075"/>
      <c r="J91" s="1075"/>
      <c r="K91" s="1075"/>
      <c r="L91" s="1075"/>
      <c r="M91" s="1075"/>
      <c r="N91" s="1075"/>
      <c r="O91" s="1075"/>
      <c r="P91" s="1075"/>
      <c r="Q91" s="1075"/>
      <c r="R91" s="1060"/>
      <c r="S91" s="1061"/>
      <c r="T91" s="1076"/>
      <c r="U91" s="1063"/>
      <c r="V91" s="1075"/>
      <c r="W91" s="1075"/>
      <c r="X91" s="1075"/>
      <c r="Y91" s="1075"/>
      <c r="Z91" s="1075"/>
      <c r="AA91" s="1075"/>
      <c r="AB91" s="1075"/>
      <c r="AC91" s="1075"/>
      <c r="AD91" s="1075"/>
      <c r="AE91" s="1075"/>
      <c r="AF91" s="1075"/>
      <c r="AG91" s="1075"/>
      <c r="AH91" s="1075"/>
      <c r="AI91" s="1075"/>
      <c r="AJ91" s="1060"/>
      <c r="AK91" s="1061"/>
      <c r="AL91" s="231"/>
      <c r="AM91" s="1077">
        <f>B91*R91</f>
        <v>0</v>
      </c>
      <c r="AN91" s="1077">
        <f>T91*AJ91</f>
        <v>0</v>
      </c>
      <c r="AO91" s="228"/>
      <c r="AP91" s="231"/>
      <c r="AQ91" s="1178"/>
      <c r="AR91" s="1179"/>
      <c r="AS91" s="1179"/>
      <c r="AT91" s="1179"/>
      <c r="AU91" s="1179"/>
      <c r="AV91" s="1179"/>
      <c r="AW91" s="1179"/>
      <c r="AX91" s="1179"/>
      <c r="AY91" s="1179"/>
      <c r="AZ91" s="1179"/>
      <c r="BA91" s="1179"/>
      <c r="BB91" s="1179"/>
      <c r="BC91" s="1179"/>
      <c r="BD91" s="1179"/>
      <c r="BE91" s="1179"/>
      <c r="BF91" s="1179"/>
      <c r="BG91" s="1179"/>
      <c r="BH91" s="1179"/>
      <c r="BI91" s="1188"/>
      <c r="BJ91" s="231"/>
      <c r="BK91" s="1037"/>
      <c r="BL91" s="1038"/>
      <c r="BM91" s="1038"/>
      <c r="BN91" s="1038"/>
      <c r="BO91" s="1028"/>
      <c r="BP91" s="1029"/>
      <c r="BQ91" s="1029"/>
      <c r="BR91" s="1029"/>
      <c r="BS91" s="1029"/>
      <c r="BT91" s="1029"/>
      <c r="BU91" s="1029"/>
      <c r="BV91" s="1029"/>
      <c r="BW91" s="1029"/>
      <c r="BX91" s="1029"/>
      <c r="BY91" s="1029"/>
      <c r="BZ91" s="1029"/>
      <c r="CA91" s="1029"/>
      <c r="CB91" s="1029"/>
      <c r="CC91" s="1030"/>
      <c r="CD91" s="231"/>
      <c r="CN91" s="228"/>
      <c r="CO91" s="228"/>
      <c r="CP91" s="228"/>
      <c r="CQ91" s="228"/>
      <c r="CR91" s="228"/>
      <c r="CS91" s="228"/>
      <c r="CT91" s="228"/>
      <c r="CU91" s="228"/>
      <c r="CV91" s="228"/>
      <c r="CW91" s="228"/>
      <c r="CX91" s="228"/>
      <c r="CY91" s="228"/>
      <c r="CZ91" s="228"/>
      <c r="DA91" s="228"/>
      <c r="DB91" s="228"/>
      <c r="DC91" s="228"/>
      <c r="DD91" s="228"/>
      <c r="DE91" s="228"/>
      <c r="DF91" s="228"/>
      <c r="DG91" s="228"/>
      <c r="DH91" s="228"/>
      <c r="DI91" s="228"/>
      <c r="DJ91" s="228"/>
      <c r="DK91" s="228"/>
      <c r="DL91" s="228"/>
      <c r="DM91" s="228"/>
      <c r="DN91" s="228"/>
      <c r="DO91" s="228"/>
      <c r="DP91" s="228"/>
    </row>
    <row r="92" spans="1:120" ht="3.95" customHeight="1" x14ac:dyDescent="0.25">
      <c r="A92" s="231"/>
      <c r="B92" s="1062"/>
      <c r="C92" s="1063"/>
      <c r="D92" s="1075"/>
      <c r="E92" s="1075"/>
      <c r="F92" s="1075"/>
      <c r="G92" s="1075"/>
      <c r="H92" s="1075"/>
      <c r="I92" s="1075"/>
      <c r="J92" s="1075"/>
      <c r="K92" s="1075"/>
      <c r="L92" s="1075"/>
      <c r="M92" s="1075"/>
      <c r="N92" s="1075"/>
      <c r="O92" s="1075"/>
      <c r="P92" s="1075"/>
      <c r="Q92" s="1075"/>
      <c r="R92" s="1060"/>
      <c r="S92" s="1061"/>
      <c r="T92" s="1076"/>
      <c r="U92" s="1063"/>
      <c r="V92" s="1075"/>
      <c r="W92" s="1075"/>
      <c r="X92" s="1075"/>
      <c r="Y92" s="1075"/>
      <c r="Z92" s="1075"/>
      <c r="AA92" s="1075"/>
      <c r="AB92" s="1075"/>
      <c r="AC92" s="1075"/>
      <c r="AD92" s="1075"/>
      <c r="AE92" s="1075"/>
      <c r="AF92" s="1075"/>
      <c r="AG92" s="1075"/>
      <c r="AH92" s="1075"/>
      <c r="AI92" s="1075"/>
      <c r="AJ92" s="1060"/>
      <c r="AK92" s="1061"/>
      <c r="AL92" s="231"/>
      <c r="AM92" s="1077"/>
      <c r="AN92" s="1077"/>
      <c r="AO92" s="228"/>
      <c r="AP92" s="231"/>
      <c r="AQ92" s="1178"/>
      <c r="AR92" s="1179"/>
      <c r="AS92" s="1179"/>
      <c r="AT92" s="1179"/>
      <c r="AU92" s="1179"/>
      <c r="AV92" s="1179"/>
      <c r="AW92" s="1179"/>
      <c r="AX92" s="1179"/>
      <c r="AY92" s="1179"/>
      <c r="AZ92" s="1179"/>
      <c r="BA92" s="1179"/>
      <c r="BB92" s="1179"/>
      <c r="BC92" s="1179"/>
      <c r="BD92" s="1179"/>
      <c r="BE92" s="1179"/>
      <c r="BF92" s="1179"/>
      <c r="BG92" s="1179"/>
      <c r="BH92" s="1179"/>
      <c r="BI92" s="1188"/>
      <c r="BJ92" s="231"/>
      <c r="BK92" s="1037"/>
      <c r="BL92" s="1038"/>
      <c r="BM92" s="1038"/>
      <c r="BN92" s="1038"/>
      <c r="BO92" s="1031"/>
      <c r="BP92" s="1032"/>
      <c r="BQ92" s="1032"/>
      <c r="BR92" s="1032"/>
      <c r="BS92" s="1032"/>
      <c r="BT92" s="1032"/>
      <c r="BU92" s="1032"/>
      <c r="BV92" s="1032"/>
      <c r="BW92" s="1032"/>
      <c r="BX92" s="1032"/>
      <c r="BY92" s="1032"/>
      <c r="BZ92" s="1032"/>
      <c r="CA92" s="1032"/>
      <c r="CB92" s="1032"/>
      <c r="CC92" s="1033"/>
      <c r="CD92" s="231"/>
      <c r="CN92" s="228"/>
      <c r="CO92" s="228"/>
      <c r="CP92" s="228"/>
      <c r="CQ92" s="228"/>
      <c r="CR92" s="228"/>
      <c r="CS92" s="228"/>
      <c r="CT92" s="228"/>
      <c r="CU92" s="228"/>
      <c r="CV92" s="228"/>
      <c r="CW92" s="228"/>
      <c r="CX92" s="228"/>
      <c r="CY92" s="228"/>
      <c r="CZ92" s="228"/>
      <c r="DA92" s="228"/>
      <c r="DB92" s="228"/>
      <c r="DC92" s="228"/>
      <c r="DD92" s="228"/>
      <c r="DE92" s="228"/>
      <c r="DF92" s="228"/>
      <c r="DG92" s="228"/>
      <c r="DH92" s="228"/>
      <c r="DI92" s="228"/>
      <c r="DJ92" s="228"/>
      <c r="DK92" s="228"/>
      <c r="DL92" s="228"/>
      <c r="DM92" s="228"/>
      <c r="DN92" s="228"/>
      <c r="DO92" s="228"/>
      <c r="DP92" s="228"/>
    </row>
    <row r="93" spans="1:120" ht="3.95" customHeight="1" x14ac:dyDescent="0.25">
      <c r="A93" s="231"/>
      <c r="B93" s="1062"/>
      <c r="C93" s="1063"/>
      <c r="D93" s="1075"/>
      <c r="E93" s="1075"/>
      <c r="F93" s="1075"/>
      <c r="G93" s="1075"/>
      <c r="H93" s="1075"/>
      <c r="I93" s="1075"/>
      <c r="J93" s="1075"/>
      <c r="K93" s="1075"/>
      <c r="L93" s="1075"/>
      <c r="M93" s="1075"/>
      <c r="N93" s="1075"/>
      <c r="O93" s="1075"/>
      <c r="P93" s="1075"/>
      <c r="Q93" s="1075"/>
      <c r="R93" s="1060"/>
      <c r="S93" s="1061"/>
      <c r="T93" s="1076"/>
      <c r="U93" s="1063"/>
      <c r="V93" s="1075"/>
      <c r="W93" s="1075"/>
      <c r="X93" s="1075"/>
      <c r="Y93" s="1075"/>
      <c r="Z93" s="1075"/>
      <c r="AA93" s="1075"/>
      <c r="AB93" s="1075"/>
      <c r="AC93" s="1075"/>
      <c r="AD93" s="1075"/>
      <c r="AE93" s="1075"/>
      <c r="AF93" s="1075"/>
      <c r="AG93" s="1075"/>
      <c r="AH93" s="1075"/>
      <c r="AI93" s="1075"/>
      <c r="AJ93" s="1060"/>
      <c r="AK93" s="1061"/>
      <c r="AL93" s="231"/>
      <c r="AM93" s="1077"/>
      <c r="AN93" s="1077"/>
      <c r="AO93" s="228"/>
      <c r="AP93" s="231"/>
      <c r="AQ93" s="1178"/>
      <c r="AR93" s="1179"/>
      <c r="AS93" s="1179"/>
      <c r="AT93" s="1179"/>
      <c r="AU93" s="1179"/>
      <c r="AV93" s="1179"/>
      <c r="AW93" s="1179"/>
      <c r="AX93" s="1179"/>
      <c r="AY93" s="1179"/>
      <c r="AZ93" s="1179"/>
      <c r="BA93" s="1179"/>
      <c r="BB93" s="1179"/>
      <c r="BC93" s="1179"/>
      <c r="BD93" s="1179"/>
      <c r="BE93" s="1179"/>
      <c r="BF93" s="1179"/>
      <c r="BG93" s="1179"/>
      <c r="BH93" s="1179"/>
      <c r="BI93" s="1188"/>
      <c r="BJ93" s="231"/>
      <c r="BK93" s="1037"/>
      <c r="BL93" s="1038"/>
      <c r="BM93" s="1038"/>
      <c r="BN93" s="1038"/>
      <c r="BO93" s="1034"/>
      <c r="BP93" s="1035"/>
      <c r="BQ93" s="1035"/>
      <c r="BR93" s="1035"/>
      <c r="BS93" s="1035"/>
      <c r="BT93" s="1035"/>
      <c r="BU93" s="1035"/>
      <c r="BV93" s="1035"/>
      <c r="BW93" s="1035"/>
      <c r="BX93" s="1035"/>
      <c r="BY93" s="1035"/>
      <c r="BZ93" s="1035"/>
      <c r="CA93" s="1035"/>
      <c r="CB93" s="1035"/>
      <c r="CC93" s="1036"/>
      <c r="CD93" s="231"/>
      <c r="CN93" s="228"/>
      <c r="CO93" s="228"/>
      <c r="CP93" s="228"/>
      <c r="CQ93" s="228"/>
      <c r="CR93" s="228"/>
      <c r="CS93" s="228"/>
      <c r="CT93" s="228"/>
      <c r="CU93" s="228"/>
      <c r="CV93" s="228"/>
      <c r="CW93" s="228"/>
      <c r="CX93" s="228"/>
      <c r="CY93" s="228"/>
      <c r="CZ93" s="228"/>
      <c r="DA93" s="228"/>
      <c r="DB93" s="228"/>
      <c r="DC93" s="228"/>
      <c r="DD93" s="228"/>
      <c r="DE93" s="228"/>
      <c r="DF93" s="228"/>
      <c r="DG93" s="228"/>
      <c r="DH93" s="228"/>
      <c r="DI93" s="228"/>
      <c r="DJ93" s="228"/>
      <c r="DK93" s="228"/>
      <c r="DL93" s="228"/>
      <c r="DM93" s="228"/>
      <c r="DN93" s="228"/>
      <c r="DO93" s="228"/>
      <c r="DP93" s="228"/>
    </row>
    <row r="94" spans="1:120" ht="3.95" customHeight="1" x14ac:dyDescent="0.25">
      <c r="A94" s="231"/>
      <c r="B94" s="1062"/>
      <c r="C94" s="1063"/>
      <c r="D94" s="1075"/>
      <c r="E94" s="1075"/>
      <c r="F94" s="1075"/>
      <c r="G94" s="1075"/>
      <c r="H94" s="1075"/>
      <c r="I94" s="1075"/>
      <c r="J94" s="1075"/>
      <c r="K94" s="1075"/>
      <c r="L94" s="1075"/>
      <c r="M94" s="1075"/>
      <c r="N94" s="1075"/>
      <c r="O94" s="1075"/>
      <c r="P94" s="1075"/>
      <c r="Q94" s="1075"/>
      <c r="R94" s="1060"/>
      <c r="S94" s="1061"/>
      <c r="T94" s="1076"/>
      <c r="U94" s="1063"/>
      <c r="V94" s="1075"/>
      <c r="W94" s="1075"/>
      <c r="X94" s="1075"/>
      <c r="Y94" s="1075"/>
      <c r="Z94" s="1075"/>
      <c r="AA94" s="1075"/>
      <c r="AB94" s="1075"/>
      <c r="AC94" s="1075"/>
      <c r="AD94" s="1075"/>
      <c r="AE94" s="1075"/>
      <c r="AF94" s="1075"/>
      <c r="AG94" s="1075"/>
      <c r="AH94" s="1075"/>
      <c r="AI94" s="1075"/>
      <c r="AJ94" s="1060"/>
      <c r="AK94" s="1061"/>
      <c r="AL94" s="231"/>
      <c r="AM94" s="1077">
        <f>B94*R94</f>
        <v>0</v>
      </c>
      <c r="AN94" s="1077">
        <f>T94*AJ94</f>
        <v>0</v>
      </c>
      <c r="AO94" s="228"/>
      <c r="AP94" s="231"/>
      <c r="AQ94" s="1178"/>
      <c r="AR94" s="1179"/>
      <c r="AS94" s="1179"/>
      <c r="AT94" s="1179"/>
      <c r="AU94" s="1179"/>
      <c r="AV94" s="1179"/>
      <c r="AW94" s="1179"/>
      <c r="AX94" s="1179"/>
      <c r="AY94" s="1179"/>
      <c r="AZ94" s="1179"/>
      <c r="BA94" s="1179"/>
      <c r="BB94" s="1179"/>
      <c r="BC94" s="1179"/>
      <c r="BD94" s="1179"/>
      <c r="BE94" s="1179"/>
      <c r="BF94" s="1179"/>
      <c r="BG94" s="1179"/>
      <c r="BH94" s="1179"/>
      <c r="BI94" s="1188"/>
      <c r="BJ94" s="231"/>
      <c r="BK94" s="1037"/>
      <c r="BL94" s="1038"/>
      <c r="BM94" s="1038"/>
      <c r="BN94" s="1038"/>
      <c r="BO94" s="1028"/>
      <c r="BP94" s="1029"/>
      <c r="BQ94" s="1029"/>
      <c r="BR94" s="1029"/>
      <c r="BS94" s="1029"/>
      <c r="BT94" s="1029"/>
      <c r="BU94" s="1029"/>
      <c r="BV94" s="1029"/>
      <c r="BW94" s="1029"/>
      <c r="BX94" s="1029"/>
      <c r="BY94" s="1029"/>
      <c r="BZ94" s="1029"/>
      <c r="CA94" s="1029"/>
      <c r="CB94" s="1029"/>
      <c r="CC94" s="1030"/>
      <c r="CD94" s="231"/>
      <c r="CN94" s="228"/>
      <c r="CO94" s="228"/>
      <c r="CP94" s="228"/>
      <c r="CQ94" s="228"/>
      <c r="CR94" s="228"/>
      <c r="CS94" s="228"/>
      <c r="CT94" s="228"/>
      <c r="CU94" s="228"/>
      <c r="CV94" s="228"/>
      <c r="CW94" s="228"/>
      <c r="CX94" s="228"/>
      <c r="CY94" s="228"/>
      <c r="CZ94" s="228"/>
      <c r="DA94" s="228"/>
      <c r="DB94" s="228"/>
      <c r="DC94" s="228"/>
      <c r="DD94" s="228"/>
      <c r="DE94" s="228"/>
      <c r="DF94" s="228"/>
      <c r="DG94" s="228"/>
      <c r="DH94" s="228"/>
      <c r="DI94" s="228"/>
      <c r="DJ94" s="228"/>
      <c r="DK94" s="228"/>
      <c r="DL94" s="228"/>
      <c r="DM94" s="228"/>
      <c r="DN94" s="228"/>
      <c r="DO94" s="228"/>
      <c r="DP94" s="228"/>
    </row>
    <row r="95" spans="1:120" ht="3.95" customHeight="1" x14ac:dyDescent="0.25">
      <c r="A95" s="231"/>
      <c r="B95" s="1062"/>
      <c r="C95" s="1063"/>
      <c r="D95" s="1075"/>
      <c r="E95" s="1075"/>
      <c r="F95" s="1075"/>
      <c r="G95" s="1075"/>
      <c r="H95" s="1075"/>
      <c r="I95" s="1075"/>
      <c r="J95" s="1075"/>
      <c r="K95" s="1075"/>
      <c r="L95" s="1075"/>
      <c r="M95" s="1075"/>
      <c r="N95" s="1075"/>
      <c r="O95" s="1075"/>
      <c r="P95" s="1075"/>
      <c r="Q95" s="1075"/>
      <c r="R95" s="1060"/>
      <c r="S95" s="1061"/>
      <c r="T95" s="1076"/>
      <c r="U95" s="1063"/>
      <c r="V95" s="1075"/>
      <c r="W95" s="1075"/>
      <c r="X95" s="1075"/>
      <c r="Y95" s="1075"/>
      <c r="Z95" s="1075"/>
      <c r="AA95" s="1075"/>
      <c r="AB95" s="1075"/>
      <c r="AC95" s="1075"/>
      <c r="AD95" s="1075"/>
      <c r="AE95" s="1075"/>
      <c r="AF95" s="1075"/>
      <c r="AG95" s="1075"/>
      <c r="AH95" s="1075"/>
      <c r="AI95" s="1075"/>
      <c r="AJ95" s="1060"/>
      <c r="AK95" s="1061"/>
      <c r="AL95" s="231"/>
      <c r="AM95" s="1077"/>
      <c r="AN95" s="1077"/>
      <c r="AO95" s="228"/>
      <c r="AP95" s="231"/>
      <c r="AQ95" s="1178"/>
      <c r="AR95" s="1179"/>
      <c r="AS95" s="1179"/>
      <c r="AT95" s="1179"/>
      <c r="AU95" s="1179"/>
      <c r="AV95" s="1179"/>
      <c r="AW95" s="1179"/>
      <c r="AX95" s="1179"/>
      <c r="AY95" s="1179"/>
      <c r="AZ95" s="1179"/>
      <c r="BA95" s="1179"/>
      <c r="BB95" s="1179"/>
      <c r="BC95" s="1179"/>
      <c r="BD95" s="1179"/>
      <c r="BE95" s="1179"/>
      <c r="BF95" s="1179"/>
      <c r="BG95" s="1179"/>
      <c r="BH95" s="1179"/>
      <c r="BI95" s="1188"/>
      <c r="BJ95" s="231"/>
      <c r="BK95" s="1037"/>
      <c r="BL95" s="1038"/>
      <c r="BM95" s="1038"/>
      <c r="BN95" s="1038"/>
      <c r="BO95" s="1031"/>
      <c r="BP95" s="1032"/>
      <c r="BQ95" s="1032"/>
      <c r="BR95" s="1032"/>
      <c r="BS95" s="1032"/>
      <c r="BT95" s="1032"/>
      <c r="BU95" s="1032"/>
      <c r="BV95" s="1032"/>
      <c r="BW95" s="1032"/>
      <c r="BX95" s="1032"/>
      <c r="BY95" s="1032"/>
      <c r="BZ95" s="1032"/>
      <c r="CA95" s="1032"/>
      <c r="CB95" s="1032"/>
      <c r="CC95" s="1033"/>
      <c r="CD95" s="231"/>
      <c r="CN95" s="228"/>
      <c r="CO95" s="228"/>
      <c r="CP95" s="228"/>
      <c r="CQ95" s="228"/>
      <c r="CR95" s="228"/>
      <c r="CS95" s="228"/>
      <c r="CT95" s="228"/>
      <c r="CU95" s="228"/>
      <c r="CV95" s="228"/>
      <c r="CW95" s="228"/>
      <c r="CX95" s="228"/>
      <c r="CY95" s="228"/>
      <c r="CZ95" s="228"/>
      <c r="DA95" s="228"/>
      <c r="DB95" s="228"/>
      <c r="DC95" s="228"/>
      <c r="DD95" s="228"/>
      <c r="DE95" s="228"/>
      <c r="DF95" s="228"/>
      <c r="DG95" s="228"/>
      <c r="DH95" s="228"/>
      <c r="DI95" s="228"/>
      <c r="DJ95" s="228"/>
      <c r="DK95" s="228"/>
      <c r="DL95" s="228"/>
      <c r="DM95" s="228"/>
      <c r="DN95" s="228"/>
      <c r="DO95" s="228"/>
      <c r="DP95" s="228"/>
    </row>
    <row r="96" spans="1:120" ht="3.95" customHeight="1" x14ac:dyDescent="0.25">
      <c r="A96" s="231"/>
      <c r="B96" s="1062"/>
      <c r="C96" s="1063"/>
      <c r="D96" s="1075"/>
      <c r="E96" s="1075"/>
      <c r="F96" s="1075"/>
      <c r="G96" s="1075"/>
      <c r="H96" s="1075"/>
      <c r="I96" s="1075"/>
      <c r="J96" s="1075"/>
      <c r="K96" s="1075"/>
      <c r="L96" s="1075"/>
      <c r="M96" s="1075"/>
      <c r="N96" s="1075"/>
      <c r="O96" s="1075"/>
      <c r="P96" s="1075"/>
      <c r="Q96" s="1075"/>
      <c r="R96" s="1060"/>
      <c r="S96" s="1061"/>
      <c r="T96" s="1076"/>
      <c r="U96" s="1063"/>
      <c r="V96" s="1075"/>
      <c r="W96" s="1075"/>
      <c r="X96" s="1075"/>
      <c r="Y96" s="1075"/>
      <c r="Z96" s="1075"/>
      <c r="AA96" s="1075"/>
      <c r="AB96" s="1075"/>
      <c r="AC96" s="1075"/>
      <c r="AD96" s="1075"/>
      <c r="AE96" s="1075"/>
      <c r="AF96" s="1075"/>
      <c r="AG96" s="1075"/>
      <c r="AH96" s="1075"/>
      <c r="AI96" s="1075"/>
      <c r="AJ96" s="1060"/>
      <c r="AK96" s="1061"/>
      <c r="AL96" s="231"/>
      <c r="AM96" s="1077"/>
      <c r="AN96" s="1077"/>
      <c r="AO96" s="228"/>
      <c r="AP96" s="231"/>
      <c r="AQ96" s="1178"/>
      <c r="AR96" s="1179"/>
      <c r="AS96" s="1179"/>
      <c r="AT96" s="1179"/>
      <c r="AU96" s="1179"/>
      <c r="AV96" s="1179"/>
      <c r="AW96" s="1179"/>
      <c r="AX96" s="1179"/>
      <c r="AY96" s="1179"/>
      <c r="AZ96" s="1179"/>
      <c r="BA96" s="1179"/>
      <c r="BB96" s="1179"/>
      <c r="BC96" s="1179"/>
      <c r="BD96" s="1179"/>
      <c r="BE96" s="1179"/>
      <c r="BF96" s="1179"/>
      <c r="BG96" s="1179"/>
      <c r="BH96" s="1179"/>
      <c r="BI96" s="1188"/>
      <c r="BJ96" s="231"/>
      <c r="BK96" s="1037"/>
      <c r="BL96" s="1038"/>
      <c r="BM96" s="1038"/>
      <c r="BN96" s="1038"/>
      <c r="BO96" s="1034"/>
      <c r="BP96" s="1035"/>
      <c r="BQ96" s="1035"/>
      <c r="BR96" s="1035"/>
      <c r="BS96" s="1035"/>
      <c r="BT96" s="1035"/>
      <c r="BU96" s="1035"/>
      <c r="BV96" s="1035"/>
      <c r="BW96" s="1035"/>
      <c r="BX96" s="1035"/>
      <c r="BY96" s="1035"/>
      <c r="BZ96" s="1035"/>
      <c r="CA96" s="1035"/>
      <c r="CB96" s="1035"/>
      <c r="CC96" s="1036"/>
      <c r="CD96" s="231"/>
      <c r="CN96" s="228"/>
      <c r="CO96" s="228"/>
      <c r="CP96" s="228"/>
      <c r="CQ96" s="228"/>
      <c r="CR96" s="228"/>
      <c r="CS96" s="228"/>
      <c r="CT96" s="228"/>
      <c r="CU96" s="228"/>
      <c r="CV96" s="228"/>
      <c r="CW96" s="228"/>
      <c r="CX96" s="228"/>
      <c r="CY96" s="228"/>
      <c r="CZ96" s="228"/>
      <c r="DA96" s="228"/>
      <c r="DB96" s="228"/>
      <c r="DC96" s="228"/>
      <c r="DD96" s="228"/>
      <c r="DE96" s="228"/>
      <c r="DF96" s="228"/>
      <c r="DG96" s="228"/>
      <c r="DH96" s="228"/>
      <c r="DI96" s="228"/>
      <c r="DJ96" s="228"/>
      <c r="DK96" s="228"/>
      <c r="DL96" s="228"/>
      <c r="DM96" s="228"/>
      <c r="DN96" s="228"/>
      <c r="DO96" s="228"/>
      <c r="DP96" s="228"/>
    </row>
    <row r="97" spans="1:137" ht="3.95" customHeight="1" x14ac:dyDescent="0.25">
      <c r="A97" s="231"/>
      <c r="B97" s="1062"/>
      <c r="C97" s="1063"/>
      <c r="D97" s="1075"/>
      <c r="E97" s="1075"/>
      <c r="F97" s="1075"/>
      <c r="G97" s="1075"/>
      <c r="H97" s="1075"/>
      <c r="I97" s="1075"/>
      <c r="J97" s="1075"/>
      <c r="K97" s="1075"/>
      <c r="L97" s="1075"/>
      <c r="M97" s="1075"/>
      <c r="N97" s="1075"/>
      <c r="O97" s="1075"/>
      <c r="P97" s="1075"/>
      <c r="Q97" s="1075"/>
      <c r="R97" s="1060"/>
      <c r="S97" s="1061"/>
      <c r="T97" s="1076"/>
      <c r="U97" s="1063"/>
      <c r="V97" s="1075"/>
      <c r="W97" s="1075"/>
      <c r="X97" s="1075"/>
      <c r="Y97" s="1075"/>
      <c r="Z97" s="1075"/>
      <c r="AA97" s="1075"/>
      <c r="AB97" s="1075"/>
      <c r="AC97" s="1075"/>
      <c r="AD97" s="1075"/>
      <c r="AE97" s="1075"/>
      <c r="AF97" s="1075"/>
      <c r="AG97" s="1075"/>
      <c r="AH97" s="1075"/>
      <c r="AI97" s="1075"/>
      <c r="AJ97" s="1060"/>
      <c r="AK97" s="1061"/>
      <c r="AL97" s="231"/>
      <c r="AM97" s="1077">
        <f>B97*R97</f>
        <v>0</v>
      </c>
      <c r="AN97" s="1077">
        <f>T97*AJ97</f>
        <v>0</v>
      </c>
      <c r="AO97" s="228"/>
      <c r="AP97" s="231"/>
      <c r="AQ97" s="1178"/>
      <c r="AR97" s="1179"/>
      <c r="AS97" s="1179"/>
      <c r="AT97" s="1179"/>
      <c r="AU97" s="1179"/>
      <c r="AV97" s="1179"/>
      <c r="AW97" s="1179"/>
      <c r="AX97" s="1179"/>
      <c r="AY97" s="1179"/>
      <c r="AZ97" s="1179"/>
      <c r="BA97" s="1179"/>
      <c r="BB97" s="1179"/>
      <c r="BC97" s="1179"/>
      <c r="BD97" s="1179"/>
      <c r="BE97" s="1179"/>
      <c r="BF97" s="1179"/>
      <c r="BG97" s="1179"/>
      <c r="BH97" s="1179"/>
      <c r="BI97" s="1188"/>
      <c r="BJ97" s="231"/>
      <c r="BK97" s="1037"/>
      <c r="BL97" s="1038"/>
      <c r="BM97" s="1038"/>
      <c r="BN97" s="1038"/>
      <c r="BO97" s="1028"/>
      <c r="BP97" s="1029"/>
      <c r="BQ97" s="1029"/>
      <c r="BR97" s="1029"/>
      <c r="BS97" s="1029"/>
      <c r="BT97" s="1029"/>
      <c r="BU97" s="1029"/>
      <c r="BV97" s="1029"/>
      <c r="BW97" s="1029"/>
      <c r="BX97" s="1029"/>
      <c r="BY97" s="1029"/>
      <c r="BZ97" s="1029"/>
      <c r="CA97" s="1029"/>
      <c r="CB97" s="1029"/>
      <c r="CC97" s="1030"/>
      <c r="CD97" s="231"/>
      <c r="CN97" s="228"/>
      <c r="CO97" s="228"/>
      <c r="CP97" s="228"/>
      <c r="CQ97" s="228"/>
      <c r="CR97" s="228"/>
      <c r="CS97" s="228"/>
      <c r="CT97" s="228"/>
      <c r="CU97" s="228"/>
      <c r="CV97" s="228"/>
      <c r="CW97" s="228"/>
      <c r="CX97" s="228"/>
      <c r="CY97" s="228"/>
      <c r="CZ97" s="228"/>
      <c r="DA97" s="228"/>
      <c r="DB97" s="228"/>
      <c r="DC97" s="228"/>
      <c r="DD97" s="228"/>
      <c r="DE97" s="228"/>
      <c r="DF97" s="228"/>
      <c r="DG97" s="228"/>
      <c r="DH97" s="228"/>
      <c r="DI97" s="228"/>
      <c r="DJ97" s="228"/>
      <c r="DK97" s="228"/>
      <c r="DL97" s="228"/>
      <c r="DM97" s="228"/>
      <c r="DN97" s="228"/>
      <c r="DO97" s="228"/>
      <c r="DP97" s="228"/>
    </row>
    <row r="98" spans="1:137" ht="3.95" customHeight="1" x14ac:dyDescent="0.25">
      <c r="A98" s="231"/>
      <c r="B98" s="1062"/>
      <c r="C98" s="1063"/>
      <c r="D98" s="1075"/>
      <c r="E98" s="1075"/>
      <c r="F98" s="1075"/>
      <c r="G98" s="1075"/>
      <c r="H98" s="1075"/>
      <c r="I98" s="1075"/>
      <c r="J98" s="1075"/>
      <c r="K98" s="1075"/>
      <c r="L98" s="1075"/>
      <c r="M98" s="1075"/>
      <c r="N98" s="1075"/>
      <c r="O98" s="1075"/>
      <c r="P98" s="1075"/>
      <c r="Q98" s="1075"/>
      <c r="R98" s="1060"/>
      <c r="S98" s="1061"/>
      <c r="T98" s="1076"/>
      <c r="U98" s="1063"/>
      <c r="V98" s="1075"/>
      <c r="W98" s="1075"/>
      <c r="X98" s="1075"/>
      <c r="Y98" s="1075"/>
      <c r="Z98" s="1075"/>
      <c r="AA98" s="1075"/>
      <c r="AB98" s="1075"/>
      <c r="AC98" s="1075"/>
      <c r="AD98" s="1075"/>
      <c r="AE98" s="1075"/>
      <c r="AF98" s="1075"/>
      <c r="AG98" s="1075"/>
      <c r="AH98" s="1075"/>
      <c r="AI98" s="1075"/>
      <c r="AJ98" s="1060"/>
      <c r="AK98" s="1061"/>
      <c r="AL98" s="231"/>
      <c r="AM98" s="1077"/>
      <c r="AN98" s="1077"/>
      <c r="AO98" s="228"/>
      <c r="AP98" s="231"/>
      <c r="AQ98" s="1178"/>
      <c r="AR98" s="1179"/>
      <c r="AS98" s="1179"/>
      <c r="AT98" s="1179"/>
      <c r="AU98" s="1179"/>
      <c r="AV98" s="1179"/>
      <c r="AW98" s="1179"/>
      <c r="AX98" s="1179"/>
      <c r="AY98" s="1179"/>
      <c r="AZ98" s="1179"/>
      <c r="BA98" s="1179"/>
      <c r="BB98" s="1179"/>
      <c r="BC98" s="1179"/>
      <c r="BD98" s="1179"/>
      <c r="BE98" s="1179"/>
      <c r="BF98" s="1179"/>
      <c r="BG98" s="1179"/>
      <c r="BH98" s="1179"/>
      <c r="BI98" s="1188"/>
      <c r="BJ98" s="231"/>
      <c r="BK98" s="1037"/>
      <c r="BL98" s="1038"/>
      <c r="BM98" s="1038"/>
      <c r="BN98" s="1038"/>
      <c r="BO98" s="1031"/>
      <c r="BP98" s="1032"/>
      <c r="BQ98" s="1032"/>
      <c r="BR98" s="1032"/>
      <c r="BS98" s="1032"/>
      <c r="BT98" s="1032"/>
      <c r="BU98" s="1032"/>
      <c r="BV98" s="1032"/>
      <c r="BW98" s="1032"/>
      <c r="BX98" s="1032"/>
      <c r="BY98" s="1032"/>
      <c r="BZ98" s="1032"/>
      <c r="CA98" s="1032"/>
      <c r="CB98" s="1032"/>
      <c r="CC98" s="1033"/>
      <c r="CD98" s="231"/>
      <c r="CN98" s="228"/>
      <c r="CO98" s="228"/>
      <c r="CP98" s="228"/>
      <c r="CQ98" s="228"/>
      <c r="CR98" s="228"/>
      <c r="CS98" s="228"/>
      <c r="CT98" s="228"/>
      <c r="CU98" s="228"/>
      <c r="CV98" s="228"/>
      <c r="CW98" s="228"/>
      <c r="CX98" s="228"/>
      <c r="CY98" s="228"/>
      <c r="CZ98" s="228"/>
      <c r="DA98" s="228"/>
      <c r="DB98" s="228"/>
      <c r="DC98" s="228"/>
      <c r="DD98" s="228"/>
      <c r="DE98" s="228"/>
      <c r="DF98" s="228"/>
      <c r="DG98" s="228"/>
      <c r="DH98" s="228"/>
      <c r="DI98" s="228"/>
      <c r="DJ98" s="228"/>
      <c r="DK98" s="228"/>
      <c r="DL98" s="228"/>
      <c r="DM98" s="228"/>
      <c r="DN98" s="228"/>
      <c r="DO98" s="228"/>
      <c r="DP98" s="228"/>
    </row>
    <row r="99" spans="1:137" ht="3.95" customHeight="1" x14ac:dyDescent="0.25">
      <c r="A99" s="231"/>
      <c r="B99" s="1062"/>
      <c r="C99" s="1063"/>
      <c r="D99" s="1075"/>
      <c r="E99" s="1075"/>
      <c r="F99" s="1075"/>
      <c r="G99" s="1075"/>
      <c r="H99" s="1075"/>
      <c r="I99" s="1075"/>
      <c r="J99" s="1075"/>
      <c r="K99" s="1075"/>
      <c r="L99" s="1075"/>
      <c r="M99" s="1075"/>
      <c r="N99" s="1075"/>
      <c r="O99" s="1075"/>
      <c r="P99" s="1075"/>
      <c r="Q99" s="1075"/>
      <c r="R99" s="1060"/>
      <c r="S99" s="1061"/>
      <c r="T99" s="1076"/>
      <c r="U99" s="1063"/>
      <c r="V99" s="1075"/>
      <c r="W99" s="1075"/>
      <c r="X99" s="1075"/>
      <c r="Y99" s="1075"/>
      <c r="Z99" s="1075"/>
      <c r="AA99" s="1075"/>
      <c r="AB99" s="1075"/>
      <c r="AC99" s="1075"/>
      <c r="AD99" s="1075"/>
      <c r="AE99" s="1075"/>
      <c r="AF99" s="1075"/>
      <c r="AG99" s="1075"/>
      <c r="AH99" s="1075"/>
      <c r="AI99" s="1075"/>
      <c r="AJ99" s="1060"/>
      <c r="AK99" s="1061"/>
      <c r="AL99" s="231"/>
      <c r="AM99" s="1077"/>
      <c r="AN99" s="1077"/>
      <c r="AO99" s="228"/>
      <c r="AP99" s="231"/>
      <c r="AQ99" s="1178"/>
      <c r="AR99" s="1179"/>
      <c r="AS99" s="1179"/>
      <c r="AT99" s="1179"/>
      <c r="AU99" s="1179"/>
      <c r="AV99" s="1179"/>
      <c r="AW99" s="1179"/>
      <c r="AX99" s="1179"/>
      <c r="AY99" s="1179"/>
      <c r="AZ99" s="1179"/>
      <c r="BA99" s="1179"/>
      <c r="BB99" s="1179"/>
      <c r="BC99" s="1179"/>
      <c r="BD99" s="1179"/>
      <c r="BE99" s="1179"/>
      <c r="BF99" s="1179"/>
      <c r="BG99" s="1179"/>
      <c r="BH99" s="1179"/>
      <c r="BI99" s="1188"/>
      <c r="BJ99" s="231"/>
      <c r="BK99" s="1037"/>
      <c r="BL99" s="1038"/>
      <c r="BM99" s="1038"/>
      <c r="BN99" s="1038"/>
      <c r="BO99" s="1034"/>
      <c r="BP99" s="1035"/>
      <c r="BQ99" s="1035"/>
      <c r="BR99" s="1035"/>
      <c r="BS99" s="1035"/>
      <c r="BT99" s="1035"/>
      <c r="BU99" s="1035"/>
      <c r="BV99" s="1035"/>
      <c r="BW99" s="1035"/>
      <c r="BX99" s="1035"/>
      <c r="BY99" s="1035"/>
      <c r="BZ99" s="1035"/>
      <c r="CA99" s="1035"/>
      <c r="CB99" s="1035"/>
      <c r="CC99" s="1036"/>
      <c r="CD99" s="231"/>
      <c r="CN99" s="228"/>
      <c r="CO99" s="228"/>
      <c r="CP99" s="228"/>
      <c r="CQ99" s="228"/>
      <c r="CR99" s="228"/>
      <c r="CS99" s="228"/>
      <c r="CT99" s="228"/>
      <c r="CU99" s="228"/>
      <c r="CV99" s="228"/>
      <c r="CW99" s="228"/>
      <c r="CX99" s="228"/>
      <c r="CY99" s="228"/>
      <c r="CZ99" s="228"/>
      <c r="DA99" s="228"/>
      <c r="DB99" s="228"/>
      <c r="DC99" s="228"/>
      <c r="DD99" s="228"/>
      <c r="DE99" s="228"/>
      <c r="DF99" s="228"/>
      <c r="DG99" s="228"/>
      <c r="DH99" s="228"/>
      <c r="DI99" s="228"/>
      <c r="DJ99" s="228"/>
      <c r="DK99" s="228"/>
      <c r="DL99" s="228"/>
      <c r="DM99" s="228"/>
      <c r="DN99" s="228"/>
      <c r="DO99" s="228"/>
      <c r="DP99" s="228"/>
    </row>
    <row r="100" spans="1:137" ht="3.95" customHeight="1" x14ac:dyDescent="0.25">
      <c r="A100" s="231"/>
      <c r="B100" s="1062"/>
      <c r="C100" s="1063"/>
      <c r="D100" s="1075"/>
      <c r="E100" s="1075"/>
      <c r="F100" s="1075"/>
      <c r="G100" s="1075"/>
      <c r="H100" s="1075"/>
      <c r="I100" s="1075"/>
      <c r="J100" s="1075"/>
      <c r="K100" s="1075"/>
      <c r="L100" s="1075"/>
      <c r="M100" s="1075"/>
      <c r="N100" s="1075"/>
      <c r="O100" s="1075"/>
      <c r="P100" s="1075"/>
      <c r="Q100" s="1075"/>
      <c r="R100" s="1060"/>
      <c r="S100" s="1061"/>
      <c r="T100" s="1076"/>
      <c r="U100" s="1063"/>
      <c r="V100" s="1075"/>
      <c r="W100" s="1075"/>
      <c r="X100" s="1075"/>
      <c r="Y100" s="1075"/>
      <c r="Z100" s="1075"/>
      <c r="AA100" s="1075"/>
      <c r="AB100" s="1075"/>
      <c r="AC100" s="1075"/>
      <c r="AD100" s="1075"/>
      <c r="AE100" s="1075"/>
      <c r="AF100" s="1075"/>
      <c r="AG100" s="1075"/>
      <c r="AH100" s="1075"/>
      <c r="AI100" s="1075"/>
      <c r="AJ100" s="1060"/>
      <c r="AK100" s="1061"/>
      <c r="AL100" s="231"/>
      <c r="AM100" s="1077">
        <f>B100*R100</f>
        <v>0</v>
      </c>
      <c r="AN100" s="1077">
        <f>T100*AJ100</f>
        <v>0</v>
      </c>
      <c r="AO100" s="228"/>
      <c r="AP100" s="231"/>
      <c r="AQ100" s="1178"/>
      <c r="AR100" s="1179"/>
      <c r="AS100" s="1179"/>
      <c r="AT100" s="1179"/>
      <c r="AU100" s="1179"/>
      <c r="AV100" s="1179"/>
      <c r="AW100" s="1179"/>
      <c r="AX100" s="1179"/>
      <c r="AY100" s="1179"/>
      <c r="AZ100" s="1179"/>
      <c r="BA100" s="1179"/>
      <c r="BB100" s="1179"/>
      <c r="BC100" s="1179"/>
      <c r="BD100" s="1179"/>
      <c r="BE100" s="1179"/>
      <c r="BF100" s="1179"/>
      <c r="BG100" s="1179"/>
      <c r="BH100" s="1179"/>
      <c r="BI100" s="1188"/>
      <c r="BJ100" s="231"/>
      <c r="BK100" s="1037"/>
      <c r="BL100" s="1038"/>
      <c r="BM100" s="1038"/>
      <c r="BN100" s="1038"/>
      <c r="BO100" s="1028"/>
      <c r="BP100" s="1029"/>
      <c r="BQ100" s="1029"/>
      <c r="BR100" s="1029"/>
      <c r="BS100" s="1029"/>
      <c r="BT100" s="1029"/>
      <c r="BU100" s="1029"/>
      <c r="BV100" s="1029"/>
      <c r="BW100" s="1029"/>
      <c r="BX100" s="1029"/>
      <c r="BY100" s="1029"/>
      <c r="BZ100" s="1029"/>
      <c r="CA100" s="1029"/>
      <c r="CB100" s="1029"/>
      <c r="CC100" s="1030"/>
      <c r="CD100" s="231"/>
      <c r="CN100" s="228"/>
      <c r="CO100" s="228"/>
      <c r="CP100" s="228"/>
      <c r="CQ100" s="228"/>
      <c r="CR100" s="228"/>
      <c r="CS100" s="228"/>
      <c r="CT100" s="228"/>
      <c r="CU100" s="228"/>
      <c r="CV100" s="228"/>
      <c r="CW100" s="228"/>
      <c r="CX100" s="228"/>
      <c r="CY100" s="228"/>
      <c r="CZ100" s="228"/>
      <c r="DA100" s="228"/>
      <c r="DB100" s="228"/>
      <c r="DC100" s="228"/>
      <c r="DD100" s="228"/>
      <c r="DE100" s="228"/>
      <c r="DF100" s="228"/>
      <c r="DG100" s="228"/>
      <c r="DH100" s="228"/>
      <c r="DI100" s="228"/>
      <c r="DJ100" s="228"/>
      <c r="DK100" s="228"/>
      <c r="DL100" s="228"/>
      <c r="DM100" s="228"/>
      <c r="DN100" s="228"/>
      <c r="DO100" s="228"/>
      <c r="DP100" s="228"/>
    </row>
    <row r="101" spans="1:137" ht="3.95" customHeight="1" x14ac:dyDescent="0.25">
      <c r="A101" s="231"/>
      <c r="B101" s="1062"/>
      <c r="C101" s="1063"/>
      <c r="D101" s="1075"/>
      <c r="E101" s="1075"/>
      <c r="F101" s="1075"/>
      <c r="G101" s="1075"/>
      <c r="H101" s="1075"/>
      <c r="I101" s="1075"/>
      <c r="J101" s="1075"/>
      <c r="K101" s="1075"/>
      <c r="L101" s="1075"/>
      <c r="M101" s="1075"/>
      <c r="N101" s="1075"/>
      <c r="O101" s="1075"/>
      <c r="P101" s="1075"/>
      <c r="Q101" s="1075"/>
      <c r="R101" s="1060"/>
      <c r="S101" s="1061"/>
      <c r="T101" s="1076"/>
      <c r="U101" s="1063"/>
      <c r="V101" s="1075"/>
      <c r="W101" s="1075"/>
      <c r="X101" s="1075"/>
      <c r="Y101" s="1075"/>
      <c r="Z101" s="1075"/>
      <c r="AA101" s="1075"/>
      <c r="AB101" s="1075"/>
      <c r="AC101" s="1075"/>
      <c r="AD101" s="1075"/>
      <c r="AE101" s="1075"/>
      <c r="AF101" s="1075"/>
      <c r="AG101" s="1075"/>
      <c r="AH101" s="1075"/>
      <c r="AI101" s="1075"/>
      <c r="AJ101" s="1060"/>
      <c r="AK101" s="1061"/>
      <c r="AL101" s="231"/>
      <c r="AM101" s="1077"/>
      <c r="AN101" s="1077"/>
      <c r="AO101" s="228"/>
      <c r="AP101" s="231"/>
      <c r="AQ101" s="1178"/>
      <c r="AR101" s="1179"/>
      <c r="AS101" s="1179"/>
      <c r="AT101" s="1179"/>
      <c r="AU101" s="1179"/>
      <c r="AV101" s="1179"/>
      <c r="AW101" s="1179"/>
      <c r="AX101" s="1179"/>
      <c r="AY101" s="1179"/>
      <c r="AZ101" s="1179"/>
      <c r="BA101" s="1179"/>
      <c r="BB101" s="1179"/>
      <c r="BC101" s="1179"/>
      <c r="BD101" s="1179"/>
      <c r="BE101" s="1179"/>
      <c r="BF101" s="1179"/>
      <c r="BG101" s="1179"/>
      <c r="BH101" s="1179"/>
      <c r="BI101" s="1188"/>
      <c r="BJ101" s="231"/>
      <c r="BK101" s="1037"/>
      <c r="BL101" s="1038"/>
      <c r="BM101" s="1038"/>
      <c r="BN101" s="1038"/>
      <c r="BO101" s="1031"/>
      <c r="BP101" s="1032"/>
      <c r="BQ101" s="1032"/>
      <c r="BR101" s="1032"/>
      <c r="BS101" s="1032"/>
      <c r="BT101" s="1032"/>
      <c r="BU101" s="1032"/>
      <c r="BV101" s="1032"/>
      <c r="BW101" s="1032"/>
      <c r="BX101" s="1032"/>
      <c r="BY101" s="1032"/>
      <c r="BZ101" s="1032"/>
      <c r="CA101" s="1032"/>
      <c r="CB101" s="1032"/>
      <c r="CC101" s="1033"/>
      <c r="CD101" s="231"/>
      <c r="CN101" s="228"/>
      <c r="CO101" s="228"/>
      <c r="CP101" s="228"/>
      <c r="CQ101" s="228"/>
      <c r="CR101" s="228"/>
      <c r="CS101" s="228"/>
      <c r="CT101" s="228"/>
      <c r="CU101" s="228"/>
      <c r="CV101" s="228"/>
      <c r="CW101" s="228"/>
      <c r="CX101" s="228"/>
      <c r="CY101" s="228"/>
      <c r="CZ101" s="228"/>
      <c r="DA101" s="228"/>
      <c r="DB101" s="228"/>
      <c r="DC101" s="228"/>
      <c r="DD101" s="228"/>
      <c r="DE101" s="228"/>
      <c r="DF101" s="228"/>
      <c r="DG101" s="228"/>
      <c r="DH101" s="228"/>
      <c r="DI101" s="228"/>
      <c r="DJ101" s="228"/>
      <c r="DK101" s="228"/>
      <c r="DL101" s="228"/>
      <c r="DM101" s="228"/>
      <c r="DN101" s="228"/>
      <c r="DO101" s="228"/>
      <c r="DP101" s="228"/>
    </row>
    <row r="102" spans="1:137" ht="3.95" customHeight="1" x14ac:dyDescent="0.25">
      <c r="A102" s="231"/>
      <c r="B102" s="1062"/>
      <c r="C102" s="1063"/>
      <c r="D102" s="1075"/>
      <c r="E102" s="1075"/>
      <c r="F102" s="1075"/>
      <c r="G102" s="1075"/>
      <c r="H102" s="1075"/>
      <c r="I102" s="1075"/>
      <c r="J102" s="1075"/>
      <c r="K102" s="1075"/>
      <c r="L102" s="1075"/>
      <c r="M102" s="1075"/>
      <c r="N102" s="1075"/>
      <c r="O102" s="1075"/>
      <c r="P102" s="1075"/>
      <c r="Q102" s="1075"/>
      <c r="R102" s="1060"/>
      <c r="S102" s="1061"/>
      <c r="T102" s="1076"/>
      <c r="U102" s="1063"/>
      <c r="V102" s="1075"/>
      <c r="W102" s="1075"/>
      <c r="X102" s="1075"/>
      <c r="Y102" s="1075"/>
      <c r="Z102" s="1075"/>
      <c r="AA102" s="1075"/>
      <c r="AB102" s="1075"/>
      <c r="AC102" s="1075"/>
      <c r="AD102" s="1075"/>
      <c r="AE102" s="1075"/>
      <c r="AF102" s="1075"/>
      <c r="AG102" s="1075"/>
      <c r="AH102" s="1075"/>
      <c r="AI102" s="1075"/>
      <c r="AJ102" s="1060"/>
      <c r="AK102" s="1061"/>
      <c r="AL102" s="231"/>
      <c r="AM102" s="1077"/>
      <c r="AN102" s="1077"/>
      <c r="AO102" s="228"/>
      <c r="AP102" s="231"/>
      <c r="AQ102" s="1180"/>
      <c r="AR102" s="1181"/>
      <c r="AS102" s="1181"/>
      <c r="AT102" s="1181"/>
      <c r="AU102" s="1181"/>
      <c r="AV102" s="1181"/>
      <c r="AW102" s="1181"/>
      <c r="AX102" s="1181"/>
      <c r="AY102" s="1181"/>
      <c r="AZ102" s="1181"/>
      <c r="BA102" s="1181"/>
      <c r="BB102" s="1181"/>
      <c r="BC102" s="1181"/>
      <c r="BD102" s="1181"/>
      <c r="BE102" s="1181"/>
      <c r="BF102" s="1181"/>
      <c r="BG102" s="1181"/>
      <c r="BH102" s="1181"/>
      <c r="BI102" s="1196"/>
      <c r="BJ102" s="231"/>
      <c r="BK102" s="1039"/>
      <c r="BL102" s="1040"/>
      <c r="BM102" s="1040"/>
      <c r="BN102" s="1040"/>
      <c r="BO102" s="1041"/>
      <c r="BP102" s="1042"/>
      <c r="BQ102" s="1042"/>
      <c r="BR102" s="1042"/>
      <c r="BS102" s="1042"/>
      <c r="BT102" s="1042"/>
      <c r="BU102" s="1042"/>
      <c r="BV102" s="1042"/>
      <c r="BW102" s="1042"/>
      <c r="BX102" s="1042"/>
      <c r="BY102" s="1042"/>
      <c r="BZ102" s="1042"/>
      <c r="CA102" s="1042"/>
      <c r="CB102" s="1042"/>
      <c r="CC102" s="1043"/>
      <c r="CD102" s="231"/>
      <c r="CN102" s="228"/>
      <c r="CO102" s="228"/>
      <c r="CP102" s="228"/>
      <c r="CQ102" s="228"/>
      <c r="CR102" s="228"/>
      <c r="CS102" s="228"/>
      <c r="CT102" s="228"/>
      <c r="CU102" s="228"/>
      <c r="CV102" s="228"/>
      <c r="CW102" s="228"/>
      <c r="CX102" s="228"/>
      <c r="CY102" s="228"/>
      <c r="CZ102" s="228"/>
      <c r="DA102" s="228"/>
      <c r="DB102" s="228"/>
      <c r="DC102" s="228"/>
      <c r="DD102" s="228"/>
      <c r="DE102" s="228"/>
      <c r="DF102" s="228"/>
      <c r="DG102" s="228"/>
      <c r="DH102" s="228"/>
      <c r="DI102" s="228"/>
      <c r="DJ102" s="228"/>
      <c r="DK102" s="228"/>
      <c r="DL102" s="228"/>
      <c r="DM102" s="228"/>
      <c r="DN102" s="228"/>
      <c r="DO102" s="228"/>
      <c r="DP102" s="228"/>
    </row>
    <row r="103" spans="1:137" ht="3.95" customHeight="1" x14ac:dyDescent="0.25">
      <c r="A103" s="231"/>
      <c r="B103" s="1062"/>
      <c r="C103" s="1063"/>
      <c r="D103" s="1075"/>
      <c r="E103" s="1075"/>
      <c r="F103" s="1075"/>
      <c r="G103" s="1075"/>
      <c r="H103" s="1075"/>
      <c r="I103" s="1075"/>
      <c r="J103" s="1075"/>
      <c r="K103" s="1075"/>
      <c r="L103" s="1075"/>
      <c r="M103" s="1075"/>
      <c r="N103" s="1075"/>
      <c r="O103" s="1075"/>
      <c r="P103" s="1075"/>
      <c r="Q103" s="1075"/>
      <c r="R103" s="1060"/>
      <c r="S103" s="1061"/>
      <c r="T103" s="1076"/>
      <c r="U103" s="1063"/>
      <c r="V103" s="1075"/>
      <c r="W103" s="1075"/>
      <c r="X103" s="1075"/>
      <c r="Y103" s="1075"/>
      <c r="Z103" s="1075"/>
      <c r="AA103" s="1075"/>
      <c r="AB103" s="1075"/>
      <c r="AC103" s="1075"/>
      <c r="AD103" s="1075"/>
      <c r="AE103" s="1075"/>
      <c r="AF103" s="1075"/>
      <c r="AG103" s="1075"/>
      <c r="AH103" s="1075"/>
      <c r="AI103" s="1075"/>
      <c r="AJ103" s="1060"/>
      <c r="AK103" s="1061"/>
      <c r="AL103" s="231"/>
      <c r="AM103" s="1077">
        <f>B103*R103</f>
        <v>0</v>
      </c>
      <c r="AN103" s="1077">
        <f>T103*AJ103</f>
        <v>0</v>
      </c>
      <c r="AO103" s="234"/>
      <c r="AP103" s="231"/>
      <c r="AQ103" s="231"/>
      <c r="AR103" s="231"/>
      <c r="AS103" s="231"/>
      <c r="AT103" s="231"/>
      <c r="AU103" s="231"/>
      <c r="AV103" s="231"/>
      <c r="AW103" s="231"/>
      <c r="AX103" s="231"/>
      <c r="AY103" s="231"/>
      <c r="AZ103" s="231"/>
      <c r="BA103" s="231"/>
      <c r="BB103" s="231"/>
      <c r="BC103" s="231"/>
      <c r="BD103" s="231"/>
      <c r="BE103" s="231"/>
      <c r="BF103" s="231"/>
      <c r="BG103" s="231"/>
      <c r="BH103" s="231"/>
      <c r="BI103" s="231"/>
      <c r="BJ103" s="230"/>
      <c r="BK103" s="230"/>
      <c r="BL103" s="230"/>
      <c r="BM103" s="230"/>
      <c r="BN103" s="230"/>
      <c r="BO103" s="230"/>
      <c r="BP103" s="230"/>
      <c r="BQ103" s="230"/>
      <c r="BR103" s="230"/>
      <c r="BS103" s="230"/>
      <c r="BT103" s="230"/>
      <c r="BU103" s="230"/>
      <c r="BV103" s="230"/>
      <c r="BW103" s="230"/>
      <c r="BX103" s="230"/>
      <c r="BY103" s="230"/>
      <c r="BZ103" s="230"/>
      <c r="CA103" s="230"/>
      <c r="CB103" s="230"/>
      <c r="CC103" s="230"/>
      <c r="CD103" s="230"/>
      <c r="CN103" s="228"/>
      <c r="CO103" s="228"/>
      <c r="CP103" s="228"/>
      <c r="CQ103" s="228"/>
      <c r="CR103" s="228"/>
      <c r="CS103" s="228"/>
      <c r="CT103" s="228"/>
      <c r="CU103" s="228"/>
      <c r="CV103" s="228"/>
      <c r="CW103" s="228"/>
      <c r="CX103" s="228"/>
      <c r="CY103" s="228"/>
      <c r="CZ103" s="228"/>
      <c r="DA103" s="228"/>
      <c r="DB103" s="228"/>
      <c r="DC103" s="228"/>
      <c r="DD103" s="228"/>
      <c r="DE103" s="228"/>
      <c r="DF103" s="228"/>
      <c r="DG103" s="228"/>
      <c r="DH103" s="228"/>
      <c r="DI103" s="228"/>
      <c r="DJ103" s="228"/>
      <c r="DK103" s="228"/>
      <c r="DL103" s="228"/>
      <c r="DM103" s="228"/>
      <c r="DN103" s="228"/>
      <c r="DO103" s="228"/>
      <c r="DP103" s="228"/>
    </row>
    <row r="104" spans="1:137" ht="3.95" customHeight="1" x14ac:dyDescent="0.25">
      <c r="A104" s="231"/>
      <c r="B104" s="1062"/>
      <c r="C104" s="1063"/>
      <c r="D104" s="1075"/>
      <c r="E104" s="1075"/>
      <c r="F104" s="1075"/>
      <c r="G104" s="1075"/>
      <c r="H104" s="1075"/>
      <c r="I104" s="1075"/>
      <c r="J104" s="1075"/>
      <c r="K104" s="1075"/>
      <c r="L104" s="1075"/>
      <c r="M104" s="1075"/>
      <c r="N104" s="1075"/>
      <c r="O104" s="1075"/>
      <c r="P104" s="1075"/>
      <c r="Q104" s="1075"/>
      <c r="R104" s="1060"/>
      <c r="S104" s="1061"/>
      <c r="T104" s="1076"/>
      <c r="U104" s="1063"/>
      <c r="V104" s="1075"/>
      <c r="W104" s="1075"/>
      <c r="X104" s="1075"/>
      <c r="Y104" s="1075"/>
      <c r="Z104" s="1075"/>
      <c r="AA104" s="1075"/>
      <c r="AB104" s="1075"/>
      <c r="AC104" s="1075"/>
      <c r="AD104" s="1075"/>
      <c r="AE104" s="1075"/>
      <c r="AF104" s="1075"/>
      <c r="AG104" s="1075"/>
      <c r="AH104" s="1075"/>
      <c r="AI104" s="1075"/>
      <c r="AJ104" s="1060"/>
      <c r="AK104" s="1061"/>
      <c r="AL104" s="231"/>
      <c r="AM104" s="1077"/>
      <c r="AN104" s="1077"/>
      <c r="AO104" s="234"/>
      <c r="AP104" s="231"/>
      <c r="AQ104" s="231"/>
      <c r="AR104" s="231"/>
      <c r="AS104" s="231"/>
      <c r="AT104" s="231"/>
      <c r="AU104" s="231"/>
      <c r="AV104" s="231"/>
      <c r="AW104" s="231"/>
      <c r="AX104" s="231"/>
      <c r="AY104" s="231"/>
      <c r="AZ104" s="231"/>
      <c r="BA104" s="231"/>
      <c r="BB104" s="231"/>
      <c r="BC104" s="231"/>
      <c r="BD104" s="231"/>
      <c r="BE104" s="231"/>
      <c r="BF104" s="231"/>
      <c r="BG104" s="231"/>
      <c r="BH104" s="231"/>
      <c r="BI104" s="231"/>
      <c r="BJ104" s="230"/>
      <c r="BK104" s="230"/>
      <c r="BL104" s="230"/>
      <c r="BM104" s="230"/>
      <c r="BN104" s="230"/>
      <c r="BO104" s="230"/>
      <c r="BP104" s="230"/>
      <c r="BQ104" s="230"/>
      <c r="BR104" s="230"/>
      <c r="BS104" s="230"/>
      <c r="BT104" s="230"/>
      <c r="BU104" s="230"/>
      <c r="BV104" s="230"/>
      <c r="BW104" s="230"/>
      <c r="BX104" s="230"/>
      <c r="BY104" s="230"/>
      <c r="BZ104" s="230"/>
      <c r="CA104" s="230"/>
      <c r="CB104" s="230"/>
      <c r="CC104" s="230"/>
      <c r="CD104" s="230"/>
      <c r="CN104" s="228"/>
      <c r="CO104" s="228"/>
      <c r="CP104" s="228"/>
      <c r="CQ104" s="228"/>
      <c r="CR104" s="228"/>
      <c r="CS104" s="228"/>
      <c r="CT104" s="228"/>
      <c r="CU104" s="228"/>
      <c r="CV104" s="228"/>
      <c r="CW104" s="228"/>
      <c r="CX104" s="228"/>
      <c r="CY104" s="228"/>
      <c r="CZ104" s="228"/>
      <c r="DA104" s="228"/>
      <c r="DB104" s="228"/>
      <c r="DC104" s="228"/>
      <c r="DD104" s="228"/>
      <c r="DE104" s="228"/>
      <c r="DF104" s="228"/>
      <c r="DG104" s="228"/>
      <c r="DH104" s="228"/>
      <c r="DI104" s="228"/>
      <c r="DJ104" s="228"/>
      <c r="DK104" s="228"/>
      <c r="DL104" s="228"/>
      <c r="DM104" s="228"/>
      <c r="DN104" s="228"/>
      <c r="DO104" s="228"/>
      <c r="DP104" s="228"/>
    </row>
    <row r="105" spans="1:137" ht="3.95" customHeight="1" x14ac:dyDescent="0.25">
      <c r="A105" s="231"/>
      <c r="B105" s="1151"/>
      <c r="C105" s="1152"/>
      <c r="D105" s="1148"/>
      <c r="E105" s="1148"/>
      <c r="F105" s="1148"/>
      <c r="G105" s="1148"/>
      <c r="H105" s="1148"/>
      <c r="I105" s="1148"/>
      <c r="J105" s="1148"/>
      <c r="K105" s="1148"/>
      <c r="L105" s="1148"/>
      <c r="M105" s="1148"/>
      <c r="N105" s="1148"/>
      <c r="O105" s="1148"/>
      <c r="P105" s="1148"/>
      <c r="Q105" s="1148"/>
      <c r="R105" s="1149"/>
      <c r="S105" s="1150"/>
      <c r="T105" s="1153"/>
      <c r="U105" s="1152"/>
      <c r="V105" s="1148"/>
      <c r="W105" s="1148"/>
      <c r="X105" s="1148"/>
      <c r="Y105" s="1148"/>
      <c r="Z105" s="1148"/>
      <c r="AA105" s="1148"/>
      <c r="AB105" s="1148"/>
      <c r="AC105" s="1148"/>
      <c r="AD105" s="1148"/>
      <c r="AE105" s="1148"/>
      <c r="AF105" s="1148"/>
      <c r="AG105" s="1148"/>
      <c r="AH105" s="1148"/>
      <c r="AI105" s="1148"/>
      <c r="AJ105" s="1149"/>
      <c r="AK105" s="1150"/>
      <c r="AL105" s="231"/>
      <c r="AM105" s="1077"/>
      <c r="AN105" s="1077"/>
      <c r="AO105" s="228"/>
      <c r="AP105" s="231"/>
      <c r="AQ105" s="1019" t="s">
        <v>177</v>
      </c>
      <c r="AR105" s="1020"/>
      <c r="AS105" s="1020"/>
      <c r="AT105" s="1020"/>
      <c r="AU105" s="1020"/>
      <c r="AV105" s="1020"/>
      <c r="AW105" s="1020"/>
      <c r="AX105" s="1020"/>
      <c r="AY105" s="1020"/>
      <c r="AZ105" s="1020"/>
      <c r="BA105" s="1020"/>
      <c r="BB105" s="1020"/>
      <c r="BC105" s="1020"/>
      <c r="BD105" s="1020"/>
      <c r="BE105" s="1020"/>
      <c r="BF105" s="1020"/>
      <c r="BG105" s="1020"/>
      <c r="BH105" s="1020"/>
      <c r="BI105" s="1020"/>
      <c r="BJ105" s="1020"/>
      <c r="BK105" s="1020"/>
      <c r="BL105" s="1020"/>
      <c r="BM105" s="1020"/>
      <c r="BN105" s="1020"/>
      <c r="BO105" s="1020"/>
      <c r="BP105" s="1020"/>
      <c r="BQ105" s="1020"/>
      <c r="BR105" s="1020"/>
      <c r="BS105" s="1020"/>
      <c r="BT105" s="1020"/>
      <c r="BU105" s="1020"/>
      <c r="BV105" s="1020"/>
      <c r="BW105" s="1020"/>
      <c r="BX105" s="1020"/>
      <c r="BY105" s="1020"/>
      <c r="BZ105" s="1020"/>
      <c r="CA105" s="1020"/>
      <c r="CB105" s="1020"/>
      <c r="CC105" s="1021"/>
      <c r="CD105" s="231"/>
      <c r="CN105" s="228"/>
      <c r="CO105" s="228"/>
      <c r="CP105" s="228"/>
      <c r="CQ105" s="228"/>
      <c r="CR105" s="228"/>
      <c r="CS105" s="228"/>
      <c r="CT105" s="228"/>
      <c r="CU105" s="228"/>
      <c r="CV105" s="228"/>
      <c r="CW105" s="228"/>
      <c r="CX105" s="228"/>
      <c r="CY105" s="228"/>
      <c r="CZ105" s="228"/>
      <c r="DA105" s="228"/>
      <c r="DB105" s="228"/>
      <c r="DC105" s="228"/>
      <c r="DD105" s="228"/>
      <c r="DE105" s="228"/>
      <c r="DF105" s="228"/>
      <c r="DG105" s="228"/>
      <c r="DH105" s="228"/>
      <c r="DI105" s="228"/>
      <c r="DJ105" s="228"/>
      <c r="DK105" s="228"/>
      <c r="DL105" s="228"/>
      <c r="DM105" s="228"/>
      <c r="DN105" s="228"/>
      <c r="DO105" s="228"/>
      <c r="DP105" s="228"/>
    </row>
    <row r="106" spans="1:137" ht="3.95" customHeight="1" x14ac:dyDescent="0.25">
      <c r="A106" s="1189" t="s">
        <v>536</v>
      </c>
      <c r="B106" s="1189"/>
      <c r="C106" s="1189"/>
      <c r="D106" s="1189"/>
      <c r="E106" s="1189"/>
      <c r="F106" s="1189"/>
      <c r="G106" s="1189"/>
      <c r="H106" s="1189"/>
      <c r="I106" s="1189"/>
      <c r="J106" s="1189"/>
      <c r="K106" s="1189"/>
      <c r="L106" s="1189"/>
      <c r="M106" s="1189"/>
      <c r="N106" s="1189"/>
      <c r="O106" s="1189"/>
      <c r="P106" s="1189"/>
      <c r="Q106" s="1189"/>
      <c r="R106" s="1189"/>
      <c r="S106" s="1189"/>
      <c r="T106" s="1189"/>
      <c r="U106" s="1189"/>
      <c r="V106" s="1189"/>
      <c r="W106" s="1189"/>
      <c r="X106" s="1189"/>
      <c r="Y106" s="1189"/>
      <c r="Z106" s="1189"/>
      <c r="AA106" s="1189"/>
      <c r="AB106" s="1189"/>
      <c r="AC106" s="1189"/>
      <c r="AD106" s="1189"/>
      <c r="AE106" s="1189"/>
      <c r="AF106" s="1189"/>
      <c r="AG106" s="1189"/>
      <c r="AH106" s="1189"/>
      <c r="AI106" s="1189"/>
      <c r="AJ106" s="1189"/>
      <c r="AK106" s="231"/>
      <c r="AL106" s="231"/>
      <c r="AM106" s="1203">
        <f>SUM(AM46:AN105,AJ30:AK41,'Página 1'!AQ40:AS41,'Página 1'!AQ44:AS45,'Página 1'!AQ48:AS49,'Página 1'!AQ52:AS53,'Página 1'!AR70:AS71,'Página 1'!AR72:AS73,'Página 1'!AR76:AS77,'Página 1'!AR78:AS79)</f>
        <v>0</v>
      </c>
      <c r="AN106" s="1203"/>
      <c r="AO106" s="228"/>
      <c r="AP106" s="231"/>
      <c r="AQ106" s="1022"/>
      <c r="AR106" s="1023"/>
      <c r="AS106" s="1023"/>
      <c r="AT106" s="1023"/>
      <c r="AU106" s="1023"/>
      <c r="AV106" s="1023"/>
      <c r="AW106" s="1023"/>
      <c r="AX106" s="1023"/>
      <c r="AY106" s="1023"/>
      <c r="AZ106" s="1023"/>
      <c r="BA106" s="1023"/>
      <c r="BB106" s="1023"/>
      <c r="BC106" s="1023"/>
      <c r="BD106" s="1023"/>
      <c r="BE106" s="1023"/>
      <c r="BF106" s="1023"/>
      <c r="BG106" s="1023"/>
      <c r="BH106" s="1023"/>
      <c r="BI106" s="1023"/>
      <c r="BJ106" s="1023"/>
      <c r="BK106" s="1023"/>
      <c r="BL106" s="1023"/>
      <c r="BM106" s="1023"/>
      <c r="BN106" s="1023"/>
      <c r="BO106" s="1023"/>
      <c r="BP106" s="1023"/>
      <c r="BQ106" s="1023"/>
      <c r="BR106" s="1023"/>
      <c r="BS106" s="1023"/>
      <c r="BT106" s="1023"/>
      <c r="BU106" s="1023"/>
      <c r="BV106" s="1023"/>
      <c r="BW106" s="1023"/>
      <c r="BX106" s="1023"/>
      <c r="BY106" s="1023"/>
      <c r="BZ106" s="1023"/>
      <c r="CA106" s="1023"/>
      <c r="CB106" s="1023"/>
      <c r="CC106" s="1024"/>
      <c r="CD106" s="231"/>
      <c r="CN106" s="228"/>
      <c r="CO106" s="228"/>
      <c r="CP106" s="228"/>
      <c r="CQ106" s="228"/>
      <c r="CR106" s="228"/>
      <c r="CS106" s="228"/>
      <c r="CT106" s="228"/>
      <c r="CU106" s="228"/>
      <c r="CV106" s="228"/>
      <c r="CW106" s="228"/>
      <c r="CX106" s="228"/>
      <c r="CY106" s="228"/>
      <c r="CZ106" s="228"/>
      <c r="DA106" s="228"/>
      <c r="DB106" s="228"/>
      <c r="DC106" s="228"/>
      <c r="DD106" s="228"/>
      <c r="DE106" s="228"/>
      <c r="DF106" s="228"/>
      <c r="DG106" s="228"/>
      <c r="DH106" s="228"/>
      <c r="DI106" s="228"/>
      <c r="DJ106" s="228"/>
      <c r="DK106" s="228"/>
      <c r="DL106" s="228"/>
      <c r="DM106" s="228"/>
      <c r="DN106" s="228"/>
      <c r="DO106" s="228"/>
      <c r="DP106" s="228"/>
    </row>
    <row r="107" spans="1:137" ht="3.95" customHeight="1" x14ac:dyDescent="0.25">
      <c r="A107" s="1189"/>
      <c r="B107" s="1189"/>
      <c r="C107" s="1189"/>
      <c r="D107" s="1189"/>
      <c r="E107" s="1189"/>
      <c r="F107" s="1189"/>
      <c r="G107" s="1189"/>
      <c r="H107" s="1189"/>
      <c r="I107" s="1189"/>
      <c r="J107" s="1189"/>
      <c r="K107" s="1189"/>
      <c r="L107" s="1189"/>
      <c r="M107" s="1189"/>
      <c r="N107" s="1189"/>
      <c r="O107" s="1189"/>
      <c r="P107" s="1189"/>
      <c r="Q107" s="1189"/>
      <c r="R107" s="1189"/>
      <c r="S107" s="1189"/>
      <c r="T107" s="1189"/>
      <c r="U107" s="1189"/>
      <c r="V107" s="1189"/>
      <c r="W107" s="1189"/>
      <c r="X107" s="1189"/>
      <c r="Y107" s="1189"/>
      <c r="Z107" s="1189"/>
      <c r="AA107" s="1189"/>
      <c r="AB107" s="1189"/>
      <c r="AC107" s="1189"/>
      <c r="AD107" s="1189"/>
      <c r="AE107" s="1189"/>
      <c r="AF107" s="1189"/>
      <c r="AG107" s="1189"/>
      <c r="AH107" s="1189"/>
      <c r="AI107" s="1189"/>
      <c r="AJ107" s="1189"/>
      <c r="AK107" s="231"/>
      <c r="AL107" s="231"/>
      <c r="AM107" s="1203"/>
      <c r="AN107" s="1203"/>
      <c r="AO107" s="228"/>
      <c r="AP107" s="231"/>
      <c r="AQ107" s="1022"/>
      <c r="AR107" s="1023"/>
      <c r="AS107" s="1023"/>
      <c r="AT107" s="1023"/>
      <c r="AU107" s="1023"/>
      <c r="AV107" s="1023"/>
      <c r="AW107" s="1023"/>
      <c r="AX107" s="1023"/>
      <c r="AY107" s="1023"/>
      <c r="AZ107" s="1023"/>
      <c r="BA107" s="1023"/>
      <c r="BB107" s="1023"/>
      <c r="BC107" s="1023"/>
      <c r="BD107" s="1023"/>
      <c r="BE107" s="1023"/>
      <c r="BF107" s="1023"/>
      <c r="BG107" s="1023"/>
      <c r="BH107" s="1023"/>
      <c r="BI107" s="1023"/>
      <c r="BJ107" s="1023"/>
      <c r="BK107" s="1023"/>
      <c r="BL107" s="1023"/>
      <c r="BM107" s="1023"/>
      <c r="BN107" s="1023"/>
      <c r="BO107" s="1023"/>
      <c r="BP107" s="1023"/>
      <c r="BQ107" s="1023"/>
      <c r="BR107" s="1023"/>
      <c r="BS107" s="1023"/>
      <c r="BT107" s="1023"/>
      <c r="BU107" s="1023"/>
      <c r="BV107" s="1023"/>
      <c r="BW107" s="1023"/>
      <c r="BX107" s="1023"/>
      <c r="BY107" s="1023"/>
      <c r="BZ107" s="1023"/>
      <c r="CA107" s="1023"/>
      <c r="CB107" s="1023"/>
      <c r="CC107" s="1024"/>
      <c r="CD107" s="231"/>
    </row>
    <row r="108" spans="1:137" ht="3.95" customHeight="1" x14ac:dyDescent="0.25">
      <c r="A108" s="1189"/>
      <c r="B108" s="1189"/>
      <c r="C108" s="1189"/>
      <c r="D108" s="1189"/>
      <c r="E108" s="1189"/>
      <c r="F108" s="1189"/>
      <c r="G108" s="1189"/>
      <c r="H108" s="1189"/>
      <c r="I108" s="1189"/>
      <c r="J108" s="1189"/>
      <c r="K108" s="1189"/>
      <c r="L108" s="1189"/>
      <c r="M108" s="1189"/>
      <c r="N108" s="1189"/>
      <c r="O108" s="1189"/>
      <c r="P108" s="1189"/>
      <c r="Q108" s="1189"/>
      <c r="R108" s="1189"/>
      <c r="S108" s="1189"/>
      <c r="T108" s="1189"/>
      <c r="U108" s="1189"/>
      <c r="V108" s="1189"/>
      <c r="W108" s="1189"/>
      <c r="X108" s="1189"/>
      <c r="Y108" s="1189"/>
      <c r="Z108" s="1189"/>
      <c r="AA108" s="1189"/>
      <c r="AB108" s="1189"/>
      <c r="AC108" s="1189"/>
      <c r="AD108" s="1189"/>
      <c r="AE108" s="1189"/>
      <c r="AF108" s="1189"/>
      <c r="AG108" s="1189"/>
      <c r="AH108" s="1189"/>
      <c r="AI108" s="1189"/>
      <c r="AJ108" s="1189"/>
      <c r="AK108" s="231"/>
      <c r="AL108" s="231"/>
      <c r="AM108" s="1203"/>
      <c r="AN108" s="1203"/>
      <c r="AP108" s="231"/>
      <c r="AQ108" s="1025"/>
      <c r="AR108" s="1026"/>
      <c r="AS108" s="1026"/>
      <c r="AT108" s="1026"/>
      <c r="AU108" s="1026"/>
      <c r="AV108" s="1026"/>
      <c r="AW108" s="1026"/>
      <c r="AX108" s="1026"/>
      <c r="AY108" s="1026"/>
      <c r="AZ108" s="1026"/>
      <c r="BA108" s="1026"/>
      <c r="BB108" s="1026"/>
      <c r="BC108" s="1026"/>
      <c r="BD108" s="1026"/>
      <c r="BE108" s="1026"/>
      <c r="BF108" s="1026"/>
      <c r="BG108" s="1026"/>
      <c r="BH108" s="1026"/>
      <c r="BI108" s="1026"/>
      <c r="BJ108" s="1026"/>
      <c r="BK108" s="1026"/>
      <c r="BL108" s="1026"/>
      <c r="BM108" s="1026"/>
      <c r="BN108" s="1026"/>
      <c r="BO108" s="1026"/>
      <c r="BP108" s="1026"/>
      <c r="BQ108" s="1026"/>
      <c r="BR108" s="1026"/>
      <c r="BS108" s="1026"/>
      <c r="BT108" s="1026"/>
      <c r="BU108" s="1026"/>
      <c r="BV108" s="1026"/>
      <c r="BW108" s="1026"/>
      <c r="BX108" s="1026"/>
      <c r="BY108" s="1026"/>
      <c r="BZ108" s="1026"/>
      <c r="CA108" s="1026"/>
      <c r="CB108" s="1026"/>
      <c r="CC108" s="1027"/>
      <c r="CD108" s="231"/>
      <c r="DA108" s="228"/>
      <c r="DB108" s="228"/>
      <c r="DC108" s="228"/>
      <c r="DD108" s="228"/>
      <c r="DE108" s="228"/>
      <c r="DF108" s="228"/>
      <c r="DG108" s="228"/>
      <c r="DH108" s="228"/>
      <c r="DI108" s="228"/>
      <c r="DJ108" s="228"/>
      <c r="DK108" s="228"/>
      <c r="DL108" s="228"/>
      <c r="DM108" s="228"/>
      <c r="DN108" s="228"/>
      <c r="DO108" s="228"/>
      <c r="DP108" s="228"/>
      <c r="DQ108" s="228"/>
      <c r="DR108" s="228"/>
      <c r="DS108" s="228"/>
      <c r="DT108" s="228"/>
      <c r="DU108" s="228"/>
      <c r="DV108" s="228"/>
      <c r="DW108" s="228"/>
      <c r="DX108" s="228"/>
      <c r="DY108" s="228"/>
      <c r="DZ108" s="228"/>
      <c r="EA108" s="228"/>
      <c r="EB108" s="228"/>
      <c r="EC108" s="228"/>
      <c r="ED108" s="228"/>
      <c r="EE108" s="228"/>
      <c r="EF108" s="228"/>
      <c r="EG108" s="228"/>
    </row>
    <row r="109" spans="1:137" ht="3.95" customHeight="1" x14ac:dyDescent="0.25">
      <c r="A109" s="231"/>
      <c r="B109" s="231"/>
      <c r="C109" s="231"/>
      <c r="D109" s="231"/>
      <c r="E109" s="231"/>
      <c r="F109" s="231"/>
      <c r="G109" s="231"/>
      <c r="H109" s="231"/>
      <c r="I109" s="231"/>
      <c r="J109" s="231"/>
      <c r="K109" s="231"/>
      <c r="L109" s="231"/>
      <c r="M109" s="231"/>
      <c r="N109" s="231"/>
      <c r="O109" s="231"/>
      <c r="P109" s="231"/>
      <c r="Q109" s="231"/>
      <c r="R109" s="231"/>
      <c r="S109" s="231"/>
      <c r="T109" s="231"/>
      <c r="U109" s="231"/>
      <c r="V109" s="231"/>
      <c r="W109" s="231"/>
      <c r="X109" s="231"/>
      <c r="Y109" s="231"/>
      <c r="Z109" s="231"/>
      <c r="AA109" s="231"/>
      <c r="AB109" s="231"/>
      <c r="AC109" s="231"/>
      <c r="AD109" s="231"/>
      <c r="AE109" s="231"/>
      <c r="AF109" s="231"/>
      <c r="AG109" s="231"/>
      <c r="AH109" s="231"/>
      <c r="AI109" s="231"/>
      <c r="AJ109" s="231"/>
      <c r="AK109" s="231"/>
      <c r="AP109" s="231"/>
      <c r="AQ109" s="1182" t="str">
        <f>IF(HLOOKUP(RAÇA,TABELA.traços,2,FALSE)=0,"",HLOOKUP(RAÇA,TABELA.traços,2,FALSE))</f>
        <v>Tamanho Médio ou Pequeno, com respectivamente, deslocamento de 9m ou 6m.</v>
      </c>
      <c r="AR109" s="1183"/>
      <c r="AS109" s="1183"/>
      <c r="AT109" s="1183"/>
      <c r="AU109" s="1183"/>
      <c r="AV109" s="1183"/>
      <c r="AW109" s="1183"/>
      <c r="AX109" s="1183"/>
      <c r="AY109" s="1183"/>
      <c r="AZ109" s="1183"/>
      <c r="BA109" s="1183"/>
      <c r="BB109" s="1183"/>
      <c r="BC109" s="1183"/>
      <c r="BD109" s="1183"/>
      <c r="BE109" s="1183"/>
      <c r="BF109" s="1183"/>
      <c r="BG109" s="1183"/>
      <c r="BH109" s="1183"/>
      <c r="BI109" s="1183"/>
      <c r="BJ109" s="1183"/>
      <c r="BK109" s="1183"/>
      <c r="BL109" s="1183"/>
      <c r="BM109" s="1183"/>
      <c r="BN109" s="1183"/>
      <c r="BO109" s="1183"/>
      <c r="BP109" s="1183"/>
      <c r="BQ109" s="1183"/>
      <c r="BR109" s="1183"/>
      <c r="BS109" s="1183"/>
      <c r="BT109" s="1183"/>
      <c r="BU109" s="1183"/>
      <c r="BV109" s="1183"/>
      <c r="BW109" s="1183"/>
      <c r="BX109" s="1183"/>
      <c r="BY109" s="1183"/>
      <c r="BZ109" s="1183"/>
      <c r="CA109" s="1183"/>
      <c r="CB109" s="1183"/>
      <c r="CC109" s="1184"/>
      <c r="CD109" s="231"/>
      <c r="DA109" s="228"/>
      <c r="DB109" s="228"/>
      <c r="DC109" s="228"/>
      <c r="DD109" s="228"/>
      <c r="DE109" s="228"/>
      <c r="DF109" s="228"/>
      <c r="DG109" s="228"/>
      <c r="DH109" s="228"/>
      <c r="DI109" s="228"/>
      <c r="DJ109" s="228"/>
      <c r="DK109" s="228"/>
      <c r="DL109" s="228"/>
      <c r="DM109" s="228"/>
      <c r="DN109" s="228"/>
      <c r="DO109" s="228"/>
      <c r="DP109" s="228"/>
      <c r="DQ109" s="228"/>
      <c r="DR109" s="228"/>
      <c r="DS109" s="228"/>
      <c r="DT109" s="228"/>
      <c r="DU109" s="228"/>
      <c r="DV109" s="228"/>
      <c r="DW109" s="228"/>
      <c r="DX109" s="228"/>
      <c r="DY109" s="228"/>
      <c r="DZ109" s="228"/>
      <c r="EA109" s="228"/>
      <c r="EB109" s="228"/>
      <c r="EC109" s="228"/>
      <c r="ED109" s="228"/>
      <c r="EE109" s="228"/>
      <c r="EF109" s="228"/>
      <c r="EG109" s="228"/>
    </row>
    <row r="110" spans="1:137" ht="3.95" customHeight="1" x14ac:dyDescent="0.2">
      <c r="A110" s="231"/>
      <c r="B110" s="1080" t="s">
        <v>552</v>
      </c>
      <c r="C110" s="1081"/>
      <c r="D110" s="1081"/>
      <c r="E110" s="1081"/>
      <c r="F110" s="1081"/>
      <c r="G110" s="1081"/>
      <c r="H110" s="1081"/>
      <c r="I110" s="1081"/>
      <c r="J110" s="1081"/>
      <c r="K110" s="1082"/>
      <c r="L110" s="235"/>
      <c r="M110" s="236"/>
      <c r="N110" s="1080" t="s">
        <v>532</v>
      </c>
      <c r="O110" s="1081"/>
      <c r="P110" s="1081"/>
      <c r="Q110" s="1081"/>
      <c r="R110" s="1081"/>
      <c r="S110" s="1081"/>
      <c r="T110" s="1081"/>
      <c r="U110" s="1081"/>
      <c r="V110" s="1081"/>
      <c r="W110" s="1081"/>
      <c r="X110" s="1081"/>
      <c r="Y110" s="1081"/>
      <c r="Z110" s="1081"/>
      <c r="AA110" s="1081"/>
      <c r="AB110" s="1081"/>
      <c r="AC110" s="1081"/>
      <c r="AD110" s="1081"/>
      <c r="AE110" s="1081"/>
      <c r="AF110" s="1081"/>
      <c r="AG110" s="1081"/>
      <c r="AH110" s="1081"/>
      <c r="AI110" s="1081"/>
      <c r="AJ110" s="1081"/>
      <c r="AK110" s="1082"/>
      <c r="AL110" s="231"/>
      <c r="AP110" s="231"/>
      <c r="AQ110" s="1182"/>
      <c r="AR110" s="1183"/>
      <c r="AS110" s="1183"/>
      <c r="AT110" s="1183"/>
      <c r="AU110" s="1183"/>
      <c r="AV110" s="1183"/>
      <c r="AW110" s="1183"/>
      <c r="AX110" s="1183"/>
      <c r="AY110" s="1183"/>
      <c r="AZ110" s="1183"/>
      <c r="BA110" s="1183"/>
      <c r="BB110" s="1183"/>
      <c r="BC110" s="1183"/>
      <c r="BD110" s="1183"/>
      <c r="BE110" s="1183"/>
      <c r="BF110" s="1183"/>
      <c r="BG110" s="1183"/>
      <c r="BH110" s="1183"/>
      <c r="BI110" s="1183"/>
      <c r="BJ110" s="1183"/>
      <c r="BK110" s="1183"/>
      <c r="BL110" s="1183"/>
      <c r="BM110" s="1183"/>
      <c r="BN110" s="1183"/>
      <c r="BO110" s="1183"/>
      <c r="BP110" s="1183"/>
      <c r="BQ110" s="1183"/>
      <c r="BR110" s="1183"/>
      <c r="BS110" s="1183"/>
      <c r="BT110" s="1183"/>
      <c r="BU110" s="1183"/>
      <c r="BV110" s="1183"/>
      <c r="BW110" s="1183"/>
      <c r="BX110" s="1183"/>
      <c r="BY110" s="1183"/>
      <c r="BZ110" s="1183"/>
      <c r="CA110" s="1183"/>
      <c r="CB110" s="1183"/>
      <c r="CC110" s="1184"/>
      <c r="CD110" s="231"/>
      <c r="DA110" s="228"/>
      <c r="DB110" s="228"/>
      <c r="DC110" s="228"/>
      <c r="DD110" s="228"/>
      <c r="DE110" s="228"/>
      <c r="DF110" s="228"/>
      <c r="DG110" s="228"/>
      <c r="DH110" s="228"/>
      <c r="DI110" s="228"/>
      <c r="DJ110" s="228"/>
      <c r="DK110" s="228"/>
      <c r="DL110" s="228"/>
      <c r="DM110" s="228"/>
      <c r="DN110" s="228"/>
      <c r="DO110" s="228"/>
      <c r="DP110" s="228"/>
      <c r="DQ110" s="228"/>
      <c r="DR110" s="228"/>
      <c r="DS110" s="228"/>
      <c r="DT110" s="228"/>
      <c r="DU110" s="228"/>
      <c r="DV110" s="228"/>
      <c r="DW110" s="228"/>
      <c r="DX110" s="228"/>
      <c r="DY110" s="228"/>
      <c r="DZ110" s="228"/>
      <c r="EA110" s="228"/>
      <c r="EB110" s="228"/>
      <c r="EC110" s="228"/>
      <c r="ED110" s="228"/>
      <c r="EE110" s="228"/>
      <c r="EF110" s="228"/>
      <c r="EG110" s="228"/>
    </row>
    <row r="111" spans="1:137" ht="3.95" customHeight="1" x14ac:dyDescent="0.2">
      <c r="A111" s="231"/>
      <c r="B111" s="1083"/>
      <c r="C111" s="1084"/>
      <c r="D111" s="1084"/>
      <c r="E111" s="1084"/>
      <c r="F111" s="1084"/>
      <c r="G111" s="1084"/>
      <c r="H111" s="1084"/>
      <c r="I111" s="1084"/>
      <c r="J111" s="1084"/>
      <c r="K111" s="1085"/>
      <c r="L111" s="235"/>
      <c r="M111" s="236"/>
      <c r="N111" s="1083"/>
      <c r="O111" s="1084"/>
      <c r="P111" s="1084"/>
      <c r="Q111" s="1084"/>
      <c r="R111" s="1084"/>
      <c r="S111" s="1084"/>
      <c r="T111" s="1084"/>
      <c r="U111" s="1084"/>
      <c r="V111" s="1084"/>
      <c r="W111" s="1084"/>
      <c r="X111" s="1084"/>
      <c r="Y111" s="1084"/>
      <c r="Z111" s="1084"/>
      <c r="AA111" s="1084"/>
      <c r="AB111" s="1084"/>
      <c r="AC111" s="1084"/>
      <c r="AD111" s="1084"/>
      <c r="AE111" s="1084"/>
      <c r="AF111" s="1084"/>
      <c r="AG111" s="1084"/>
      <c r="AH111" s="1084"/>
      <c r="AI111" s="1084"/>
      <c r="AJ111" s="1084"/>
      <c r="AK111" s="1085"/>
      <c r="AL111" s="231"/>
      <c r="AP111" s="231"/>
      <c r="AQ111" s="1182"/>
      <c r="AR111" s="1183"/>
      <c r="AS111" s="1183"/>
      <c r="AT111" s="1183"/>
      <c r="AU111" s="1183"/>
      <c r="AV111" s="1183"/>
      <c r="AW111" s="1183"/>
      <c r="AX111" s="1183"/>
      <c r="AY111" s="1183"/>
      <c r="AZ111" s="1183"/>
      <c r="BA111" s="1183"/>
      <c r="BB111" s="1183"/>
      <c r="BC111" s="1183"/>
      <c r="BD111" s="1183"/>
      <c r="BE111" s="1183"/>
      <c r="BF111" s="1183"/>
      <c r="BG111" s="1183"/>
      <c r="BH111" s="1183"/>
      <c r="BI111" s="1183"/>
      <c r="BJ111" s="1183"/>
      <c r="BK111" s="1183"/>
      <c r="BL111" s="1183"/>
      <c r="BM111" s="1183"/>
      <c r="BN111" s="1183"/>
      <c r="BO111" s="1183"/>
      <c r="BP111" s="1183"/>
      <c r="BQ111" s="1183"/>
      <c r="BR111" s="1183"/>
      <c r="BS111" s="1183"/>
      <c r="BT111" s="1183"/>
      <c r="BU111" s="1183"/>
      <c r="BV111" s="1183"/>
      <c r="BW111" s="1183"/>
      <c r="BX111" s="1183"/>
      <c r="BY111" s="1183"/>
      <c r="BZ111" s="1183"/>
      <c r="CA111" s="1183"/>
      <c r="CB111" s="1183"/>
      <c r="CC111" s="1184"/>
      <c r="CD111" s="231"/>
      <c r="DA111" s="228"/>
      <c r="DB111" s="228"/>
      <c r="DC111" s="228"/>
      <c r="DD111" s="228"/>
      <c r="DE111" s="228"/>
      <c r="DF111" s="228"/>
      <c r="DG111" s="228"/>
      <c r="DH111" s="228"/>
      <c r="DI111" s="228"/>
      <c r="DJ111" s="228"/>
      <c r="DK111" s="228"/>
      <c r="DL111" s="228"/>
      <c r="DM111" s="228"/>
      <c r="DN111" s="228"/>
      <c r="DO111" s="228"/>
      <c r="DP111" s="228"/>
      <c r="DQ111" s="228"/>
      <c r="DR111" s="228"/>
      <c r="DS111" s="228"/>
      <c r="DT111" s="228"/>
      <c r="DU111" s="228"/>
      <c r="DV111" s="228"/>
      <c r="DW111" s="228"/>
      <c r="DX111" s="228"/>
      <c r="DY111" s="228"/>
      <c r="DZ111" s="228"/>
      <c r="EA111" s="228"/>
      <c r="EB111" s="228"/>
      <c r="EC111" s="228"/>
      <c r="ED111" s="228"/>
      <c r="EE111" s="228"/>
      <c r="EF111" s="228"/>
      <c r="EG111" s="228"/>
    </row>
    <row r="112" spans="1:137" ht="3.95" customHeight="1" x14ac:dyDescent="0.2">
      <c r="A112" s="231"/>
      <c r="B112" s="1083"/>
      <c r="C112" s="1084"/>
      <c r="D112" s="1084"/>
      <c r="E112" s="1084"/>
      <c r="F112" s="1084"/>
      <c r="G112" s="1084"/>
      <c r="H112" s="1084"/>
      <c r="I112" s="1084"/>
      <c r="J112" s="1084"/>
      <c r="K112" s="1085"/>
      <c r="L112" s="235"/>
      <c r="M112" s="236"/>
      <c r="N112" s="1083"/>
      <c r="O112" s="1084"/>
      <c r="P112" s="1084"/>
      <c r="Q112" s="1084"/>
      <c r="R112" s="1084"/>
      <c r="S112" s="1084"/>
      <c r="T112" s="1084"/>
      <c r="U112" s="1084"/>
      <c r="V112" s="1084"/>
      <c r="W112" s="1084"/>
      <c r="X112" s="1084"/>
      <c r="Y112" s="1084"/>
      <c r="Z112" s="1084"/>
      <c r="AA112" s="1084"/>
      <c r="AB112" s="1084"/>
      <c r="AC112" s="1084"/>
      <c r="AD112" s="1084"/>
      <c r="AE112" s="1084"/>
      <c r="AF112" s="1084"/>
      <c r="AG112" s="1084"/>
      <c r="AH112" s="1084"/>
      <c r="AI112" s="1084"/>
      <c r="AJ112" s="1084"/>
      <c r="AK112" s="1085"/>
      <c r="AL112" s="231"/>
      <c r="AP112" s="231"/>
      <c r="AQ112" s="1182" t="str">
        <f>IF(HLOOKUP(RAÇA,TABELA.traços,3,FALSE)=0,"",HLOOKUP(RAÇA,TABELA.traços,3,FALSE))</f>
        <v>Espírito. Não é considerado humanoide, sendo imune a efeitos que afetam apenas estas criaturas.</v>
      </c>
      <c r="AR112" s="1183"/>
      <c r="AS112" s="1183"/>
      <c r="AT112" s="1183"/>
      <c r="AU112" s="1183"/>
      <c r="AV112" s="1183"/>
      <c r="AW112" s="1183"/>
      <c r="AX112" s="1183"/>
      <c r="AY112" s="1183"/>
      <c r="AZ112" s="1183"/>
      <c r="BA112" s="1183"/>
      <c r="BB112" s="1183"/>
      <c r="BC112" s="1183"/>
      <c r="BD112" s="1183"/>
      <c r="BE112" s="1183"/>
      <c r="BF112" s="1183"/>
      <c r="BG112" s="1183"/>
      <c r="BH112" s="1183"/>
      <c r="BI112" s="1183"/>
      <c r="BJ112" s="1183"/>
      <c r="BK112" s="1183"/>
      <c r="BL112" s="1183"/>
      <c r="BM112" s="1183"/>
      <c r="BN112" s="1183"/>
      <c r="BO112" s="1183"/>
      <c r="BP112" s="1183"/>
      <c r="BQ112" s="1183"/>
      <c r="BR112" s="1183"/>
      <c r="BS112" s="1183"/>
      <c r="BT112" s="1183"/>
      <c r="BU112" s="1183"/>
      <c r="BV112" s="1183"/>
      <c r="BW112" s="1183"/>
      <c r="BX112" s="1183"/>
      <c r="BY112" s="1183"/>
      <c r="BZ112" s="1183"/>
      <c r="CA112" s="1183"/>
      <c r="CB112" s="1183"/>
      <c r="CC112" s="1184"/>
      <c r="CD112" s="231"/>
      <c r="DA112" s="228"/>
      <c r="DB112" s="228"/>
      <c r="DC112" s="228"/>
      <c r="DD112" s="228"/>
      <c r="DE112" s="228"/>
      <c r="DF112" s="228"/>
      <c r="DG112" s="228"/>
      <c r="DH112" s="228"/>
      <c r="DI112" s="228"/>
      <c r="DJ112" s="228"/>
      <c r="DK112" s="228"/>
      <c r="DL112" s="228"/>
      <c r="DM112" s="228"/>
      <c r="DN112" s="228"/>
      <c r="DO112" s="228"/>
      <c r="DP112" s="228"/>
      <c r="DQ112" s="228"/>
      <c r="DR112" s="228"/>
      <c r="DS112" s="228"/>
      <c r="DT112" s="228"/>
      <c r="DU112" s="228"/>
      <c r="DV112" s="228"/>
      <c r="DW112" s="228"/>
      <c r="DX112" s="228"/>
      <c r="DY112" s="228"/>
      <c r="DZ112" s="228"/>
      <c r="EA112" s="228"/>
      <c r="EB112" s="228"/>
      <c r="EC112" s="228"/>
      <c r="ED112" s="228"/>
      <c r="EE112" s="228"/>
      <c r="EF112" s="228"/>
      <c r="EG112" s="228"/>
    </row>
    <row r="113" spans="1:137" ht="3.95" customHeight="1" x14ac:dyDescent="0.2">
      <c r="A113" s="231"/>
      <c r="B113" s="1086"/>
      <c r="C113" s="1087"/>
      <c r="D113" s="1087"/>
      <c r="E113" s="1087"/>
      <c r="F113" s="1087"/>
      <c r="G113" s="1087"/>
      <c r="H113" s="1087"/>
      <c r="I113" s="1087"/>
      <c r="J113" s="1087"/>
      <c r="K113" s="1088"/>
      <c r="L113" s="235"/>
      <c r="M113" s="236"/>
      <c r="N113" s="1086"/>
      <c r="O113" s="1087"/>
      <c r="P113" s="1087"/>
      <c r="Q113" s="1087"/>
      <c r="R113" s="1087"/>
      <c r="S113" s="1087"/>
      <c r="T113" s="1087"/>
      <c r="U113" s="1087"/>
      <c r="V113" s="1087"/>
      <c r="W113" s="1087"/>
      <c r="X113" s="1087"/>
      <c r="Y113" s="1087"/>
      <c r="Z113" s="1087"/>
      <c r="AA113" s="1087"/>
      <c r="AB113" s="1087"/>
      <c r="AC113" s="1087"/>
      <c r="AD113" s="1087"/>
      <c r="AE113" s="1087"/>
      <c r="AF113" s="1087"/>
      <c r="AG113" s="1087"/>
      <c r="AH113" s="1087"/>
      <c r="AI113" s="1087"/>
      <c r="AJ113" s="1087"/>
      <c r="AK113" s="1088"/>
      <c r="AL113" s="231"/>
      <c r="AP113" s="231"/>
      <c r="AQ113" s="1182"/>
      <c r="AR113" s="1183"/>
      <c r="AS113" s="1183"/>
      <c r="AT113" s="1183"/>
      <c r="AU113" s="1183"/>
      <c r="AV113" s="1183"/>
      <c r="AW113" s="1183"/>
      <c r="AX113" s="1183"/>
      <c r="AY113" s="1183"/>
      <c r="AZ113" s="1183"/>
      <c r="BA113" s="1183"/>
      <c r="BB113" s="1183"/>
      <c r="BC113" s="1183"/>
      <c r="BD113" s="1183"/>
      <c r="BE113" s="1183"/>
      <c r="BF113" s="1183"/>
      <c r="BG113" s="1183"/>
      <c r="BH113" s="1183"/>
      <c r="BI113" s="1183"/>
      <c r="BJ113" s="1183"/>
      <c r="BK113" s="1183"/>
      <c r="BL113" s="1183"/>
      <c r="BM113" s="1183"/>
      <c r="BN113" s="1183"/>
      <c r="BO113" s="1183"/>
      <c r="BP113" s="1183"/>
      <c r="BQ113" s="1183"/>
      <c r="BR113" s="1183"/>
      <c r="BS113" s="1183"/>
      <c r="BT113" s="1183"/>
      <c r="BU113" s="1183"/>
      <c r="BV113" s="1183"/>
      <c r="BW113" s="1183"/>
      <c r="BX113" s="1183"/>
      <c r="BY113" s="1183"/>
      <c r="BZ113" s="1183"/>
      <c r="CA113" s="1183"/>
      <c r="CB113" s="1183"/>
      <c r="CC113" s="1184"/>
      <c r="CD113" s="231"/>
      <c r="DA113" s="228"/>
      <c r="DB113" s="228"/>
      <c r="DC113" s="228"/>
      <c r="DD113" s="228"/>
      <c r="DE113" s="228"/>
      <c r="DF113" s="228"/>
      <c r="DG113" s="228"/>
      <c r="DH113" s="228"/>
      <c r="DI113" s="228"/>
      <c r="DJ113" s="228"/>
      <c r="DK113" s="228"/>
      <c r="DL113" s="228"/>
      <c r="DM113" s="228"/>
      <c r="DN113" s="228"/>
      <c r="DO113" s="228"/>
      <c r="DP113" s="228"/>
      <c r="DQ113" s="228"/>
      <c r="DR113" s="228"/>
      <c r="DS113" s="228"/>
      <c r="DT113" s="228"/>
      <c r="DU113" s="228"/>
      <c r="DV113" s="228"/>
      <c r="DW113" s="228"/>
      <c r="DX113" s="228"/>
      <c r="DY113" s="228"/>
      <c r="DZ113" s="228"/>
      <c r="EA113" s="228"/>
      <c r="EB113" s="228"/>
      <c r="EC113" s="228"/>
      <c r="ED113" s="228"/>
      <c r="EE113" s="228"/>
      <c r="EF113" s="228"/>
      <c r="EG113" s="228"/>
    </row>
    <row r="114" spans="1:137" ht="3.95" customHeight="1" x14ac:dyDescent="0.25">
      <c r="A114" s="231"/>
      <c r="B114" s="1162" t="s">
        <v>87</v>
      </c>
      <c r="C114" s="1163"/>
      <c r="D114" s="1156"/>
      <c r="E114" s="1156"/>
      <c r="F114" s="1157"/>
      <c r="G114" s="1160" t="s">
        <v>88</v>
      </c>
      <c r="H114" s="1161"/>
      <c r="I114" s="1156"/>
      <c r="J114" s="1156"/>
      <c r="K114" s="1157"/>
      <c r="L114" s="231"/>
      <c r="M114" s="231"/>
      <c r="N114" s="1197" t="s">
        <v>91</v>
      </c>
      <c r="O114" s="1198"/>
      <c r="P114" s="1198"/>
      <c r="Q114" s="1198"/>
      <c r="R114" s="1190">
        <f>kg.itens+kg.moedas</f>
        <v>0</v>
      </c>
      <c r="S114" s="1190"/>
      <c r="T114" s="1190"/>
      <c r="U114" s="1191"/>
      <c r="V114" s="1197" t="s">
        <v>92</v>
      </c>
      <c r="W114" s="1198"/>
      <c r="X114" s="1198"/>
      <c r="Y114" s="1198"/>
      <c r="Z114" s="1190">
        <f>FORÇA*3</f>
        <v>30</v>
      </c>
      <c r="AA114" s="1190"/>
      <c r="AB114" s="1190"/>
      <c r="AC114" s="1191"/>
      <c r="AD114" s="1197" t="s">
        <v>533</v>
      </c>
      <c r="AE114" s="1198"/>
      <c r="AF114" s="1198"/>
      <c r="AG114" s="1198"/>
      <c r="AH114" s="1190">
        <f>FORÇA*10</f>
        <v>100</v>
      </c>
      <c r="AI114" s="1190"/>
      <c r="AJ114" s="1190"/>
      <c r="AK114" s="1191"/>
      <c r="AL114" s="231"/>
      <c r="AP114" s="231"/>
      <c r="AQ114" s="1182"/>
      <c r="AR114" s="1183"/>
      <c r="AS114" s="1183"/>
      <c r="AT114" s="1183"/>
      <c r="AU114" s="1183"/>
      <c r="AV114" s="1183"/>
      <c r="AW114" s="1183"/>
      <c r="AX114" s="1183"/>
      <c r="AY114" s="1183"/>
      <c r="AZ114" s="1183"/>
      <c r="BA114" s="1183"/>
      <c r="BB114" s="1183"/>
      <c r="BC114" s="1183"/>
      <c r="BD114" s="1183"/>
      <c r="BE114" s="1183"/>
      <c r="BF114" s="1183"/>
      <c r="BG114" s="1183"/>
      <c r="BH114" s="1183"/>
      <c r="BI114" s="1183"/>
      <c r="BJ114" s="1183"/>
      <c r="BK114" s="1183"/>
      <c r="BL114" s="1183"/>
      <c r="BM114" s="1183"/>
      <c r="BN114" s="1183"/>
      <c r="BO114" s="1183"/>
      <c r="BP114" s="1183"/>
      <c r="BQ114" s="1183"/>
      <c r="BR114" s="1183"/>
      <c r="BS114" s="1183"/>
      <c r="BT114" s="1183"/>
      <c r="BU114" s="1183"/>
      <c r="BV114" s="1183"/>
      <c r="BW114" s="1183"/>
      <c r="BX114" s="1183"/>
      <c r="BY114" s="1183"/>
      <c r="BZ114" s="1183"/>
      <c r="CA114" s="1183"/>
      <c r="CB114" s="1183"/>
      <c r="CC114" s="1184"/>
      <c r="CD114" s="231"/>
      <c r="DA114" s="228"/>
      <c r="DB114" s="228"/>
      <c r="DC114" s="228"/>
      <c r="DD114" s="228"/>
      <c r="DE114" s="228"/>
      <c r="DF114" s="228"/>
      <c r="DG114" s="228"/>
      <c r="DH114" s="228"/>
      <c r="DI114" s="228"/>
      <c r="DJ114" s="228"/>
      <c r="DK114" s="228"/>
      <c r="DL114" s="228"/>
      <c r="DM114" s="228"/>
      <c r="DN114" s="228"/>
      <c r="DO114" s="228"/>
      <c r="DP114" s="228"/>
      <c r="DQ114" s="228"/>
      <c r="DR114" s="228"/>
      <c r="DS114" s="228"/>
      <c r="DT114" s="228"/>
      <c r="DU114" s="228"/>
      <c r="DV114" s="228"/>
      <c r="DW114" s="228"/>
      <c r="DX114" s="228"/>
      <c r="DY114" s="228"/>
      <c r="DZ114" s="228"/>
      <c r="EA114" s="228"/>
      <c r="EB114" s="228"/>
      <c r="EC114" s="228"/>
      <c r="ED114" s="228"/>
      <c r="EE114" s="228"/>
      <c r="EF114" s="228"/>
      <c r="EG114" s="228"/>
    </row>
    <row r="115" spans="1:137" ht="3.95" customHeight="1" x14ac:dyDescent="0.25">
      <c r="A115" s="231"/>
      <c r="B115" s="1162"/>
      <c r="C115" s="1163"/>
      <c r="D115" s="1156"/>
      <c r="E115" s="1156"/>
      <c r="F115" s="1157"/>
      <c r="G115" s="1160"/>
      <c r="H115" s="1161"/>
      <c r="I115" s="1156"/>
      <c r="J115" s="1156"/>
      <c r="K115" s="1157"/>
      <c r="L115" s="231"/>
      <c r="M115" s="231"/>
      <c r="N115" s="1199"/>
      <c r="O115" s="1200"/>
      <c r="P115" s="1200"/>
      <c r="Q115" s="1200"/>
      <c r="R115" s="1192"/>
      <c r="S115" s="1192"/>
      <c r="T115" s="1192"/>
      <c r="U115" s="1193"/>
      <c r="V115" s="1199"/>
      <c r="W115" s="1200"/>
      <c r="X115" s="1200"/>
      <c r="Y115" s="1200"/>
      <c r="Z115" s="1192"/>
      <c r="AA115" s="1192"/>
      <c r="AB115" s="1192"/>
      <c r="AC115" s="1193"/>
      <c r="AD115" s="1199"/>
      <c r="AE115" s="1200"/>
      <c r="AF115" s="1200"/>
      <c r="AG115" s="1200"/>
      <c r="AH115" s="1192"/>
      <c r="AI115" s="1192"/>
      <c r="AJ115" s="1192"/>
      <c r="AK115" s="1193"/>
      <c r="AL115" s="231"/>
      <c r="AP115" s="231"/>
      <c r="AQ115" s="1182" t="str">
        <f>IF(HLOOKUP(RAÇA,TABELA.traços,4,FALSE)=0,"",HLOOKUP(RAÇA,TABELA.traços,4,FALSE))</f>
        <v xml:space="preserve">  São afetados normalmente por magias e efeitos que afetam espírito. Não são extraplanares.</v>
      </c>
      <c r="AR115" s="1183"/>
      <c r="AS115" s="1183"/>
      <c r="AT115" s="1183"/>
      <c r="AU115" s="1183"/>
      <c r="AV115" s="1183"/>
      <c r="AW115" s="1183"/>
      <c r="AX115" s="1183"/>
      <c r="AY115" s="1183"/>
      <c r="AZ115" s="1183"/>
      <c r="BA115" s="1183"/>
      <c r="BB115" s="1183"/>
      <c r="BC115" s="1183"/>
      <c r="BD115" s="1183"/>
      <c r="BE115" s="1183"/>
      <c r="BF115" s="1183"/>
      <c r="BG115" s="1183"/>
      <c r="BH115" s="1183"/>
      <c r="BI115" s="1183"/>
      <c r="BJ115" s="1183"/>
      <c r="BK115" s="1183"/>
      <c r="BL115" s="1183"/>
      <c r="BM115" s="1183"/>
      <c r="BN115" s="1183"/>
      <c r="BO115" s="1183"/>
      <c r="BP115" s="1183"/>
      <c r="BQ115" s="1183"/>
      <c r="BR115" s="1183"/>
      <c r="BS115" s="1183"/>
      <c r="BT115" s="1183"/>
      <c r="BU115" s="1183"/>
      <c r="BV115" s="1183"/>
      <c r="BW115" s="1183"/>
      <c r="BX115" s="1183"/>
      <c r="BY115" s="1183"/>
      <c r="BZ115" s="1183"/>
      <c r="CA115" s="1183"/>
      <c r="CB115" s="1183"/>
      <c r="CC115" s="1184"/>
      <c r="CD115" s="231"/>
      <c r="DA115" s="228"/>
      <c r="DB115" s="228"/>
      <c r="DC115" s="228"/>
      <c r="DD115" s="228"/>
      <c r="DE115" s="228"/>
      <c r="DF115" s="228"/>
      <c r="DG115" s="228"/>
      <c r="DH115" s="228"/>
      <c r="DI115" s="228"/>
      <c r="DJ115" s="228"/>
      <c r="DK115" s="228"/>
      <c r="DL115" s="228"/>
      <c r="DM115" s="228"/>
      <c r="DN115" s="228"/>
      <c r="DO115" s="228"/>
      <c r="DP115" s="228"/>
      <c r="DQ115" s="228"/>
      <c r="DR115" s="228"/>
      <c r="DS115" s="228"/>
      <c r="DT115" s="228"/>
      <c r="DU115" s="228"/>
      <c r="DV115" s="228"/>
      <c r="DW115" s="228"/>
      <c r="DX115" s="228"/>
      <c r="DY115" s="228"/>
      <c r="DZ115" s="228"/>
      <c r="EA115" s="228"/>
      <c r="EB115" s="228"/>
      <c r="EC115" s="228"/>
      <c r="ED115" s="228"/>
      <c r="EE115" s="228"/>
      <c r="EF115" s="228"/>
      <c r="EG115" s="228"/>
    </row>
    <row r="116" spans="1:137" ht="3.95" customHeight="1" x14ac:dyDescent="0.25">
      <c r="A116" s="231"/>
      <c r="B116" s="1162"/>
      <c r="C116" s="1163"/>
      <c r="D116" s="1156"/>
      <c r="E116" s="1156"/>
      <c r="F116" s="1157"/>
      <c r="G116" s="1160"/>
      <c r="H116" s="1161"/>
      <c r="I116" s="1156"/>
      <c r="J116" s="1156"/>
      <c r="K116" s="1157"/>
      <c r="L116" s="231"/>
      <c r="M116" s="231"/>
      <c r="N116" s="1199"/>
      <c r="O116" s="1200"/>
      <c r="P116" s="1200"/>
      <c r="Q116" s="1200"/>
      <c r="R116" s="1192"/>
      <c r="S116" s="1192"/>
      <c r="T116" s="1192"/>
      <c r="U116" s="1193"/>
      <c r="V116" s="1199"/>
      <c r="W116" s="1200"/>
      <c r="X116" s="1200"/>
      <c r="Y116" s="1200"/>
      <c r="Z116" s="1192"/>
      <c r="AA116" s="1192"/>
      <c r="AB116" s="1192"/>
      <c r="AC116" s="1193"/>
      <c r="AD116" s="1199"/>
      <c r="AE116" s="1200"/>
      <c r="AF116" s="1200"/>
      <c r="AG116" s="1200"/>
      <c r="AH116" s="1192"/>
      <c r="AI116" s="1192"/>
      <c r="AJ116" s="1192"/>
      <c r="AK116" s="1193"/>
      <c r="AL116" s="231"/>
      <c r="AP116" s="231"/>
      <c r="AQ116" s="1182"/>
      <c r="AR116" s="1183"/>
      <c r="AS116" s="1183"/>
      <c r="AT116" s="1183"/>
      <c r="AU116" s="1183"/>
      <c r="AV116" s="1183"/>
      <c r="AW116" s="1183"/>
      <c r="AX116" s="1183"/>
      <c r="AY116" s="1183"/>
      <c r="AZ116" s="1183"/>
      <c r="BA116" s="1183"/>
      <c r="BB116" s="1183"/>
      <c r="BC116" s="1183"/>
      <c r="BD116" s="1183"/>
      <c r="BE116" s="1183"/>
      <c r="BF116" s="1183"/>
      <c r="BG116" s="1183"/>
      <c r="BH116" s="1183"/>
      <c r="BI116" s="1183"/>
      <c r="BJ116" s="1183"/>
      <c r="BK116" s="1183"/>
      <c r="BL116" s="1183"/>
      <c r="BM116" s="1183"/>
      <c r="BN116" s="1183"/>
      <c r="BO116" s="1183"/>
      <c r="BP116" s="1183"/>
      <c r="BQ116" s="1183"/>
      <c r="BR116" s="1183"/>
      <c r="BS116" s="1183"/>
      <c r="BT116" s="1183"/>
      <c r="BU116" s="1183"/>
      <c r="BV116" s="1183"/>
      <c r="BW116" s="1183"/>
      <c r="BX116" s="1183"/>
      <c r="BY116" s="1183"/>
      <c r="BZ116" s="1183"/>
      <c r="CA116" s="1183"/>
      <c r="CB116" s="1183"/>
      <c r="CC116" s="1184"/>
      <c r="CD116" s="231"/>
      <c r="DA116" s="228"/>
      <c r="DB116" s="228"/>
      <c r="DC116" s="228"/>
      <c r="DD116" s="228"/>
      <c r="DE116" s="228"/>
      <c r="DF116" s="228"/>
      <c r="DG116" s="228"/>
      <c r="DH116" s="228"/>
      <c r="DI116" s="228"/>
      <c r="DJ116" s="228"/>
      <c r="DK116" s="228"/>
      <c r="DL116" s="228"/>
      <c r="DM116" s="228"/>
      <c r="DN116" s="228"/>
      <c r="DO116" s="228"/>
      <c r="DP116" s="228"/>
      <c r="DQ116" s="228"/>
      <c r="DR116" s="228"/>
      <c r="DS116" s="228"/>
      <c r="DT116" s="228"/>
      <c r="DU116" s="228"/>
      <c r="DV116" s="228"/>
      <c r="DW116" s="228"/>
      <c r="DX116" s="228"/>
      <c r="DY116" s="228"/>
      <c r="DZ116" s="228"/>
      <c r="EA116" s="228"/>
      <c r="EB116" s="228"/>
      <c r="EC116" s="228"/>
      <c r="ED116" s="228"/>
      <c r="EE116" s="228"/>
      <c r="EF116" s="228"/>
      <c r="EG116" s="228"/>
    </row>
    <row r="117" spans="1:137" ht="3.95" customHeight="1" x14ac:dyDescent="0.25">
      <c r="A117" s="231"/>
      <c r="B117" s="1162"/>
      <c r="C117" s="1163"/>
      <c r="D117" s="1156"/>
      <c r="E117" s="1156"/>
      <c r="F117" s="1157"/>
      <c r="G117" s="1160"/>
      <c r="H117" s="1161"/>
      <c r="I117" s="1156"/>
      <c r="J117" s="1156"/>
      <c r="K117" s="1157"/>
      <c r="L117" s="231"/>
      <c r="M117" s="231"/>
      <c r="N117" s="1201"/>
      <c r="O117" s="1202"/>
      <c r="P117" s="1202"/>
      <c r="Q117" s="1202"/>
      <c r="R117" s="1194"/>
      <c r="S117" s="1194"/>
      <c r="T117" s="1194"/>
      <c r="U117" s="1195"/>
      <c r="V117" s="1201"/>
      <c r="W117" s="1202"/>
      <c r="X117" s="1202"/>
      <c r="Y117" s="1202"/>
      <c r="Z117" s="1194"/>
      <c r="AA117" s="1194"/>
      <c r="AB117" s="1194"/>
      <c r="AC117" s="1195"/>
      <c r="AD117" s="1201"/>
      <c r="AE117" s="1202"/>
      <c r="AF117" s="1202"/>
      <c r="AG117" s="1202"/>
      <c r="AH117" s="1194"/>
      <c r="AI117" s="1194"/>
      <c r="AJ117" s="1194"/>
      <c r="AK117" s="1195"/>
      <c r="AL117" s="231"/>
      <c r="AP117" s="231"/>
      <c r="AQ117" s="1182"/>
      <c r="AR117" s="1183"/>
      <c r="AS117" s="1183"/>
      <c r="AT117" s="1183"/>
      <c r="AU117" s="1183"/>
      <c r="AV117" s="1183"/>
      <c r="AW117" s="1183"/>
      <c r="AX117" s="1183"/>
      <c r="AY117" s="1183"/>
      <c r="AZ117" s="1183"/>
      <c r="BA117" s="1183"/>
      <c r="BB117" s="1183"/>
      <c r="BC117" s="1183"/>
      <c r="BD117" s="1183"/>
      <c r="BE117" s="1183"/>
      <c r="BF117" s="1183"/>
      <c r="BG117" s="1183"/>
      <c r="BH117" s="1183"/>
      <c r="BI117" s="1183"/>
      <c r="BJ117" s="1183"/>
      <c r="BK117" s="1183"/>
      <c r="BL117" s="1183"/>
      <c r="BM117" s="1183"/>
      <c r="BN117" s="1183"/>
      <c r="BO117" s="1183"/>
      <c r="BP117" s="1183"/>
      <c r="BQ117" s="1183"/>
      <c r="BR117" s="1183"/>
      <c r="BS117" s="1183"/>
      <c r="BT117" s="1183"/>
      <c r="BU117" s="1183"/>
      <c r="BV117" s="1183"/>
      <c r="BW117" s="1183"/>
      <c r="BX117" s="1183"/>
      <c r="BY117" s="1183"/>
      <c r="BZ117" s="1183"/>
      <c r="CA117" s="1183"/>
      <c r="CB117" s="1183"/>
      <c r="CC117" s="1184"/>
      <c r="CD117" s="231"/>
      <c r="DA117" s="228"/>
      <c r="DB117" s="228"/>
      <c r="DC117" s="228"/>
      <c r="DD117" s="228"/>
      <c r="DE117" s="228"/>
      <c r="DF117" s="228"/>
      <c r="DG117" s="228"/>
      <c r="DH117" s="228"/>
      <c r="DI117" s="228"/>
      <c r="DJ117" s="228"/>
      <c r="DK117" s="228"/>
      <c r="DL117" s="228"/>
      <c r="DM117" s="228"/>
      <c r="DN117" s="228"/>
      <c r="DO117" s="228"/>
      <c r="DP117" s="228"/>
      <c r="DQ117" s="228"/>
      <c r="DR117" s="228"/>
      <c r="DS117" s="228"/>
      <c r="DT117" s="228"/>
      <c r="DU117" s="228"/>
      <c r="DV117" s="228"/>
      <c r="DW117" s="228"/>
      <c r="DX117" s="228"/>
      <c r="DY117" s="228"/>
      <c r="DZ117" s="228"/>
      <c r="EA117" s="228"/>
      <c r="EB117" s="228"/>
      <c r="EC117" s="228"/>
      <c r="ED117" s="228"/>
      <c r="EE117" s="228"/>
      <c r="EF117" s="228"/>
      <c r="EG117" s="228"/>
    </row>
    <row r="118" spans="1:137" ht="3.95" customHeight="1" x14ac:dyDescent="0.25">
      <c r="A118" s="231"/>
      <c r="B118" s="1154" t="s">
        <v>89</v>
      </c>
      <c r="C118" s="1155"/>
      <c r="D118" s="1156"/>
      <c r="E118" s="1156"/>
      <c r="F118" s="1157"/>
      <c r="G118" s="1158" t="s">
        <v>90</v>
      </c>
      <c r="H118" s="1159"/>
      <c r="I118" s="1156"/>
      <c r="J118" s="1156"/>
      <c r="K118" s="1157"/>
      <c r="L118" s="231"/>
      <c r="M118" s="231"/>
      <c r="N118" s="1164" t="str">
        <f>IF(carga.atual&gt;carga.maxima,"ACIMA DA CAPACIDADE DE CARGA!",IF(carga.atual&gt;carga.base,"SOBRECARGA (-2 de penalidade,-3m de desl.)","CARGA REGULAR"))</f>
        <v>CARGA REGULAR</v>
      </c>
      <c r="O118" s="1165"/>
      <c r="P118" s="1165"/>
      <c r="Q118" s="1165"/>
      <c r="R118" s="1165"/>
      <c r="S118" s="1165"/>
      <c r="T118" s="1165"/>
      <c r="U118" s="1165"/>
      <c r="V118" s="1165"/>
      <c r="W118" s="1165"/>
      <c r="X118" s="1165"/>
      <c r="Y118" s="1165"/>
      <c r="Z118" s="1165"/>
      <c r="AA118" s="1165"/>
      <c r="AB118" s="1165"/>
      <c r="AC118" s="1165"/>
      <c r="AD118" s="1165"/>
      <c r="AE118" s="1165"/>
      <c r="AF118" s="1165"/>
      <c r="AG118" s="1165"/>
      <c r="AH118" s="1165"/>
      <c r="AI118" s="1165"/>
      <c r="AJ118" s="1165"/>
      <c r="AK118" s="1166"/>
      <c r="AL118" s="231"/>
      <c r="AP118" s="231"/>
      <c r="AQ118" s="1182" t="str">
        <f>IF(HLOOKUP(RAÇA,TABELA.traços,5,FALSE)=0,"",HLOOKUP(RAÇA,TABELA.traços,5,FALSE))</f>
        <v>Ao contrário da maioria dos espíritos, podem ser ressussitados normalmente.</v>
      </c>
      <c r="AR118" s="1183"/>
      <c r="AS118" s="1183"/>
      <c r="AT118" s="1183"/>
      <c r="AU118" s="1183"/>
      <c r="AV118" s="1183"/>
      <c r="AW118" s="1183"/>
      <c r="AX118" s="1183"/>
      <c r="AY118" s="1183"/>
      <c r="AZ118" s="1183"/>
      <c r="BA118" s="1183"/>
      <c r="BB118" s="1183"/>
      <c r="BC118" s="1183"/>
      <c r="BD118" s="1183"/>
      <c r="BE118" s="1183"/>
      <c r="BF118" s="1183"/>
      <c r="BG118" s="1183"/>
      <c r="BH118" s="1183"/>
      <c r="BI118" s="1183"/>
      <c r="BJ118" s="1183"/>
      <c r="BK118" s="1183"/>
      <c r="BL118" s="1183"/>
      <c r="BM118" s="1183"/>
      <c r="BN118" s="1183"/>
      <c r="BO118" s="1183"/>
      <c r="BP118" s="1183"/>
      <c r="BQ118" s="1183"/>
      <c r="BR118" s="1183"/>
      <c r="BS118" s="1183"/>
      <c r="BT118" s="1183"/>
      <c r="BU118" s="1183"/>
      <c r="BV118" s="1183"/>
      <c r="BW118" s="1183"/>
      <c r="BX118" s="1183"/>
      <c r="BY118" s="1183"/>
      <c r="BZ118" s="1183"/>
      <c r="CA118" s="1183"/>
      <c r="CB118" s="1183"/>
      <c r="CC118" s="1184"/>
      <c r="CD118" s="231"/>
      <c r="DA118" s="228"/>
      <c r="DB118" s="228"/>
      <c r="DC118" s="228"/>
      <c r="DD118" s="228"/>
      <c r="DE118" s="228"/>
      <c r="DF118" s="228"/>
      <c r="DG118" s="228"/>
      <c r="DH118" s="228"/>
      <c r="DI118" s="228"/>
      <c r="DJ118" s="228"/>
      <c r="DK118" s="228"/>
      <c r="DL118" s="228"/>
      <c r="DM118" s="228"/>
      <c r="DN118" s="228"/>
      <c r="DO118" s="228"/>
      <c r="DP118" s="228"/>
      <c r="DQ118" s="228"/>
      <c r="DR118" s="228"/>
      <c r="DS118" s="228"/>
      <c r="DT118" s="228"/>
      <c r="DU118" s="228"/>
      <c r="DV118" s="228"/>
      <c r="DW118" s="228"/>
      <c r="DX118" s="228"/>
      <c r="DY118" s="228"/>
      <c r="DZ118" s="228"/>
      <c r="EA118" s="228"/>
      <c r="EB118" s="228"/>
      <c r="EC118" s="228"/>
      <c r="ED118" s="228"/>
      <c r="EE118" s="228"/>
      <c r="EF118" s="228"/>
      <c r="EG118" s="228"/>
    </row>
    <row r="119" spans="1:137" ht="3.95" customHeight="1" x14ac:dyDescent="0.25">
      <c r="A119" s="231"/>
      <c r="B119" s="1154"/>
      <c r="C119" s="1155"/>
      <c r="D119" s="1156"/>
      <c r="E119" s="1156"/>
      <c r="F119" s="1157"/>
      <c r="G119" s="1158"/>
      <c r="H119" s="1159"/>
      <c r="I119" s="1156"/>
      <c r="J119" s="1156"/>
      <c r="K119" s="1157"/>
      <c r="L119" s="231"/>
      <c r="M119" s="231"/>
      <c r="N119" s="1167"/>
      <c r="O119" s="1168"/>
      <c r="P119" s="1168"/>
      <c r="Q119" s="1168"/>
      <c r="R119" s="1168"/>
      <c r="S119" s="1168"/>
      <c r="T119" s="1168"/>
      <c r="U119" s="1168"/>
      <c r="V119" s="1168"/>
      <c r="W119" s="1168"/>
      <c r="X119" s="1168"/>
      <c r="Y119" s="1168"/>
      <c r="Z119" s="1168"/>
      <c r="AA119" s="1168"/>
      <c r="AB119" s="1168"/>
      <c r="AC119" s="1168"/>
      <c r="AD119" s="1168"/>
      <c r="AE119" s="1168"/>
      <c r="AF119" s="1168"/>
      <c r="AG119" s="1168"/>
      <c r="AH119" s="1168"/>
      <c r="AI119" s="1168"/>
      <c r="AJ119" s="1168"/>
      <c r="AK119" s="1169"/>
      <c r="AL119" s="231"/>
      <c r="AP119" s="231"/>
      <c r="AQ119" s="1182"/>
      <c r="AR119" s="1183"/>
      <c r="AS119" s="1183"/>
      <c r="AT119" s="1183"/>
      <c r="AU119" s="1183"/>
      <c r="AV119" s="1183"/>
      <c r="AW119" s="1183"/>
      <c r="AX119" s="1183"/>
      <c r="AY119" s="1183"/>
      <c r="AZ119" s="1183"/>
      <c r="BA119" s="1183"/>
      <c r="BB119" s="1183"/>
      <c r="BC119" s="1183"/>
      <c r="BD119" s="1183"/>
      <c r="BE119" s="1183"/>
      <c r="BF119" s="1183"/>
      <c r="BG119" s="1183"/>
      <c r="BH119" s="1183"/>
      <c r="BI119" s="1183"/>
      <c r="BJ119" s="1183"/>
      <c r="BK119" s="1183"/>
      <c r="BL119" s="1183"/>
      <c r="BM119" s="1183"/>
      <c r="BN119" s="1183"/>
      <c r="BO119" s="1183"/>
      <c r="BP119" s="1183"/>
      <c r="BQ119" s="1183"/>
      <c r="BR119" s="1183"/>
      <c r="BS119" s="1183"/>
      <c r="BT119" s="1183"/>
      <c r="BU119" s="1183"/>
      <c r="BV119" s="1183"/>
      <c r="BW119" s="1183"/>
      <c r="BX119" s="1183"/>
      <c r="BY119" s="1183"/>
      <c r="BZ119" s="1183"/>
      <c r="CA119" s="1183"/>
      <c r="CB119" s="1183"/>
      <c r="CC119" s="1184"/>
      <c r="CD119" s="231"/>
      <c r="DA119" s="228"/>
      <c r="DB119" s="228"/>
      <c r="DC119" s="228"/>
      <c r="DD119" s="228"/>
      <c r="DE119" s="228"/>
      <c r="DF119" s="228"/>
      <c r="DG119" s="228"/>
      <c r="DH119" s="228"/>
      <c r="DI119" s="228"/>
      <c r="DJ119" s="228"/>
      <c r="DK119" s="228"/>
      <c r="DL119" s="228"/>
      <c r="DM119" s="228"/>
      <c r="DN119" s="228"/>
      <c r="DO119" s="228"/>
      <c r="DP119" s="228"/>
      <c r="DQ119" s="228"/>
      <c r="DR119" s="228"/>
      <c r="DS119" s="228"/>
      <c r="DT119" s="228"/>
      <c r="DU119" s="228"/>
      <c r="DV119" s="228"/>
      <c r="DW119" s="228"/>
      <c r="DX119" s="228"/>
      <c r="DY119" s="228"/>
      <c r="DZ119" s="228"/>
      <c r="EA119" s="228"/>
      <c r="EB119" s="228"/>
      <c r="EC119" s="228"/>
      <c r="ED119" s="228"/>
      <c r="EE119" s="228"/>
      <c r="EF119" s="228"/>
      <c r="EG119" s="228"/>
    </row>
    <row r="120" spans="1:137" ht="3.95" customHeight="1" x14ac:dyDescent="0.25">
      <c r="A120" s="231"/>
      <c r="B120" s="1154"/>
      <c r="C120" s="1155"/>
      <c r="D120" s="1156"/>
      <c r="E120" s="1156"/>
      <c r="F120" s="1157"/>
      <c r="G120" s="1158"/>
      <c r="H120" s="1159"/>
      <c r="I120" s="1156"/>
      <c r="J120" s="1156"/>
      <c r="K120" s="1157"/>
      <c r="L120" s="231"/>
      <c r="M120" s="231"/>
      <c r="N120" s="1167"/>
      <c r="O120" s="1168"/>
      <c r="P120" s="1168"/>
      <c r="Q120" s="1168"/>
      <c r="R120" s="1168"/>
      <c r="S120" s="1168"/>
      <c r="T120" s="1168"/>
      <c r="U120" s="1168"/>
      <c r="V120" s="1168"/>
      <c r="W120" s="1168"/>
      <c r="X120" s="1168"/>
      <c r="Y120" s="1168"/>
      <c r="Z120" s="1168"/>
      <c r="AA120" s="1168"/>
      <c r="AB120" s="1168"/>
      <c r="AC120" s="1168"/>
      <c r="AD120" s="1168"/>
      <c r="AE120" s="1168"/>
      <c r="AF120" s="1168"/>
      <c r="AG120" s="1168"/>
      <c r="AH120" s="1168"/>
      <c r="AI120" s="1168"/>
      <c r="AJ120" s="1168"/>
      <c r="AK120" s="1169"/>
      <c r="AL120" s="231"/>
      <c r="AP120" s="231"/>
      <c r="AQ120" s="1182"/>
      <c r="AR120" s="1183"/>
      <c r="AS120" s="1183"/>
      <c r="AT120" s="1183"/>
      <c r="AU120" s="1183"/>
      <c r="AV120" s="1183"/>
      <c r="AW120" s="1183"/>
      <c r="AX120" s="1183"/>
      <c r="AY120" s="1183"/>
      <c r="AZ120" s="1183"/>
      <c r="BA120" s="1183"/>
      <c r="BB120" s="1183"/>
      <c r="BC120" s="1183"/>
      <c r="BD120" s="1183"/>
      <c r="BE120" s="1183"/>
      <c r="BF120" s="1183"/>
      <c r="BG120" s="1183"/>
      <c r="BH120" s="1183"/>
      <c r="BI120" s="1183"/>
      <c r="BJ120" s="1183"/>
      <c r="BK120" s="1183"/>
      <c r="BL120" s="1183"/>
      <c r="BM120" s="1183"/>
      <c r="BN120" s="1183"/>
      <c r="BO120" s="1183"/>
      <c r="BP120" s="1183"/>
      <c r="BQ120" s="1183"/>
      <c r="BR120" s="1183"/>
      <c r="BS120" s="1183"/>
      <c r="BT120" s="1183"/>
      <c r="BU120" s="1183"/>
      <c r="BV120" s="1183"/>
      <c r="BW120" s="1183"/>
      <c r="BX120" s="1183"/>
      <c r="BY120" s="1183"/>
      <c r="BZ120" s="1183"/>
      <c r="CA120" s="1183"/>
      <c r="CB120" s="1183"/>
      <c r="CC120" s="1184"/>
      <c r="CD120" s="231"/>
      <c r="DA120" s="228"/>
      <c r="DB120" s="228"/>
      <c r="DC120" s="228"/>
      <c r="DD120" s="228"/>
      <c r="DE120" s="228"/>
      <c r="DF120" s="228"/>
      <c r="DG120" s="228"/>
      <c r="DH120" s="228"/>
      <c r="DI120" s="228"/>
      <c r="DJ120" s="228"/>
      <c r="DK120" s="228"/>
      <c r="DL120" s="228"/>
      <c r="DM120" s="228"/>
      <c r="DN120" s="228"/>
      <c r="DO120" s="228"/>
      <c r="DP120" s="228"/>
      <c r="DQ120" s="228"/>
      <c r="DR120" s="228"/>
      <c r="DS120" s="228"/>
      <c r="DT120" s="228"/>
      <c r="DU120" s="228"/>
      <c r="DV120" s="228"/>
      <c r="DW120" s="228"/>
      <c r="DX120" s="228"/>
      <c r="DY120" s="228"/>
      <c r="DZ120" s="228"/>
      <c r="EA120" s="228"/>
      <c r="EB120" s="228"/>
      <c r="EC120" s="228"/>
      <c r="ED120" s="228"/>
      <c r="EE120" s="228"/>
      <c r="EF120" s="228"/>
      <c r="EG120" s="228"/>
    </row>
    <row r="121" spans="1:137" ht="3.95" customHeight="1" x14ac:dyDescent="0.25">
      <c r="A121" s="231"/>
      <c r="B121" s="1154"/>
      <c r="C121" s="1155"/>
      <c r="D121" s="1156"/>
      <c r="E121" s="1156"/>
      <c r="F121" s="1157"/>
      <c r="G121" s="1158"/>
      <c r="H121" s="1159"/>
      <c r="I121" s="1156"/>
      <c r="J121" s="1156"/>
      <c r="K121" s="1157"/>
      <c r="L121" s="231"/>
      <c r="M121" s="231"/>
      <c r="N121" s="1170"/>
      <c r="O121" s="1171"/>
      <c r="P121" s="1171"/>
      <c r="Q121" s="1171"/>
      <c r="R121" s="1171"/>
      <c r="S121" s="1171"/>
      <c r="T121" s="1171"/>
      <c r="U121" s="1171"/>
      <c r="V121" s="1171"/>
      <c r="W121" s="1171"/>
      <c r="X121" s="1171"/>
      <c r="Y121" s="1171"/>
      <c r="Z121" s="1171"/>
      <c r="AA121" s="1171"/>
      <c r="AB121" s="1171"/>
      <c r="AC121" s="1171"/>
      <c r="AD121" s="1171"/>
      <c r="AE121" s="1171"/>
      <c r="AF121" s="1171"/>
      <c r="AG121" s="1171"/>
      <c r="AH121" s="1171"/>
      <c r="AI121" s="1171"/>
      <c r="AJ121" s="1171"/>
      <c r="AK121" s="1172"/>
      <c r="AL121" s="231"/>
      <c r="AP121" s="231"/>
      <c r="AQ121" s="1182" t="str">
        <f>IF(HLOOKUP(RAÇA,TABELA.traços,6,FALSE)=0,"",HLOOKUP(RAÇA,TABELA.traços,6,FALSE))</f>
        <v>Visão no escuro 18m.</v>
      </c>
      <c r="AR121" s="1183"/>
      <c r="AS121" s="1183"/>
      <c r="AT121" s="1183"/>
      <c r="AU121" s="1183"/>
      <c r="AV121" s="1183"/>
      <c r="AW121" s="1183"/>
      <c r="AX121" s="1183"/>
      <c r="AY121" s="1183"/>
      <c r="AZ121" s="1183"/>
      <c r="BA121" s="1183"/>
      <c r="BB121" s="1183"/>
      <c r="BC121" s="1183"/>
      <c r="BD121" s="1183"/>
      <c r="BE121" s="1183"/>
      <c r="BF121" s="1183"/>
      <c r="BG121" s="1183"/>
      <c r="BH121" s="1183"/>
      <c r="BI121" s="1183"/>
      <c r="BJ121" s="1183"/>
      <c r="BK121" s="1183"/>
      <c r="BL121" s="1183"/>
      <c r="BM121" s="1183"/>
      <c r="BN121" s="1183"/>
      <c r="BO121" s="1183"/>
      <c r="BP121" s="1183"/>
      <c r="BQ121" s="1183"/>
      <c r="BR121" s="1183"/>
      <c r="BS121" s="1183"/>
      <c r="BT121" s="1183"/>
      <c r="BU121" s="1183"/>
      <c r="BV121" s="1183"/>
      <c r="BW121" s="1183"/>
      <c r="BX121" s="1183"/>
      <c r="BY121" s="1183"/>
      <c r="BZ121" s="1183"/>
      <c r="CA121" s="1183"/>
      <c r="CB121" s="1183"/>
      <c r="CC121" s="1184"/>
      <c r="CD121" s="231"/>
      <c r="DA121" s="228"/>
      <c r="DB121" s="228"/>
      <c r="DC121" s="228"/>
      <c r="DD121" s="228"/>
      <c r="DE121" s="228"/>
      <c r="DF121" s="228"/>
      <c r="DG121" s="228"/>
      <c r="DH121" s="228"/>
      <c r="DI121" s="228"/>
      <c r="DJ121" s="228"/>
      <c r="DK121" s="228"/>
      <c r="DL121" s="228"/>
      <c r="DM121" s="228"/>
      <c r="DN121" s="228"/>
      <c r="DO121" s="228"/>
      <c r="DP121" s="228"/>
      <c r="DQ121" s="228"/>
      <c r="DR121" s="228"/>
      <c r="DS121" s="228"/>
      <c r="DT121" s="228"/>
      <c r="DU121" s="228"/>
      <c r="DV121" s="228"/>
      <c r="DW121" s="228"/>
      <c r="DX121" s="228"/>
      <c r="DY121" s="228"/>
      <c r="DZ121" s="228"/>
      <c r="EA121" s="228"/>
      <c r="EB121" s="228"/>
      <c r="EC121" s="228"/>
      <c r="ED121" s="228"/>
      <c r="EE121" s="228"/>
      <c r="EF121" s="228"/>
      <c r="EG121" s="228"/>
    </row>
    <row r="122" spans="1:137" ht="3.95" customHeight="1" x14ac:dyDescent="0.25">
      <c r="A122" s="231"/>
      <c r="B122" s="231"/>
      <c r="C122" s="231"/>
      <c r="D122" s="231"/>
      <c r="E122" s="231"/>
      <c r="F122" s="231"/>
      <c r="G122" s="231"/>
      <c r="H122" s="231"/>
      <c r="I122" s="231"/>
      <c r="J122" s="231"/>
      <c r="K122" s="231"/>
      <c r="L122" s="231"/>
      <c r="M122" s="231"/>
      <c r="N122" s="237"/>
      <c r="O122" s="237"/>
      <c r="P122" s="237"/>
      <c r="Q122" s="237"/>
      <c r="R122" s="237"/>
      <c r="S122" s="237"/>
      <c r="T122" s="237"/>
      <c r="U122" s="237"/>
      <c r="V122" s="237"/>
      <c r="W122" s="237"/>
      <c r="X122" s="237"/>
      <c r="Y122" s="237"/>
      <c r="Z122" s="237"/>
      <c r="AA122" s="237"/>
      <c r="AB122" s="237"/>
      <c r="AC122" s="237"/>
      <c r="AD122" s="237"/>
      <c r="AE122" s="237"/>
      <c r="AF122" s="237"/>
      <c r="AG122" s="237"/>
      <c r="AH122" s="237"/>
      <c r="AI122" s="237"/>
      <c r="AJ122" s="237"/>
      <c r="AK122" s="237"/>
      <c r="AL122" s="231"/>
      <c r="AP122" s="231"/>
      <c r="AQ122" s="1182"/>
      <c r="AR122" s="1183"/>
      <c r="AS122" s="1183"/>
      <c r="AT122" s="1183"/>
      <c r="AU122" s="1183"/>
      <c r="AV122" s="1183"/>
      <c r="AW122" s="1183"/>
      <c r="AX122" s="1183"/>
      <c r="AY122" s="1183"/>
      <c r="AZ122" s="1183"/>
      <c r="BA122" s="1183"/>
      <c r="BB122" s="1183"/>
      <c r="BC122" s="1183"/>
      <c r="BD122" s="1183"/>
      <c r="BE122" s="1183"/>
      <c r="BF122" s="1183"/>
      <c r="BG122" s="1183"/>
      <c r="BH122" s="1183"/>
      <c r="BI122" s="1183"/>
      <c r="BJ122" s="1183"/>
      <c r="BK122" s="1183"/>
      <c r="BL122" s="1183"/>
      <c r="BM122" s="1183"/>
      <c r="BN122" s="1183"/>
      <c r="BO122" s="1183"/>
      <c r="BP122" s="1183"/>
      <c r="BQ122" s="1183"/>
      <c r="BR122" s="1183"/>
      <c r="BS122" s="1183"/>
      <c r="BT122" s="1183"/>
      <c r="BU122" s="1183"/>
      <c r="BV122" s="1183"/>
      <c r="BW122" s="1183"/>
      <c r="BX122" s="1183"/>
      <c r="BY122" s="1183"/>
      <c r="BZ122" s="1183"/>
      <c r="CA122" s="1183"/>
      <c r="CB122" s="1183"/>
      <c r="CC122" s="1184"/>
      <c r="CD122" s="231"/>
      <c r="DA122" s="228"/>
      <c r="DB122" s="228"/>
      <c r="DC122" s="228"/>
      <c r="DD122" s="228"/>
      <c r="DE122" s="228"/>
      <c r="DF122" s="228"/>
      <c r="DG122" s="228"/>
      <c r="DH122" s="228"/>
      <c r="DI122" s="228"/>
      <c r="DJ122" s="228"/>
      <c r="DK122" s="228"/>
      <c r="DL122" s="228"/>
      <c r="DM122" s="228"/>
      <c r="DN122" s="228"/>
      <c r="DO122" s="228"/>
      <c r="DP122" s="228"/>
      <c r="DQ122" s="228"/>
      <c r="DR122" s="228"/>
      <c r="DS122" s="228"/>
      <c r="DT122" s="228"/>
      <c r="DU122" s="228"/>
      <c r="DV122" s="228"/>
      <c r="DW122" s="228"/>
      <c r="DX122" s="228"/>
      <c r="DY122" s="228"/>
      <c r="DZ122" s="228"/>
      <c r="EA122" s="228"/>
      <c r="EB122" s="228"/>
      <c r="EC122" s="228"/>
      <c r="ED122" s="228"/>
      <c r="EE122" s="228"/>
      <c r="EF122" s="228"/>
      <c r="EG122" s="228"/>
    </row>
    <row r="123" spans="1:137" ht="3.95" customHeight="1" x14ac:dyDescent="0.25">
      <c r="A123" s="231"/>
      <c r="B123" s="231"/>
      <c r="C123" s="231"/>
      <c r="D123" s="231"/>
      <c r="E123" s="231"/>
      <c r="F123" s="231"/>
      <c r="G123" s="231"/>
      <c r="H123" s="231"/>
      <c r="I123" s="231"/>
      <c r="J123" s="231"/>
      <c r="K123" s="231"/>
      <c r="L123" s="231"/>
      <c r="M123" s="231"/>
      <c r="N123" s="231"/>
      <c r="O123" s="231"/>
      <c r="P123" s="231"/>
      <c r="Q123" s="231"/>
      <c r="R123" s="231"/>
      <c r="S123" s="231"/>
      <c r="T123" s="231"/>
      <c r="U123" s="231"/>
      <c r="V123" s="231"/>
      <c r="W123" s="231"/>
      <c r="X123" s="231"/>
      <c r="Y123" s="231"/>
      <c r="Z123" s="231"/>
      <c r="AA123" s="231"/>
      <c r="AB123" s="231"/>
      <c r="AC123" s="231"/>
      <c r="AD123" s="231"/>
      <c r="AE123" s="231"/>
      <c r="AF123" s="231"/>
      <c r="AG123" s="231"/>
      <c r="AH123" s="231"/>
      <c r="AI123" s="231"/>
      <c r="AJ123" s="231"/>
      <c r="AK123" s="231"/>
      <c r="AL123" s="231"/>
      <c r="AP123" s="231"/>
      <c r="AQ123" s="1182"/>
      <c r="AR123" s="1183"/>
      <c r="AS123" s="1183"/>
      <c r="AT123" s="1183"/>
      <c r="AU123" s="1183"/>
      <c r="AV123" s="1183"/>
      <c r="AW123" s="1183"/>
      <c r="AX123" s="1183"/>
      <c r="AY123" s="1183"/>
      <c r="AZ123" s="1183"/>
      <c r="BA123" s="1183"/>
      <c r="BB123" s="1183"/>
      <c r="BC123" s="1183"/>
      <c r="BD123" s="1183"/>
      <c r="BE123" s="1183"/>
      <c r="BF123" s="1183"/>
      <c r="BG123" s="1183"/>
      <c r="BH123" s="1183"/>
      <c r="BI123" s="1183"/>
      <c r="BJ123" s="1183"/>
      <c r="BK123" s="1183"/>
      <c r="BL123" s="1183"/>
      <c r="BM123" s="1183"/>
      <c r="BN123" s="1183"/>
      <c r="BO123" s="1183"/>
      <c r="BP123" s="1183"/>
      <c r="BQ123" s="1183"/>
      <c r="BR123" s="1183"/>
      <c r="BS123" s="1183"/>
      <c r="BT123" s="1183"/>
      <c r="BU123" s="1183"/>
      <c r="BV123" s="1183"/>
      <c r="BW123" s="1183"/>
      <c r="BX123" s="1183"/>
      <c r="BY123" s="1183"/>
      <c r="BZ123" s="1183"/>
      <c r="CA123" s="1183"/>
      <c r="CB123" s="1183"/>
      <c r="CC123" s="1184"/>
      <c r="CD123" s="231"/>
      <c r="DA123" s="228"/>
      <c r="DB123" s="228"/>
      <c r="DC123" s="228"/>
      <c r="DD123" s="228"/>
      <c r="DE123" s="228"/>
      <c r="DF123" s="228"/>
      <c r="DG123" s="228"/>
      <c r="DH123" s="228"/>
      <c r="DI123" s="228"/>
      <c r="DJ123" s="228"/>
      <c r="DK123" s="228"/>
      <c r="DL123" s="228"/>
      <c r="DM123" s="228"/>
      <c r="DN123" s="228"/>
      <c r="DO123" s="228"/>
      <c r="DP123" s="228"/>
      <c r="DQ123" s="228"/>
      <c r="DR123" s="228"/>
      <c r="DS123" s="228"/>
      <c r="DT123" s="228"/>
      <c r="DU123" s="228"/>
      <c r="DV123" s="228"/>
      <c r="DW123" s="228"/>
      <c r="DX123" s="228"/>
      <c r="DY123" s="228"/>
      <c r="DZ123" s="228"/>
      <c r="EA123" s="228"/>
      <c r="EB123" s="228"/>
      <c r="EC123" s="228"/>
      <c r="ED123" s="228"/>
      <c r="EE123" s="228"/>
      <c r="EF123" s="228"/>
      <c r="EG123" s="228"/>
    </row>
    <row r="124" spans="1:137" ht="3.95" customHeight="1" x14ac:dyDescent="0.25">
      <c r="AP124" s="231"/>
      <c r="AQ124" s="1182" t="str">
        <f>IF(HLOOKUP(RAÇA,TABELA.traços,7,FALSE)=0,"",HLOOKUP(RAÇA,TABELA.traços,7,FALSE))</f>
        <v>Luz do dia. Aggelus podem lançar esta magia 1x por dia.</v>
      </c>
      <c r="AR124" s="1183"/>
      <c r="AS124" s="1183"/>
      <c r="AT124" s="1183"/>
      <c r="AU124" s="1183"/>
      <c r="AV124" s="1183"/>
      <c r="AW124" s="1183"/>
      <c r="AX124" s="1183"/>
      <c r="AY124" s="1183"/>
      <c r="AZ124" s="1183"/>
      <c r="BA124" s="1183"/>
      <c r="BB124" s="1183"/>
      <c r="BC124" s="1183"/>
      <c r="BD124" s="1183"/>
      <c r="BE124" s="1183"/>
      <c r="BF124" s="1183"/>
      <c r="BG124" s="1183"/>
      <c r="BH124" s="1183"/>
      <c r="BI124" s="1183"/>
      <c r="BJ124" s="1183"/>
      <c r="BK124" s="1183"/>
      <c r="BL124" s="1183"/>
      <c r="BM124" s="1183"/>
      <c r="BN124" s="1183"/>
      <c r="BO124" s="1183"/>
      <c r="BP124" s="1183"/>
      <c r="BQ124" s="1183"/>
      <c r="BR124" s="1183"/>
      <c r="BS124" s="1183"/>
      <c r="BT124" s="1183"/>
      <c r="BU124" s="1183"/>
      <c r="BV124" s="1183"/>
      <c r="BW124" s="1183"/>
      <c r="BX124" s="1183"/>
      <c r="BY124" s="1183"/>
      <c r="BZ124" s="1183"/>
      <c r="CA124" s="1183"/>
      <c r="CB124" s="1183"/>
      <c r="CC124" s="1184"/>
      <c r="CD124" s="231"/>
      <c r="DA124" s="228"/>
      <c r="DB124" s="228"/>
      <c r="DC124" s="228"/>
      <c r="DD124" s="228"/>
      <c r="DE124" s="228"/>
      <c r="DF124" s="228"/>
      <c r="DG124" s="228"/>
      <c r="DH124" s="228"/>
      <c r="DI124" s="228"/>
      <c r="DJ124" s="228"/>
      <c r="DK124" s="228"/>
      <c r="DL124" s="228"/>
      <c r="DM124" s="228"/>
      <c r="DN124" s="228"/>
      <c r="DO124" s="228"/>
      <c r="DP124" s="228"/>
      <c r="DQ124" s="228"/>
      <c r="DR124" s="228"/>
      <c r="DS124" s="228"/>
      <c r="DT124" s="228"/>
      <c r="DU124" s="228"/>
      <c r="DV124" s="228"/>
      <c r="DW124" s="228"/>
      <c r="DX124" s="228"/>
      <c r="DY124" s="228"/>
      <c r="DZ124" s="228"/>
      <c r="EA124" s="228"/>
      <c r="EB124" s="228"/>
      <c r="EC124" s="228"/>
      <c r="ED124" s="228"/>
      <c r="EE124" s="228"/>
      <c r="EF124" s="228"/>
      <c r="EG124" s="228"/>
    </row>
    <row r="125" spans="1:137" ht="3.95" customHeight="1" x14ac:dyDescent="0.25">
      <c r="AP125" s="231"/>
      <c r="AQ125" s="1182"/>
      <c r="AR125" s="1183"/>
      <c r="AS125" s="1183"/>
      <c r="AT125" s="1183"/>
      <c r="AU125" s="1183"/>
      <c r="AV125" s="1183"/>
      <c r="AW125" s="1183"/>
      <c r="AX125" s="1183"/>
      <c r="AY125" s="1183"/>
      <c r="AZ125" s="1183"/>
      <c r="BA125" s="1183"/>
      <c r="BB125" s="1183"/>
      <c r="BC125" s="1183"/>
      <c r="BD125" s="1183"/>
      <c r="BE125" s="1183"/>
      <c r="BF125" s="1183"/>
      <c r="BG125" s="1183"/>
      <c r="BH125" s="1183"/>
      <c r="BI125" s="1183"/>
      <c r="BJ125" s="1183"/>
      <c r="BK125" s="1183"/>
      <c r="BL125" s="1183"/>
      <c r="BM125" s="1183"/>
      <c r="BN125" s="1183"/>
      <c r="BO125" s="1183"/>
      <c r="BP125" s="1183"/>
      <c r="BQ125" s="1183"/>
      <c r="BR125" s="1183"/>
      <c r="BS125" s="1183"/>
      <c r="BT125" s="1183"/>
      <c r="BU125" s="1183"/>
      <c r="BV125" s="1183"/>
      <c r="BW125" s="1183"/>
      <c r="BX125" s="1183"/>
      <c r="BY125" s="1183"/>
      <c r="BZ125" s="1183"/>
      <c r="CA125" s="1183"/>
      <c r="CB125" s="1183"/>
      <c r="CC125" s="1184"/>
      <c r="CD125" s="231"/>
      <c r="DA125" s="228"/>
      <c r="DB125" s="228"/>
      <c r="DC125" s="228"/>
      <c r="DD125" s="228"/>
      <c r="DE125" s="228"/>
      <c r="DF125" s="228"/>
      <c r="DG125" s="228"/>
      <c r="DH125" s="228"/>
      <c r="DI125" s="228"/>
      <c r="DJ125" s="228"/>
      <c r="DK125" s="228"/>
      <c r="DL125" s="228"/>
      <c r="DM125" s="228"/>
      <c r="DN125" s="228"/>
      <c r="DO125" s="228"/>
      <c r="DP125" s="228"/>
      <c r="DQ125" s="228"/>
      <c r="DR125" s="228"/>
      <c r="DS125" s="228"/>
      <c r="DT125" s="228"/>
      <c r="DU125" s="228"/>
      <c r="DV125" s="228"/>
      <c r="DW125" s="228"/>
      <c r="DX125" s="228"/>
      <c r="DY125" s="228"/>
      <c r="DZ125" s="228"/>
      <c r="EA125" s="228"/>
      <c r="EB125" s="228"/>
      <c r="EC125" s="228"/>
      <c r="ED125" s="228"/>
      <c r="EE125" s="228"/>
      <c r="EF125" s="228"/>
      <c r="EG125" s="228"/>
    </row>
    <row r="126" spans="1:137" ht="3.95" customHeight="1" x14ac:dyDescent="0.25">
      <c r="A126" s="231"/>
      <c r="B126" s="1134" t="s">
        <v>535</v>
      </c>
      <c r="C126" s="1134"/>
      <c r="D126" s="1134"/>
      <c r="E126" s="1134"/>
      <c r="F126" s="1134"/>
      <c r="G126" s="1134"/>
      <c r="H126" s="1134"/>
      <c r="I126" s="1134"/>
      <c r="J126" s="1134"/>
      <c r="K126" s="1134"/>
      <c r="L126" s="1134"/>
      <c r="M126" s="1134"/>
      <c r="N126" s="1134"/>
      <c r="O126" s="1134"/>
      <c r="P126" s="1134"/>
      <c r="Q126" s="1134"/>
      <c r="R126" s="1134"/>
      <c r="S126" s="1134"/>
      <c r="T126" s="1134"/>
      <c r="U126" s="1134"/>
      <c r="V126" s="1134"/>
      <c r="W126" s="1134"/>
      <c r="X126" s="1134"/>
      <c r="Y126" s="1134"/>
      <c r="Z126" s="1134"/>
      <c r="AA126" s="1134"/>
      <c r="AB126" s="1134"/>
      <c r="AC126" s="1134"/>
      <c r="AD126" s="1134"/>
      <c r="AE126" s="1134"/>
      <c r="AF126" s="1134"/>
      <c r="AG126" s="1134"/>
      <c r="AH126" s="1134"/>
      <c r="AI126" s="1134"/>
      <c r="AJ126" s="1134"/>
      <c r="AK126" s="1134"/>
      <c r="AL126" s="231"/>
      <c r="AP126" s="231"/>
      <c r="AQ126" s="1182"/>
      <c r="AR126" s="1183"/>
      <c r="AS126" s="1183"/>
      <c r="AT126" s="1183"/>
      <c r="AU126" s="1183"/>
      <c r="AV126" s="1183"/>
      <c r="AW126" s="1183"/>
      <c r="AX126" s="1183"/>
      <c r="AY126" s="1183"/>
      <c r="AZ126" s="1183"/>
      <c r="BA126" s="1183"/>
      <c r="BB126" s="1183"/>
      <c r="BC126" s="1183"/>
      <c r="BD126" s="1183"/>
      <c r="BE126" s="1183"/>
      <c r="BF126" s="1183"/>
      <c r="BG126" s="1183"/>
      <c r="BH126" s="1183"/>
      <c r="BI126" s="1183"/>
      <c r="BJ126" s="1183"/>
      <c r="BK126" s="1183"/>
      <c r="BL126" s="1183"/>
      <c r="BM126" s="1183"/>
      <c r="BN126" s="1183"/>
      <c r="BO126" s="1183"/>
      <c r="BP126" s="1183"/>
      <c r="BQ126" s="1183"/>
      <c r="BR126" s="1183"/>
      <c r="BS126" s="1183"/>
      <c r="BT126" s="1183"/>
      <c r="BU126" s="1183"/>
      <c r="BV126" s="1183"/>
      <c r="BW126" s="1183"/>
      <c r="BX126" s="1183"/>
      <c r="BY126" s="1183"/>
      <c r="BZ126" s="1183"/>
      <c r="CA126" s="1183"/>
      <c r="CB126" s="1183"/>
      <c r="CC126" s="1184"/>
      <c r="CD126" s="231"/>
      <c r="DA126" s="228"/>
      <c r="DB126" s="228"/>
      <c r="DC126" s="228"/>
      <c r="DD126" s="228"/>
      <c r="DE126" s="228"/>
      <c r="DF126" s="228"/>
      <c r="DG126" s="228"/>
      <c r="DH126" s="228"/>
      <c r="DI126" s="228"/>
      <c r="DJ126" s="228"/>
      <c r="DK126" s="228"/>
      <c r="DL126" s="228"/>
      <c r="DM126" s="228"/>
      <c r="DN126" s="228"/>
      <c r="DO126" s="228"/>
      <c r="DP126" s="228"/>
      <c r="DQ126" s="228"/>
      <c r="DR126" s="228"/>
      <c r="DS126" s="228"/>
      <c r="DT126" s="228"/>
      <c r="DU126" s="228"/>
      <c r="DV126" s="228"/>
      <c r="DW126" s="228"/>
      <c r="DX126" s="228"/>
      <c r="DY126" s="228"/>
      <c r="DZ126" s="228"/>
      <c r="EA126" s="228"/>
      <c r="EB126" s="228"/>
      <c r="EC126" s="228"/>
      <c r="ED126" s="228"/>
      <c r="EE126" s="228"/>
      <c r="EF126" s="228"/>
      <c r="EG126" s="228"/>
    </row>
    <row r="127" spans="1:137" ht="3.95" customHeight="1" x14ac:dyDescent="0.25">
      <c r="A127" s="231"/>
      <c r="B127" s="1134"/>
      <c r="C127" s="1134"/>
      <c r="D127" s="1134"/>
      <c r="E127" s="1134"/>
      <c r="F127" s="1134"/>
      <c r="G127" s="1134"/>
      <c r="H127" s="1134"/>
      <c r="I127" s="1134"/>
      <c r="J127" s="1134"/>
      <c r="K127" s="1134"/>
      <c r="L127" s="1134"/>
      <c r="M127" s="1134"/>
      <c r="N127" s="1134"/>
      <c r="O127" s="1134"/>
      <c r="P127" s="1134"/>
      <c r="Q127" s="1134"/>
      <c r="R127" s="1134"/>
      <c r="S127" s="1134"/>
      <c r="T127" s="1134"/>
      <c r="U127" s="1134"/>
      <c r="V127" s="1134"/>
      <c r="W127" s="1134"/>
      <c r="X127" s="1134"/>
      <c r="Y127" s="1134"/>
      <c r="Z127" s="1134"/>
      <c r="AA127" s="1134"/>
      <c r="AB127" s="1134"/>
      <c r="AC127" s="1134"/>
      <c r="AD127" s="1134"/>
      <c r="AE127" s="1134"/>
      <c r="AF127" s="1134"/>
      <c r="AG127" s="1134"/>
      <c r="AH127" s="1134"/>
      <c r="AI127" s="1134"/>
      <c r="AJ127" s="1134"/>
      <c r="AK127" s="1134"/>
      <c r="AL127" s="231"/>
      <c r="AP127" s="231"/>
      <c r="AQ127" s="1182" t="str">
        <f>IF(HLOOKUP(RAÇA,TABELA.traços,8,FALSE)=0,"",HLOOKUP(RAÇA,TABELA.traços,8,FALSE))</f>
        <v>Resistência a ácido, frio e eletricidade 5.</v>
      </c>
      <c r="AR127" s="1183"/>
      <c r="AS127" s="1183"/>
      <c r="AT127" s="1183"/>
      <c r="AU127" s="1183"/>
      <c r="AV127" s="1183"/>
      <c r="AW127" s="1183"/>
      <c r="AX127" s="1183"/>
      <c r="AY127" s="1183"/>
      <c r="AZ127" s="1183"/>
      <c r="BA127" s="1183"/>
      <c r="BB127" s="1183"/>
      <c r="BC127" s="1183"/>
      <c r="BD127" s="1183"/>
      <c r="BE127" s="1183"/>
      <c r="BF127" s="1183"/>
      <c r="BG127" s="1183"/>
      <c r="BH127" s="1183"/>
      <c r="BI127" s="1183"/>
      <c r="BJ127" s="1183"/>
      <c r="BK127" s="1183"/>
      <c r="BL127" s="1183"/>
      <c r="BM127" s="1183"/>
      <c r="BN127" s="1183"/>
      <c r="BO127" s="1183"/>
      <c r="BP127" s="1183"/>
      <c r="BQ127" s="1183"/>
      <c r="BR127" s="1183"/>
      <c r="BS127" s="1183"/>
      <c r="BT127" s="1183"/>
      <c r="BU127" s="1183"/>
      <c r="BV127" s="1183"/>
      <c r="BW127" s="1183"/>
      <c r="BX127" s="1183"/>
      <c r="BY127" s="1183"/>
      <c r="BZ127" s="1183"/>
      <c r="CA127" s="1183"/>
      <c r="CB127" s="1183"/>
      <c r="CC127" s="1184"/>
      <c r="CD127" s="231"/>
      <c r="DA127" s="228"/>
      <c r="DB127" s="228"/>
      <c r="DC127" s="228"/>
      <c r="DD127" s="228"/>
      <c r="DE127" s="228"/>
      <c r="DF127" s="228"/>
      <c r="DG127" s="228"/>
      <c r="DH127" s="228"/>
      <c r="DI127" s="228"/>
      <c r="DJ127" s="228"/>
      <c r="DK127" s="228"/>
      <c r="DL127" s="228"/>
      <c r="DM127" s="228"/>
      <c r="DN127" s="228"/>
      <c r="DO127" s="228"/>
      <c r="DP127" s="228"/>
      <c r="DQ127" s="228"/>
      <c r="DR127" s="228"/>
      <c r="DS127" s="228"/>
      <c r="DT127" s="228"/>
      <c r="DU127" s="228"/>
      <c r="DV127" s="228"/>
      <c r="DW127" s="228"/>
      <c r="DX127" s="228"/>
      <c r="DY127" s="228"/>
      <c r="DZ127" s="228"/>
      <c r="EA127" s="228"/>
      <c r="EB127" s="228"/>
      <c r="EC127" s="228"/>
      <c r="ED127" s="228"/>
      <c r="EE127" s="228"/>
      <c r="EF127" s="228"/>
      <c r="EG127" s="228"/>
    </row>
    <row r="128" spans="1:137" ht="3.95" customHeight="1" x14ac:dyDescent="0.25">
      <c r="A128" s="231"/>
      <c r="B128" s="1134"/>
      <c r="C128" s="1134"/>
      <c r="D128" s="1134"/>
      <c r="E128" s="1134"/>
      <c r="F128" s="1134"/>
      <c r="G128" s="1134"/>
      <c r="H128" s="1134"/>
      <c r="I128" s="1134"/>
      <c r="J128" s="1134"/>
      <c r="K128" s="1134"/>
      <c r="L128" s="1134"/>
      <c r="M128" s="1134"/>
      <c r="N128" s="1134"/>
      <c r="O128" s="1134"/>
      <c r="P128" s="1134"/>
      <c r="Q128" s="1134"/>
      <c r="R128" s="1134"/>
      <c r="S128" s="1134"/>
      <c r="T128" s="1134"/>
      <c r="U128" s="1134"/>
      <c r="V128" s="1134"/>
      <c r="W128" s="1134"/>
      <c r="X128" s="1134"/>
      <c r="Y128" s="1134"/>
      <c r="Z128" s="1134"/>
      <c r="AA128" s="1134"/>
      <c r="AB128" s="1134"/>
      <c r="AC128" s="1134"/>
      <c r="AD128" s="1134"/>
      <c r="AE128" s="1134"/>
      <c r="AF128" s="1134"/>
      <c r="AG128" s="1134"/>
      <c r="AH128" s="1134"/>
      <c r="AI128" s="1134"/>
      <c r="AJ128" s="1134"/>
      <c r="AK128" s="1134"/>
      <c r="AL128" s="231"/>
      <c r="AP128" s="231"/>
      <c r="AQ128" s="1182"/>
      <c r="AR128" s="1183"/>
      <c r="AS128" s="1183"/>
      <c r="AT128" s="1183"/>
      <c r="AU128" s="1183"/>
      <c r="AV128" s="1183"/>
      <c r="AW128" s="1183"/>
      <c r="AX128" s="1183"/>
      <c r="AY128" s="1183"/>
      <c r="AZ128" s="1183"/>
      <c r="BA128" s="1183"/>
      <c r="BB128" s="1183"/>
      <c r="BC128" s="1183"/>
      <c r="BD128" s="1183"/>
      <c r="BE128" s="1183"/>
      <c r="BF128" s="1183"/>
      <c r="BG128" s="1183"/>
      <c r="BH128" s="1183"/>
      <c r="BI128" s="1183"/>
      <c r="BJ128" s="1183"/>
      <c r="BK128" s="1183"/>
      <c r="BL128" s="1183"/>
      <c r="BM128" s="1183"/>
      <c r="BN128" s="1183"/>
      <c r="BO128" s="1183"/>
      <c r="BP128" s="1183"/>
      <c r="BQ128" s="1183"/>
      <c r="BR128" s="1183"/>
      <c r="BS128" s="1183"/>
      <c r="BT128" s="1183"/>
      <c r="BU128" s="1183"/>
      <c r="BV128" s="1183"/>
      <c r="BW128" s="1183"/>
      <c r="BX128" s="1183"/>
      <c r="BY128" s="1183"/>
      <c r="BZ128" s="1183"/>
      <c r="CA128" s="1183"/>
      <c r="CB128" s="1183"/>
      <c r="CC128" s="1184"/>
      <c r="CD128" s="231"/>
      <c r="DA128" s="228"/>
      <c r="DB128" s="228"/>
      <c r="DC128" s="228"/>
      <c r="DD128" s="228"/>
      <c r="DE128" s="228"/>
      <c r="DF128" s="228"/>
      <c r="DG128" s="228"/>
      <c r="DH128" s="228"/>
      <c r="DI128" s="228"/>
      <c r="DJ128" s="228"/>
      <c r="DK128" s="228"/>
      <c r="DL128" s="228"/>
      <c r="DM128" s="228"/>
      <c r="DN128" s="228"/>
      <c r="DO128" s="228"/>
      <c r="DP128" s="228"/>
      <c r="DQ128" s="228"/>
      <c r="DR128" s="228"/>
      <c r="DS128" s="228"/>
      <c r="DT128" s="228"/>
      <c r="DU128" s="228"/>
      <c r="DV128" s="228"/>
      <c r="DW128" s="228"/>
      <c r="DX128" s="228"/>
      <c r="DY128" s="228"/>
      <c r="DZ128" s="228"/>
      <c r="EA128" s="228"/>
      <c r="EB128" s="228"/>
      <c r="EC128" s="228"/>
      <c r="ED128" s="228"/>
      <c r="EE128" s="228"/>
      <c r="EF128" s="228"/>
      <c r="EG128" s="228"/>
    </row>
    <row r="129" spans="1:137" ht="3.95" customHeight="1" x14ac:dyDescent="0.25">
      <c r="A129" s="231"/>
      <c r="B129" s="1135"/>
      <c r="C129" s="1135"/>
      <c r="D129" s="1135"/>
      <c r="E129" s="1135"/>
      <c r="F129" s="1135"/>
      <c r="G129" s="1135"/>
      <c r="H129" s="1135"/>
      <c r="I129" s="1135"/>
      <c r="J129" s="1135"/>
      <c r="K129" s="1135"/>
      <c r="L129" s="1135"/>
      <c r="M129" s="1135"/>
      <c r="N129" s="1135"/>
      <c r="O129" s="1135"/>
      <c r="P129" s="1135"/>
      <c r="Q129" s="1135"/>
      <c r="R129" s="1135"/>
      <c r="S129" s="1135"/>
      <c r="T129" s="1135"/>
      <c r="U129" s="1135"/>
      <c r="V129" s="1135"/>
      <c r="W129" s="1135"/>
      <c r="X129" s="1135"/>
      <c r="Y129" s="1135"/>
      <c r="Z129" s="1135"/>
      <c r="AA129" s="1135"/>
      <c r="AB129" s="1135"/>
      <c r="AC129" s="1135"/>
      <c r="AD129" s="1135"/>
      <c r="AE129" s="1135"/>
      <c r="AF129" s="1135"/>
      <c r="AG129" s="1135"/>
      <c r="AH129" s="1135"/>
      <c r="AI129" s="1135"/>
      <c r="AJ129" s="1135"/>
      <c r="AK129" s="1135"/>
      <c r="AL129" s="231"/>
      <c r="AP129" s="231"/>
      <c r="AQ129" s="1182"/>
      <c r="AR129" s="1183"/>
      <c r="AS129" s="1183"/>
      <c r="AT129" s="1183"/>
      <c r="AU129" s="1183"/>
      <c r="AV129" s="1183"/>
      <c r="AW129" s="1183"/>
      <c r="AX129" s="1183"/>
      <c r="AY129" s="1183"/>
      <c r="AZ129" s="1183"/>
      <c r="BA129" s="1183"/>
      <c r="BB129" s="1183"/>
      <c r="BC129" s="1183"/>
      <c r="BD129" s="1183"/>
      <c r="BE129" s="1183"/>
      <c r="BF129" s="1183"/>
      <c r="BG129" s="1183"/>
      <c r="BH129" s="1183"/>
      <c r="BI129" s="1183"/>
      <c r="BJ129" s="1183"/>
      <c r="BK129" s="1183"/>
      <c r="BL129" s="1183"/>
      <c r="BM129" s="1183"/>
      <c r="BN129" s="1183"/>
      <c r="BO129" s="1183"/>
      <c r="BP129" s="1183"/>
      <c r="BQ129" s="1183"/>
      <c r="BR129" s="1183"/>
      <c r="BS129" s="1183"/>
      <c r="BT129" s="1183"/>
      <c r="BU129" s="1183"/>
      <c r="BV129" s="1183"/>
      <c r="BW129" s="1183"/>
      <c r="BX129" s="1183"/>
      <c r="BY129" s="1183"/>
      <c r="BZ129" s="1183"/>
      <c r="CA129" s="1183"/>
      <c r="CB129" s="1183"/>
      <c r="CC129" s="1184"/>
      <c r="CD129" s="231"/>
      <c r="DA129" s="228"/>
      <c r="DB129" s="228"/>
      <c r="DC129" s="228"/>
      <c r="DD129" s="228"/>
      <c r="DE129" s="228"/>
      <c r="DF129" s="228"/>
      <c r="DG129" s="228"/>
      <c r="DH129" s="228"/>
      <c r="DI129" s="228"/>
      <c r="DJ129" s="228"/>
      <c r="DK129" s="228"/>
      <c r="DL129" s="228"/>
      <c r="DM129" s="228"/>
      <c r="DN129" s="228"/>
      <c r="DO129" s="228"/>
      <c r="DP129" s="228"/>
      <c r="DQ129" s="228"/>
      <c r="DR129" s="228"/>
      <c r="DS129" s="228"/>
      <c r="DT129" s="228"/>
      <c r="DU129" s="228"/>
      <c r="DV129" s="228"/>
      <c r="DW129" s="228"/>
      <c r="DX129" s="228"/>
      <c r="DY129" s="228"/>
      <c r="DZ129" s="228"/>
      <c r="EA129" s="228"/>
      <c r="EB129" s="228"/>
      <c r="EC129" s="228"/>
      <c r="ED129" s="228"/>
      <c r="EE129" s="228"/>
      <c r="EF129" s="228"/>
      <c r="EG129" s="228"/>
    </row>
    <row r="130" spans="1:137" ht="3.95" customHeight="1" x14ac:dyDescent="0.25">
      <c r="A130" s="231"/>
      <c r="B130" s="1125"/>
      <c r="C130" s="1126"/>
      <c r="D130" s="1126"/>
      <c r="E130" s="1126"/>
      <c r="F130" s="1126"/>
      <c r="G130" s="1126"/>
      <c r="H130" s="1126"/>
      <c r="I130" s="1126"/>
      <c r="J130" s="1126"/>
      <c r="K130" s="1126"/>
      <c r="L130" s="1126"/>
      <c r="M130" s="1126"/>
      <c r="N130" s="1126"/>
      <c r="O130" s="1126"/>
      <c r="P130" s="1126"/>
      <c r="Q130" s="1126"/>
      <c r="R130" s="1126"/>
      <c r="S130" s="1126"/>
      <c r="T130" s="1126"/>
      <c r="U130" s="1126"/>
      <c r="V130" s="1126"/>
      <c r="W130" s="1126"/>
      <c r="X130" s="1126"/>
      <c r="Y130" s="1126"/>
      <c r="Z130" s="1126"/>
      <c r="AA130" s="1126"/>
      <c r="AB130" s="1126"/>
      <c r="AC130" s="1126"/>
      <c r="AD130" s="1126"/>
      <c r="AE130" s="1126"/>
      <c r="AF130" s="1126"/>
      <c r="AG130" s="1126"/>
      <c r="AH130" s="1126"/>
      <c r="AI130" s="1126"/>
      <c r="AJ130" s="1126"/>
      <c r="AK130" s="1127"/>
      <c r="AL130" s="231"/>
      <c r="AP130" s="231"/>
      <c r="AQ130" s="1182" t="str">
        <f>IF(HLOOKUP(RAÇA,TABELA.traços,9,FALSE)=0,"",HLOOKUP(RAÇA,TABELA.traços,9,FALSE))</f>
        <v/>
      </c>
      <c r="AR130" s="1183"/>
      <c r="AS130" s="1183"/>
      <c r="AT130" s="1183"/>
      <c r="AU130" s="1183"/>
      <c r="AV130" s="1183"/>
      <c r="AW130" s="1183"/>
      <c r="AX130" s="1183"/>
      <c r="AY130" s="1183"/>
      <c r="AZ130" s="1183"/>
      <c r="BA130" s="1183"/>
      <c r="BB130" s="1183"/>
      <c r="BC130" s="1183"/>
      <c r="BD130" s="1183"/>
      <c r="BE130" s="1183"/>
      <c r="BF130" s="1183"/>
      <c r="BG130" s="1183"/>
      <c r="BH130" s="1183"/>
      <c r="BI130" s="1183"/>
      <c r="BJ130" s="1183"/>
      <c r="BK130" s="1183"/>
      <c r="BL130" s="1183"/>
      <c r="BM130" s="1183"/>
      <c r="BN130" s="1183"/>
      <c r="BO130" s="1183"/>
      <c r="BP130" s="1183"/>
      <c r="BQ130" s="1183"/>
      <c r="BR130" s="1183"/>
      <c r="BS130" s="1183"/>
      <c r="BT130" s="1183"/>
      <c r="BU130" s="1183"/>
      <c r="BV130" s="1183"/>
      <c r="BW130" s="1183"/>
      <c r="BX130" s="1183"/>
      <c r="BY130" s="1183"/>
      <c r="BZ130" s="1183"/>
      <c r="CA130" s="1183"/>
      <c r="CB130" s="1183"/>
      <c r="CC130" s="1184"/>
      <c r="CD130" s="231"/>
      <c r="DA130" s="228"/>
      <c r="DB130" s="228"/>
      <c r="DC130" s="228"/>
      <c r="DD130" s="228"/>
      <c r="DE130" s="228"/>
      <c r="DF130" s="228"/>
      <c r="DG130" s="228"/>
      <c r="DH130" s="228"/>
      <c r="DI130" s="228"/>
      <c r="DJ130" s="228"/>
      <c r="DK130" s="228"/>
      <c r="DL130" s="228"/>
      <c r="DM130" s="228"/>
      <c r="DN130" s="228"/>
      <c r="DO130" s="228"/>
      <c r="DP130" s="228"/>
      <c r="DQ130" s="228"/>
      <c r="DR130" s="228"/>
      <c r="DS130" s="228"/>
      <c r="DT130" s="228"/>
      <c r="DU130" s="228"/>
      <c r="DV130" s="228"/>
      <c r="DW130" s="228"/>
      <c r="DX130" s="228"/>
      <c r="DY130" s="228"/>
      <c r="DZ130" s="228"/>
      <c r="EA130" s="228"/>
      <c r="EB130" s="228"/>
      <c r="EC130" s="228"/>
      <c r="ED130" s="228"/>
      <c r="EE130" s="228"/>
      <c r="EF130" s="228"/>
      <c r="EG130" s="228"/>
    </row>
    <row r="131" spans="1:137" ht="3.95" customHeight="1" x14ac:dyDescent="0.25">
      <c r="A131" s="231"/>
      <c r="B131" s="1128"/>
      <c r="C131" s="1129"/>
      <c r="D131" s="1129"/>
      <c r="E131" s="1129"/>
      <c r="F131" s="1129"/>
      <c r="G131" s="1129"/>
      <c r="H131" s="1129"/>
      <c r="I131" s="1129"/>
      <c r="J131" s="1129"/>
      <c r="K131" s="1129"/>
      <c r="L131" s="1129"/>
      <c r="M131" s="1129"/>
      <c r="N131" s="1129"/>
      <c r="O131" s="1129"/>
      <c r="P131" s="1129"/>
      <c r="Q131" s="1129"/>
      <c r="R131" s="1129"/>
      <c r="S131" s="1129"/>
      <c r="T131" s="1129"/>
      <c r="U131" s="1129"/>
      <c r="V131" s="1129"/>
      <c r="W131" s="1129"/>
      <c r="X131" s="1129"/>
      <c r="Y131" s="1129"/>
      <c r="Z131" s="1129"/>
      <c r="AA131" s="1129"/>
      <c r="AB131" s="1129"/>
      <c r="AC131" s="1129"/>
      <c r="AD131" s="1129"/>
      <c r="AE131" s="1129"/>
      <c r="AF131" s="1129"/>
      <c r="AG131" s="1129"/>
      <c r="AH131" s="1129"/>
      <c r="AI131" s="1129"/>
      <c r="AJ131" s="1129"/>
      <c r="AK131" s="1130"/>
      <c r="AL131" s="231"/>
      <c r="AP131" s="231"/>
      <c r="AQ131" s="1182"/>
      <c r="AR131" s="1183"/>
      <c r="AS131" s="1183"/>
      <c r="AT131" s="1183"/>
      <c r="AU131" s="1183"/>
      <c r="AV131" s="1183"/>
      <c r="AW131" s="1183"/>
      <c r="AX131" s="1183"/>
      <c r="AY131" s="1183"/>
      <c r="AZ131" s="1183"/>
      <c r="BA131" s="1183"/>
      <c r="BB131" s="1183"/>
      <c r="BC131" s="1183"/>
      <c r="BD131" s="1183"/>
      <c r="BE131" s="1183"/>
      <c r="BF131" s="1183"/>
      <c r="BG131" s="1183"/>
      <c r="BH131" s="1183"/>
      <c r="BI131" s="1183"/>
      <c r="BJ131" s="1183"/>
      <c r="BK131" s="1183"/>
      <c r="BL131" s="1183"/>
      <c r="BM131" s="1183"/>
      <c r="BN131" s="1183"/>
      <c r="BO131" s="1183"/>
      <c r="BP131" s="1183"/>
      <c r="BQ131" s="1183"/>
      <c r="BR131" s="1183"/>
      <c r="BS131" s="1183"/>
      <c r="BT131" s="1183"/>
      <c r="BU131" s="1183"/>
      <c r="BV131" s="1183"/>
      <c r="BW131" s="1183"/>
      <c r="BX131" s="1183"/>
      <c r="BY131" s="1183"/>
      <c r="BZ131" s="1183"/>
      <c r="CA131" s="1183"/>
      <c r="CB131" s="1183"/>
      <c r="CC131" s="1184"/>
      <c r="CD131" s="231"/>
      <c r="DA131" s="228"/>
      <c r="DB131" s="228"/>
      <c r="DC131" s="228"/>
      <c r="DD131" s="228"/>
      <c r="DE131" s="228"/>
      <c r="DF131" s="228"/>
      <c r="DG131" s="228"/>
      <c r="DH131" s="228"/>
      <c r="DI131" s="228"/>
      <c r="DJ131" s="228"/>
      <c r="DK131" s="228"/>
      <c r="DL131" s="228"/>
      <c r="DM131" s="228"/>
      <c r="DN131" s="228"/>
      <c r="DO131" s="228"/>
      <c r="DP131" s="228"/>
      <c r="DQ131" s="228"/>
      <c r="DR131" s="228"/>
      <c r="DS131" s="228"/>
      <c r="DT131" s="228"/>
      <c r="DU131" s="228"/>
      <c r="DV131" s="228"/>
      <c r="DW131" s="228"/>
      <c r="DX131" s="228"/>
      <c r="DY131" s="228"/>
      <c r="DZ131" s="228"/>
      <c r="EA131" s="228"/>
      <c r="EB131" s="228"/>
      <c r="EC131" s="228"/>
      <c r="ED131" s="228"/>
      <c r="EE131" s="228"/>
      <c r="EF131" s="228"/>
      <c r="EG131" s="228"/>
    </row>
    <row r="132" spans="1:137" ht="3.95" customHeight="1" x14ac:dyDescent="0.25">
      <c r="A132" s="231"/>
      <c r="B132" s="1128"/>
      <c r="C132" s="1129"/>
      <c r="D132" s="1129"/>
      <c r="E132" s="1129"/>
      <c r="F132" s="1129"/>
      <c r="G132" s="1129"/>
      <c r="H132" s="1129"/>
      <c r="I132" s="1129"/>
      <c r="J132" s="1129"/>
      <c r="K132" s="1129"/>
      <c r="L132" s="1129"/>
      <c r="M132" s="1129"/>
      <c r="N132" s="1129"/>
      <c r="O132" s="1129"/>
      <c r="P132" s="1129"/>
      <c r="Q132" s="1129"/>
      <c r="R132" s="1129"/>
      <c r="S132" s="1129"/>
      <c r="T132" s="1129"/>
      <c r="U132" s="1129"/>
      <c r="V132" s="1129"/>
      <c r="W132" s="1129"/>
      <c r="X132" s="1129"/>
      <c r="Y132" s="1129"/>
      <c r="Z132" s="1129"/>
      <c r="AA132" s="1129"/>
      <c r="AB132" s="1129"/>
      <c r="AC132" s="1129"/>
      <c r="AD132" s="1129"/>
      <c r="AE132" s="1129"/>
      <c r="AF132" s="1129"/>
      <c r="AG132" s="1129"/>
      <c r="AH132" s="1129"/>
      <c r="AI132" s="1129"/>
      <c r="AJ132" s="1129"/>
      <c r="AK132" s="1130"/>
      <c r="AL132" s="231"/>
      <c r="AP132" s="231"/>
      <c r="AQ132" s="1182"/>
      <c r="AR132" s="1183"/>
      <c r="AS132" s="1183"/>
      <c r="AT132" s="1183"/>
      <c r="AU132" s="1183"/>
      <c r="AV132" s="1183"/>
      <c r="AW132" s="1183"/>
      <c r="AX132" s="1183"/>
      <c r="AY132" s="1183"/>
      <c r="AZ132" s="1183"/>
      <c r="BA132" s="1183"/>
      <c r="BB132" s="1183"/>
      <c r="BC132" s="1183"/>
      <c r="BD132" s="1183"/>
      <c r="BE132" s="1183"/>
      <c r="BF132" s="1183"/>
      <c r="BG132" s="1183"/>
      <c r="BH132" s="1183"/>
      <c r="BI132" s="1183"/>
      <c r="BJ132" s="1183"/>
      <c r="BK132" s="1183"/>
      <c r="BL132" s="1183"/>
      <c r="BM132" s="1183"/>
      <c r="BN132" s="1183"/>
      <c r="BO132" s="1183"/>
      <c r="BP132" s="1183"/>
      <c r="BQ132" s="1183"/>
      <c r="BR132" s="1183"/>
      <c r="BS132" s="1183"/>
      <c r="BT132" s="1183"/>
      <c r="BU132" s="1183"/>
      <c r="BV132" s="1183"/>
      <c r="BW132" s="1183"/>
      <c r="BX132" s="1183"/>
      <c r="BY132" s="1183"/>
      <c r="BZ132" s="1183"/>
      <c r="CA132" s="1183"/>
      <c r="CB132" s="1183"/>
      <c r="CC132" s="1184"/>
      <c r="CD132" s="231"/>
    </row>
    <row r="133" spans="1:137" ht="3.95" customHeight="1" x14ac:dyDescent="0.25">
      <c r="A133" s="231"/>
      <c r="B133" s="1213"/>
      <c r="C133" s="1214"/>
      <c r="D133" s="1214"/>
      <c r="E133" s="1214"/>
      <c r="F133" s="1214"/>
      <c r="G133" s="1214"/>
      <c r="H133" s="1214"/>
      <c r="I133" s="1214"/>
      <c r="J133" s="1214"/>
      <c r="K133" s="1214"/>
      <c r="L133" s="1214"/>
      <c r="M133" s="1214"/>
      <c r="N133" s="1214"/>
      <c r="O133" s="1214"/>
      <c r="P133" s="1214"/>
      <c r="Q133" s="1214"/>
      <c r="R133" s="1214"/>
      <c r="S133" s="1214"/>
      <c r="T133" s="1214"/>
      <c r="U133" s="1214"/>
      <c r="V133" s="1214"/>
      <c r="W133" s="1214"/>
      <c r="X133" s="1214"/>
      <c r="Y133" s="1214"/>
      <c r="Z133" s="1214"/>
      <c r="AA133" s="1214"/>
      <c r="AB133" s="1214"/>
      <c r="AC133" s="1214"/>
      <c r="AD133" s="1214"/>
      <c r="AE133" s="1214"/>
      <c r="AF133" s="1214"/>
      <c r="AG133" s="1214"/>
      <c r="AH133" s="1214"/>
      <c r="AI133" s="1214"/>
      <c r="AJ133" s="1214"/>
      <c r="AK133" s="1215"/>
      <c r="AL133" s="231"/>
      <c r="AP133" s="231"/>
      <c r="AQ133" s="1204" t="str">
        <f>IF(HLOOKUP(RAÇA,TABELA.traços,10,FALSE)=0,"",HLOOKUP(RAÇA,TABELA.traços,10,FALSE))</f>
        <v/>
      </c>
      <c r="AR133" s="1205"/>
      <c r="AS133" s="1205"/>
      <c r="AT133" s="1205"/>
      <c r="AU133" s="1205"/>
      <c r="AV133" s="1205"/>
      <c r="AW133" s="1205"/>
      <c r="AX133" s="1205"/>
      <c r="AY133" s="1205"/>
      <c r="AZ133" s="1205"/>
      <c r="BA133" s="1205"/>
      <c r="BB133" s="1205"/>
      <c r="BC133" s="1205"/>
      <c r="BD133" s="1205"/>
      <c r="BE133" s="1205"/>
      <c r="BF133" s="1205"/>
      <c r="BG133" s="1205"/>
      <c r="BH133" s="1205"/>
      <c r="BI133" s="1205"/>
      <c r="BJ133" s="1205"/>
      <c r="BK133" s="1205"/>
      <c r="BL133" s="1205"/>
      <c r="BM133" s="1205"/>
      <c r="BN133" s="1205"/>
      <c r="BO133" s="1205"/>
      <c r="BP133" s="1205"/>
      <c r="BQ133" s="1205"/>
      <c r="BR133" s="1205"/>
      <c r="BS133" s="1205"/>
      <c r="BT133" s="1205"/>
      <c r="BU133" s="1205"/>
      <c r="BV133" s="1205"/>
      <c r="BW133" s="1205"/>
      <c r="BX133" s="1205"/>
      <c r="BY133" s="1205"/>
      <c r="BZ133" s="1205"/>
      <c r="CA133" s="1205"/>
      <c r="CB133" s="1205"/>
      <c r="CC133" s="1206"/>
      <c r="CD133" s="231"/>
    </row>
    <row r="134" spans="1:137" ht="3.95" customHeight="1" x14ac:dyDescent="0.25">
      <c r="A134" s="231"/>
      <c r="B134" s="1216"/>
      <c r="C134" s="1217"/>
      <c r="D134" s="1217"/>
      <c r="E134" s="1217"/>
      <c r="F134" s="1217"/>
      <c r="G134" s="1217"/>
      <c r="H134" s="1217"/>
      <c r="I134" s="1217"/>
      <c r="J134" s="1217"/>
      <c r="K134" s="1217"/>
      <c r="L134" s="1217"/>
      <c r="M134" s="1217"/>
      <c r="N134" s="1217"/>
      <c r="O134" s="1217"/>
      <c r="P134" s="1217"/>
      <c r="Q134" s="1217"/>
      <c r="R134" s="1217"/>
      <c r="S134" s="1217"/>
      <c r="T134" s="1217"/>
      <c r="U134" s="1217"/>
      <c r="V134" s="1217"/>
      <c r="W134" s="1217"/>
      <c r="X134" s="1217"/>
      <c r="Y134" s="1217"/>
      <c r="Z134" s="1217"/>
      <c r="AA134" s="1217"/>
      <c r="AB134" s="1217"/>
      <c r="AC134" s="1217"/>
      <c r="AD134" s="1217"/>
      <c r="AE134" s="1217"/>
      <c r="AF134" s="1217"/>
      <c r="AG134" s="1217"/>
      <c r="AH134" s="1217"/>
      <c r="AI134" s="1217"/>
      <c r="AJ134" s="1217"/>
      <c r="AK134" s="1218"/>
      <c r="AL134" s="231"/>
      <c r="AP134" s="231"/>
      <c r="AQ134" s="1207"/>
      <c r="AR134" s="1208"/>
      <c r="AS134" s="1208"/>
      <c r="AT134" s="1208"/>
      <c r="AU134" s="1208"/>
      <c r="AV134" s="1208"/>
      <c r="AW134" s="1208"/>
      <c r="AX134" s="1208"/>
      <c r="AY134" s="1208"/>
      <c r="AZ134" s="1208"/>
      <c r="BA134" s="1208"/>
      <c r="BB134" s="1208"/>
      <c r="BC134" s="1208"/>
      <c r="BD134" s="1208"/>
      <c r="BE134" s="1208"/>
      <c r="BF134" s="1208"/>
      <c r="BG134" s="1208"/>
      <c r="BH134" s="1208"/>
      <c r="BI134" s="1208"/>
      <c r="BJ134" s="1208"/>
      <c r="BK134" s="1208"/>
      <c r="BL134" s="1208"/>
      <c r="BM134" s="1208"/>
      <c r="BN134" s="1208"/>
      <c r="BO134" s="1208"/>
      <c r="BP134" s="1208"/>
      <c r="BQ134" s="1208"/>
      <c r="BR134" s="1208"/>
      <c r="BS134" s="1208"/>
      <c r="BT134" s="1208"/>
      <c r="BU134" s="1208"/>
      <c r="BV134" s="1208"/>
      <c r="BW134" s="1208"/>
      <c r="BX134" s="1208"/>
      <c r="BY134" s="1208"/>
      <c r="BZ134" s="1208"/>
      <c r="CA134" s="1208"/>
      <c r="CB134" s="1208"/>
      <c r="CC134" s="1209"/>
      <c r="CD134" s="231"/>
    </row>
    <row r="135" spans="1:137" ht="3.95" customHeight="1" x14ac:dyDescent="0.25">
      <c r="A135" s="231"/>
      <c r="B135" s="1219"/>
      <c r="C135" s="1220"/>
      <c r="D135" s="1220"/>
      <c r="E135" s="1220"/>
      <c r="F135" s="1220"/>
      <c r="G135" s="1220"/>
      <c r="H135" s="1220"/>
      <c r="I135" s="1220"/>
      <c r="J135" s="1220"/>
      <c r="K135" s="1220"/>
      <c r="L135" s="1220"/>
      <c r="M135" s="1220"/>
      <c r="N135" s="1220"/>
      <c r="O135" s="1220"/>
      <c r="P135" s="1220"/>
      <c r="Q135" s="1220"/>
      <c r="R135" s="1220"/>
      <c r="S135" s="1220"/>
      <c r="T135" s="1220"/>
      <c r="U135" s="1220"/>
      <c r="V135" s="1220"/>
      <c r="W135" s="1220"/>
      <c r="X135" s="1220"/>
      <c r="Y135" s="1220"/>
      <c r="Z135" s="1220"/>
      <c r="AA135" s="1220"/>
      <c r="AB135" s="1220"/>
      <c r="AC135" s="1220"/>
      <c r="AD135" s="1220"/>
      <c r="AE135" s="1220"/>
      <c r="AF135" s="1220"/>
      <c r="AG135" s="1220"/>
      <c r="AH135" s="1220"/>
      <c r="AI135" s="1220"/>
      <c r="AJ135" s="1220"/>
      <c r="AK135" s="1221"/>
      <c r="AL135" s="231"/>
      <c r="AP135" s="231"/>
      <c r="AQ135" s="1210"/>
      <c r="AR135" s="1211"/>
      <c r="AS135" s="1211"/>
      <c r="AT135" s="1211"/>
      <c r="AU135" s="1211"/>
      <c r="AV135" s="1211"/>
      <c r="AW135" s="1211"/>
      <c r="AX135" s="1211"/>
      <c r="AY135" s="1211"/>
      <c r="AZ135" s="1211"/>
      <c r="BA135" s="1211"/>
      <c r="BB135" s="1211"/>
      <c r="BC135" s="1211"/>
      <c r="BD135" s="1211"/>
      <c r="BE135" s="1211"/>
      <c r="BF135" s="1211"/>
      <c r="BG135" s="1211"/>
      <c r="BH135" s="1211"/>
      <c r="BI135" s="1211"/>
      <c r="BJ135" s="1211"/>
      <c r="BK135" s="1211"/>
      <c r="BL135" s="1211"/>
      <c r="BM135" s="1211"/>
      <c r="BN135" s="1211"/>
      <c r="BO135" s="1211"/>
      <c r="BP135" s="1211"/>
      <c r="BQ135" s="1211"/>
      <c r="BR135" s="1211"/>
      <c r="BS135" s="1211"/>
      <c r="BT135" s="1211"/>
      <c r="BU135" s="1211"/>
      <c r="BV135" s="1211"/>
      <c r="BW135" s="1211"/>
      <c r="BX135" s="1211"/>
      <c r="BY135" s="1211"/>
      <c r="BZ135" s="1211"/>
      <c r="CA135" s="1211"/>
      <c r="CB135" s="1211"/>
      <c r="CC135" s="1212"/>
      <c r="CD135" s="231"/>
    </row>
    <row r="136" spans="1:137" ht="3.95" customHeight="1" x14ac:dyDescent="0.25">
      <c r="A136" s="231"/>
      <c r="B136" s="1128"/>
      <c r="C136" s="1129"/>
      <c r="D136" s="1129"/>
      <c r="E136" s="1129"/>
      <c r="F136" s="1129"/>
      <c r="G136" s="1129"/>
      <c r="H136" s="1129"/>
      <c r="I136" s="1129"/>
      <c r="J136" s="1129"/>
      <c r="K136" s="1129"/>
      <c r="L136" s="1129"/>
      <c r="M136" s="1129"/>
      <c r="N136" s="1129"/>
      <c r="O136" s="1129"/>
      <c r="P136" s="1129"/>
      <c r="Q136" s="1129"/>
      <c r="R136" s="1129"/>
      <c r="S136" s="1129"/>
      <c r="T136" s="1129"/>
      <c r="U136" s="1129"/>
      <c r="V136" s="1129"/>
      <c r="W136" s="1129"/>
      <c r="X136" s="1129"/>
      <c r="Y136" s="1129"/>
      <c r="Z136" s="1129"/>
      <c r="AA136" s="1129"/>
      <c r="AB136" s="1129"/>
      <c r="AC136" s="1129"/>
      <c r="AD136" s="1129"/>
      <c r="AE136" s="1129"/>
      <c r="AF136" s="1129"/>
      <c r="AG136" s="1129"/>
      <c r="AH136" s="1129"/>
      <c r="AI136" s="1129"/>
      <c r="AJ136" s="1129"/>
      <c r="AK136" s="1130"/>
      <c r="AL136" s="231"/>
      <c r="AP136" s="231"/>
      <c r="AQ136" s="1182" t="str">
        <f>IF(HLOOKUP(RAÇA,TABELA.traços,11,FALSE)=0,"",HLOOKUP(RAÇA,TABELA.traços,11,FALSE))</f>
        <v/>
      </c>
      <c r="AR136" s="1183"/>
      <c r="AS136" s="1183"/>
      <c r="AT136" s="1183"/>
      <c r="AU136" s="1183"/>
      <c r="AV136" s="1183"/>
      <c r="AW136" s="1183"/>
      <c r="AX136" s="1183"/>
      <c r="AY136" s="1183"/>
      <c r="AZ136" s="1183"/>
      <c r="BA136" s="1183"/>
      <c r="BB136" s="1183"/>
      <c r="BC136" s="1183"/>
      <c r="BD136" s="1183"/>
      <c r="BE136" s="1183"/>
      <c r="BF136" s="1183"/>
      <c r="BG136" s="1183"/>
      <c r="BH136" s="1183"/>
      <c r="BI136" s="1183"/>
      <c r="BJ136" s="1183"/>
      <c r="BK136" s="1183"/>
      <c r="BL136" s="1183"/>
      <c r="BM136" s="1183"/>
      <c r="BN136" s="1183"/>
      <c r="BO136" s="1183"/>
      <c r="BP136" s="1183"/>
      <c r="BQ136" s="1183"/>
      <c r="BR136" s="1183"/>
      <c r="BS136" s="1183"/>
      <c r="BT136" s="1183"/>
      <c r="BU136" s="1183"/>
      <c r="BV136" s="1183"/>
      <c r="BW136" s="1183"/>
      <c r="BX136" s="1183"/>
      <c r="BY136" s="1183"/>
      <c r="BZ136" s="1183"/>
      <c r="CA136" s="1183"/>
      <c r="CB136" s="1183"/>
      <c r="CC136" s="1184"/>
      <c r="CD136" s="231"/>
    </row>
    <row r="137" spans="1:137" ht="3.95" customHeight="1" x14ac:dyDescent="0.25">
      <c r="A137" s="231"/>
      <c r="B137" s="1128"/>
      <c r="C137" s="1129"/>
      <c r="D137" s="1129"/>
      <c r="E137" s="1129"/>
      <c r="F137" s="1129"/>
      <c r="G137" s="1129"/>
      <c r="H137" s="1129"/>
      <c r="I137" s="1129"/>
      <c r="J137" s="1129"/>
      <c r="K137" s="1129"/>
      <c r="L137" s="1129"/>
      <c r="M137" s="1129"/>
      <c r="N137" s="1129"/>
      <c r="O137" s="1129"/>
      <c r="P137" s="1129"/>
      <c r="Q137" s="1129"/>
      <c r="R137" s="1129"/>
      <c r="S137" s="1129"/>
      <c r="T137" s="1129"/>
      <c r="U137" s="1129"/>
      <c r="V137" s="1129"/>
      <c r="W137" s="1129"/>
      <c r="X137" s="1129"/>
      <c r="Y137" s="1129"/>
      <c r="Z137" s="1129"/>
      <c r="AA137" s="1129"/>
      <c r="AB137" s="1129"/>
      <c r="AC137" s="1129"/>
      <c r="AD137" s="1129"/>
      <c r="AE137" s="1129"/>
      <c r="AF137" s="1129"/>
      <c r="AG137" s="1129"/>
      <c r="AH137" s="1129"/>
      <c r="AI137" s="1129"/>
      <c r="AJ137" s="1129"/>
      <c r="AK137" s="1130"/>
      <c r="AL137" s="231"/>
      <c r="AP137" s="231"/>
      <c r="AQ137" s="1182"/>
      <c r="AR137" s="1183"/>
      <c r="AS137" s="1183"/>
      <c r="AT137" s="1183"/>
      <c r="AU137" s="1183"/>
      <c r="AV137" s="1183"/>
      <c r="AW137" s="1183"/>
      <c r="AX137" s="1183"/>
      <c r="AY137" s="1183"/>
      <c r="AZ137" s="1183"/>
      <c r="BA137" s="1183"/>
      <c r="BB137" s="1183"/>
      <c r="BC137" s="1183"/>
      <c r="BD137" s="1183"/>
      <c r="BE137" s="1183"/>
      <c r="BF137" s="1183"/>
      <c r="BG137" s="1183"/>
      <c r="BH137" s="1183"/>
      <c r="BI137" s="1183"/>
      <c r="BJ137" s="1183"/>
      <c r="BK137" s="1183"/>
      <c r="BL137" s="1183"/>
      <c r="BM137" s="1183"/>
      <c r="BN137" s="1183"/>
      <c r="BO137" s="1183"/>
      <c r="BP137" s="1183"/>
      <c r="BQ137" s="1183"/>
      <c r="BR137" s="1183"/>
      <c r="BS137" s="1183"/>
      <c r="BT137" s="1183"/>
      <c r="BU137" s="1183"/>
      <c r="BV137" s="1183"/>
      <c r="BW137" s="1183"/>
      <c r="BX137" s="1183"/>
      <c r="BY137" s="1183"/>
      <c r="BZ137" s="1183"/>
      <c r="CA137" s="1183"/>
      <c r="CB137" s="1183"/>
      <c r="CC137" s="1184"/>
      <c r="CD137" s="231"/>
    </row>
    <row r="138" spans="1:137" ht="3.95" customHeight="1" x14ac:dyDescent="0.25">
      <c r="A138" s="231"/>
      <c r="B138" s="1128"/>
      <c r="C138" s="1129"/>
      <c r="D138" s="1129"/>
      <c r="E138" s="1129"/>
      <c r="F138" s="1129"/>
      <c r="G138" s="1129"/>
      <c r="H138" s="1129"/>
      <c r="I138" s="1129"/>
      <c r="J138" s="1129"/>
      <c r="K138" s="1129"/>
      <c r="L138" s="1129"/>
      <c r="M138" s="1129"/>
      <c r="N138" s="1129"/>
      <c r="O138" s="1129"/>
      <c r="P138" s="1129"/>
      <c r="Q138" s="1129"/>
      <c r="R138" s="1129"/>
      <c r="S138" s="1129"/>
      <c r="T138" s="1129"/>
      <c r="U138" s="1129"/>
      <c r="V138" s="1129"/>
      <c r="W138" s="1129"/>
      <c r="X138" s="1129"/>
      <c r="Y138" s="1129"/>
      <c r="Z138" s="1129"/>
      <c r="AA138" s="1129"/>
      <c r="AB138" s="1129"/>
      <c r="AC138" s="1129"/>
      <c r="AD138" s="1129"/>
      <c r="AE138" s="1129"/>
      <c r="AF138" s="1129"/>
      <c r="AG138" s="1129"/>
      <c r="AH138" s="1129"/>
      <c r="AI138" s="1129"/>
      <c r="AJ138" s="1129"/>
      <c r="AK138" s="1130"/>
      <c r="AL138" s="231"/>
      <c r="AP138" s="231"/>
      <c r="AQ138" s="1182"/>
      <c r="AR138" s="1183"/>
      <c r="AS138" s="1183"/>
      <c r="AT138" s="1183"/>
      <c r="AU138" s="1183"/>
      <c r="AV138" s="1183"/>
      <c r="AW138" s="1183"/>
      <c r="AX138" s="1183"/>
      <c r="AY138" s="1183"/>
      <c r="AZ138" s="1183"/>
      <c r="BA138" s="1183"/>
      <c r="BB138" s="1183"/>
      <c r="BC138" s="1183"/>
      <c r="BD138" s="1183"/>
      <c r="BE138" s="1183"/>
      <c r="BF138" s="1183"/>
      <c r="BG138" s="1183"/>
      <c r="BH138" s="1183"/>
      <c r="BI138" s="1183"/>
      <c r="BJ138" s="1183"/>
      <c r="BK138" s="1183"/>
      <c r="BL138" s="1183"/>
      <c r="BM138" s="1183"/>
      <c r="BN138" s="1183"/>
      <c r="BO138" s="1183"/>
      <c r="BP138" s="1183"/>
      <c r="BQ138" s="1183"/>
      <c r="BR138" s="1183"/>
      <c r="BS138" s="1183"/>
      <c r="BT138" s="1183"/>
      <c r="BU138" s="1183"/>
      <c r="BV138" s="1183"/>
      <c r="BW138" s="1183"/>
      <c r="BX138" s="1183"/>
      <c r="BY138" s="1183"/>
      <c r="BZ138" s="1183"/>
      <c r="CA138" s="1183"/>
      <c r="CB138" s="1183"/>
      <c r="CC138" s="1184"/>
      <c r="CD138" s="231"/>
    </row>
    <row r="139" spans="1:137" ht="3.95" customHeight="1" x14ac:dyDescent="0.25">
      <c r="A139" s="231"/>
      <c r="B139" s="1128"/>
      <c r="C139" s="1129"/>
      <c r="D139" s="1129"/>
      <c r="E139" s="1129"/>
      <c r="F139" s="1129"/>
      <c r="G139" s="1129"/>
      <c r="H139" s="1129"/>
      <c r="I139" s="1129"/>
      <c r="J139" s="1129"/>
      <c r="K139" s="1129"/>
      <c r="L139" s="1129"/>
      <c r="M139" s="1129"/>
      <c r="N139" s="1129"/>
      <c r="O139" s="1129"/>
      <c r="P139" s="1129"/>
      <c r="Q139" s="1129"/>
      <c r="R139" s="1129"/>
      <c r="S139" s="1129"/>
      <c r="T139" s="1129"/>
      <c r="U139" s="1129"/>
      <c r="V139" s="1129"/>
      <c r="W139" s="1129"/>
      <c r="X139" s="1129"/>
      <c r="Y139" s="1129"/>
      <c r="Z139" s="1129"/>
      <c r="AA139" s="1129"/>
      <c r="AB139" s="1129"/>
      <c r="AC139" s="1129"/>
      <c r="AD139" s="1129"/>
      <c r="AE139" s="1129"/>
      <c r="AF139" s="1129"/>
      <c r="AG139" s="1129"/>
      <c r="AH139" s="1129"/>
      <c r="AI139" s="1129"/>
      <c r="AJ139" s="1129"/>
      <c r="AK139" s="1130"/>
      <c r="AL139" s="231"/>
      <c r="AP139" s="231"/>
      <c r="AQ139" s="1182" t="str">
        <f>IF(HLOOKUP(RAÇA,TABELA.traços,12,FALSE)=0,"",HLOOKUP(RAÇA,TABELA.traços,12,FALSE))</f>
        <v/>
      </c>
      <c r="AR139" s="1183"/>
      <c r="AS139" s="1183"/>
      <c r="AT139" s="1183"/>
      <c r="AU139" s="1183"/>
      <c r="AV139" s="1183"/>
      <c r="AW139" s="1183"/>
      <c r="AX139" s="1183"/>
      <c r="AY139" s="1183"/>
      <c r="AZ139" s="1183"/>
      <c r="BA139" s="1183"/>
      <c r="BB139" s="1183"/>
      <c r="BC139" s="1183"/>
      <c r="BD139" s="1183"/>
      <c r="BE139" s="1183"/>
      <c r="BF139" s="1183"/>
      <c r="BG139" s="1183"/>
      <c r="BH139" s="1183"/>
      <c r="BI139" s="1183"/>
      <c r="BJ139" s="1183"/>
      <c r="BK139" s="1183"/>
      <c r="BL139" s="1183"/>
      <c r="BM139" s="1183"/>
      <c r="BN139" s="1183"/>
      <c r="BO139" s="1183"/>
      <c r="BP139" s="1183"/>
      <c r="BQ139" s="1183"/>
      <c r="BR139" s="1183"/>
      <c r="BS139" s="1183"/>
      <c r="BT139" s="1183"/>
      <c r="BU139" s="1183"/>
      <c r="BV139" s="1183"/>
      <c r="BW139" s="1183"/>
      <c r="BX139" s="1183"/>
      <c r="BY139" s="1183"/>
      <c r="BZ139" s="1183"/>
      <c r="CA139" s="1183"/>
      <c r="CB139" s="1183"/>
      <c r="CC139" s="1184"/>
      <c r="CD139" s="231"/>
    </row>
    <row r="140" spans="1:137" ht="3.95" customHeight="1" x14ac:dyDescent="0.25">
      <c r="A140" s="231"/>
      <c r="B140" s="1128"/>
      <c r="C140" s="1129"/>
      <c r="D140" s="1129"/>
      <c r="E140" s="1129"/>
      <c r="F140" s="1129"/>
      <c r="G140" s="1129"/>
      <c r="H140" s="1129"/>
      <c r="I140" s="1129"/>
      <c r="J140" s="1129"/>
      <c r="K140" s="1129"/>
      <c r="L140" s="1129"/>
      <c r="M140" s="1129"/>
      <c r="N140" s="1129"/>
      <c r="O140" s="1129"/>
      <c r="P140" s="1129"/>
      <c r="Q140" s="1129"/>
      <c r="R140" s="1129"/>
      <c r="S140" s="1129"/>
      <c r="T140" s="1129"/>
      <c r="U140" s="1129"/>
      <c r="V140" s="1129"/>
      <c r="W140" s="1129"/>
      <c r="X140" s="1129"/>
      <c r="Y140" s="1129"/>
      <c r="Z140" s="1129"/>
      <c r="AA140" s="1129"/>
      <c r="AB140" s="1129"/>
      <c r="AC140" s="1129"/>
      <c r="AD140" s="1129"/>
      <c r="AE140" s="1129"/>
      <c r="AF140" s="1129"/>
      <c r="AG140" s="1129"/>
      <c r="AH140" s="1129"/>
      <c r="AI140" s="1129"/>
      <c r="AJ140" s="1129"/>
      <c r="AK140" s="1130"/>
      <c r="AL140" s="231"/>
      <c r="AP140" s="231"/>
      <c r="AQ140" s="1182"/>
      <c r="AR140" s="1183"/>
      <c r="AS140" s="1183"/>
      <c r="AT140" s="1183"/>
      <c r="AU140" s="1183"/>
      <c r="AV140" s="1183"/>
      <c r="AW140" s="1183"/>
      <c r="AX140" s="1183"/>
      <c r="AY140" s="1183"/>
      <c r="AZ140" s="1183"/>
      <c r="BA140" s="1183"/>
      <c r="BB140" s="1183"/>
      <c r="BC140" s="1183"/>
      <c r="BD140" s="1183"/>
      <c r="BE140" s="1183"/>
      <c r="BF140" s="1183"/>
      <c r="BG140" s="1183"/>
      <c r="BH140" s="1183"/>
      <c r="BI140" s="1183"/>
      <c r="BJ140" s="1183"/>
      <c r="BK140" s="1183"/>
      <c r="BL140" s="1183"/>
      <c r="BM140" s="1183"/>
      <c r="BN140" s="1183"/>
      <c r="BO140" s="1183"/>
      <c r="BP140" s="1183"/>
      <c r="BQ140" s="1183"/>
      <c r="BR140" s="1183"/>
      <c r="BS140" s="1183"/>
      <c r="BT140" s="1183"/>
      <c r="BU140" s="1183"/>
      <c r="BV140" s="1183"/>
      <c r="BW140" s="1183"/>
      <c r="BX140" s="1183"/>
      <c r="BY140" s="1183"/>
      <c r="BZ140" s="1183"/>
      <c r="CA140" s="1183"/>
      <c r="CB140" s="1183"/>
      <c r="CC140" s="1184"/>
      <c r="CD140" s="231"/>
    </row>
    <row r="141" spans="1:137" ht="3.95" customHeight="1" x14ac:dyDescent="0.25">
      <c r="A141" s="231"/>
      <c r="B141" s="1128"/>
      <c r="C141" s="1129"/>
      <c r="D141" s="1129"/>
      <c r="E141" s="1129"/>
      <c r="F141" s="1129"/>
      <c r="G141" s="1129"/>
      <c r="H141" s="1129"/>
      <c r="I141" s="1129"/>
      <c r="J141" s="1129"/>
      <c r="K141" s="1129"/>
      <c r="L141" s="1129"/>
      <c r="M141" s="1129"/>
      <c r="N141" s="1129"/>
      <c r="O141" s="1129"/>
      <c r="P141" s="1129"/>
      <c r="Q141" s="1129"/>
      <c r="R141" s="1129"/>
      <c r="S141" s="1129"/>
      <c r="T141" s="1129"/>
      <c r="U141" s="1129"/>
      <c r="V141" s="1129"/>
      <c r="W141" s="1129"/>
      <c r="X141" s="1129"/>
      <c r="Y141" s="1129"/>
      <c r="Z141" s="1129"/>
      <c r="AA141" s="1129"/>
      <c r="AB141" s="1129"/>
      <c r="AC141" s="1129"/>
      <c r="AD141" s="1129"/>
      <c r="AE141" s="1129"/>
      <c r="AF141" s="1129"/>
      <c r="AG141" s="1129"/>
      <c r="AH141" s="1129"/>
      <c r="AI141" s="1129"/>
      <c r="AJ141" s="1129"/>
      <c r="AK141" s="1130"/>
      <c r="AL141" s="231"/>
      <c r="AP141" s="231"/>
      <c r="AQ141" s="1182"/>
      <c r="AR141" s="1183"/>
      <c r="AS141" s="1183"/>
      <c r="AT141" s="1183"/>
      <c r="AU141" s="1183"/>
      <c r="AV141" s="1183"/>
      <c r="AW141" s="1183"/>
      <c r="AX141" s="1183"/>
      <c r="AY141" s="1183"/>
      <c r="AZ141" s="1183"/>
      <c r="BA141" s="1183"/>
      <c r="BB141" s="1183"/>
      <c r="BC141" s="1183"/>
      <c r="BD141" s="1183"/>
      <c r="BE141" s="1183"/>
      <c r="BF141" s="1183"/>
      <c r="BG141" s="1183"/>
      <c r="BH141" s="1183"/>
      <c r="BI141" s="1183"/>
      <c r="BJ141" s="1183"/>
      <c r="BK141" s="1183"/>
      <c r="BL141" s="1183"/>
      <c r="BM141" s="1183"/>
      <c r="BN141" s="1183"/>
      <c r="BO141" s="1183"/>
      <c r="BP141" s="1183"/>
      <c r="BQ141" s="1183"/>
      <c r="BR141" s="1183"/>
      <c r="BS141" s="1183"/>
      <c r="BT141" s="1183"/>
      <c r="BU141" s="1183"/>
      <c r="BV141" s="1183"/>
      <c r="BW141" s="1183"/>
      <c r="BX141" s="1183"/>
      <c r="BY141" s="1183"/>
      <c r="BZ141" s="1183"/>
      <c r="CA141" s="1183"/>
      <c r="CB141" s="1183"/>
      <c r="CC141" s="1184"/>
      <c r="CD141" s="231"/>
    </row>
    <row r="142" spans="1:137" ht="3.95" customHeight="1" x14ac:dyDescent="0.25">
      <c r="A142" s="231"/>
      <c r="B142" s="1128"/>
      <c r="C142" s="1129"/>
      <c r="D142" s="1129"/>
      <c r="E142" s="1129"/>
      <c r="F142" s="1129"/>
      <c r="G142" s="1129"/>
      <c r="H142" s="1129"/>
      <c r="I142" s="1129"/>
      <c r="J142" s="1129"/>
      <c r="K142" s="1129"/>
      <c r="L142" s="1129"/>
      <c r="M142" s="1129"/>
      <c r="N142" s="1129"/>
      <c r="O142" s="1129"/>
      <c r="P142" s="1129"/>
      <c r="Q142" s="1129"/>
      <c r="R142" s="1129"/>
      <c r="S142" s="1129"/>
      <c r="T142" s="1129"/>
      <c r="U142" s="1129"/>
      <c r="V142" s="1129"/>
      <c r="W142" s="1129"/>
      <c r="X142" s="1129"/>
      <c r="Y142" s="1129"/>
      <c r="Z142" s="1129"/>
      <c r="AA142" s="1129"/>
      <c r="AB142" s="1129"/>
      <c r="AC142" s="1129"/>
      <c r="AD142" s="1129"/>
      <c r="AE142" s="1129"/>
      <c r="AF142" s="1129"/>
      <c r="AG142" s="1129"/>
      <c r="AH142" s="1129"/>
      <c r="AI142" s="1129"/>
      <c r="AJ142" s="1129"/>
      <c r="AK142" s="1130"/>
      <c r="AL142" s="231"/>
      <c r="AP142" s="231"/>
      <c r="AQ142" s="1182" t="str">
        <f>IF(HLOOKUP(RAÇA,TABELA.traços,13,FALSE)=0,"",HLOOKUP(RAÇA,TABELA.traços,13,FALSE))</f>
        <v/>
      </c>
      <c r="AR142" s="1183"/>
      <c r="AS142" s="1183"/>
      <c r="AT142" s="1183"/>
      <c r="AU142" s="1183"/>
      <c r="AV142" s="1183"/>
      <c r="AW142" s="1183"/>
      <c r="AX142" s="1183"/>
      <c r="AY142" s="1183"/>
      <c r="AZ142" s="1183"/>
      <c r="BA142" s="1183"/>
      <c r="BB142" s="1183"/>
      <c r="BC142" s="1183"/>
      <c r="BD142" s="1183"/>
      <c r="BE142" s="1183"/>
      <c r="BF142" s="1183"/>
      <c r="BG142" s="1183"/>
      <c r="BH142" s="1183"/>
      <c r="BI142" s="1183"/>
      <c r="BJ142" s="1183"/>
      <c r="BK142" s="1183"/>
      <c r="BL142" s="1183"/>
      <c r="BM142" s="1183"/>
      <c r="BN142" s="1183"/>
      <c r="BO142" s="1183"/>
      <c r="BP142" s="1183"/>
      <c r="BQ142" s="1183"/>
      <c r="BR142" s="1183"/>
      <c r="BS142" s="1183"/>
      <c r="BT142" s="1183"/>
      <c r="BU142" s="1183"/>
      <c r="BV142" s="1183"/>
      <c r="BW142" s="1183"/>
      <c r="BX142" s="1183"/>
      <c r="BY142" s="1183"/>
      <c r="BZ142" s="1183"/>
      <c r="CA142" s="1183"/>
      <c r="CB142" s="1183"/>
      <c r="CC142" s="1184"/>
      <c r="CD142" s="231"/>
    </row>
    <row r="143" spans="1:137" ht="3.95" customHeight="1" x14ac:dyDescent="0.25">
      <c r="A143" s="231"/>
      <c r="B143" s="1128"/>
      <c r="C143" s="1129"/>
      <c r="D143" s="1129"/>
      <c r="E143" s="1129"/>
      <c r="F143" s="1129"/>
      <c r="G143" s="1129"/>
      <c r="H143" s="1129"/>
      <c r="I143" s="1129"/>
      <c r="J143" s="1129"/>
      <c r="K143" s="1129"/>
      <c r="L143" s="1129"/>
      <c r="M143" s="1129"/>
      <c r="N143" s="1129"/>
      <c r="O143" s="1129"/>
      <c r="P143" s="1129"/>
      <c r="Q143" s="1129"/>
      <c r="R143" s="1129"/>
      <c r="S143" s="1129"/>
      <c r="T143" s="1129"/>
      <c r="U143" s="1129"/>
      <c r="V143" s="1129"/>
      <c r="W143" s="1129"/>
      <c r="X143" s="1129"/>
      <c r="Y143" s="1129"/>
      <c r="Z143" s="1129"/>
      <c r="AA143" s="1129"/>
      <c r="AB143" s="1129"/>
      <c r="AC143" s="1129"/>
      <c r="AD143" s="1129"/>
      <c r="AE143" s="1129"/>
      <c r="AF143" s="1129"/>
      <c r="AG143" s="1129"/>
      <c r="AH143" s="1129"/>
      <c r="AI143" s="1129"/>
      <c r="AJ143" s="1129"/>
      <c r="AK143" s="1130"/>
      <c r="AL143" s="231"/>
      <c r="AP143" s="231"/>
      <c r="AQ143" s="1182"/>
      <c r="AR143" s="1183"/>
      <c r="AS143" s="1183"/>
      <c r="AT143" s="1183"/>
      <c r="AU143" s="1183"/>
      <c r="AV143" s="1183"/>
      <c r="AW143" s="1183"/>
      <c r="AX143" s="1183"/>
      <c r="AY143" s="1183"/>
      <c r="AZ143" s="1183"/>
      <c r="BA143" s="1183"/>
      <c r="BB143" s="1183"/>
      <c r="BC143" s="1183"/>
      <c r="BD143" s="1183"/>
      <c r="BE143" s="1183"/>
      <c r="BF143" s="1183"/>
      <c r="BG143" s="1183"/>
      <c r="BH143" s="1183"/>
      <c r="BI143" s="1183"/>
      <c r="BJ143" s="1183"/>
      <c r="BK143" s="1183"/>
      <c r="BL143" s="1183"/>
      <c r="BM143" s="1183"/>
      <c r="BN143" s="1183"/>
      <c r="BO143" s="1183"/>
      <c r="BP143" s="1183"/>
      <c r="BQ143" s="1183"/>
      <c r="BR143" s="1183"/>
      <c r="BS143" s="1183"/>
      <c r="BT143" s="1183"/>
      <c r="BU143" s="1183"/>
      <c r="BV143" s="1183"/>
      <c r="BW143" s="1183"/>
      <c r="BX143" s="1183"/>
      <c r="BY143" s="1183"/>
      <c r="BZ143" s="1183"/>
      <c r="CA143" s="1183"/>
      <c r="CB143" s="1183"/>
      <c r="CC143" s="1184"/>
      <c r="CD143" s="231"/>
    </row>
    <row r="144" spans="1:137" ht="3.95" customHeight="1" x14ac:dyDescent="0.25">
      <c r="A144" s="231"/>
      <c r="B144" s="1131"/>
      <c r="C144" s="1132"/>
      <c r="D144" s="1132"/>
      <c r="E144" s="1132"/>
      <c r="F144" s="1132"/>
      <c r="G144" s="1132"/>
      <c r="H144" s="1132"/>
      <c r="I144" s="1132"/>
      <c r="J144" s="1132"/>
      <c r="K144" s="1132"/>
      <c r="L144" s="1132"/>
      <c r="M144" s="1132"/>
      <c r="N144" s="1132"/>
      <c r="O144" s="1132"/>
      <c r="P144" s="1132"/>
      <c r="Q144" s="1132"/>
      <c r="R144" s="1132"/>
      <c r="S144" s="1132"/>
      <c r="T144" s="1132"/>
      <c r="U144" s="1132"/>
      <c r="V144" s="1132"/>
      <c r="W144" s="1132"/>
      <c r="X144" s="1132"/>
      <c r="Y144" s="1132"/>
      <c r="Z144" s="1132"/>
      <c r="AA144" s="1132"/>
      <c r="AB144" s="1132"/>
      <c r="AC144" s="1132"/>
      <c r="AD144" s="1132"/>
      <c r="AE144" s="1132"/>
      <c r="AF144" s="1132"/>
      <c r="AG144" s="1132"/>
      <c r="AH144" s="1132"/>
      <c r="AI144" s="1132"/>
      <c r="AJ144" s="1132"/>
      <c r="AK144" s="1133"/>
      <c r="AL144" s="231"/>
      <c r="AP144" s="231"/>
      <c r="AQ144" s="1182"/>
      <c r="AR144" s="1183"/>
      <c r="AS144" s="1183"/>
      <c r="AT144" s="1183"/>
      <c r="AU144" s="1183"/>
      <c r="AV144" s="1183"/>
      <c r="AW144" s="1183"/>
      <c r="AX144" s="1183"/>
      <c r="AY144" s="1183"/>
      <c r="AZ144" s="1183"/>
      <c r="BA144" s="1183"/>
      <c r="BB144" s="1183"/>
      <c r="BC144" s="1183"/>
      <c r="BD144" s="1183"/>
      <c r="BE144" s="1183"/>
      <c r="BF144" s="1183"/>
      <c r="BG144" s="1183"/>
      <c r="BH144" s="1183"/>
      <c r="BI144" s="1183"/>
      <c r="BJ144" s="1183"/>
      <c r="BK144" s="1183"/>
      <c r="BL144" s="1183"/>
      <c r="BM144" s="1183"/>
      <c r="BN144" s="1183"/>
      <c r="BO144" s="1183"/>
      <c r="BP144" s="1183"/>
      <c r="BQ144" s="1183"/>
      <c r="BR144" s="1183"/>
      <c r="BS144" s="1183"/>
      <c r="BT144" s="1183"/>
      <c r="BU144" s="1183"/>
      <c r="BV144" s="1183"/>
      <c r="BW144" s="1183"/>
      <c r="BX144" s="1183"/>
      <c r="BY144" s="1183"/>
      <c r="BZ144" s="1183"/>
      <c r="CA144" s="1183"/>
      <c r="CB144" s="1183"/>
      <c r="CC144" s="1184"/>
      <c r="CD144" s="231"/>
    </row>
    <row r="145" spans="1:82" ht="3.95" customHeight="1" x14ac:dyDescent="0.25">
      <c r="A145" s="1224" t="s">
        <v>960</v>
      </c>
      <c r="B145" s="1224"/>
      <c r="C145" s="1224"/>
      <c r="D145" s="1224"/>
      <c r="E145" s="1224"/>
      <c r="F145" s="1224"/>
      <c r="G145" s="1224"/>
      <c r="H145" s="1224"/>
      <c r="I145" s="1224"/>
      <c r="J145" s="1224"/>
      <c r="K145" s="1224"/>
      <c r="L145" s="1224"/>
      <c r="M145" s="1224"/>
      <c r="N145" s="1224"/>
      <c r="O145" s="1224"/>
      <c r="P145" s="1224"/>
      <c r="Q145" s="1224"/>
      <c r="R145" s="1224"/>
      <c r="S145" s="1224"/>
      <c r="T145" s="1224"/>
      <c r="U145" s="1224"/>
      <c r="V145" s="1224"/>
      <c r="W145" s="231"/>
      <c r="X145" s="231"/>
      <c r="Y145" s="231"/>
      <c r="Z145" s="231"/>
      <c r="AA145" s="231"/>
      <c r="AB145" s="231"/>
      <c r="AC145" s="231"/>
      <c r="AD145" s="231"/>
      <c r="AE145" s="231"/>
      <c r="AF145" s="231"/>
      <c r="AG145" s="231"/>
      <c r="AH145" s="231"/>
      <c r="AI145" s="231"/>
      <c r="AJ145" s="231"/>
      <c r="AK145" s="231"/>
      <c r="AL145" s="231"/>
      <c r="AP145" s="231"/>
      <c r="AQ145" s="1222" t="s">
        <v>1128</v>
      </c>
      <c r="AR145" s="1222"/>
      <c r="AS145" s="1222"/>
      <c r="AT145" s="1222"/>
      <c r="AU145" s="1222"/>
      <c r="AV145" s="1222"/>
      <c r="AW145" s="1222"/>
      <c r="AX145" s="1222"/>
      <c r="AY145" s="1222"/>
      <c r="AZ145" s="1222"/>
      <c r="BA145" s="1222"/>
      <c r="BB145" s="1222"/>
      <c r="BC145" s="1222"/>
      <c r="BD145" s="1222"/>
      <c r="BE145" s="1222"/>
      <c r="BF145" s="1222"/>
      <c r="BG145" s="1222"/>
      <c r="BH145" s="1222"/>
      <c r="BI145" s="1222"/>
      <c r="BJ145" s="1222"/>
      <c r="BK145" s="1222"/>
      <c r="BL145" s="1222"/>
      <c r="BM145" s="1222"/>
      <c r="BN145" s="1222"/>
      <c r="BO145" s="1222"/>
      <c r="BP145" s="1222"/>
      <c r="BQ145" s="1222"/>
      <c r="BR145" s="1222"/>
      <c r="BS145" s="1222"/>
      <c r="BT145" s="1222"/>
      <c r="BU145" s="1222"/>
      <c r="BV145" s="1222"/>
      <c r="BW145" s="1222"/>
      <c r="BX145" s="1222"/>
      <c r="BY145" s="1222"/>
      <c r="BZ145" s="1222"/>
      <c r="CA145" s="1222"/>
      <c r="CB145" s="1222"/>
      <c r="CC145" s="1222"/>
      <c r="CD145" s="231"/>
    </row>
    <row r="146" spans="1:82" ht="3.95" customHeight="1" x14ac:dyDescent="0.25">
      <c r="A146" s="1224"/>
      <c r="B146" s="1224"/>
      <c r="C146" s="1224"/>
      <c r="D146" s="1224"/>
      <c r="E146" s="1224"/>
      <c r="F146" s="1224"/>
      <c r="G146" s="1224"/>
      <c r="H146" s="1224"/>
      <c r="I146" s="1224"/>
      <c r="J146" s="1224"/>
      <c r="K146" s="1224"/>
      <c r="L146" s="1224"/>
      <c r="M146" s="1224"/>
      <c r="N146" s="1224"/>
      <c r="O146" s="1224"/>
      <c r="P146" s="1224"/>
      <c r="Q146" s="1224"/>
      <c r="R146" s="1224"/>
      <c r="S146" s="1224"/>
      <c r="T146" s="1224"/>
      <c r="U146" s="1224"/>
      <c r="V146" s="1224"/>
      <c r="W146" s="231"/>
      <c r="X146" s="231"/>
      <c r="Y146" s="231"/>
      <c r="Z146" s="231"/>
      <c r="AA146" s="231"/>
      <c r="AB146" s="231"/>
      <c r="AC146" s="231"/>
      <c r="AD146" s="231"/>
      <c r="AE146" s="231"/>
      <c r="AF146" s="231"/>
      <c r="AG146" s="231"/>
      <c r="AH146" s="231"/>
      <c r="AI146" s="231"/>
      <c r="AJ146" s="231"/>
      <c r="AK146" s="231"/>
      <c r="AL146" s="231"/>
      <c r="AP146" s="231"/>
      <c r="AQ146" s="1223"/>
      <c r="AR146" s="1223"/>
      <c r="AS146" s="1223"/>
      <c r="AT146" s="1223"/>
      <c r="AU146" s="1223"/>
      <c r="AV146" s="1223"/>
      <c r="AW146" s="1223"/>
      <c r="AX146" s="1223"/>
      <c r="AY146" s="1223"/>
      <c r="AZ146" s="1223"/>
      <c r="BA146" s="1223"/>
      <c r="BB146" s="1223"/>
      <c r="BC146" s="1223"/>
      <c r="BD146" s="1223"/>
      <c r="BE146" s="1223"/>
      <c r="BF146" s="1223"/>
      <c r="BG146" s="1223"/>
      <c r="BH146" s="1223"/>
      <c r="BI146" s="1223"/>
      <c r="BJ146" s="1223"/>
      <c r="BK146" s="1223"/>
      <c r="BL146" s="1223"/>
      <c r="BM146" s="1223"/>
      <c r="BN146" s="1223"/>
      <c r="BO146" s="1223"/>
      <c r="BP146" s="1223"/>
      <c r="BQ146" s="1223"/>
      <c r="BR146" s="1223"/>
      <c r="BS146" s="1223"/>
      <c r="BT146" s="1223"/>
      <c r="BU146" s="1223"/>
      <c r="BV146" s="1223"/>
      <c r="BW146" s="1223"/>
      <c r="BX146" s="1223"/>
      <c r="BY146" s="1223"/>
      <c r="BZ146" s="1223"/>
      <c r="CA146" s="1223"/>
      <c r="CB146" s="1223"/>
      <c r="CC146" s="1223"/>
      <c r="CD146" s="231"/>
    </row>
    <row r="147" spans="1:82" ht="3.95" customHeight="1" x14ac:dyDescent="0.25">
      <c r="A147" s="1224"/>
      <c r="B147" s="1224"/>
      <c r="C147" s="1224"/>
      <c r="D147" s="1224"/>
      <c r="E147" s="1224"/>
      <c r="F147" s="1224"/>
      <c r="G147" s="1224"/>
      <c r="H147" s="1224"/>
      <c r="I147" s="1224"/>
      <c r="J147" s="1224"/>
      <c r="K147" s="1224"/>
      <c r="L147" s="1224"/>
      <c r="M147" s="1224"/>
      <c r="N147" s="1224"/>
      <c r="O147" s="1224"/>
      <c r="P147" s="1224"/>
      <c r="Q147" s="1224"/>
      <c r="R147" s="1224"/>
      <c r="S147" s="1224"/>
      <c r="T147" s="1224"/>
      <c r="U147" s="1224"/>
      <c r="V147" s="1224"/>
      <c r="W147" s="231"/>
      <c r="X147" s="231"/>
      <c r="Y147" s="231"/>
      <c r="Z147" s="231"/>
      <c r="AA147" s="231"/>
      <c r="AB147" s="231"/>
      <c r="AC147" s="231"/>
      <c r="AD147" s="231"/>
      <c r="AE147" s="231"/>
      <c r="AF147" s="231"/>
      <c r="AG147" s="231"/>
      <c r="AH147" s="231"/>
      <c r="AI147" s="231"/>
      <c r="AJ147" s="231"/>
      <c r="AK147" s="231"/>
      <c r="AL147" s="231"/>
      <c r="AP147" s="231"/>
      <c r="AQ147" s="1223"/>
      <c r="AR147" s="1223"/>
      <c r="AS147" s="1223"/>
      <c r="AT147" s="1223"/>
      <c r="AU147" s="1223"/>
      <c r="AV147" s="1223"/>
      <c r="AW147" s="1223"/>
      <c r="AX147" s="1223"/>
      <c r="AY147" s="1223"/>
      <c r="AZ147" s="1223"/>
      <c r="BA147" s="1223"/>
      <c r="BB147" s="1223"/>
      <c r="BC147" s="1223"/>
      <c r="BD147" s="1223"/>
      <c r="BE147" s="1223"/>
      <c r="BF147" s="1223"/>
      <c r="BG147" s="1223"/>
      <c r="BH147" s="1223"/>
      <c r="BI147" s="1223"/>
      <c r="BJ147" s="1223"/>
      <c r="BK147" s="1223"/>
      <c r="BL147" s="1223"/>
      <c r="BM147" s="1223"/>
      <c r="BN147" s="1223"/>
      <c r="BO147" s="1223"/>
      <c r="BP147" s="1223"/>
      <c r="BQ147" s="1223"/>
      <c r="BR147" s="1223"/>
      <c r="BS147" s="1223"/>
      <c r="BT147" s="1223"/>
      <c r="BU147" s="1223"/>
      <c r="BV147" s="1223"/>
      <c r="BW147" s="1223"/>
      <c r="BX147" s="1223"/>
      <c r="BY147" s="1223"/>
      <c r="BZ147" s="1223"/>
      <c r="CA147" s="1223"/>
      <c r="CB147" s="1223"/>
      <c r="CC147" s="1223"/>
      <c r="CD147" s="231"/>
    </row>
    <row r="148" spans="1:82" ht="3.95" customHeight="1" x14ac:dyDescent="0.25">
      <c r="M148" s="228"/>
      <c r="N148" s="228"/>
      <c r="O148" s="228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  <c r="AC148" s="228"/>
      <c r="AD148" s="228"/>
      <c r="AE148" s="228"/>
      <c r="AF148" s="228"/>
      <c r="AG148" s="228"/>
      <c r="AH148" s="228"/>
      <c r="AI148" s="228"/>
      <c r="AJ148" s="228"/>
      <c r="AK148" s="228"/>
      <c r="AL148" s="228"/>
    </row>
    <row r="153" spans="1:82" ht="3.95" customHeight="1" x14ac:dyDescent="0.25">
      <c r="A153" s="228"/>
      <c r="B153" s="228"/>
      <c r="C153" s="228"/>
      <c r="D153" s="228"/>
      <c r="E153" s="228"/>
      <c r="F153" s="228"/>
      <c r="G153" s="228"/>
      <c r="H153" s="228"/>
      <c r="I153" s="228"/>
      <c r="J153" s="228"/>
      <c r="K153" s="228"/>
      <c r="L153" s="228"/>
      <c r="M153" s="228"/>
      <c r="N153" s="228"/>
      <c r="O153" s="228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  <c r="AC153" s="228"/>
      <c r="AD153" s="228"/>
      <c r="AE153" s="228"/>
      <c r="AF153" s="228"/>
      <c r="AG153" s="228"/>
      <c r="AH153" s="228"/>
      <c r="AI153" s="228"/>
      <c r="AJ153" s="228"/>
      <c r="AK153" s="228"/>
      <c r="AL153" s="228"/>
      <c r="AO153" s="228"/>
      <c r="AP153" s="228"/>
    </row>
    <row r="154" spans="1:82" ht="3.95" customHeight="1" x14ac:dyDescent="0.25">
      <c r="A154" s="228"/>
      <c r="B154" s="228"/>
      <c r="C154" s="228"/>
      <c r="D154" s="228"/>
      <c r="E154" s="228"/>
      <c r="F154" s="228"/>
      <c r="G154" s="228"/>
      <c r="H154" s="228"/>
      <c r="I154" s="228"/>
      <c r="J154" s="228"/>
      <c r="K154" s="228"/>
      <c r="L154" s="228"/>
      <c r="M154" s="228"/>
      <c r="N154" s="228"/>
      <c r="O154" s="228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  <c r="AC154" s="228"/>
      <c r="AD154" s="228"/>
      <c r="AE154" s="228"/>
      <c r="AF154" s="228"/>
      <c r="AG154" s="228"/>
      <c r="AH154" s="228"/>
      <c r="AI154" s="228"/>
      <c r="AJ154" s="228"/>
      <c r="AK154" s="228"/>
      <c r="AL154" s="228"/>
      <c r="AO154" s="228"/>
      <c r="AP154" s="228"/>
    </row>
    <row r="155" spans="1:82" ht="3.95" customHeight="1" x14ac:dyDescent="0.25">
      <c r="A155" s="228"/>
      <c r="B155" s="228"/>
      <c r="C155" s="228"/>
      <c r="D155" s="228"/>
      <c r="E155" s="228"/>
      <c r="F155" s="228"/>
      <c r="G155" s="228"/>
      <c r="H155" s="228"/>
      <c r="I155" s="228"/>
      <c r="J155" s="228"/>
      <c r="K155" s="228"/>
      <c r="L155" s="228"/>
      <c r="M155" s="228"/>
      <c r="N155" s="228"/>
      <c r="O155" s="228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  <c r="AC155" s="228"/>
      <c r="AD155" s="228"/>
      <c r="AE155" s="228"/>
      <c r="AF155" s="228"/>
      <c r="AG155" s="228"/>
      <c r="AH155" s="228"/>
      <c r="AI155" s="228"/>
      <c r="AJ155" s="228"/>
      <c r="AK155" s="228"/>
      <c r="AL155" s="228"/>
      <c r="AO155" s="228"/>
      <c r="AP155" s="228"/>
    </row>
    <row r="156" spans="1:82" ht="3.95" customHeight="1" x14ac:dyDescent="0.25">
      <c r="A156" s="228"/>
      <c r="B156" s="228"/>
      <c r="C156" s="228"/>
      <c r="D156" s="228"/>
      <c r="E156" s="228"/>
      <c r="F156" s="228"/>
      <c r="G156" s="228"/>
      <c r="H156" s="228"/>
      <c r="I156" s="228"/>
      <c r="J156" s="228"/>
      <c r="K156" s="228"/>
      <c r="L156" s="228"/>
      <c r="M156" s="228"/>
      <c r="N156" s="228"/>
      <c r="O156" s="228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  <c r="AC156" s="228"/>
      <c r="AD156" s="228"/>
      <c r="AE156" s="228"/>
      <c r="AF156" s="228"/>
      <c r="AG156" s="228"/>
      <c r="AH156" s="228"/>
      <c r="AI156" s="228"/>
      <c r="AJ156" s="228"/>
      <c r="AK156" s="228"/>
      <c r="AL156" s="228"/>
      <c r="AO156" s="228"/>
      <c r="AP156" s="228"/>
    </row>
    <row r="157" spans="1:82" ht="3.95" customHeight="1" x14ac:dyDescent="0.25">
      <c r="A157" s="228"/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  <c r="N157" s="228"/>
      <c r="O157" s="228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  <c r="AC157" s="228"/>
      <c r="AD157" s="228"/>
      <c r="AE157" s="228"/>
      <c r="AF157" s="228"/>
      <c r="AG157" s="228"/>
      <c r="AH157" s="228"/>
      <c r="AI157" s="228"/>
      <c r="AJ157" s="228"/>
      <c r="AK157" s="228"/>
      <c r="AL157" s="228"/>
      <c r="AO157" s="228"/>
      <c r="AP157" s="228"/>
    </row>
    <row r="158" spans="1:82" ht="3.95" customHeight="1" x14ac:dyDescent="0.25">
      <c r="A158" s="228"/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  <c r="N158" s="228"/>
      <c r="O158" s="228"/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  <c r="AC158" s="228"/>
      <c r="AD158" s="228"/>
      <c r="AE158" s="228"/>
      <c r="AF158" s="228"/>
      <c r="AG158" s="228"/>
      <c r="AH158" s="228"/>
      <c r="AI158" s="228"/>
      <c r="AJ158" s="228"/>
      <c r="AK158" s="228"/>
      <c r="AL158" s="228"/>
      <c r="AO158" s="228"/>
      <c r="AP158" s="228"/>
    </row>
    <row r="159" spans="1:82" ht="3.95" customHeight="1" x14ac:dyDescent="0.25">
      <c r="A159" s="228"/>
      <c r="B159" s="228"/>
      <c r="C159" s="228"/>
      <c r="D159" s="228"/>
      <c r="E159" s="228"/>
      <c r="F159" s="228"/>
      <c r="G159" s="228"/>
      <c r="H159" s="228"/>
      <c r="I159" s="228"/>
      <c r="J159" s="228"/>
      <c r="K159" s="228"/>
      <c r="L159" s="228"/>
      <c r="M159" s="228"/>
      <c r="N159" s="228"/>
      <c r="O159" s="228"/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  <c r="AC159" s="228"/>
      <c r="AD159" s="228"/>
      <c r="AE159" s="228"/>
      <c r="AF159" s="228"/>
      <c r="AG159" s="228"/>
      <c r="AH159" s="228"/>
      <c r="AI159" s="228"/>
      <c r="AJ159" s="228"/>
      <c r="AK159" s="228"/>
      <c r="AL159" s="238"/>
      <c r="AM159" s="239"/>
      <c r="AN159" s="239"/>
      <c r="AO159" s="228"/>
      <c r="AP159" s="228"/>
    </row>
    <row r="160" spans="1:82" ht="3.95" customHeight="1" x14ac:dyDescent="0.25">
      <c r="A160" s="228"/>
      <c r="B160" s="228"/>
      <c r="C160" s="228"/>
      <c r="D160" s="228"/>
      <c r="E160" s="228"/>
      <c r="F160" s="228"/>
      <c r="G160" s="228"/>
      <c r="H160" s="228"/>
      <c r="I160" s="228"/>
      <c r="J160" s="228"/>
      <c r="K160" s="228"/>
      <c r="L160" s="228"/>
      <c r="M160" s="228"/>
      <c r="N160" s="228"/>
      <c r="O160" s="228"/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  <c r="AC160" s="228"/>
      <c r="AD160" s="228"/>
      <c r="AE160" s="228"/>
      <c r="AF160" s="228"/>
      <c r="AG160" s="228"/>
      <c r="AH160" s="228"/>
      <c r="AI160" s="228"/>
      <c r="AJ160" s="228"/>
      <c r="AK160" s="228"/>
      <c r="AL160" s="238"/>
      <c r="AM160" s="239"/>
      <c r="AN160" s="239"/>
      <c r="AO160" s="228"/>
      <c r="AP160" s="228"/>
    </row>
    <row r="161" spans="1:49" ht="3.95" customHeight="1" x14ac:dyDescent="0.25">
      <c r="A161" s="228"/>
      <c r="B161" s="228"/>
      <c r="C161" s="228"/>
      <c r="D161" s="228"/>
      <c r="E161" s="228"/>
      <c r="F161" s="228"/>
      <c r="G161" s="228"/>
      <c r="H161" s="228"/>
      <c r="I161" s="228"/>
      <c r="J161" s="228"/>
      <c r="K161" s="238"/>
      <c r="L161" s="238"/>
      <c r="M161" s="238"/>
      <c r="N161" s="238"/>
      <c r="O161" s="238"/>
      <c r="P161" s="238"/>
      <c r="Q161" s="238"/>
      <c r="R161" s="238"/>
      <c r="S161" s="238"/>
      <c r="T161" s="238"/>
      <c r="U161" s="238"/>
      <c r="V161" s="238"/>
      <c r="W161" s="238"/>
      <c r="X161" s="238"/>
      <c r="Y161" s="238"/>
      <c r="Z161" s="238"/>
      <c r="AA161" s="238"/>
      <c r="AB161" s="238"/>
      <c r="AC161" s="238"/>
      <c r="AD161" s="238"/>
      <c r="AE161" s="238"/>
      <c r="AF161" s="238"/>
      <c r="AG161" s="238"/>
      <c r="AH161" s="238"/>
      <c r="AI161" s="238"/>
      <c r="AJ161" s="238"/>
      <c r="AK161" s="238"/>
      <c r="AL161" s="238"/>
      <c r="AM161" s="239"/>
      <c r="AN161" s="239"/>
      <c r="AO161" s="228"/>
      <c r="AP161" s="228"/>
    </row>
    <row r="162" spans="1:49" ht="3.95" customHeight="1" x14ac:dyDescent="0.25">
      <c r="A162" s="228"/>
      <c r="B162" s="228"/>
      <c r="C162" s="228"/>
      <c r="D162" s="228"/>
      <c r="E162" s="228"/>
      <c r="F162" s="228"/>
      <c r="G162" s="228"/>
      <c r="H162" s="228"/>
      <c r="I162" s="228"/>
      <c r="J162" s="22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9"/>
      <c r="AN162" s="239"/>
      <c r="AO162" s="228"/>
      <c r="AP162" s="228"/>
    </row>
    <row r="163" spans="1:49" ht="3.95" customHeight="1" x14ac:dyDescent="0.25">
      <c r="A163" s="228"/>
      <c r="B163" s="228"/>
      <c r="C163" s="228"/>
      <c r="D163" s="228"/>
      <c r="E163" s="228"/>
    </row>
    <row r="164" spans="1:49" ht="3.95" customHeight="1" x14ac:dyDescent="0.25">
      <c r="A164" s="228"/>
      <c r="B164" s="228"/>
      <c r="C164" s="228"/>
      <c r="D164" s="228"/>
      <c r="E164" s="228"/>
    </row>
    <row r="165" spans="1:49" ht="3.95" customHeight="1" x14ac:dyDescent="0.25">
      <c r="A165" s="228"/>
      <c r="B165" s="228"/>
      <c r="C165" s="228"/>
      <c r="D165" s="228"/>
      <c r="E165" s="228"/>
    </row>
    <row r="166" spans="1:49" ht="3.95" customHeight="1" x14ac:dyDescent="0.25">
      <c r="A166" s="228"/>
      <c r="B166" s="228"/>
      <c r="C166" s="228"/>
      <c r="D166" s="228"/>
      <c r="E166" s="228"/>
    </row>
    <row r="167" spans="1:49" ht="3.95" customHeight="1" x14ac:dyDescent="0.25">
      <c r="A167" s="228"/>
      <c r="B167" s="228"/>
      <c r="C167" s="228"/>
      <c r="D167" s="228"/>
      <c r="E167" s="228"/>
    </row>
    <row r="168" spans="1:49" ht="3.95" customHeight="1" x14ac:dyDescent="0.25">
      <c r="A168" s="228"/>
      <c r="B168" s="228"/>
      <c r="C168" s="228"/>
      <c r="D168" s="228"/>
      <c r="E168" s="228"/>
    </row>
    <row r="170" spans="1:49" ht="3.95" customHeight="1" x14ac:dyDescent="0.25">
      <c r="D170" s="228"/>
      <c r="E170" s="228"/>
      <c r="F170" s="228"/>
      <c r="G170" s="228"/>
      <c r="H170" s="228"/>
      <c r="I170" s="228"/>
      <c r="J170" s="228"/>
      <c r="K170" s="228"/>
      <c r="L170" s="228"/>
      <c r="M170" s="228"/>
      <c r="N170" s="228"/>
      <c r="O170" s="228"/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  <c r="AC170" s="228"/>
      <c r="AD170" s="228"/>
      <c r="AE170" s="228"/>
      <c r="AF170" s="228"/>
      <c r="AG170" s="228"/>
      <c r="AH170" s="228"/>
      <c r="AI170" s="228"/>
      <c r="AJ170" s="228"/>
      <c r="AK170" s="228"/>
      <c r="AL170" s="228"/>
      <c r="AO170" s="228"/>
      <c r="AP170" s="228"/>
      <c r="AQ170" s="228"/>
      <c r="AR170" s="228"/>
      <c r="AS170" s="228"/>
      <c r="AT170" s="228"/>
      <c r="AU170" s="228"/>
      <c r="AV170" s="228"/>
      <c r="AW170" s="228"/>
    </row>
    <row r="171" spans="1:49" ht="3.95" customHeight="1" x14ac:dyDescent="0.25">
      <c r="D171" s="228"/>
      <c r="E171" s="228"/>
      <c r="F171" s="228"/>
      <c r="G171" s="228"/>
      <c r="H171" s="228"/>
      <c r="I171" s="228"/>
      <c r="J171" s="228"/>
      <c r="K171" s="228"/>
      <c r="L171" s="228"/>
      <c r="M171" s="228"/>
      <c r="N171" s="228"/>
      <c r="O171" s="228"/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  <c r="AC171" s="228"/>
      <c r="AD171" s="228"/>
      <c r="AE171" s="228"/>
      <c r="AF171" s="228"/>
      <c r="AG171" s="228"/>
      <c r="AH171" s="228"/>
      <c r="AI171" s="228"/>
      <c r="AJ171" s="228"/>
      <c r="AK171" s="228"/>
      <c r="AL171" s="228"/>
      <c r="AO171" s="228"/>
      <c r="AP171" s="228"/>
      <c r="AQ171" s="228"/>
      <c r="AR171" s="228"/>
      <c r="AS171" s="228"/>
      <c r="AT171" s="228"/>
      <c r="AU171" s="228"/>
      <c r="AV171" s="228"/>
      <c r="AW171" s="228"/>
    </row>
    <row r="172" spans="1:49" ht="3.95" customHeight="1" x14ac:dyDescent="0.25">
      <c r="D172" s="228"/>
      <c r="E172" s="228"/>
      <c r="F172" s="228"/>
      <c r="G172" s="228"/>
      <c r="H172" s="228"/>
      <c r="I172" s="228"/>
      <c r="J172" s="228"/>
      <c r="K172" s="228"/>
      <c r="L172" s="228"/>
      <c r="M172" s="228"/>
      <c r="N172" s="228"/>
      <c r="O172" s="228"/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  <c r="AC172" s="228"/>
      <c r="AD172" s="228"/>
      <c r="AE172" s="228"/>
      <c r="AF172" s="228"/>
      <c r="AG172" s="228"/>
      <c r="AH172" s="228"/>
      <c r="AI172" s="228"/>
      <c r="AJ172" s="228"/>
      <c r="AK172" s="228"/>
      <c r="AL172" s="228"/>
      <c r="AO172" s="228"/>
      <c r="AP172" s="228"/>
      <c r="AQ172" s="228"/>
      <c r="AR172" s="228"/>
      <c r="AS172" s="228"/>
      <c r="AT172" s="228"/>
      <c r="AU172" s="228"/>
      <c r="AV172" s="228"/>
      <c r="AW172" s="228"/>
    </row>
    <row r="173" spans="1:49" ht="3.95" customHeight="1" x14ac:dyDescent="0.25"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28"/>
      <c r="O173" s="228"/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  <c r="AC173" s="228"/>
      <c r="AD173" s="228"/>
      <c r="AE173" s="228"/>
      <c r="AF173" s="228"/>
      <c r="AG173" s="228"/>
      <c r="AH173" s="228"/>
      <c r="AI173" s="228"/>
      <c r="AJ173" s="228"/>
      <c r="AK173" s="228"/>
      <c r="AL173" s="228"/>
      <c r="AO173" s="228"/>
      <c r="AP173" s="228"/>
      <c r="AQ173" s="228"/>
      <c r="AR173" s="228"/>
      <c r="AS173" s="228"/>
      <c r="AT173" s="228"/>
      <c r="AU173" s="228"/>
      <c r="AV173" s="228"/>
      <c r="AW173" s="228"/>
    </row>
    <row r="174" spans="1:49" ht="3.95" customHeight="1" x14ac:dyDescent="0.25">
      <c r="D174" s="228"/>
      <c r="E174" s="228"/>
      <c r="F174" s="228"/>
      <c r="G174" s="228"/>
      <c r="H174" s="228"/>
      <c r="I174" s="228"/>
      <c r="J174" s="228"/>
      <c r="K174" s="228"/>
      <c r="L174" s="228"/>
      <c r="M174" s="228"/>
      <c r="N174" s="228"/>
      <c r="O174" s="228"/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  <c r="AC174" s="228"/>
      <c r="AD174" s="228"/>
      <c r="AE174" s="228"/>
      <c r="AF174" s="228"/>
      <c r="AG174" s="228"/>
      <c r="AH174" s="228"/>
      <c r="AI174" s="228"/>
      <c r="AJ174" s="228"/>
      <c r="AK174" s="228"/>
      <c r="AL174" s="228"/>
      <c r="AO174" s="228"/>
      <c r="AP174" s="228"/>
      <c r="AQ174" s="228"/>
      <c r="AR174" s="228"/>
      <c r="AS174" s="228"/>
      <c r="AT174" s="228"/>
      <c r="AU174" s="228"/>
      <c r="AV174" s="228"/>
      <c r="AW174" s="228"/>
    </row>
    <row r="175" spans="1:49" ht="3.95" customHeight="1" x14ac:dyDescent="0.25">
      <c r="D175" s="228"/>
      <c r="E175" s="228"/>
      <c r="F175" s="228"/>
      <c r="G175" s="228"/>
      <c r="H175" s="228"/>
      <c r="I175" s="228"/>
      <c r="J175" s="228"/>
      <c r="K175" s="228"/>
      <c r="L175" s="228"/>
      <c r="M175" s="228"/>
      <c r="N175" s="228"/>
      <c r="O175" s="228"/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  <c r="AC175" s="228"/>
      <c r="AD175" s="228"/>
      <c r="AE175" s="228"/>
      <c r="AF175" s="228"/>
      <c r="AG175" s="228"/>
      <c r="AH175" s="228"/>
      <c r="AI175" s="228"/>
      <c r="AJ175" s="228"/>
      <c r="AK175" s="228"/>
      <c r="AL175" s="228"/>
      <c r="AO175" s="228"/>
      <c r="AP175" s="228"/>
      <c r="AQ175" s="228"/>
      <c r="AR175" s="228"/>
      <c r="AS175" s="228"/>
      <c r="AT175" s="228"/>
      <c r="AU175" s="228"/>
      <c r="AV175" s="228"/>
      <c r="AW175" s="228"/>
    </row>
    <row r="176" spans="1:49" ht="3.95" customHeight="1" x14ac:dyDescent="0.25">
      <c r="D176" s="228"/>
      <c r="E176" s="228"/>
      <c r="F176" s="228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99"/>
      <c r="AA176" s="199"/>
      <c r="AB176" s="199"/>
      <c r="AC176" s="199"/>
      <c r="AD176" s="199"/>
      <c r="AE176" s="199"/>
      <c r="AF176" s="199"/>
      <c r="AG176" s="199"/>
      <c r="AH176" s="199"/>
      <c r="AI176" s="199"/>
      <c r="AJ176" s="199"/>
      <c r="AK176" s="199"/>
      <c r="AL176" s="199"/>
      <c r="AM176" s="240"/>
      <c r="AN176" s="240"/>
      <c r="AO176" s="199"/>
      <c r="AP176" s="199"/>
      <c r="AQ176" s="199"/>
      <c r="AR176" s="199"/>
      <c r="AS176" s="228"/>
      <c r="AT176" s="228"/>
      <c r="AU176" s="228"/>
      <c r="AV176" s="228"/>
      <c r="AW176" s="228"/>
    </row>
    <row r="177" spans="4:49" ht="3.95" customHeight="1" x14ac:dyDescent="0.25">
      <c r="D177" s="228"/>
      <c r="E177" s="228"/>
      <c r="F177" s="228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9"/>
      <c r="AA177" s="199"/>
      <c r="AB177" s="199"/>
      <c r="AC177" s="199"/>
      <c r="AD177" s="199"/>
      <c r="AE177" s="199"/>
      <c r="AF177" s="199"/>
      <c r="AG177" s="199"/>
      <c r="AH177" s="199"/>
      <c r="AI177" s="199"/>
      <c r="AJ177" s="199"/>
      <c r="AK177" s="199"/>
      <c r="AL177" s="199"/>
      <c r="AM177" s="240"/>
      <c r="AN177" s="240"/>
      <c r="AO177" s="199"/>
      <c r="AP177" s="199"/>
      <c r="AQ177" s="199"/>
      <c r="AR177" s="199"/>
      <c r="AS177" s="228"/>
      <c r="AT177" s="228"/>
      <c r="AU177" s="228"/>
      <c r="AV177" s="228"/>
      <c r="AW177" s="228"/>
    </row>
    <row r="178" spans="4:49" ht="3.95" customHeight="1" x14ac:dyDescent="0.25">
      <c r="D178" s="228"/>
      <c r="E178" s="228"/>
      <c r="F178" s="228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99"/>
      <c r="AA178" s="199"/>
      <c r="AB178" s="199"/>
      <c r="AC178" s="199"/>
      <c r="AD178" s="199"/>
      <c r="AE178" s="199"/>
      <c r="AF178" s="199"/>
      <c r="AG178" s="199"/>
      <c r="AH178" s="199"/>
      <c r="AI178" s="199"/>
      <c r="AJ178" s="199"/>
      <c r="AK178" s="199"/>
      <c r="AL178" s="199"/>
      <c r="AM178" s="240"/>
      <c r="AN178" s="240"/>
      <c r="AO178" s="199"/>
      <c r="AP178" s="199"/>
      <c r="AQ178" s="199"/>
      <c r="AR178" s="199"/>
      <c r="AS178" s="228"/>
      <c r="AT178" s="228"/>
      <c r="AU178" s="228"/>
      <c r="AV178" s="228"/>
      <c r="AW178" s="228"/>
    </row>
    <row r="179" spans="4:49" ht="3.95" customHeight="1" x14ac:dyDescent="0.25">
      <c r="D179" s="228"/>
      <c r="E179" s="228"/>
      <c r="F179" s="228"/>
      <c r="G179" s="228"/>
      <c r="H179" s="228"/>
      <c r="I179" s="228"/>
      <c r="J179" s="228"/>
      <c r="K179" s="228"/>
      <c r="L179" s="228"/>
      <c r="M179" s="228"/>
      <c r="N179" s="228"/>
      <c r="O179" s="228"/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  <c r="AC179" s="228"/>
      <c r="AD179" s="228"/>
      <c r="AE179" s="228"/>
      <c r="AF179" s="228"/>
      <c r="AG179" s="228"/>
      <c r="AH179" s="228"/>
      <c r="AI179" s="228"/>
      <c r="AJ179" s="228"/>
      <c r="AK179" s="228"/>
      <c r="AL179" s="228"/>
      <c r="AO179" s="228"/>
      <c r="AP179" s="228"/>
      <c r="AQ179" s="228"/>
      <c r="AR179" s="228"/>
      <c r="AS179" s="228"/>
      <c r="AT179" s="228"/>
      <c r="AU179" s="228"/>
      <c r="AV179" s="228"/>
      <c r="AW179" s="228"/>
    </row>
    <row r="180" spans="4:49" ht="3.95" customHeight="1" x14ac:dyDescent="0.25">
      <c r="D180" s="228"/>
      <c r="E180" s="228"/>
      <c r="F180" s="228"/>
      <c r="G180" s="228"/>
      <c r="H180" s="228"/>
      <c r="I180" s="228"/>
      <c r="J180" s="228"/>
      <c r="K180" s="228"/>
      <c r="L180" s="228"/>
      <c r="M180" s="228"/>
      <c r="N180" s="228"/>
      <c r="O180" s="228"/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  <c r="AC180" s="228"/>
      <c r="AD180" s="228"/>
      <c r="AE180" s="228"/>
      <c r="AF180" s="228"/>
      <c r="AG180" s="228"/>
      <c r="AH180" s="228"/>
      <c r="AI180" s="228"/>
      <c r="AJ180" s="228"/>
      <c r="AK180" s="228"/>
      <c r="AL180" s="228"/>
      <c r="AO180" s="228"/>
      <c r="AP180" s="228"/>
      <c r="AQ180" s="228"/>
      <c r="AR180" s="228"/>
      <c r="AS180" s="228"/>
      <c r="AT180" s="228"/>
      <c r="AU180" s="228"/>
      <c r="AV180" s="228"/>
      <c r="AW180" s="228"/>
    </row>
    <row r="181" spans="4:49" ht="3.95" customHeight="1" x14ac:dyDescent="0.25"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  <c r="N181" s="228"/>
      <c r="O181" s="228"/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  <c r="AC181" s="228"/>
      <c r="AD181" s="228"/>
      <c r="AE181" s="228"/>
      <c r="AF181" s="228"/>
      <c r="AG181" s="228"/>
      <c r="AH181" s="228"/>
      <c r="AI181" s="228"/>
      <c r="AJ181" s="228"/>
      <c r="AK181" s="228"/>
      <c r="AL181" s="228"/>
      <c r="AO181" s="228"/>
      <c r="AP181" s="228"/>
      <c r="AQ181" s="228"/>
      <c r="AR181" s="228"/>
      <c r="AS181" s="228"/>
      <c r="AT181" s="228"/>
      <c r="AU181" s="228"/>
      <c r="AV181" s="228"/>
      <c r="AW181" s="228"/>
    </row>
    <row r="182" spans="4:49" ht="3.95" customHeight="1" x14ac:dyDescent="0.25"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  <c r="N182" s="228"/>
      <c r="O182" s="228"/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  <c r="AC182" s="228"/>
      <c r="AD182" s="228"/>
      <c r="AE182" s="228"/>
      <c r="AF182" s="228"/>
      <c r="AG182" s="228"/>
      <c r="AH182" s="228"/>
      <c r="AI182" s="228"/>
      <c r="AJ182" s="228"/>
      <c r="AK182" s="228"/>
      <c r="AL182" s="228"/>
      <c r="AO182" s="228"/>
      <c r="AP182" s="228"/>
      <c r="AQ182" s="228"/>
      <c r="AR182" s="228"/>
      <c r="AS182" s="228"/>
      <c r="AT182" s="228"/>
      <c r="AU182" s="228"/>
      <c r="AV182" s="228"/>
      <c r="AW182" s="228"/>
    </row>
    <row r="183" spans="4:49" ht="3.95" customHeight="1" x14ac:dyDescent="0.25">
      <c r="D183" s="228"/>
      <c r="E183" s="228"/>
      <c r="F183" s="228"/>
      <c r="G183" s="228"/>
      <c r="H183" s="228"/>
      <c r="I183" s="228"/>
      <c r="J183" s="228"/>
      <c r="K183" s="228"/>
      <c r="L183" s="228"/>
      <c r="M183" s="228"/>
      <c r="N183" s="228"/>
      <c r="O183" s="228"/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  <c r="AC183" s="228"/>
      <c r="AD183" s="228"/>
      <c r="AE183" s="228"/>
      <c r="AF183" s="228"/>
      <c r="AG183" s="228"/>
      <c r="AH183" s="228"/>
      <c r="AI183" s="228"/>
      <c r="AJ183" s="228"/>
      <c r="AK183" s="228"/>
      <c r="AL183" s="228"/>
      <c r="AO183" s="228"/>
      <c r="AP183" s="228"/>
      <c r="AQ183" s="228"/>
      <c r="AR183" s="228"/>
      <c r="AS183" s="228"/>
      <c r="AT183" s="228"/>
      <c r="AU183" s="228"/>
      <c r="AV183" s="228"/>
      <c r="AW183" s="228"/>
    </row>
    <row r="184" spans="4:49" ht="3.95" customHeight="1" x14ac:dyDescent="0.25">
      <c r="D184" s="228"/>
      <c r="E184" s="228"/>
      <c r="F184" s="228"/>
      <c r="G184" s="228"/>
      <c r="H184" s="228"/>
      <c r="I184" s="228"/>
      <c r="J184" s="228"/>
      <c r="K184" s="228"/>
      <c r="L184" s="228"/>
      <c r="M184" s="228"/>
      <c r="N184" s="228"/>
      <c r="O184" s="228"/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  <c r="AC184" s="228"/>
      <c r="AD184" s="228"/>
      <c r="AE184" s="228"/>
      <c r="AF184" s="228"/>
      <c r="AG184" s="228"/>
      <c r="AH184" s="228"/>
      <c r="AI184" s="228"/>
      <c r="AJ184" s="228"/>
      <c r="AK184" s="228"/>
      <c r="AL184" s="228"/>
      <c r="AO184" s="228"/>
      <c r="AP184" s="228"/>
      <c r="AQ184" s="228"/>
      <c r="AR184" s="228"/>
      <c r="AS184" s="228"/>
      <c r="AT184" s="228"/>
      <c r="AU184" s="228"/>
      <c r="AV184" s="228"/>
      <c r="AW184" s="228"/>
    </row>
    <row r="185" spans="4:49" ht="3.95" customHeight="1" x14ac:dyDescent="0.25">
      <c r="D185" s="228"/>
      <c r="E185" s="228"/>
      <c r="F185" s="228"/>
      <c r="G185" s="228"/>
      <c r="H185" s="228"/>
      <c r="I185" s="228"/>
      <c r="J185" s="228"/>
      <c r="K185" s="228"/>
      <c r="L185" s="228"/>
      <c r="M185" s="228"/>
      <c r="N185" s="228"/>
      <c r="O185" s="228"/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  <c r="AC185" s="228"/>
      <c r="AD185" s="228"/>
      <c r="AE185" s="228"/>
      <c r="AF185" s="228"/>
      <c r="AG185" s="228"/>
      <c r="AH185" s="228"/>
      <c r="AI185" s="228"/>
      <c r="AJ185" s="228"/>
      <c r="AK185" s="228"/>
      <c r="AL185" s="228"/>
      <c r="AO185" s="228"/>
      <c r="AP185" s="228"/>
      <c r="AQ185" s="228"/>
      <c r="AR185" s="228"/>
      <c r="AS185" s="228"/>
      <c r="AT185" s="228"/>
      <c r="AU185" s="228"/>
      <c r="AV185" s="228"/>
      <c r="AW185" s="228"/>
    </row>
    <row r="186" spans="4:49" ht="3.95" customHeight="1" x14ac:dyDescent="0.25">
      <c r="D186" s="228"/>
      <c r="E186" s="228"/>
      <c r="F186" s="228"/>
      <c r="G186" s="228"/>
      <c r="H186" s="228"/>
      <c r="I186" s="228"/>
      <c r="J186" s="228"/>
      <c r="K186" s="228"/>
      <c r="L186" s="228"/>
      <c r="M186" s="228"/>
      <c r="N186" s="228"/>
      <c r="O186" s="228"/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  <c r="AC186" s="228"/>
      <c r="AD186" s="228"/>
      <c r="AE186" s="228"/>
      <c r="AF186" s="228"/>
      <c r="AG186" s="228"/>
      <c r="AH186" s="228"/>
      <c r="AI186" s="228"/>
      <c r="AJ186" s="228"/>
      <c r="AK186" s="228"/>
      <c r="AL186" s="228"/>
      <c r="AO186" s="228"/>
      <c r="AP186" s="228"/>
      <c r="AQ186" s="228"/>
      <c r="AR186" s="228"/>
      <c r="AS186" s="228"/>
      <c r="AT186" s="228"/>
      <c r="AU186" s="228"/>
      <c r="AV186" s="228"/>
      <c r="AW186" s="228"/>
    </row>
    <row r="187" spans="4:49" ht="3.95" customHeight="1" x14ac:dyDescent="0.25"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O187" s="228"/>
      <c r="AP187" s="228"/>
      <c r="AQ187" s="228"/>
      <c r="AR187" s="228"/>
      <c r="AS187" s="228"/>
      <c r="AT187" s="228"/>
      <c r="AU187" s="228"/>
      <c r="AV187" s="228"/>
      <c r="AW187" s="228"/>
    </row>
    <row r="188" spans="4:49" ht="3.95" customHeight="1" x14ac:dyDescent="0.25">
      <c r="D188" s="228"/>
      <c r="E188" s="228"/>
      <c r="F188" s="228"/>
      <c r="G188" s="228"/>
      <c r="H188" s="228"/>
      <c r="I188" s="228"/>
      <c r="J188" s="228"/>
      <c r="K188" s="228"/>
      <c r="L188" s="228"/>
      <c r="M188" s="228"/>
      <c r="N188" s="228"/>
      <c r="O188" s="228"/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  <c r="AC188" s="228"/>
      <c r="AD188" s="228"/>
      <c r="AE188" s="228"/>
      <c r="AF188" s="228"/>
      <c r="AG188" s="228"/>
      <c r="AH188" s="228"/>
      <c r="AI188" s="228"/>
      <c r="AJ188" s="228"/>
      <c r="AK188" s="228"/>
      <c r="AL188" s="228"/>
      <c r="AO188" s="228"/>
      <c r="AP188" s="228"/>
      <c r="AQ188" s="228"/>
      <c r="AR188" s="228"/>
      <c r="AS188" s="228"/>
      <c r="AT188" s="228"/>
      <c r="AU188" s="228"/>
      <c r="AV188" s="228"/>
      <c r="AW188" s="228"/>
    </row>
  </sheetData>
  <sheetProtection sheet="1" objects="1" scenarios="1" formatCells="0" selectLockedCells="1"/>
  <mergeCells count="364">
    <mergeCell ref="AQ133:CC135"/>
    <mergeCell ref="B133:AK135"/>
    <mergeCell ref="AQ145:CC147"/>
    <mergeCell ref="A145:V147"/>
    <mergeCell ref="X7:AL10"/>
    <mergeCell ref="AM46:AM48"/>
    <mergeCell ref="AM49:AM51"/>
    <mergeCell ref="AM52:AM54"/>
    <mergeCell ref="AM55:AM57"/>
    <mergeCell ref="AM58:AM60"/>
    <mergeCell ref="AM61:AM63"/>
    <mergeCell ref="AM64:AM66"/>
    <mergeCell ref="AM67:AM69"/>
    <mergeCell ref="AM70:AM72"/>
    <mergeCell ref="AM73:AM75"/>
    <mergeCell ref="AM76:AM78"/>
    <mergeCell ref="AM79:AM81"/>
    <mergeCell ref="AM82:AM84"/>
    <mergeCell ref="AM85:AM87"/>
    <mergeCell ref="AM88:AM90"/>
    <mergeCell ref="AM91:AM93"/>
    <mergeCell ref="AM94:AM96"/>
    <mergeCell ref="AM97:AM99"/>
    <mergeCell ref="AH11:AL14"/>
    <mergeCell ref="AH15:AL18"/>
    <mergeCell ref="AQ127:CC129"/>
    <mergeCell ref="X3:AL6"/>
    <mergeCell ref="A106:AJ108"/>
    <mergeCell ref="R114:U117"/>
    <mergeCell ref="AQ121:CC123"/>
    <mergeCell ref="AQ124:CC126"/>
    <mergeCell ref="AW100:BC102"/>
    <mergeCell ref="BD100:BI102"/>
    <mergeCell ref="N114:Q117"/>
    <mergeCell ref="V114:Y117"/>
    <mergeCell ref="Z114:AC117"/>
    <mergeCell ref="AD114:AG117"/>
    <mergeCell ref="AH114:AK117"/>
    <mergeCell ref="N110:AK113"/>
    <mergeCell ref="AQ61:AT63"/>
    <mergeCell ref="AU61:BI63"/>
    <mergeCell ref="AQ64:AT66"/>
    <mergeCell ref="AU64:BI66"/>
    <mergeCell ref="AQ67:AT69"/>
    <mergeCell ref="AU67:BI69"/>
    <mergeCell ref="AQ70:AT72"/>
    <mergeCell ref="AN103:AN105"/>
    <mergeCell ref="AM106:AN108"/>
    <mergeCell ref="AQ73:AT75"/>
    <mergeCell ref="AU73:BI75"/>
    <mergeCell ref="AQ130:CC132"/>
    <mergeCell ref="AQ136:CC138"/>
    <mergeCell ref="AQ139:CC141"/>
    <mergeCell ref="AQ142:CC144"/>
    <mergeCell ref="AQ84:BI87"/>
    <mergeCell ref="AQ88:AV90"/>
    <mergeCell ref="BD88:BI90"/>
    <mergeCell ref="AW88:BC90"/>
    <mergeCell ref="AQ91:AV93"/>
    <mergeCell ref="AW91:BC93"/>
    <mergeCell ref="BD91:BI93"/>
    <mergeCell ref="AQ94:AV96"/>
    <mergeCell ref="AW94:BC96"/>
    <mergeCell ref="BD94:BI96"/>
    <mergeCell ref="AQ97:AV99"/>
    <mergeCell ref="AW97:BC99"/>
    <mergeCell ref="AQ105:CC108"/>
    <mergeCell ref="AQ109:CC111"/>
    <mergeCell ref="AQ112:CC114"/>
    <mergeCell ref="AQ115:CC117"/>
    <mergeCell ref="AQ118:CC120"/>
    <mergeCell ref="BD97:BI99"/>
    <mergeCell ref="AQ100:AV102"/>
    <mergeCell ref="BO85:CC87"/>
    <mergeCell ref="AQ34:AT36"/>
    <mergeCell ref="AU34:BI36"/>
    <mergeCell ref="AQ37:AT39"/>
    <mergeCell ref="AU37:BI39"/>
    <mergeCell ref="AQ40:AT42"/>
    <mergeCell ref="AU40:BI42"/>
    <mergeCell ref="AQ43:AT45"/>
    <mergeCell ref="AU43:BI45"/>
    <mergeCell ref="AU70:BI72"/>
    <mergeCell ref="AQ46:AT48"/>
    <mergeCell ref="AU46:BI48"/>
    <mergeCell ref="AQ49:AT51"/>
    <mergeCell ref="AU49:BI51"/>
    <mergeCell ref="AQ52:AT54"/>
    <mergeCell ref="AU52:BI54"/>
    <mergeCell ref="AQ55:AT57"/>
    <mergeCell ref="AU55:BI57"/>
    <mergeCell ref="AQ58:AT60"/>
    <mergeCell ref="AU58:BI60"/>
    <mergeCell ref="BK37:BN39"/>
    <mergeCell ref="BK76:BN78"/>
    <mergeCell ref="BO76:CC78"/>
    <mergeCell ref="R46:S48"/>
    <mergeCell ref="R49:S51"/>
    <mergeCell ref="B46:C48"/>
    <mergeCell ref="D46:Q48"/>
    <mergeCell ref="B49:C51"/>
    <mergeCell ref="D49:Q51"/>
    <mergeCell ref="T46:U48"/>
    <mergeCell ref="V46:AI48"/>
    <mergeCell ref="AJ46:AK48"/>
    <mergeCell ref="T49:U51"/>
    <mergeCell ref="V49:AI51"/>
    <mergeCell ref="AJ49:AK51"/>
    <mergeCell ref="B118:C121"/>
    <mergeCell ref="D118:F121"/>
    <mergeCell ref="G118:H121"/>
    <mergeCell ref="I118:K121"/>
    <mergeCell ref="G114:H117"/>
    <mergeCell ref="I114:K117"/>
    <mergeCell ref="B114:C117"/>
    <mergeCell ref="D114:F117"/>
    <mergeCell ref="V103:AI105"/>
    <mergeCell ref="N118:AK121"/>
    <mergeCell ref="V100:AI102"/>
    <mergeCell ref="AJ100:AK102"/>
    <mergeCell ref="T103:U105"/>
    <mergeCell ref="AN55:AN57"/>
    <mergeCell ref="AN58:AN60"/>
    <mergeCell ref="AN61:AN63"/>
    <mergeCell ref="AN64:AN66"/>
    <mergeCell ref="AN67:AN69"/>
    <mergeCell ref="B110:K113"/>
    <mergeCell ref="AJ103:AK105"/>
    <mergeCell ref="AN97:AN99"/>
    <mergeCell ref="AN100:AN102"/>
    <mergeCell ref="R94:S96"/>
    <mergeCell ref="R97:S99"/>
    <mergeCell ref="B94:C96"/>
    <mergeCell ref="D94:Q96"/>
    <mergeCell ref="B97:C99"/>
    <mergeCell ref="D97:Q99"/>
    <mergeCell ref="AM100:AM102"/>
    <mergeCell ref="AM103:AM105"/>
    <mergeCell ref="T97:U99"/>
    <mergeCell ref="V97:AI99"/>
    <mergeCell ref="AJ97:AK99"/>
    <mergeCell ref="AN91:AN93"/>
    <mergeCell ref="N11:V14"/>
    <mergeCell ref="X11:AF14"/>
    <mergeCell ref="N3:V6"/>
    <mergeCell ref="B130:AK132"/>
    <mergeCell ref="B136:AK138"/>
    <mergeCell ref="B139:AK141"/>
    <mergeCell ref="B142:AK144"/>
    <mergeCell ref="B126:AK129"/>
    <mergeCell ref="B39:M41"/>
    <mergeCell ref="AJ39:AK41"/>
    <mergeCell ref="B26:M29"/>
    <mergeCell ref="N26:AH29"/>
    <mergeCell ref="AJ26:AK29"/>
    <mergeCell ref="N30:AI32"/>
    <mergeCell ref="N33:AI35"/>
    <mergeCell ref="N36:AI38"/>
    <mergeCell ref="N39:AI41"/>
    <mergeCell ref="R100:S102"/>
    <mergeCell ref="R103:S105"/>
    <mergeCell ref="B100:C102"/>
    <mergeCell ref="D100:Q102"/>
    <mergeCell ref="B103:C105"/>
    <mergeCell ref="D103:Q105"/>
    <mergeCell ref="T100:U102"/>
    <mergeCell ref="AN85:AN87"/>
    <mergeCell ref="AN88:AN90"/>
    <mergeCell ref="AN94:AN96"/>
    <mergeCell ref="R88:S90"/>
    <mergeCell ref="R91:S93"/>
    <mergeCell ref="B22:AK25"/>
    <mergeCell ref="B30:M32"/>
    <mergeCell ref="AJ30:AK32"/>
    <mergeCell ref="B33:M35"/>
    <mergeCell ref="AJ33:AK35"/>
    <mergeCell ref="B36:M38"/>
    <mergeCell ref="AJ36:AK38"/>
    <mergeCell ref="R42:S45"/>
    <mergeCell ref="AJ42:AK45"/>
    <mergeCell ref="B42:C45"/>
    <mergeCell ref="D42:Q45"/>
    <mergeCell ref="T42:U45"/>
    <mergeCell ref="V42:AI45"/>
    <mergeCell ref="AN46:AN48"/>
    <mergeCell ref="AN49:AN51"/>
    <mergeCell ref="AN52:AN54"/>
    <mergeCell ref="R52:S54"/>
    <mergeCell ref="B91:C93"/>
    <mergeCell ref="D91:Q93"/>
    <mergeCell ref="AJ82:AK84"/>
    <mergeCell ref="T85:U87"/>
    <mergeCell ref="V85:AI87"/>
    <mergeCell ref="AJ85:AK87"/>
    <mergeCell ref="AJ88:AK90"/>
    <mergeCell ref="T91:U93"/>
    <mergeCell ref="V91:AI93"/>
    <mergeCell ref="AJ91:AK93"/>
    <mergeCell ref="T94:U96"/>
    <mergeCell ref="V94:AI96"/>
    <mergeCell ref="AJ94:AK96"/>
    <mergeCell ref="T88:U90"/>
    <mergeCell ref="V88:AI90"/>
    <mergeCell ref="B88:C90"/>
    <mergeCell ref="D88:Q90"/>
    <mergeCell ref="AN79:AN81"/>
    <mergeCell ref="AN82:AN84"/>
    <mergeCell ref="R76:S78"/>
    <mergeCell ref="R79:S81"/>
    <mergeCell ref="B76:C78"/>
    <mergeCell ref="D76:Q78"/>
    <mergeCell ref="B79:C81"/>
    <mergeCell ref="D79:Q81"/>
    <mergeCell ref="T76:U78"/>
    <mergeCell ref="V76:AI78"/>
    <mergeCell ref="AJ76:AK78"/>
    <mergeCell ref="T79:U81"/>
    <mergeCell ref="V79:AI81"/>
    <mergeCell ref="AJ79:AK81"/>
    <mergeCell ref="R82:S84"/>
    <mergeCell ref="R85:S87"/>
    <mergeCell ref="B82:C84"/>
    <mergeCell ref="D82:Q84"/>
    <mergeCell ref="B85:C87"/>
    <mergeCell ref="D85:Q87"/>
    <mergeCell ref="T82:U84"/>
    <mergeCell ref="V82:AI84"/>
    <mergeCell ref="AN73:AN75"/>
    <mergeCell ref="AN76:AN78"/>
    <mergeCell ref="R70:S72"/>
    <mergeCell ref="R73:S75"/>
    <mergeCell ref="B70:C72"/>
    <mergeCell ref="D70:Q72"/>
    <mergeCell ref="B73:C75"/>
    <mergeCell ref="D73:Q75"/>
    <mergeCell ref="T70:U72"/>
    <mergeCell ref="V70:AI72"/>
    <mergeCell ref="AJ70:AK72"/>
    <mergeCell ref="T73:U75"/>
    <mergeCell ref="V73:AI75"/>
    <mergeCell ref="AJ73:AK75"/>
    <mergeCell ref="AN70:AN72"/>
    <mergeCell ref="R64:S66"/>
    <mergeCell ref="R67:S69"/>
    <mergeCell ref="B64:C66"/>
    <mergeCell ref="D64:Q66"/>
    <mergeCell ref="B67:C69"/>
    <mergeCell ref="D67:Q69"/>
    <mergeCell ref="T64:U66"/>
    <mergeCell ref="V64:AI66"/>
    <mergeCell ref="AJ64:AK66"/>
    <mergeCell ref="T67:U69"/>
    <mergeCell ref="V67:AI69"/>
    <mergeCell ref="AJ67:AK69"/>
    <mergeCell ref="B58:C60"/>
    <mergeCell ref="D58:Q60"/>
    <mergeCell ref="B61:C63"/>
    <mergeCell ref="D61:Q63"/>
    <mergeCell ref="T58:U60"/>
    <mergeCell ref="V58:AI60"/>
    <mergeCell ref="AJ58:AK60"/>
    <mergeCell ref="T61:U63"/>
    <mergeCell ref="V61:AI63"/>
    <mergeCell ref="AJ61:AK63"/>
    <mergeCell ref="B52:C54"/>
    <mergeCell ref="D52:Q54"/>
    <mergeCell ref="B55:C57"/>
    <mergeCell ref="D55:Q57"/>
    <mergeCell ref="T52:U54"/>
    <mergeCell ref="V52:AI54"/>
    <mergeCell ref="AJ52:AK54"/>
    <mergeCell ref="T55:U57"/>
    <mergeCell ref="V55:AI57"/>
    <mergeCell ref="AJ55:AK57"/>
    <mergeCell ref="N7:V10"/>
    <mergeCell ref="N15:V18"/>
    <mergeCell ref="X15:AF18"/>
    <mergeCell ref="BK10:BN12"/>
    <mergeCell ref="BO10:CC12"/>
    <mergeCell ref="BK61:BN63"/>
    <mergeCell ref="BO61:CC63"/>
    <mergeCell ref="BK13:BN15"/>
    <mergeCell ref="BO13:CC15"/>
    <mergeCell ref="BK55:BN57"/>
    <mergeCell ref="BO55:CC57"/>
    <mergeCell ref="BK7:BN9"/>
    <mergeCell ref="BO7:CC9"/>
    <mergeCell ref="BK22:BN24"/>
    <mergeCell ref="BO22:CC24"/>
    <mergeCell ref="R55:S57"/>
    <mergeCell ref="R58:S60"/>
    <mergeCell ref="R61:S63"/>
    <mergeCell ref="AQ7:AT9"/>
    <mergeCell ref="AU7:BI9"/>
    <mergeCell ref="AQ10:AT12"/>
    <mergeCell ref="AU10:BI12"/>
    <mergeCell ref="AQ13:AT15"/>
    <mergeCell ref="AU13:BI15"/>
    <mergeCell ref="BK28:BN30"/>
    <mergeCell ref="BO28:CC30"/>
    <mergeCell ref="BK79:BN81"/>
    <mergeCell ref="BO79:CC81"/>
    <mergeCell ref="BK31:BN33"/>
    <mergeCell ref="BO31:CC33"/>
    <mergeCell ref="BK70:BN72"/>
    <mergeCell ref="BO70:CC72"/>
    <mergeCell ref="BK73:BN75"/>
    <mergeCell ref="BO73:CC75"/>
    <mergeCell ref="BK64:BN66"/>
    <mergeCell ref="BO64:CC66"/>
    <mergeCell ref="BK67:BN69"/>
    <mergeCell ref="BO67:CC69"/>
    <mergeCell ref="BK58:BN60"/>
    <mergeCell ref="BO58:CC60"/>
    <mergeCell ref="BK34:BN36"/>
    <mergeCell ref="BO34:CC36"/>
    <mergeCell ref="BK100:BN102"/>
    <mergeCell ref="BO100:CC102"/>
    <mergeCell ref="BK52:BN54"/>
    <mergeCell ref="BO37:CC39"/>
    <mergeCell ref="BO40:CC42"/>
    <mergeCell ref="BO43:CC45"/>
    <mergeCell ref="BO46:CC48"/>
    <mergeCell ref="BO49:CC51"/>
    <mergeCell ref="BO52:CC54"/>
    <mergeCell ref="BK94:BN96"/>
    <mergeCell ref="BO94:CC96"/>
    <mergeCell ref="BK46:BN48"/>
    <mergeCell ref="BK97:BN99"/>
    <mergeCell ref="BO97:CC99"/>
    <mergeCell ref="BK49:BN51"/>
    <mergeCell ref="BK88:BN90"/>
    <mergeCell ref="BO88:CC90"/>
    <mergeCell ref="BK40:BN42"/>
    <mergeCell ref="BK91:BN93"/>
    <mergeCell ref="BO91:CC93"/>
    <mergeCell ref="BK43:BN45"/>
    <mergeCell ref="BK82:BN84"/>
    <mergeCell ref="BO82:CC84"/>
    <mergeCell ref="BK85:BN87"/>
    <mergeCell ref="BK3:CC6"/>
    <mergeCell ref="AU25:BI27"/>
    <mergeCell ref="AQ28:AT30"/>
    <mergeCell ref="AU28:BI30"/>
    <mergeCell ref="AQ31:AT33"/>
    <mergeCell ref="AQ76:AT78"/>
    <mergeCell ref="AU76:BI78"/>
    <mergeCell ref="AQ79:AT81"/>
    <mergeCell ref="AU79:BI81"/>
    <mergeCell ref="BK25:BN27"/>
    <mergeCell ref="BO25:CC27"/>
    <mergeCell ref="BK16:BN18"/>
    <mergeCell ref="BO16:CC18"/>
    <mergeCell ref="BK19:BN21"/>
    <mergeCell ref="BO19:CC21"/>
    <mergeCell ref="AQ3:BI6"/>
    <mergeCell ref="AQ16:AT18"/>
    <mergeCell ref="AU16:BI18"/>
    <mergeCell ref="AQ19:AT21"/>
    <mergeCell ref="AU19:BI21"/>
    <mergeCell ref="AQ22:AT24"/>
    <mergeCell ref="AU22:BI24"/>
    <mergeCell ref="AQ25:AT27"/>
    <mergeCell ref="AU31:BI33"/>
  </mergeCells>
  <pageMargins left="0.39370078740157483" right="0.39370078740157483" top="0.39370078740157483" bottom="0.39370078740157483" header="0" footer="0"/>
  <pageSetup paperSize="9" orientation="landscape" r:id="rId1"/>
  <headerFooter>
    <oddHeader>&amp;CFICHA DE PERSONAGEM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>
    <tabColor rgb="FFFFFFCC"/>
  </sheetPr>
  <dimension ref="A1:CB141"/>
  <sheetViews>
    <sheetView showGridLines="0" zoomScaleNormal="100" workbookViewId="0">
      <selection activeCell="B98" sqref="B98:M100"/>
    </sheetView>
  </sheetViews>
  <sheetFormatPr defaultColWidth="1.7109375" defaultRowHeight="3.95" customHeight="1" x14ac:dyDescent="0.25"/>
  <cols>
    <col min="1" max="1" width="1.85546875" style="201" bestFit="1" customWidth="1"/>
    <col min="2" max="43" width="1.7109375" style="201"/>
    <col min="44" max="44" width="1.85546875" style="201" bestFit="1" customWidth="1"/>
    <col min="45" max="16384" width="1.7109375" style="201"/>
  </cols>
  <sheetData>
    <row r="1" spans="1:80" ht="3.95" customHeight="1" x14ac:dyDescent="0.25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28"/>
      <c r="AT1" s="228"/>
      <c r="AU1" s="228"/>
      <c r="AV1" s="228"/>
      <c r="AW1" s="228"/>
      <c r="AX1" s="228"/>
      <c r="AY1" s="228"/>
      <c r="AZ1" s="228"/>
      <c r="BA1" s="228"/>
      <c r="BB1" s="228"/>
      <c r="BC1" s="228"/>
      <c r="BD1" s="228"/>
      <c r="BE1" s="228"/>
      <c r="BF1" s="228"/>
      <c r="BG1" s="228"/>
      <c r="BH1" s="228"/>
      <c r="BI1" s="228"/>
      <c r="BJ1" s="228"/>
      <c r="BK1" s="228"/>
      <c r="BL1" s="228"/>
      <c r="BM1" s="228"/>
      <c r="BN1" s="228"/>
      <c r="BO1" s="228"/>
      <c r="BP1" s="228"/>
      <c r="BQ1" s="228"/>
      <c r="BR1" s="228"/>
      <c r="BS1" s="228"/>
      <c r="BT1" s="228"/>
      <c r="BU1" s="228"/>
      <c r="BV1" s="228"/>
      <c r="BW1" s="228"/>
      <c r="BX1" s="228"/>
      <c r="BY1" s="228"/>
      <c r="BZ1" s="228"/>
      <c r="CA1" s="228"/>
      <c r="CB1" s="228"/>
    </row>
    <row r="2" spans="1:80" ht="3.95" customHeight="1" x14ac:dyDescent="0.25">
      <c r="A2" s="24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42"/>
      <c r="AP2" s="231"/>
      <c r="AQ2" s="231"/>
      <c r="AR2" s="231"/>
      <c r="AS2" s="228"/>
      <c r="AT2" s="228"/>
      <c r="AU2" s="228"/>
      <c r="AV2" s="228"/>
      <c r="AW2" s="228"/>
      <c r="AX2" s="228"/>
      <c r="AY2" s="228"/>
      <c r="AZ2" s="228"/>
      <c r="BA2" s="228"/>
      <c r="BB2" s="228"/>
      <c r="BC2" s="228"/>
      <c r="BD2" s="228"/>
      <c r="BE2" s="228"/>
      <c r="BF2" s="228"/>
      <c r="BG2" s="228"/>
      <c r="BH2" s="228"/>
      <c r="BI2" s="228"/>
      <c r="BJ2" s="228"/>
      <c r="BK2" s="228"/>
      <c r="BL2" s="228"/>
      <c r="BM2" s="228"/>
      <c r="BN2" s="228"/>
      <c r="BO2" s="228"/>
      <c r="BP2" s="228"/>
      <c r="BQ2" s="228"/>
      <c r="BR2" s="228"/>
      <c r="BS2" s="228"/>
      <c r="BT2" s="228"/>
      <c r="BU2" s="228"/>
      <c r="BV2" s="228"/>
      <c r="BW2" s="228"/>
      <c r="BX2" s="228"/>
      <c r="BY2" s="228"/>
      <c r="BZ2" s="228"/>
      <c r="CA2" s="228"/>
      <c r="CB2" s="228"/>
    </row>
    <row r="3" spans="1:80" ht="8.1" customHeight="1" x14ac:dyDescent="0.25">
      <c r="A3" s="242"/>
      <c r="B3" s="1080" t="s">
        <v>553</v>
      </c>
      <c r="C3" s="1081"/>
      <c r="D3" s="1081"/>
      <c r="E3" s="1081"/>
      <c r="F3" s="1081"/>
      <c r="G3" s="1081"/>
      <c r="H3" s="1081"/>
      <c r="I3" s="1081"/>
      <c r="J3" s="1081"/>
      <c r="K3" s="1081"/>
      <c r="L3" s="1081"/>
      <c r="M3" s="1081"/>
      <c r="N3" s="1081"/>
      <c r="O3" s="1081"/>
      <c r="P3" s="1081"/>
      <c r="Q3" s="1081"/>
      <c r="R3" s="1081"/>
      <c r="S3" s="1081"/>
      <c r="T3" s="1081"/>
      <c r="U3" s="1081"/>
      <c r="V3" s="1081"/>
      <c r="W3" s="1081"/>
      <c r="X3" s="1081"/>
      <c r="Y3" s="1081"/>
      <c r="Z3" s="1081"/>
      <c r="AA3" s="1081"/>
      <c r="AB3" s="1081"/>
      <c r="AC3" s="1081"/>
      <c r="AD3" s="1081"/>
      <c r="AE3" s="1081"/>
      <c r="AF3" s="1081"/>
      <c r="AG3" s="1081"/>
      <c r="AH3" s="1081"/>
      <c r="AI3" s="1081"/>
      <c r="AJ3" s="1081"/>
      <c r="AK3" s="1081"/>
      <c r="AL3" s="1081"/>
      <c r="AM3" s="1081"/>
      <c r="AN3" s="1081"/>
      <c r="AO3" s="1081"/>
      <c r="AP3" s="1081"/>
      <c r="AQ3" s="1082"/>
      <c r="AR3" s="231"/>
      <c r="AT3" s="1448" t="s">
        <v>599</v>
      </c>
      <c r="AU3" s="1449"/>
      <c r="AV3" s="1449"/>
      <c r="AW3" s="1449"/>
      <c r="AX3" s="1449"/>
      <c r="AY3" s="1449"/>
      <c r="AZ3" s="1449"/>
      <c r="BA3" s="1449"/>
      <c r="BB3" s="1449"/>
      <c r="BC3" s="1449"/>
      <c r="BD3" s="1449"/>
      <c r="BE3" s="1449"/>
      <c r="BF3" s="1449"/>
      <c r="BG3" s="1449"/>
      <c r="BH3" s="1449"/>
      <c r="BI3" s="1449"/>
      <c r="BJ3" s="1449"/>
      <c r="BK3" s="1450"/>
      <c r="BL3" s="1442" t="s">
        <v>227</v>
      </c>
      <c r="BM3" s="1443"/>
      <c r="BN3" s="1443"/>
      <c r="BO3" s="1443"/>
      <c r="BP3" s="1443"/>
      <c r="BQ3" s="1443"/>
      <c r="BR3" s="1443"/>
      <c r="BS3" s="1443"/>
      <c r="BT3" s="1443"/>
      <c r="BU3" s="1443"/>
      <c r="BV3" s="1443"/>
      <c r="BW3" s="1444"/>
      <c r="BX3" s="243"/>
      <c r="BY3" s="243"/>
      <c r="BZ3" s="243"/>
      <c r="CA3" s="243"/>
      <c r="CB3" s="244"/>
    </row>
    <row r="4" spans="1:80" ht="8.1" customHeight="1" x14ac:dyDescent="0.25">
      <c r="A4" s="242"/>
      <c r="B4" s="1083"/>
      <c r="C4" s="1084"/>
      <c r="D4" s="1084"/>
      <c r="E4" s="1084"/>
      <c r="F4" s="1084"/>
      <c r="G4" s="1084"/>
      <c r="H4" s="1084"/>
      <c r="I4" s="1084"/>
      <c r="J4" s="1084"/>
      <c r="K4" s="1084"/>
      <c r="L4" s="1084"/>
      <c r="M4" s="1084"/>
      <c r="N4" s="1084"/>
      <c r="O4" s="1084"/>
      <c r="P4" s="1084"/>
      <c r="Q4" s="1084"/>
      <c r="R4" s="1084"/>
      <c r="S4" s="1084"/>
      <c r="T4" s="1084"/>
      <c r="U4" s="1084"/>
      <c r="V4" s="1084"/>
      <c r="W4" s="1084"/>
      <c r="X4" s="1084"/>
      <c r="Y4" s="1084"/>
      <c r="Z4" s="1084"/>
      <c r="AA4" s="1084"/>
      <c r="AB4" s="1084"/>
      <c r="AC4" s="1084"/>
      <c r="AD4" s="1084"/>
      <c r="AE4" s="1084"/>
      <c r="AF4" s="1084"/>
      <c r="AG4" s="1084"/>
      <c r="AH4" s="1084"/>
      <c r="AI4" s="1084"/>
      <c r="AJ4" s="1084"/>
      <c r="AK4" s="1084"/>
      <c r="AL4" s="1084"/>
      <c r="AM4" s="1084"/>
      <c r="AN4" s="1084"/>
      <c r="AO4" s="1084"/>
      <c r="AP4" s="1084"/>
      <c r="AQ4" s="1085"/>
      <c r="AR4" s="231"/>
      <c r="AT4" s="1451"/>
      <c r="AU4" s="1452"/>
      <c r="AV4" s="1452"/>
      <c r="AW4" s="1452"/>
      <c r="AX4" s="1452"/>
      <c r="AY4" s="1452"/>
      <c r="AZ4" s="1452"/>
      <c r="BA4" s="1452"/>
      <c r="BB4" s="1452"/>
      <c r="BC4" s="1452"/>
      <c r="BD4" s="1452"/>
      <c r="BE4" s="1452"/>
      <c r="BF4" s="1452"/>
      <c r="BG4" s="1452"/>
      <c r="BH4" s="1452"/>
      <c r="BI4" s="1452"/>
      <c r="BJ4" s="1452"/>
      <c r="BK4" s="1453"/>
      <c r="BL4" s="1445"/>
      <c r="BM4" s="1446"/>
      <c r="BN4" s="1446"/>
      <c r="BO4" s="1446"/>
      <c r="BP4" s="1446"/>
      <c r="BQ4" s="1446"/>
      <c r="BR4" s="1446"/>
      <c r="BS4" s="1446"/>
      <c r="BT4" s="1446"/>
      <c r="BU4" s="1446"/>
      <c r="BV4" s="1446"/>
      <c r="BW4" s="1447"/>
      <c r="BX4" s="245"/>
      <c r="BY4" s="245"/>
      <c r="BZ4" s="245"/>
      <c r="CA4" s="245"/>
      <c r="CB4" s="246"/>
    </row>
    <row r="5" spans="1:80" ht="8.1" customHeight="1" x14ac:dyDescent="0.25">
      <c r="A5" s="231"/>
      <c r="B5" s="1553"/>
      <c r="C5" s="1551"/>
      <c r="D5" s="1551"/>
      <c r="E5" s="1551"/>
      <c r="F5" s="1551"/>
      <c r="G5" s="1551"/>
      <c r="H5" s="1551"/>
      <c r="I5" s="1551"/>
      <c r="J5" s="1551"/>
      <c r="K5" s="1551"/>
      <c r="L5" s="1551"/>
      <c r="M5" s="1551"/>
      <c r="N5" s="1551"/>
      <c r="O5" s="1551"/>
      <c r="P5" s="1551"/>
      <c r="Q5" s="1551"/>
      <c r="R5" s="1551"/>
      <c r="S5" s="1551"/>
      <c r="T5" s="1551"/>
      <c r="U5" s="1551"/>
      <c r="V5" s="1547">
        <f>VLOOKUP(CONJURADOR,TABELA.classes,32,FALSE)</f>
        <v>0</v>
      </c>
      <c r="W5" s="1547"/>
      <c r="X5" s="1547"/>
      <c r="Y5" s="1547"/>
      <c r="Z5" s="1547"/>
      <c r="AA5" s="1547"/>
      <c r="AB5" s="1547"/>
      <c r="AC5" s="1547"/>
      <c r="AD5" s="1547">
        <f>VLOOKUP(CONJURADOR,TABELA.classes,31,FALSE)</f>
        <v>0</v>
      </c>
      <c r="AE5" s="1547"/>
      <c r="AF5" s="1547"/>
      <c r="AG5" s="1547"/>
      <c r="AH5" s="1547"/>
      <c r="AI5" s="1547"/>
      <c r="AJ5" s="1547"/>
      <c r="AK5" s="1547"/>
      <c r="AL5" s="1547"/>
      <c r="AM5" s="1547"/>
      <c r="AN5" s="1547"/>
      <c r="AO5" s="1547"/>
      <c r="AP5" s="1547"/>
      <c r="AQ5" s="1548"/>
      <c r="AR5" s="231"/>
      <c r="AT5" s="1460"/>
      <c r="AU5" s="1461"/>
      <c r="AV5" s="1461"/>
      <c r="AW5" s="1461"/>
      <c r="AX5" s="1461"/>
      <c r="AY5" s="1461"/>
      <c r="AZ5" s="1461"/>
      <c r="BA5" s="1461"/>
      <c r="BB5" s="1461"/>
      <c r="BC5" s="1461"/>
      <c r="BD5" s="1461"/>
      <c r="BE5" s="1461"/>
      <c r="BF5" s="1461"/>
      <c r="BG5" s="1461"/>
      <c r="BH5" s="1461"/>
      <c r="BI5" s="1461"/>
      <c r="BJ5" s="1461"/>
      <c r="BK5" s="1461"/>
      <c r="BL5" s="1461"/>
      <c r="BM5" s="1461"/>
      <c r="BN5" s="1462"/>
      <c r="BO5" s="1440"/>
      <c r="BP5" s="1440"/>
      <c r="BQ5" s="1440"/>
      <c r="BR5" s="1440"/>
      <c r="BS5" s="1440"/>
      <c r="BT5" s="1440"/>
      <c r="BU5" s="1440"/>
      <c r="BV5" s="1440"/>
      <c r="BW5" s="1440"/>
      <c r="BX5" s="1440"/>
      <c r="BY5" s="1440"/>
      <c r="BZ5" s="1440"/>
      <c r="CA5" s="1440"/>
      <c r="CB5" s="1441"/>
    </row>
    <row r="6" spans="1:80" ht="8.1" customHeight="1" x14ac:dyDescent="0.25">
      <c r="A6" s="231"/>
      <c r="B6" s="1554"/>
      <c r="C6" s="1552"/>
      <c r="D6" s="1552"/>
      <c r="E6" s="1552"/>
      <c r="F6" s="1552"/>
      <c r="G6" s="1552"/>
      <c r="H6" s="1552"/>
      <c r="I6" s="1552"/>
      <c r="J6" s="1552"/>
      <c r="K6" s="1552"/>
      <c r="L6" s="1552"/>
      <c r="M6" s="1552"/>
      <c r="N6" s="1552"/>
      <c r="O6" s="1552"/>
      <c r="P6" s="1552"/>
      <c r="Q6" s="1552"/>
      <c r="R6" s="1552"/>
      <c r="S6" s="1552"/>
      <c r="T6" s="1552"/>
      <c r="U6" s="1552"/>
      <c r="V6" s="1549"/>
      <c r="W6" s="1549"/>
      <c r="X6" s="1549"/>
      <c r="Y6" s="1549"/>
      <c r="Z6" s="1549"/>
      <c r="AA6" s="1549"/>
      <c r="AB6" s="1549"/>
      <c r="AC6" s="1549"/>
      <c r="AD6" s="1549"/>
      <c r="AE6" s="1549"/>
      <c r="AF6" s="1549"/>
      <c r="AG6" s="1549"/>
      <c r="AH6" s="1549"/>
      <c r="AI6" s="1549"/>
      <c r="AJ6" s="1549"/>
      <c r="AK6" s="1549"/>
      <c r="AL6" s="1549"/>
      <c r="AM6" s="1549"/>
      <c r="AN6" s="1549"/>
      <c r="AO6" s="1549"/>
      <c r="AP6" s="1549"/>
      <c r="AQ6" s="1550"/>
      <c r="AR6" s="231"/>
      <c r="AT6" s="1463"/>
      <c r="AU6" s="1430"/>
      <c r="AV6" s="1430"/>
      <c r="AW6" s="1430"/>
      <c r="AX6" s="1430"/>
      <c r="AY6" s="1430"/>
      <c r="AZ6" s="1430"/>
      <c r="BA6" s="1430"/>
      <c r="BB6" s="1430"/>
      <c r="BC6" s="1430"/>
      <c r="BD6" s="1430"/>
      <c r="BE6" s="1430"/>
      <c r="BF6" s="1430"/>
      <c r="BG6" s="1430"/>
      <c r="BH6" s="1430"/>
      <c r="BI6" s="1430"/>
      <c r="BJ6" s="1430"/>
      <c r="BK6" s="1430"/>
      <c r="BL6" s="1430"/>
      <c r="BM6" s="1430"/>
      <c r="BN6" s="1464"/>
      <c r="BO6" s="1418"/>
      <c r="BP6" s="1418"/>
      <c r="BQ6" s="1418"/>
      <c r="BR6" s="1418"/>
      <c r="BS6" s="1418"/>
      <c r="BT6" s="1418"/>
      <c r="BU6" s="1418"/>
      <c r="BV6" s="1418"/>
      <c r="BW6" s="1418"/>
      <c r="BX6" s="1418"/>
      <c r="BY6" s="1418"/>
      <c r="BZ6" s="1418"/>
      <c r="CA6" s="1418"/>
      <c r="CB6" s="1419"/>
    </row>
    <row r="7" spans="1:80" ht="3.95" customHeight="1" x14ac:dyDescent="0.25">
      <c r="A7" s="231"/>
      <c r="B7" s="1505" t="s">
        <v>96</v>
      </c>
      <c r="C7" s="1487"/>
      <c r="D7" s="1487"/>
      <c r="E7" s="1487"/>
      <c r="F7" s="1487"/>
      <c r="G7" s="1487"/>
      <c r="H7" s="1487"/>
      <c r="I7" s="1487"/>
      <c r="J7" s="1487"/>
      <c r="K7" s="1487"/>
      <c r="L7" s="1487"/>
      <c r="M7" s="1487"/>
      <c r="N7" s="1487"/>
      <c r="O7" s="1487"/>
      <c r="P7" s="1487"/>
      <c r="Q7" s="1487"/>
      <c r="R7" s="1487" t="s">
        <v>554</v>
      </c>
      <c r="S7" s="1487"/>
      <c r="T7" s="1487"/>
      <c r="U7" s="1487"/>
      <c r="V7" s="1487" t="s">
        <v>555</v>
      </c>
      <c r="W7" s="1487"/>
      <c r="X7" s="1487"/>
      <c r="Y7" s="1487"/>
      <c r="Z7" s="1487"/>
      <c r="AA7" s="1487"/>
      <c r="AB7" s="1487"/>
      <c r="AC7" s="1487"/>
      <c r="AD7" s="1487" t="s">
        <v>556</v>
      </c>
      <c r="AE7" s="1487"/>
      <c r="AF7" s="1487"/>
      <c r="AG7" s="1487"/>
      <c r="AH7" s="1487"/>
      <c r="AI7" s="1487"/>
      <c r="AJ7" s="1487"/>
      <c r="AK7" s="1487"/>
      <c r="AL7" s="1487"/>
      <c r="AM7" s="1487"/>
      <c r="AN7" s="1487"/>
      <c r="AO7" s="1487"/>
      <c r="AP7" s="1487"/>
      <c r="AQ7" s="1488"/>
      <c r="AR7" s="231"/>
      <c r="AT7" s="1454" t="s">
        <v>103</v>
      </c>
      <c r="AU7" s="1433"/>
      <c r="AV7" s="1433"/>
      <c r="AW7" s="1433"/>
      <c r="AX7" s="1433"/>
      <c r="AY7" s="1433"/>
      <c r="AZ7" s="1433"/>
      <c r="BA7" s="1433"/>
      <c r="BB7" s="1433"/>
      <c r="BC7" s="1433"/>
      <c r="BD7" s="1433"/>
      <c r="BE7" s="1433"/>
      <c r="BF7" s="1433"/>
      <c r="BG7" s="1433"/>
      <c r="BH7" s="1433"/>
      <c r="BI7" s="1433"/>
      <c r="BJ7" s="1433"/>
      <c r="BK7" s="1433"/>
      <c r="BL7" s="1433"/>
      <c r="BM7" s="1433"/>
      <c r="BN7" s="1455"/>
      <c r="BO7" s="1359" t="s">
        <v>3</v>
      </c>
      <c r="BP7" s="1359"/>
      <c r="BQ7" s="1359"/>
      <c r="BR7" s="1359"/>
      <c r="BS7" s="1359"/>
      <c r="BT7" s="1359"/>
      <c r="BU7" s="1359"/>
      <c r="BV7" s="1359" t="s">
        <v>4</v>
      </c>
      <c r="BW7" s="1359"/>
      <c r="BX7" s="1359"/>
      <c r="BY7" s="1359"/>
      <c r="BZ7" s="1359"/>
      <c r="CA7" s="1359"/>
      <c r="CB7" s="1420"/>
    </row>
    <row r="8" spans="1:80" ht="3.95" customHeight="1" x14ac:dyDescent="0.25">
      <c r="A8" s="231"/>
      <c r="B8" s="1505"/>
      <c r="C8" s="1487"/>
      <c r="D8" s="1487"/>
      <c r="E8" s="1487"/>
      <c r="F8" s="1487"/>
      <c r="G8" s="1487"/>
      <c r="H8" s="1487"/>
      <c r="I8" s="1487"/>
      <c r="J8" s="1487"/>
      <c r="K8" s="1487"/>
      <c r="L8" s="1487"/>
      <c r="M8" s="1487"/>
      <c r="N8" s="1487"/>
      <c r="O8" s="1487"/>
      <c r="P8" s="1487"/>
      <c r="Q8" s="1487"/>
      <c r="R8" s="1487"/>
      <c r="S8" s="1487"/>
      <c r="T8" s="1487"/>
      <c r="U8" s="1487"/>
      <c r="V8" s="1487"/>
      <c r="W8" s="1487"/>
      <c r="X8" s="1487"/>
      <c r="Y8" s="1487"/>
      <c r="Z8" s="1487"/>
      <c r="AA8" s="1487"/>
      <c r="AB8" s="1487"/>
      <c r="AC8" s="1487"/>
      <c r="AD8" s="1487"/>
      <c r="AE8" s="1487"/>
      <c r="AF8" s="1487"/>
      <c r="AG8" s="1487"/>
      <c r="AH8" s="1487"/>
      <c r="AI8" s="1487"/>
      <c r="AJ8" s="1487"/>
      <c r="AK8" s="1487"/>
      <c r="AL8" s="1487"/>
      <c r="AM8" s="1487"/>
      <c r="AN8" s="1487"/>
      <c r="AO8" s="1487"/>
      <c r="AP8" s="1487"/>
      <c r="AQ8" s="1488"/>
      <c r="AR8" s="231"/>
      <c r="AT8" s="1456"/>
      <c r="AU8" s="512"/>
      <c r="AV8" s="512"/>
      <c r="AW8" s="512"/>
      <c r="AX8" s="512"/>
      <c r="AY8" s="512"/>
      <c r="AZ8" s="512"/>
      <c r="BA8" s="512"/>
      <c r="BB8" s="512"/>
      <c r="BC8" s="512"/>
      <c r="BD8" s="512"/>
      <c r="BE8" s="512"/>
      <c r="BF8" s="512"/>
      <c r="BG8" s="512"/>
      <c r="BH8" s="512"/>
      <c r="BI8" s="512"/>
      <c r="BJ8" s="512"/>
      <c r="BK8" s="512"/>
      <c r="BL8" s="512"/>
      <c r="BM8" s="512"/>
      <c r="BN8" s="1457"/>
      <c r="BO8" s="1359"/>
      <c r="BP8" s="1359"/>
      <c r="BQ8" s="1359"/>
      <c r="BR8" s="1359"/>
      <c r="BS8" s="1359"/>
      <c r="BT8" s="1359"/>
      <c r="BU8" s="1359"/>
      <c r="BV8" s="1359"/>
      <c r="BW8" s="1359"/>
      <c r="BX8" s="1359"/>
      <c r="BY8" s="1359"/>
      <c r="BZ8" s="1359"/>
      <c r="CA8" s="1359"/>
      <c r="CB8" s="1420"/>
    </row>
    <row r="9" spans="1:80" ht="3.95" customHeight="1" x14ac:dyDescent="0.25">
      <c r="A9" s="231"/>
      <c r="B9" s="1506"/>
      <c r="C9" s="1489"/>
      <c r="D9" s="1489"/>
      <c r="E9" s="1489"/>
      <c r="F9" s="1489"/>
      <c r="G9" s="1489"/>
      <c r="H9" s="1489"/>
      <c r="I9" s="1489"/>
      <c r="J9" s="1489"/>
      <c r="K9" s="1489"/>
      <c r="L9" s="1489"/>
      <c r="M9" s="1489"/>
      <c r="N9" s="1489"/>
      <c r="O9" s="1489"/>
      <c r="P9" s="1489"/>
      <c r="Q9" s="1489"/>
      <c r="R9" s="1489"/>
      <c r="S9" s="1489"/>
      <c r="T9" s="1489"/>
      <c r="U9" s="1489"/>
      <c r="V9" s="1489"/>
      <c r="W9" s="1489"/>
      <c r="X9" s="1489"/>
      <c r="Y9" s="1489"/>
      <c r="Z9" s="1489"/>
      <c r="AA9" s="1489"/>
      <c r="AB9" s="1489"/>
      <c r="AC9" s="1489"/>
      <c r="AD9" s="1489"/>
      <c r="AE9" s="1489"/>
      <c r="AF9" s="1489"/>
      <c r="AG9" s="1489"/>
      <c r="AH9" s="1489"/>
      <c r="AI9" s="1489"/>
      <c r="AJ9" s="1489"/>
      <c r="AK9" s="1489"/>
      <c r="AL9" s="1489"/>
      <c r="AM9" s="1489"/>
      <c r="AN9" s="1489"/>
      <c r="AO9" s="1489"/>
      <c r="AP9" s="1489"/>
      <c r="AQ9" s="1490"/>
      <c r="AR9" s="231"/>
      <c r="AT9" s="1458"/>
      <c r="AU9" s="1438"/>
      <c r="AV9" s="1438"/>
      <c r="AW9" s="1438"/>
      <c r="AX9" s="1438"/>
      <c r="AY9" s="1438"/>
      <c r="AZ9" s="1438"/>
      <c r="BA9" s="1438"/>
      <c r="BB9" s="1438"/>
      <c r="BC9" s="1438"/>
      <c r="BD9" s="1438"/>
      <c r="BE9" s="1438"/>
      <c r="BF9" s="1438"/>
      <c r="BG9" s="1438"/>
      <c r="BH9" s="1438"/>
      <c r="BI9" s="1438"/>
      <c r="BJ9" s="1438"/>
      <c r="BK9" s="1438"/>
      <c r="BL9" s="1438"/>
      <c r="BM9" s="1438"/>
      <c r="BN9" s="1459"/>
      <c r="BO9" s="1359"/>
      <c r="BP9" s="1359"/>
      <c r="BQ9" s="1359"/>
      <c r="BR9" s="1359"/>
      <c r="BS9" s="1359"/>
      <c r="BT9" s="1359"/>
      <c r="BU9" s="1359"/>
      <c r="BV9" s="1359"/>
      <c r="BW9" s="1359"/>
      <c r="BX9" s="1359"/>
      <c r="BY9" s="1359"/>
      <c r="BZ9" s="1359"/>
      <c r="CA9" s="1359"/>
      <c r="CB9" s="1420"/>
    </row>
    <row r="10" spans="1:80" ht="3.75" customHeight="1" x14ac:dyDescent="0.2">
      <c r="A10" s="231"/>
      <c r="B10" s="231"/>
      <c r="C10" s="1518" t="s">
        <v>95</v>
      </c>
      <c r="D10" s="1518"/>
      <c r="E10" s="1518"/>
      <c r="F10" s="1518"/>
      <c r="G10" s="1518"/>
      <c r="H10" s="1518"/>
      <c r="I10" s="247"/>
      <c r="J10" s="247"/>
      <c r="K10" s="247"/>
      <c r="L10" s="809" t="s">
        <v>22</v>
      </c>
      <c r="M10" s="809"/>
      <c r="N10" s="809" t="s">
        <v>63</v>
      </c>
      <c r="O10" s="809"/>
      <c r="P10" s="809"/>
      <c r="Q10" s="809"/>
      <c r="R10" s="231"/>
      <c r="S10" s="231"/>
      <c r="T10" s="231"/>
      <c r="U10" s="231"/>
      <c r="V10" s="231"/>
      <c r="W10" s="1518" t="s">
        <v>38</v>
      </c>
      <c r="X10" s="1518"/>
      <c r="Y10" s="1518"/>
      <c r="Z10" s="1518"/>
      <c r="AA10" s="1094" t="s">
        <v>557</v>
      </c>
      <c r="AB10" s="1094"/>
      <c r="AC10" s="1094"/>
      <c r="AD10" s="1094"/>
      <c r="AE10" s="809" t="s">
        <v>22</v>
      </c>
      <c r="AF10" s="809"/>
      <c r="AG10" s="809" t="s">
        <v>63</v>
      </c>
      <c r="AH10" s="809"/>
      <c r="AI10" s="809"/>
      <c r="AJ10" s="809"/>
      <c r="AK10" s="1555" t="s">
        <v>558</v>
      </c>
      <c r="AL10" s="1555"/>
      <c r="AM10" s="1555"/>
      <c r="AN10" s="1555"/>
      <c r="AO10" s="1555"/>
      <c r="AP10" s="1555"/>
      <c r="AQ10" s="231"/>
      <c r="AR10" s="231"/>
      <c r="AT10" s="1422"/>
      <c r="AU10" s="1418"/>
      <c r="AV10" s="1418"/>
      <c r="AW10" s="1418"/>
      <c r="AX10" s="1423"/>
      <c r="AY10" s="1424"/>
      <c r="AZ10" s="1424"/>
      <c r="BA10" s="1424"/>
      <c r="BB10" s="1424"/>
      <c r="BC10" s="1424"/>
      <c r="BD10" s="1424"/>
      <c r="BE10" s="1424"/>
      <c r="BF10" s="1424"/>
      <c r="BG10" s="1424"/>
      <c r="BH10" s="1424"/>
      <c r="BI10" s="1424"/>
      <c r="BJ10" s="1424"/>
      <c r="BK10" s="1424"/>
      <c r="BL10" s="1424"/>
      <c r="BM10" s="1424"/>
      <c r="BN10" s="1424"/>
      <c r="BO10" s="1424"/>
      <c r="BP10" s="1424"/>
      <c r="BQ10" s="1424"/>
      <c r="BR10" s="1424"/>
      <c r="BS10" s="1424"/>
      <c r="BT10" s="1424"/>
      <c r="BU10" s="1424"/>
      <c r="BV10" s="1424"/>
      <c r="BW10" s="1424"/>
      <c r="BX10" s="1424"/>
      <c r="BY10" s="1424"/>
      <c r="BZ10" s="1424"/>
      <c r="CA10" s="1424"/>
      <c r="CB10" s="1425"/>
    </row>
    <row r="11" spans="1:80" ht="3.95" customHeight="1" x14ac:dyDescent="0.2">
      <c r="A11" s="231"/>
      <c r="B11" s="231"/>
      <c r="C11" s="1518"/>
      <c r="D11" s="1518"/>
      <c r="E11" s="1518"/>
      <c r="F11" s="1518"/>
      <c r="G11" s="1518"/>
      <c r="H11" s="1518"/>
      <c r="I11" s="247"/>
      <c r="J11" s="247"/>
      <c r="K11" s="247"/>
      <c r="L11" s="809"/>
      <c r="M11" s="809"/>
      <c r="N11" s="809"/>
      <c r="O11" s="809"/>
      <c r="P11" s="809"/>
      <c r="Q11" s="809"/>
      <c r="R11" s="231"/>
      <c r="S11" s="231"/>
      <c r="T11" s="231"/>
      <c r="U11" s="231"/>
      <c r="V11" s="231"/>
      <c r="W11" s="1518"/>
      <c r="X11" s="1518"/>
      <c r="Y11" s="1518"/>
      <c r="Z11" s="1518"/>
      <c r="AA11" s="809"/>
      <c r="AB11" s="809"/>
      <c r="AC11" s="809"/>
      <c r="AD11" s="809"/>
      <c r="AE11" s="809"/>
      <c r="AF11" s="809"/>
      <c r="AG11" s="809"/>
      <c r="AH11" s="809"/>
      <c r="AI11" s="809"/>
      <c r="AJ11" s="809"/>
      <c r="AK11" s="1555"/>
      <c r="AL11" s="1555"/>
      <c r="AM11" s="1555"/>
      <c r="AN11" s="1555"/>
      <c r="AO11" s="1555"/>
      <c r="AP11" s="1555"/>
      <c r="AQ11" s="231"/>
      <c r="AR11" s="231"/>
      <c r="AT11" s="1422"/>
      <c r="AU11" s="1418"/>
      <c r="AV11" s="1418"/>
      <c r="AW11" s="1418"/>
      <c r="AX11" s="1426"/>
      <c r="AY11" s="1427"/>
      <c r="AZ11" s="1427"/>
      <c r="BA11" s="1427"/>
      <c r="BB11" s="1427"/>
      <c r="BC11" s="1427"/>
      <c r="BD11" s="1427"/>
      <c r="BE11" s="1427"/>
      <c r="BF11" s="1427"/>
      <c r="BG11" s="1427"/>
      <c r="BH11" s="1427"/>
      <c r="BI11" s="1427"/>
      <c r="BJ11" s="1427"/>
      <c r="BK11" s="1427"/>
      <c r="BL11" s="1427"/>
      <c r="BM11" s="1427"/>
      <c r="BN11" s="1427"/>
      <c r="BO11" s="1427"/>
      <c r="BP11" s="1427"/>
      <c r="BQ11" s="1427"/>
      <c r="BR11" s="1427"/>
      <c r="BS11" s="1427"/>
      <c r="BT11" s="1427"/>
      <c r="BU11" s="1427"/>
      <c r="BV11" s="1427"/>
      <c r="BW11" s="1427"/>
      <c r="BX11" s="1427"/>
      <c r="BY11" s="1427"/>
      <c r="BZ11" s="1427"/>
      <c r="CA11" s="1427"/>
      <c r="CB11" s="1428"/>
    </row>
    <row r="12" spans="1:80" ht="3.95" customHeight="1" x14ac:dyDescent="0.2">
      <c r="A12" s="231"/>
      <c r="B12" s="231"/>
      <c r="C12" s="1518"/>
      <c r="D12" s="1518"/>
      <c r="E12" s="1518"/>
      <c r="F12" s="1518"/>
      <c r="G12" s="1518"/>
      <c r="H12" s="1518"/>
      <c r="I12" s="247"/>
      <c r="J12" s="247"/>
      <c r="K12" s="247"/>
      <c r="L12" s="809"/>
      <c r="M12" s="809"/>
      <c r="N12" s="809"/>
      <c r="O12" s="809"/>
      <c r="P12" s="809"/>
      <c r="Q12" s="809"/>
      <c r="R12" s="231"/>
      <c r="S12" s="231"/>
      <c r="T12" s="231"/>
      <c r="U12" s="231"/>
      <c r="V12" s="231"/>
      <c r="W12" s="1518"/>
      <c r="X12" s="1518"/>
      <c r="Y12" s="1518"/>
      <c r="Z12" s="1518"/>
      <c r="AA12" s="809"/>
      <c r="AB12" s="809"/>
      <c r="AC12" s="809"/>
      <c r="AD12" s="809"/>
      <c r="AE12" s="809"/>
      <c r="AF12" s="809"/>
      <c r="AG12" s="809"/>
      <c r="AH12" s="809"/>
      <c r="AI12" s="809"/>
      <c r="AJ12" s="809"/>
      <c r="AK12" s="1555"/>
      <c r="AL12" s="1555"/>
      <c r="AM12" s="1555"/>
      <c r="AN12" s="1555"/>
      <c r="AO12" s="1555"/>
      <c r="AP12" s="1555"/>
      <c r="AQ12" s="248"/>
      <c r="AR12" s="231"/>
      <c r="AT12" s="1422"/>
      <c r="AU12" s="1418"/>
      <c r="AV12" s="1418"/>
      <c r="AW12" s="1418"/>
      <c r="AX12" s="1426"/>
      <c r="AY12" s="1427"/>
      <c r="AZ12" s="1427"/>
      <c r="BA12" s="1427"/>
      <c r="BB12" s="1427"/>
      <c r="BC12" s="1427"/>
      <c r="BD12" s="1427"/>
      <c r="BE12" s="1427"/>
      <c r="BF12" s="1427"/>
      <c r="BG12" s="1427"/>
      <c r="BH12" s="1427"/>
      <c r="BI12" s="1427"/>
      <c r="BJ12" s="1427"/>
      <c r="BK12" s="1427"/>
      <c r="BL12" s="1427"/>
      <c r="BM12" s="1427"/>
      <c r="BN12" s="1427"/>
      <c r="BO12" s="1427"/>
      <c r="BP12" s="1427"/>
      <c r="BQ12" s="1427"/>
      <c r="BR12" s="1427"/>
      <c r="BS12" s="1427"/>
      <c r="BT12" s="1427"/>
      <c r="BU12" s="1427"/>
      <c r="BV12" s="1427"/>
      <c r="BW12" s="1427"/>
      <c r="BX12" s="1427"/>
      <c r="BY12" s="1427"/>
      <c r="BZ12" s="1427"/>
      <c r="CA12" s="1427"/>
      <c r="CB12" s="1428"/>
    </row>
    <row r="13" spans="1:80" ht="3.95" customHeight="1" thickBot="1" x14ac:dyDescent="0.25">
      <c r="A13" s="231"/>
      <c r="B13" s="231"/>
      <c r="C13" s="1518"/>
      <c r="D13" s="1518"/>
      <c r="E13" s="1518"/>
      <c r="F13" s="1518"/>
      <c r="G13" s="1518"/>
      <c r="H13" s="1518"/>
      <c r="I13" s="247"/>
      <c r="J13" s="247"/>
      <c r="K13" s="247"/>
      <c r="L13" s="809"/>
      <c r="M13" s="809"/>
      <c r="N13" s="809"/>
      <c r="O13" s="809"/>
      <c r="P13" s="809"/>
      <c r="Q13" s="809"/>
      <c r="R13" s="231"/>
      <c r="S13" s="231"/>
      <c r="T13" s="231"/>
      <c r="U13" s="231"/>
      <c r="V13" s="231"/>
      <c r="W13" s="1518"/>
      <c r="X13" s="1518"/>
      <c r="Y13" s="1518"/>
      <c r="Z13" s="1518"/>
      <c r="AA13" s="809"/>
      <c r="AB13" s="809"/>
      <c r="AC13" s="809"/>
      <c r="AD13" s="809"/>
      <c r="AE13" s="809"/>
      <c r="AF13" s="809"/>
      <c r="AG13" s="809"/>
      <c r="AH13" s="809"/>
      <c r="AI13" s="809"/>
      <c r="AJ13" s="809"/>
      <c r="AK13" s="1555"/>
      <c r="AL13" s="1555"/>
      <c r="AM13" s="1555"/>
      <c r="AN13" s="1555"/>
      <c r="AO13" s="1555"/>
      <c r="AP13" s="1555"/>
      <c r="AQ13" s="231"/>
      <c r="AR13" s="231"/>
      <c r="AT13" s="1422"/>
      <c r="AU13" s="1418"/>
      <c r="AV13" s="1418"/>
      <c r="AW13" s="1418"/>
      <c r="AX13" s="1429"/>
      <c r="AY13" s="1430"/>
      <c r="AZ13" s="1430"/>
      <c r="BA13" s="1430"/>
      <c r="BB13" s="1430"/>
      <c r="BC13" s="1430"/>
      <c r="BD13" s="1430"/>
      <c r="BE13" s="1430"/>
      <c r="BF13" s="1430"/>
      <c r="BG13" s="1430"/>
      <c r="BH13" s="1430"/>
      <c r="BI13" s="1430"/>
      <c r="BJ13" s="1430"/>
      <c r="BK13" s="1430"/>
      <c r="BL13" s="1430"/>
      <c r="BM13" s="1430"/>
      <c r="BN13" s="1430"/>
      <c r="BO13" s="1430"/>
      <c r="BP13" s="1430"/>
      <c r="BQ13" s="1430"/>
      <c r="BR13" s="1430"/>
      <c r="BS13" s="1430"/>
      <c r="BT13" s="1430"/>
      <c r="BU13" s="1430"/>
      <c r="BV13" s="1430"/>
      <c r="BW13" s="1430"/>
      <c r="BX13" s="1430"/>
      <c r="BY13" s="1430"/>
      <c r="BZ13" s="1430"/>
      <c r="CA13" s="1430"/>
      <c r="CB13" s="1431"/>
    </row>
    <row r="14" spans="1:80" ht="3.95" customHeight="1" x14ac:dyDescent="0.25">
      <c r="A14" s="231"/>
      <c r="B14" s="231"/>
      <c r="C14" s="995" t="s">
        <v>102</v>
      </c>
      <c r="D14" s="996"/>
      <c r="E14" s="997"/>
      <c r="F14" s="1522">
        <f>10+L14+O14</f>
        <v>10</v>
      </c>
      <c r="G14" s="1522"/>
      <c r="H14" s="1523"/>
      <c r="I14" s="893" t="s">
        <v>493</v>
      </c>
      <c r="J14" s="893"/>
      <c r="K14" s="893"/>
      <c r="L14" s="1528">
        <f>VLOOKUP(V5,TABELA.hab.magia,2,FALSE)</f>
        <v>0</v>
      </c>
      <c r="M14" s="1529"/>
      <c r="N14" s="1540" t="s">
        <v>21</v>
      </c>
      <c r="O14" s="1534"/>
      <c r="P14" s="1535"/>
      <c r="Q14" s="231"/>
      <c r="R14" s="231"/>
      <c r="S14" s="231"/>
      <c r="T14" s="1559" t="s">
        <v>233</v>
      </c>
      <c r="U14" s="1560"/>
      <c r="V14" s="1561"/>
      <c r="W14" s="1522">
        <f>AB14+AE14+AH14</f>
        <v>0</v>
      </c>
      <c r="X14" s="1522"/>
      <c r="Y14" s="1522"/>
      <c r="Z14" s="1523"/>
      <c r="AA14" s="1556" t="s">
        <v>20</v>
      </c>
      <c r="AB14" s="887">
        <f>IF(NÍVEL.conjurador&gt;=(VLOOKUP(CONJURADOR,TABELA.classes,39,FALSE)),(VLOOKUP(CONJURADOR,TABELA.classes,33,FALSE))+((NÍVEL.conjurador-1-(VLOOKUP(CONJURADOR,TABELA.classes,39,FALSE)-1))*(VLOOKUP(CONJURADOR,TABELA.classes,34,FALSE))),)</f>
        <v>0</v>
      </c>
      <c r="AC14" s="888"/>
      <c r="AD14" s="1540" t="s">
        <v>21</v>
      </c>
      <c r="AE14" s="887">
        <f>IF(NÍVEL.conjurador&gt;=(VLOOKUP(CONJURADOR,TABELA.classes,39,FALSE)),VLOOKUP(V5,TABELA.hab.magia,2,FALSE),)</f>
        <v>0</v>
      </c>
      <c r="AF14" s="888"/>
      <c r="AG14" s="1540" t="s">
        <v>21</v>
      </c>
      <c r="AH14" s="1534"/>
      <c r="AI14" s="1535"/>
      <c r="AJ14" s="231"/>
      <c r="AK14" s="1466">
        <f>PM.total-(PMs.soma+PM.soma.metamagico)</f>
        <v>0</v>
      </c>
      <c r="AL14" s="1467"/>
      <c r="AM14" s="1467"/>
      <c r="AN14" s="1467"/>
      <c r="AO14" s="1467"/>
      <c r="AP14" s="1468"/>
      <c r="AQ14" s="231"/>
      <c r="AR14" s="231"/>
      <c r="AT14" s="1358" t="s">
        <v>1</v>
      </c>
      <c r="AU14" s="1359"/>
      <c r="AV14" s="1359"/>
      <c r="AW14" s="1359"/>
      <c r="AX14" s="1432" t="s">
        <v>589</v>
      </c>
      <c r="AY14" s="1433"/>
      <c r="AZ14" s="1433"/>
      <c r="BA14" s="1433"/>
      <c r="BB14" s="1433"/>
      <c r="BC14" s="1433"/>
      <c r="BD14" s="1433"/>
      <c r="BE14" s="1433"/>
      <c r="BF14" s="1433"/>
      <c r="BG14" s="1433"/>
      <c r="BH14" s="1433"/>
      <c r="BI14" s="1433"/>
      <c r="BJ14" s="1433"/>
      <c r="BK14" s="1433"/>
      <c r="BL14" s="1433"/>
      <c r="BM14" s="1433"/>
      <c r="BN14" s="1433"/>
      <c r="BO14" s="1433"/>
      <c r="BP14" s="1433"/>
      <c r="BQ14" s="1433"/>
      <c r="BR14" s="1433"/>
      <c r="BS14" s="1433"/>
      <c r="BT14" s="1433"/>
      <c r="BU14" s="1433"/>
      <c r="BV14" s="1433"/>
      <c r="BW14" s="1433"/>
      <c r="BX14" s="1433"/>
      <c r="BY14" s="1433"/>
      <c r="BZ14" s="1433"/>
      <c r="CA14" s="1433"/>
      <c r="CB14" s="1434"/>
    </row>
    <row r="15" spans="1:80" ht="3.95" customHeight="1" x14ac:dyDescent="0.25">
      <c r="A15" s="231"/>
      <c r="B15" s="231"/>
      <c r="C15" s="1519"/>
      <c r="D15" s="1520"/>
      <c r="E15" s="1521"/>
      <c r="F15" s="1524"/>
      <c r="G15" s="1524"/>
      <c r="H15" s="1525"/>
      <c r="I15" s="893"/>
      <c r="J15" s="893"/>
      <c r="K15" s="893"/>
      <c r="L15" s="1530"/>
      <c r="M15" s="1531"/>
      <c r="N15" s="1540"/>
      <c r="O15" s="1536"/>
      <c r="P15" s="1537"/>
      <c r="Q15" s="231"/>
      <c r="R15" s="231"/>
      <c r="S15" s="231"/>
      <c r="T15" s="1562"/>
      <c r="U15" s="1563"/>
      <c r="V15" s="1564"/>
      <c r="W15" s="1524"/>
      <c r="X15" s="1524"/>
      <c r="Y15" s="1524"/>
      <c r="Z15" s="1525"/>
      <c r="AA15" s="1556"/>
      <c r="AB15" s="1557"/>
      <c r="AC15" s="1558"/>
      <c r="AD15" s="1540"/>
      <c r="AE15" s="1557"/>
      <c r="AF15" s="1558"/>
      <c r="AG15" s="1540"/>
      <c r="AH15" s="1536"/>
      <c r="AI15" s="1537"/>
      <c r="AJ15" s="231"/>
      <c r="AK15" s="1469"/>
      <c r="AL15" s="1470"/>
      <c r="AM15" s="1470"/>
      <c r="AN15" s="1470"/>
      <c r="AO15" s="1470"/>
      <c r="AP15" s="1471"/>
      <c r="AQ15" s="231"/>
      <c r="AR15" s="231"/>
      <c r="AT15" s="1358"/>
      <c r="AU15" s="1359"/>
      <c r="AV15" s="1359"/>
      <c r="AW15" s="1359"/>
      <c r="AX15" s="1435"/>
      <c r="AY15" s="512"/>
      <c r="AZ15" s="512"/>
      <c r="BA15" s="512"/>
      <c r="BB15" s="512"/>
      <c r="BC15" s="512"/>
      <c r="BD15" s="512"/>
      <c r="BE15" s="512"/>
      <c r="BF15" s="512"/>
      <c r="BG15" s="512"/>
      <c r="BH15" s="512"/>
      <c r="BI15" s="512"/>
      <c r="BJ15" s="512"/>
      <c r="BK15" s="512"/>
      <c r="BL15" s="512"/>
      <c r="BM15" s="512"/>
      <c r="BN15" s="512"/>
      <c r="BO15" s="512"/>
      <c r="BP15" s="512"/>
      <c r="BQ15" s="512"/>
      <c r="BR15" s="512"/>
      <c r="BS15" s="512"/>
      <c r="BT15" s="512"/>
      <c r="BU15" s="512"/>
      <c r="BV15" s="512"/>
      <c r="BW15" s="512"/>
      <c r="BX15" s="512"/>
      <c r="BY15" s="512"/>
      <c r="BZ15" s="512"/>
      <c r="CA15" s="512"/>
      <c r="CB15" s="1436"/>
    </row>
    <row r="16" spans="1:80" ht="3.95" customHeight="1" x14ac:dyDescent="0.25">
      <c r="A16" s="231"/>
      <c r="B16" s="231"/>
      <c r="C16" s="1519"/>
      <c r="D16" s="1520"/>
      <c r="E16" s="1521"/>
      <c r="F16" s="1524"/>
      <c r="G16" s="1524"/>
      <c r="H16" s="1525"/>
      <c r="I16" s="893"/>
      <c r="J16" s="893"/>
      <c r="K16" s="893"/>
      <c r="L16" s="1530"/>
      <c r="M16" s="1531"/>
      <c r="N16" s="1540"/>
      <c r="O16" s="1536"/>
      <c r="P16" s="1537"/>
      <c r="Q16" s="231"/>
      <c r="R16" s="231"/>
      <c r="S16" s="231"/>
      <c r="T16" s="1562"/>
      <c r="U16" s="1563"/>
      <c r="V16" s="1564"/>
      <c r="W16" s="1524"/>
      <c r="X16" s="1524"/>
      <c r="Y16" s="1524"/>
      <c r="Z16" s="1525"/>
      <c r="AA16" s="1556"/>
      <c r="AB16" s="1557"/>
      <c r="AC16" s="1558"/>
      <c r="AD16" s="1540"/>
      <c r="AE16" s="1557"/>
      <c r="AF16" s="1558"/>
      <c r="AG16" s="1540"/>
      <c r="AH16" s="1536"/>
      <c r="AI16" s="1537"/>
      <c r="AJ16" s="231"/>
      <c r="AK16" s="1469"/>
      <c r="AL16" s="1470"/>
      <c r="AM16" s="1470"/>
      <c r="AN16" s="1470"/>
      <c r="AO16" s="1470"/>
      <c r="AP16" s="1471"/>
      <c r="AQ16" s="231"/>
      <c r="AR16" s="1250">
        <f>SUM(N53:O94)+((SUM(N98:O118,AB23))*2)+((SUM(AB29:AC52))*3)+((SUM(AB56:AC79))*4)+((SUM(AB83:AC106))*5)+((SUM(AB110:AC118,AP23:AQ37))*6)+((SUM(AP41:AQ64))*7)+((SUM(AP68:AQ91))*8)+((SUM(AP95:AQ118))*9)</f>
        <v>0</v>
      </c>
      <c r="AT16" s="1358"/>
      <c r="AU16" s="1359"/>
      <c r="AV16" s="1359"/>
      <c r="AW16" s="1359"/>
      <c r="AX16" s="1437"/>
      <c r="AY16" s="1438"/>
      <c r="AZ16" s="1438"/>
      <c r="BA16" s="1438"/>
      <c r="BB16" s="1438"/>
      <c r="BC16" s="1438"/>
      <c r="BD16" s="1438"/>
      <c r="BE16" s="1438"/>
      <c r="BF16" s="1438"/>
      <c r="BG16" s="1438"/>
      <c r="BH16" s="1438"/>
      <c r="BI16" s="1438"/>
      <c r="BJ16" s="1438"/>
      <c r="BK16" s="1438"/>
      <c r="BL16" s="1438"/>
      <c r="BM16" s="1438"/>
      <c r="BN16" s="1438"/>
      <c r="BO16" s="1438"/>
      <c r="BP16" s="1438"/>
      <c r="BQ16" s="1438"/>
      <c r="BR16" s="1438"/>
      <c r="BS16" s="1438"/>
      <c r="BT16" s="1438"/>
      <c r="BU16" s="1438"/>
      <c r="BV16" s="1438"/>
      <c r="BW16" s="1438"/>
      <c r="BX16" s="1438"/>
      <c r="BY16" s="1438"/>
      <c r="BZ16" s="1438"/>
      <c r="CA16" s="1438"/>
      <c r="CB16" s="1439"/>
    </row>
    <row r="17" spans="1:80" ht="3.95" customHeight="1" thickBot="1" x14ac:dyDescent="0.3">
      <c r="A17" s="231"/>
      <c r="B17" s="231"/>
      <c r="C17" s="998"/>
      <c r="D17" s="999"/>
      <c r="E17" s="1000"/>
      <c r="F17" s="1526"/>
      <c r="G17" s="1526"/>
      <c r="H17" s="1527"/>
      <c r="I17" s="893"/>
      <c r="J17" s="893"/>
      <c r="K17" s="893"/>
      <c r="L17" s="1532"/>
      <c r="M17" s="1533"/>
      <c r="N17" s="1540"/>
      <c r="O17" s="1538"/>
      <c r="P17" s="1539"/>
      <c r="Q17" s="231"/>
      <c r="R17" s="231"/>
      <c r="S17" s="231"/>
      <c r="T17" s="1565"/>
      <c r="U17" s="1566"/>
      <c r="V17" s="1567"/>
      <c r="W17" s="1526"/>
      <c r="X17" s="1526"/>
      <c r="Y17" s="1526"/>
      <c r="Z17" s="1527"/>
      <c r="AA17" s="1556"/>
      <c r="AB17" s="821"/>
      <c r="AC17" s="822"/>
      <c r="AD17" s="1540"/>
      <c r="AE17" s="821"/>
      <c r="AF17" s="822"/>
      <c r="AG17" s="1540"/>
      <c r="AH17" s="1538"/>
      <c r="AI17" s="1539"/>
      <c r="AJ17" s="231"/>
      <c r="AK17" s="1472"/>
      <c r="AL17" s="1473"/>
      <c r="AM17" s="1473"/>
      <c r="AN17" s="1473"/>
      <c r="AO17" s="1473"/>
      <c r="AP17" s="1474"/>
      <c r="AQ17" s="231"/>
      <c r="AR17" s="1250"/>
      <c r="AT17" s="1422"/>
      <c r="AU17" s="1418"/>
      <c r="AV17" s="1418"/>
      <c r="AW17" s="1418"/>
      <c r="AX17" s="1418"/>
      <c r="AY17" s="1418"/>
      <c r="AZ17" s="1418"/>
      <c r="BA17" s="1418"/>
      <c r="BB17" s="1418"/>
      <c r="BC17" s="1418"/>
      <c r="BD17" s="1418"/>
      <c r="BE17" s="1418"/>
      <c r="BF17" s="1418"/>
      <c r="BG17" s="1418"/>
      <c r="BH17" s="1418"/>
      <c r="BI17" s="1418"/>
      <c r="BJ17" s="1418"/>
      <c r="BK17" s="1418"/>
      <c r="BL17" s="1418"/>
      <c r="BM17" s="1418"/>
      <c r="BN17" s="1418"/>
      <c r="BO17" s="1418"/>
      <c r="BP17" s="1418"/>
      <c r="BQ17" s="1418"/>
      <c r="BR17" s="1418"/>
      <c r="BS17" s="1418"/>
      <c r="BT17" s="1418"/>
      <c r="BU17" s="1418"/>
      <c r="BV17" s="1418"/>
      <c r="BW17" s="1418"/>
      <c r="BX17" s="1418"/>
      <c r="BY17" s="1418"/>
      <c r="BZ17" s="1418"/>
      <c r="CA17" s="1418"/>
      <c r="CB17" s="1419"/>
    </row>
    <row r="18" spans="1:80" ht="3.95" customHeight="1" x14ac:dyDescent="0.25">
      <c r="A18" s="231"/>
      <c r="B18" s="231"/>
      <c r="C18" s="231"/>
      <c r="D18" s="231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231"/>
      <c r="AQ18" s="231"/>
      <c r="AR18" s="231"/>
      <c r="AT18" s="1422"/>
      <c r="AU18" s="1418"/>
      <c r="AV18" s="1418"/>
      <c r="AW18" s="1418"/>
      <c r="AX18" s="1418"/>
      <c r="AY18" s="1418"/>
      <c r="AZ18" s="1418"/>
      <c r="BA18" s="1418"/>
      <c r="BB18" s="1418"/>
      <c r="BC18" s="1418"/>
      <c r="BD18" s="1418"/>
      <c r="BE18" s="1418"/>
      <c r="BF18" s="1418"/>
      <c r="BG18" s="1418"/>
      <c r="BH18" s="1418"/>
      <c r="BI18" s="1418"/>
      <c r="BJ18" s="1418"/>
      <c r="BK18" s="1418"/>
      <c r="BL18" s="1418"/>
      <c r="BM18" s="1418"/>
      <c r="BN18" s="1418"/>
      <c r="BO18" s="1418"/>
      <c r="BP18" s="1418"/>
      <c r="BQ18" s="1418"/>
      <c r="BR18" s="1418"/>
      <c r="BS18" s="1418"/>
      <c r="BT18" s="1418"/>
      <c r="BU18" s="1418"/>
      <c r="BV18" s="1418"/>
      <c r="BW18" s="1418"/>
      <c r="BX18" s="1418"/>
      <c r="BY18" s="1418"/>
      <c r="BZ18" s="1418"/>
      <c r="CA18" s="1418"/>
      <c r="CB18" s="1419"/>
    </row>
    <row r="19" spans="1:80" ht="3.95" customHeight="1" x14ac:dyDescent="0.25">
      <c r="A19" s="231"/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231"/>
      <c r="AQ19" s="231"/>
      <c r="AR19" s="231"/>
      <c r="AT19" s="1422"/>
      <c r="AU19" s="1418"/>
      <c r="AV19" s="1418"/>
      <c r="AW19" s="1418"/>
      <c r="AX19" s="1418"/>
      <c r="AY19" s="1418"/>
      <c r="AZ19" s="1418"/>
      <c r="BA19" s="1418"/>
      <c r="BB19" s="1418"/>
      <c r="BC19" s="1418"/>
      <c r="BD19" s="1418"/>
      <c r="BE19" s="1418"/>
      <c r="BF19" s="1418"/>
      <c r="BG19" s="1418"/>
      <c r="BH19" s="1418"/>
      <c r="BI19" s="1418"/>
      <c r="BJ19" s="1418"/>
      <c r="BK19" s="1418"/>
      <c r="BL19" s="1418"/>
      <c r="BM19" s="1418"/>
      <c r="BN19" s="1418"/>
      <c r="BO19" s="1418"/>
      <c r="BP19" s="1418"/>
      <c r="BQ19" s="1418"/>
      <c r="BR19" s="1418"/>
      <c r="BS19" s="1418"/>
      <c r="BT19" s="1418"/>
      <c r="BU19" s="1418"/>
      <c r="BV19" s="1418"/>
      <c r="BW19" s="1418"/>
      <c r="BX19" s="1418"/>
      <c r="BY19" s="1418"/>
      <c r="BZ19" s="1418"/>
      <c r="CA19" s="1418"/>
      <c r="CB19" s="1419"/>
    </row>
    <row r="20" spans="1:80" ht="3.95" customHeight="1" x14ac:dyDescent="0.25">
      <c r="A20" s="231"/>
      <c r="B20" s="1485" t="s">
        <v>568</v>
      </c>
      <c r="C20" s="1485"/>
      <c r="D20" s="1485"/>
      <c r="E20" s="1485"/>
      <c r="F20" s="1485"/>
      <c r="G20" s="1485"/>
      <c r="H20" s="1485"/>
      <c r="I20" s="1485"/>
      <c r="J20" s="1485"/>
      <c r="K20" s="1485"/>
      <c r="L20" s="1485"/>
      <c r="M20" s="1485"/>
      <c r="N20" s="1486" t="str">
        <f>IF(OR(AD5="arcana e divina espontânea",AD5="arcana espontânea",AD5="divina espontânea"),"usos","prep.")</f>
        <v>prep.</v>
      </c>
      <c r="O20" s="1486"/>
      <c r="P20" s="1485" t="s">
        <v>568</v>
      </c>
      <c r="Q20" s="1485"/>
      <c r="R20" s="1485"/>
      <c r="S20" s="1485"/>
      <c r="T20" s="1485"/>
      <c r="U20" s="1485"/>
      <c r="V20" s="1485"/>
      <c r="W20" s="1485"/>
      <c r="X20" s="1485"/>
      <c r="Y20" s="1485"/>
      <c r="Z20" s="1485"/>
      <c r="AA20" s="1485"/>
      <c r="AB20" s="1486" t="str">
        <f>IF(OR(AD5="arcana e divina espontânea",AD5="arcana espontânea",AD5="divina espontânea"),"usos","prep.")</f>
        <v>prep.</v>
      </c>
      <c r="AC20" s="1486"/>
      <c r="AD20" s="1485" t="s">
        <v>568</v>
      </c>
      <c r="AE20" s="1485"/>
      <c r="AF20" s="1485"/>
      <c r="AG20" s="1485"/>
      <c r="AH20" s="1485"/>
      <c r="AI20" s="1485"/>
      <c r="AJ20" s="1485"/>
      <c r="AK20" s="1485"/>
      <c r="AL20" s="1485"/>
      <c r="AM20" s="1485"/>
      <c r="AN20" s="1485"/>
      <c r="AO20" s="1485"/>
      <c r="AP20" s="1486" t="str">
        <f>IF(OR(AD5="arcana e divina espontânea",AD5="arcana espontânea",AD5="divina espontânea"),"usos","prep.")</f>
        <v>prep.</v>
      </c>
      <c r="AQ20" s="1486"/>
      <c r="AR20" s="231"/>
      <c r="AT20" s="1422"/>
      <c r="AU20" s="1418"/>
      <c r="AV20" s="1418"/>
      <c r="AW20" s="1418"/>
      <c r="AX20" s="1418"/>
      <c r="AY20" s="1418"/>
      <c r="AZ20" s="1418"/>
      <c r="BA20" s="1418"/>
      <c r="BB20" s="1418"/>
      <c r="BC20" s="1418"/>
      <c r="BD20" s="1418"/>
      <c r="BE20" s="1418"/>
      <c r="BF20" s="1418"/>
      <c r="BG20" s="1418"/>
      <c r="BH20" s="1418"/>
      <c r="BI20" s="1418"/>
      <c r="BJ20" s="1418"/>
      <c r="BK20" s="1418"/>
      <c r="BL20" s="1418"/>
      <c r="BM20" s="1418"/>
      <c r="BN20" s="1418"/>
      <c r="BO20" s="1418"/>
      <c r="BP20" s="1418"/>
      <c r="BQ20" s="1418"/>
      <c r="BR20" s="1418"/>
      <c r="BS20" s="1418"/>
      <c r="BT20" s="1418"/>
      <c r="BU20" s="1418"/>
      <c r="BV20" s="1418"/>
      <c r="BW20" s="1418"/>
      <c r="BX20" s="1418"/>
      <c r="BY20" s="1418"/>
      <c r="BZ20" s="1418"/>
      <c r="CA20" s="1418"/>
      <c r="CB20" s="1419"/>
    </row>
    <row r="21" spans="1:80" ht="3.95" customHeight="1" x14ac:dyDescent="0.25">
      <c r="A21" s="231"/>
      <c r="B21" s="1485"/>
      <c r="C21" s="1485"/>
      <c r="D21" s="1485"/>
      <c r="E21" s="1485"/>
      <c r="F21" s="1485"/>
      <c r="G21" s="1485"/>
      <c r="H21" s="1485"/>
      <c r="I21" s="1485"/>
      <c r="J21" s="1485"/>
      <c r="K21" s="1485"/>
      <c r="L21" s="1485"/>
      <c r="M21" s="1485"/>
      <c r="N21" s="1486"/>
      <c r="O21" s="1486"/>
      <c r="P21" s="1485"/>
      <c r="Q21" s="1485"/>
      <c r="R21" s="1485"/>
      <c r="S21" s="1485"/>
      <c r="T21" s="1485"/>
      <c r="U21" s="1485"/>
      <c r="V21" s="1485"/>
      <c r="W21" s="1485"/>
      <c r="X21" s="1485"/>
      <c r="Y21" s="1485"/>
      <c r="Z21" s="1485"/>
      <c r="AA21" s="1485"/>
      <c r="AB21" s="1486"/>
      <c r="AC21" s="1486"/>
      <c r="AD21" s="1485"/>
      <c r="AE21" s="1485"/>
      <c r="AF21" s="1485"/>
      <c r="AG21" s="1485"/>
      <c r="AH21" s="1485"/>
      <c r="AI21" s="1485"/>
      <c r="AJ21" s="1485"/>
      <c r="AK21" s="1485"/>
      <c r="AL21" s="1485"/>
      <c r="AM21" s="1485"/>
      <c r="AN21" s="1485"/>
      <c r="AO21" s="1485"/>
      <c r="AP21" s="1486"/>
      <c r="AQ21" s="1486"/>
      <c r="AR21" s="231"/>
      <c r="AT21" s="1358" t="s">
        <v>34</v>
      </c>
      <c r="AU21" s="1359"/>
      <c r="AV21" s="1359"/>
      <c r="AW21" s="1359"/>
      <c r="AX21" s="1359"/>
      <c r="AY21" s="1359"/>
      <c r="AZ21" s="1359"/>
      <c r="BA21" s="1359"/>
      <c r="BB21" s="1359"/>
      <c r="BC21" s="1359"/>
      <c r="BD21" s="1359"/>
      <c r="BE21" s="1359"/>
      <c r="BF21" s="1359"/>
      <c r="BG21" s="1359"/>
      <c r="BH21" s="1359"/>
      <c r="BI21" s="1359"/>
      <c r="BJ21" s="1359"/>
      <c r="BK21" s="1359"/>
      <c r="BL21" s="1359" t="s">
        <v>69</v>
      </c>
      <c r="BM21" s="1359"/>
      <c r="BN21" s="1359"/>
      <c r="BO21" s="1359"/>
      <c r="BP21" s="1359"/>
      <c r="BQ21" s="1359"/>
      <c r="BR21" s="1359"/>
      <c r="BS21" s="1359"/>
      <c r="BT21" s="1359"/>
      <c r="BU21" s="1359"/>
      <c r="BV21" s="1359"/>
      <c r="BW21" s="1359"/>
      <c r="BX21" s="1359"/>
      <c r="BY21" s="1359"/>
      <c r="BZ21" s="1359"/>
      <c r="CA21" s="1359"/>
      <c r="CB21" s="1420"/>
    </row>
    <row r="22" spans="1:80" ht="3.95" customHeight="1" x14ac:dyDescent="0.25">
      <c r="A22" s="231"/>
      <c r="B22" s="1485"/>
      <c r="C22" s="1485"/>
      <c r="D22" s="1485"/>
      <c r="E22" s="1485"/>
      <c r="F22" s="1485"/>
      <c r="G22" s="1485"/>
      <c r="H22" s="1485"/>
      <c r="I22" s="1485"/>
      <c r="J22" s="1485"/>
      <c r="K22" s="1485"/>
      <c r="L22" s="1485"/>
      <c r="M22" s="1485"/>
      <c r="N22" s="1486"/>
      <c r="O22" s="1486"/>
      <c r="P22" s="1485"/>
      <c r="Q22" s="1485"/>
      <c r="R22" s="1485"/>
      <c r="S22" s="1485"/>
      <c r="T22" s="1485"/>
      <c r="U22" s="1485"/>
      <c r="V22" s="1485"/>
      <c r="W22" s="1485"/>
      <c r="X22" s="1485"/>
      <c r="Y22" s="1485"/>
      <c r="Z22" s="1485"/>
      <c r="AA22" s="1485"/>
      <c r="AB22" s="1486"/>
      <c r="AC22" s="1486"/>
      <c r="AD22" s="1485"/>
      <c r="AE22" s="1485"/>
      <c r="AF22" s="1485"/>
      <c r="AG22" s="1485"/>
      <c r="AH22" s="1485"/>
      <c r="AI22" s="1485"/>
      <c r="AJ22" s="1485"/>
      <c r="AK22" s="1485"/>
      <c r="AL22" s="1485"/>
      <c r="AM22" s="1485"/>
      <c r="AN22" s="1485"/>
      <c r="AO22" s="1485"/>
      <c r="AP22" s="1486"/>
      <c r="AQ22" s="1486"/>
      <c r="AR22" s="231"/>
      <c r="AT22" s="1358"/>
      <c r="AU22" s="1359"/>
      <c r="AV22" s="1359"/>
      <c r="AW22" s="1359"/>
      <c r="AX22" s="1359"/>
      <c r="AY22" s="1359"/>
      <c r="AZ22" s="1359"/>
      <c r="BA22" s="1359"/>
      <c r="BB22" s="1359"/>
      <c r="BC22" s="1359"/>
      <c r="BD22" s="1359"/>
      <c r="BE22" s="1359"/>
      <c r="BF22" s="1359"/>
      <c r="BG22" s="1359"/>
      <c r="BH22" s="1359"/>
      <c r="BI22" s="1359"/>
      <c r="BJ22" s="1359"/>
      <c r="BK22" s="1359"/>
      <c r="BL22" s="1359"/>
      <c r="BM22" s="1359"/>
      <c r="BN22" s="1359"/>
      <c r="BO22" s="1359"/>
      <c r="BP22" s="1359"/>
      <c r="BQ22" s="1359"/>
      <c r="BR22" s="1359"/>
      <c r="BS22" s="1359"/>
      <c r="BT22" s="1359"/>
      <c r="BU22" s="1359"/>
      <c r="BV22" s="1359"/>
      <c r="BW22" s="1359"/>
      <c r="BX22" s="1359"/>
      <c r="BY22" s="1359"/>
      <c r="BZ22" s="1359"/>
      <c r="CA22" s="1359"/>
      <c r="CB22" s="1420"/>
    </row>
    <row r="23" spans="1:80" ht="3.95" customHeight="1" x14ac:dyDescent="0.25">
      <c r="A23" s="231"/>
      <c r="B23" s="1513" t="s">
        <v>178</v>
      </c>
      <c r="C23" s="1514"/>
      <c r="D23" s="1514"/>
      <c r="E23" s="1514"/>
      <c r="F23" s="1515" t="s">
        <v>97</v>
      </c>
      <c r="G23" s="1515"/>
      <c r="H23" s="1515"/>
      <c r="I23" s="1516">
        <f>CD.magia.base</f>
        <v>10</v>
      </c>
      <c r="J23" s="1516"/>
      <c r="K23" s="1516"/>
      <c r="L23" s="1516"/>
      <c r="M23" s="1517"/>
      <c r="N23" s="1507" t="str">
        <f>IF(NÍVEL.conjurador&gt;=(VLOOKUP(CONJURADOR,TABELA.classes,38,FALSE)),"ü","û")</f>
        <v>ü</v>
      </c>
      <c r="O23" s="1508"/>
      <c r="P23" s="1477"/>
      <c r="Q23" s="1478"/>
      <c r="R23" s="1478"/>
      <c r="S23" s="1478"/>
      <c r="T23" s="1478"/>
      <c r="U23" s="1478"/>
      <c r="V23" s="1478"/>
      <c r="W23" s="1478"/>
      <c r="X23" s="1478"/>
      <c r="Y23" s="1478"/>
      <c r="Z23" s="1478"/>
      <c r="AA23" s="1479"/>
      <c r="AB23" s="1480"/>
      <c r="AC23" s="1481"/>
      <c r="AD23" s="1477"/>
      <c r="AE23" s="1478"/>
      <c r="AF23" s="1478"/>
      <c r="AG23" s="1478"/>
      <c r="AH23" s="1478"/>
      <c r="AI23" s="1478"/>
      <c r="AJ23" s="1478"/>
      <c r="AK23" s="1478"/>
      <c r="AL23" s="1478"/>
      <c r="AM23" s="1478"/>
      <c r="AN23" s="1478"/>
      <c r="AO23" s="1479"/>
      <c r="AP23" s="1480"/>
      <c r="AQ23" s="1481"/>
      <c r="AR23" s="231"/>
      <c r="AT23" s="1360"/>
      <c r="AU23" s="1361"/>
      <c r="AV23" s="1361"/>
      <c r="AW23" s="1361"/>
      <c r="AX23" s="1361"/>
      <c r="AY23" s="1361"/>
      <c r="AZ23" s="1361"/>
      <c r="BA23" s="1361"/>
      <c r="BB23" s="1361"/>
      <c r="BC23" s="1361"/>
      <c r="BD23" s="1361"/>
      <c r="BE23" s="1361"/>
      <c r="BF23" s="1361"/>
      <c r="BG23" s="1361"/>
      <c r="BH23" s="1361"/>
      <c r="BI23" s="1361"/>
      <c r="BJ23" s="1361"/>
      <c r="BK23" s="1361"/>
      <c r="BL23" s="1361"/>
      <c r="BM23" s="1361"/>
      <c r="BN23" s="1361"/>
      <c r="BO23" s="1361"/>
      <c r="BP23" s="1361"/>
      <c r="BQ23" s="1361"/>
      <c r="BR23" s="1361"/>
      <c r="BS23" s="1361"/>
      <c r="BT23" s="1361"/>
      <c r="BU23" s="1361"/>
      <c r="BV23" s="1361"/>
      <c r="BW23" s="1361"/>
      <c r="BX23" s="1361"/>
      <c r="BY23" s="1361"/>
      <c r="BZ23" s="1361"/>
      <c r="CA23" s="1361"/>
      <c r="CB23" s="1421"/>
    </row>
    <row r="24" spans="1:80" ht="3.95" customHeight="1" x14ac:dyDescent="0.15">
      <c r="A24" s="231"/>
      <c r="B24" s="1237"/>
      <c r="C24" s="1238"/>
      <c r="D24" s="1238"/>
      <c r="E24" s="1238"/>
      <c r="F24" s="1242"/>
      <c r="G24" s="1242"/>
      <c r="H24" s="1242"/>
      <c r="I24" s="1246"/>
      <c r="J24" s="1246"/>
      <c r="K24" s="1246"/>
      <c r="L24" s="1246"/>
      <c r="M24" s="1247"/>
      <c r="N24" s="1509"/>
      <c r="O24" s="1510"/>
      <c r="P24" s="1254"/>
      <c r="Q24" s="1255"/>
      <c r="R24" s="1255"/>
      <c r="S24" s="1255"/>
      <c r="T24" s="1255"/>
      <c r="U24" s="1255"/>
      <c r="V24" s="1255"/>
      <c r="W24" s="1255"/>
      <c r="X24" s="1255"/>
      <c r="Y24" s="1255"/>
      <c r="Z24" s="1255"/>
      <c r="AA24" s="1256"/>
      <c r="AB24" s="1257"/>
      <c r="AC24" s="1258"/>
      <c r="AD24" s="1254"/>
      <c r="AE24" s="1255"/>
      <c r="AF24" s="1255"/>
      <c r="AG24" s="1255"/>
      <c r="AH24" s="1255"/>
      <c r="AI24" s="1255"/>
      <c r="AJ24" s="1255"/>
      <c r="AK24" s="1255"/>
      <c r="AL24" s="1255"/>
      <c r="AM24" s="1255"/>
      <c r="AN24" s="1255"/>
      <c r="AO24" s="1256"/>
      <c r="AP24" s="1257"/>
      <c r="AQ24" s="1258"/>
      <c r="AR24" s="231"/>
      <c r="AT24" s="249"/>
      <c r="AU24" s="250"/>
      <c r="AV24" s="250"/>
      <c r="AW24" s="250"/>
      <c r="AX24" s="250"/>
      <c r="AY24" s="250"/>
      <c r="AZ24" s="250"/>
      <c r="BA24" s="250"/>
      <c r="BB24" s="250"/>
      <c r="BC24" s="250"/>
      <c r="BD24" s="251"/>
      <c r="BE24" s="251"/>
      <c r="BF24" s="251"/>
      <c r="BG24" s="251"/>
      <c r="BH24" s="251"/>
      <c r="BI24" s="251"/>
      <c r="BJ24" s="251"/>
      <c r="BK24" s="251"/>
      <c r="BL24" s="251"/>
      <c r="BM24" s="250"/>
      <c r="BN24" s="250"/>
      <c r="BO24" s="250"/>
      <c r="BP24" s="250"/>
      <c r="BQ24" s="250"/>
      <c r="BR24" s="250"/>
      <c r="BS24" s="250"/>
      <c r="BT24" s="250"/>
      <c r="BU24" s="250"/>
      <c r="BV24" s="250"/>
      <c r="BW24" s="250"/>
      <c r="BX24" s="250"/>
      <c r="BY24" s="250"/>
      <c r="BZ24" s="250"/>
      <c r="CA24" s="250"/>
      <c r="CB24" s="252"/>
    </row>
    <row r="25" spans="1:80" ht="3.95" customHeight="1" x14ac:dyDescent="0.15">
      <c r="A25" s="231"/>
      <c r="B25" s="1239"/>
      <c r="C25" s="1240"/>
      <c r="D25" s="1240"/>
      <c r="E25" s="1240"/>
      <c r="F25" s="1243"/>
      <c r="G25" s="1243"/>
      <c r="H25" s="1243"/>
      <c r="I25" s="1248"/>
      <c r="J25" s="1248"/>
      <c r="K25" s="1248"/>
      <c r="L25" s="1248"/>
      <c r="M25" s="1249"/>
      <c r="N25" s="1511"/>
      <c r="O25" s="1512"/>
      <c r="P25" s="1254"/>
      <c r="Q25" s="1255"/>
      <c r="R25" s="1255"/>
      <c r="S25" s="1255"/>
      <c r="T25" s="1255"/>
      <c r="U25" s="1255"/>
      <c r="V25" s="1255"/>
      <c r="W25" s="1255"/>
      <c r="X25" s="1255"/>
      <c r="Y25" s="1255"/>
      <c r="Z25" s="1255"/>
      <c r="AA25" s="1256"/>
      <c r="AB25" s="1257"/>
      <c r="AC25" s="1258"/>
      <c r="AD25" s="1254"/>
      <c r="AE25" s="1255"/>
      <c r="AF25" s="1255"/>
      <c r="AG25" s="1255"/>
      <c r="AH25" s="1255"/>
      <c r="AI25" s="1255"/>
      <c r="AJ25" s="1255"/>
      <c r="AK25" s="1255"/>
      <c r="AL25" s="1255"/>
      <c r="AM25" s="1255"/>
      <c r="AN25" s="1255"/>
      <c r="AO25" s="1256"/>
      <c r="AP25" s="1257"/>
      <c r="AQ25" s="1258"/>
      <c r="AR25" s="231"/>
      <c r="AT25" s="253"/>
      <c r="AU25" s="1412" t="s">
        <v>104</v>
      </c>
      <c r="AV25" s="1412"/>
      <c r="AW25" s="1412"/>
      <c r="AX25" s="1303" t="s">
        <v>16</v>
      </c>
      <c r="AY25" s="1303"/>
      <c r="AZ25" s="1303"/>
      <c r="BA25" s="1303" t="s">
        <v>17</v>
      </c>
      <c r="BB25" s="1303"/>
      <c r="BC25" s="1303"/>
      <c r="BD25" s="254"/>
      <c r="BE25" s="254"/>
      <c r="BF25" s="254"/>
      <c r="BG25" s="254"/>
      <c r="BH25" s="254"/>
      <c r="BI25" s="254"/>
      <c r="BJ25" s="254"/>
      <c r="BK25" s="254"/>
      <c r="BL25" s="254"/>
      <c r="BM25" s="255"/>
      <c r="BN25" s="1303" t="s">
        <v>105</v>
      </c>
      <c r="BO25" s="1303"/>
      <c r="BP25" s="255"/>
      <c r="BQ25" s="1303" t="s">
        <v>61</v>
      </c>
      <c r="BR25" s="1303"/>
      <c r="BS25" s="255"/>
      <c r="BT25" s="1303" t="s">
        <v>25</v>
      </c>
      <c r="BU25" s="1303"/>
      <c r="BV25" s="255"/>
      <c r="BW25" s="1303" t="s">
        <v>106</v>
      </c>
      <c r="BX25" s="1303"/>
      <c r="BY25" s="1303" t="s">
        <v>63</v>
      </c>
      <c r="BZ25" s="1303"/>
      <c r="CA25" s="1303"/>
      <c r="CB25" s="1364"/>
    </row>
    <row r="26" spans="1:80" ht="3.95" customHeight="1" x14ac:dyDescent="0.15">
      <c r="A26" s="231"/>
      <c r="B26" s="1259"/>
      <c r="C26" s="1260"/>
      <c r="D26" s="1260"/>
      <c r="E26" s="1260"/>
      <c r="F26" s="1260"/>
      <c r="G26" s="1260"/>
      <c r="H26" s="1260"/>
      <c r="I26" s="1260"/>
      <c r="J26" s="1260"/>
      <c r="K26" s="1260"/>
      <c r="L26" s="1260"/>
      <c r="M26" s="1261"/>
      <c r="N26" s="1262"/>
      <c r="O26" s="1263"/>
      <c r="P26" s="1235" t="s">
        <v>561</v>
      </c>
      <c r="Q26" s="1236"/>
      <c r="R26" s="1236"/>
      <c r="S26" s="1236"/>
      <c r="T26" s="1241" t="s">
        <v>97</v>
      </c>
      <c r="U26" s="1241"/>
      <c r="V26" s="1241"/>
      <c r="W26" s="1244">
        <f>CD.magia.base+3</f>
        <v>13</v>
      </c>
      <c r="X26" s="1244"/>
      <c r="Y26" s="1244"/>
      <c r="Z26" s="1244"/>
      <c r="AA26" s="1245"/>
      <c r="AB26" s="1475" t="str">
        <f>IF(NÍVEL.conjurador&gt;=(VLOOKUP(CONJURADOR,TABELA.classes,41,FALSE)),"ü","û")</f>
        <v>ü</v>
      </c>
      <c r="AC26" s="1476"/>
      <c r="AD26" s="1254"/>
      <c r="AE26" s="1255"/>
      <c r="AF26" s="1255"/>
      <c r="AG26" s="1255"/>
      <c r="AH26" s="1255"/>
      <c r="AI26" s="1255"/>
      <c r="AJ26" s="1255"/>
      <c r="AK26" s="1255"/>
      <c r="AL26" s="1255"/>
      <c r="AM26" s="1255"/>
      <c r="AN26" s="1255"/>
      <c r="AO26" s="1256"/>
      <c r="AP26" s="1257"/>
      <c r="AQ26" s="1258"/>
      <c r="AR26" s="231"/>
      <c r="AT26" s="253"/>
      <c r="AU26" s="1412"/>
      <c r="AV26" s="1412"/>
      <c r="AW26" s="1412"/>
      <c r="AX26" s="1303"/>
      <c r="AY26" s="1303"/>
      <c r="AZ26" s="1303"/>
      <c r="BA26" s="1303"/>
      <c r="BB26" s="1303"/>
      <c r="BC26" s="1303"/>
      <c r="BD26" s="254"/>
      <c r="BE26" s="254"/>
      <c r="BF26" s="254"/>
      <c r="BG26" s="254"/>
      <c r="BH26" s="254"/>
      <c r="BI26" s="254"/>
      <c r="BJ26" s="254"/>
      <c r="BK26" s="254"/>
      <c r="BL26" s="254"/>
      <c r="BM26" s="255"/>
      <c r="BN26" s="1303"/>
      <c r="BO26" s="1303"/>
      <c r="BP26" s="255"/>
      <c r="BQ26" s="1303"/>
      <c r="BR26" s="1303"/>
      <c r="BS26" s="255"/>
      <c r="BT26" s="1303"/>
      <c r="BU26" s="1303"/>
      <c r="BV26" s="255"/>
      <c r="BW26" s="1303"/>
      <c r="BX26" s="1303"/>
      <c r="BY26" s="1303"/>
      <c r="BZ26" s="1303"/>
      <c r="CA26" s="1303"/>
      <c r="CB26" s="1364"/>
    </row>
    <row r="27" spans="1:80" ht="3.95" customHeight="1" x14ac:dyDescent="0.15">
      <c r="A27" s="231"/>
      <c r="B27" s="1259"/>
      <c r="C27" s="1260"/>
      <c r="D27" s="1260"/>
      <c r="E27" s="1260"/>
      <c r="F27" s="1260"/>
      <c r="G27" s="1260"/>
      <c r="H27" s="1260"/>
      <c r="I27" s="1260"/>
      <c r="J27" s="1260"/>
      <c r="K27" s="1260"/>
      <c r="L27" s="1260"/>
      <c r="M27" s="1261"/>
      <c r="N27" s="1262"/>
      <c r="O27" s="1263"/>
      <c r="P27" s="1237"/>
      <c r="Q27" s="1238"/>
      <c r="R27" s="1238"/>
      <c r="S27" s="1238"/>
      <c r="T27" s="1242"/>
      <c r="U27" s="1242"/>
      <c r="V27" s="1242"/>
      <c r="W27" s="1246"/>
      <c r="X27" s="1246"/>
      <c r="Y27" s="1246"/>
      <c r="Z27" s="1246"/>
      <c r="AA27" s="1247"/>
      <c r="AB27" s="1475"/>
      <c r="AC27" s="1476"/>
      <c r="AD27" s="1254"/>
      <c r="AE27" s="1255"/>
      <c r="AF27" s="1255"/>
      <c r="AG27" s="1255"/>
      <c r="AH27" s="1255"/>
      <c r="AI27" s="1255"/>
      <c r="AJ27" s="1255"/>
      <c r="AK27" s="1255"/>
      <c r="AL27" s="1255"/>
      <c r="AM27" s="1255"/>
      <c r="AN27" s="1255"/>
      <c r="AO27" s="1256"/>
      <c r="AP27" s="1257"/>
      <c r="AQ27" s="1258"/>
      <c r="AR27" s="231"/>
      <c r="AT27" s="253"/>
      <c r="AU27" s="1413"/>
      <c r="AV27" s="1413"/>
      <c r="AW27" s="1413"/>
      <c r="AX27" s="1304"/>
      <c r="AY27" s="1304"/>
      <c r="AZ27" s="1304"/>
      <c r="BA27" s="1304"/>
      <c r="BB27" s="1304"/>
      <c r="BC27" s="1304"/>
      <c r="BD27" s="254"/>
      <c r="BE27" s="254"/>
      <c r="BF27" s="254"/>
      <c r="BG27" s="254"/>
      <c r="BH27" s="254"/>
      <c r="BI27" s="254"/>
      <c r="BJ27" s="254"/>
      <c r="BK27" s="254"/>
      <c r="BL27" s="254"/>
      <c r="BM27" s="255"/>
      <c r="BN27" s="1304"/>
      <c r="BO27" s="1304"/>
      <c r="BP27" s="255"/>
      <c r="BQ27" s="1304"/>
      <c r="BR27" s="1304"/>
      <c r="BS27" s="255"/>
      <c r="BT27" s="1304"/>
      <c r="BU27" s="1304"/>
      <c r="BV27" s="255"/>
      <c r="BW27" s="1304"/>
      <c r="BX27" s="1304"/>
      <c r="BY27" s="1303"/>
      <c r="BZ27" s="1303"/>
      <c r="CA27" s="1303"/>
      <c r="CB27" s="1364"/>
    </row>
    <row r="28" spans="1:80" ht="3.95" customHeight="1" x14ac:dyDescent="0.25">
      <c r="A28" s="231"/>
      <c r="B28" s="1259"/>
      <c r="C28" s="1260"/>
      <c r="D28" s="1260"/>
      <c r="E28" s="1260"/>
      <c r="F28" s="1260"/>
      <c r="G28" s="1260"/>
      <c r="H28" s="1260"/>
      <c r="I28" s="1260"/>
      <c r="J28" s="1260"/>
      <c r="K28" s="1260"/>
      <c r="L28" s="1260"/>
      <c r="M28" s="1261"/>
      <c r="N28" s="1262"/>
      <c r="O28" s="1263"/>
      <c r="P28" s="1239"/>
      <c r="Q28" s="1240"/>
      <c r="R28" s="1240"/>
      <c r="S28" s="1240"/>
      <c r="T28" s="1243"/>
      <c r="U28" s="1243"/>
      <c r="V28" s="1243"/>
      <c r="W28" s="1248"/>
      <c r="X28" s="1248"/>
      <c r="Y28" s="1248"/>
      <c r="Z28" s="1248"/>
      <c r="AA28" s="1249"/>
      <c r="AB28" s="1475"/>
      <c r="AC28" s="1476"/>
      <c r="AD28" s="1254"/>
      <c r="AE28" s="1255"/>
      <c r="AF28" s="1255"/>
      <c r="AG28" s="1255"/>
      <c r="AH28" s="1255"/>
      <c r="AI28" s="1255"/>
      <c r="AJ28" s="1255"/>
      <c r="AK28" s="1255"/>
      <c r="AL28" s="1255"/>
      <c r="AM28" s="1255"/>
      <c r="AN28" s="1255"/>
      <c r="AO28" s="1256"/>
      <c r="AP28" s="1257"/>
      <c r="AQ28" s="1258"/>
      <c r="AR28" s="231"/>
      <c r="AT28" s="256"/>
      <c r="AU28" s="1349" t="s">
        <v>10</v>
      </c>
      <c r="AV28" s="1350"/>
      <c r="AW28" s="1351"/>
      <c r="AX28" s="1185"/>
      <c r="AY28" s="1186"/>
      <c r="AZ28" s="1186"/>
      <c r="BA28" s="1414">
        <f>IF(AX28&lt;10,ROUNDDOWN((AX28-10)/2,1),ROUNDDOWN((AX28-10)/2,0))</f>
        <v>-5</v>
      </c>
      <c r="BB28" s="1414"/>
      <c r="BC28" s="1415"/>
      <c r="BD28" s="248"/>
      <c r="BE28" s="1391" t="s">
        <v>19</v>
      </c>
      <c r="BF28" s="1144"/>
      <c r="BG28" s="1392"/>
      <c r="BH28" s="887">
        <f>10+BN28+BQ28+BT28+BW28+BZ28</f>
        <v>5</v>
      </c>
      <c r="BI28" s="1398"/>
      <c r="BJ28" s="1399"/>
      <c r="BK28" s="1362" t="s">
        <v>493</v>
      </c>
      <c r="BL28" s="1363"/>
      <c r="BM28" s="894"/>
      <c r="BN28" s="1406">
        <f>ROUNDDOWN(AT10/2,0)</f>
        <v>0</v>
      </c>
      <c r="BO28" s="1407"/>
      <c r="BP28" s="895" t="s">
        <v>21</v>
      </c>
      <c r="BQ28" s="1406">
        <f>BA31</f>
        <v>-5</v>
      </c>
      <c r="BR28" s="1407"/>
      <c r="BS28" s="895" t="s">
        <v>21</v>
      </c>
      <c r="BT28" s="1406">
        <f>VLOOKUP(BV5,TABELA.tamanho,2,FALSE)</f>
        <v>0</v>
      </c>
      <c r="BU28" s="1407"/>
      <c r="BV28" s="895" t="s">
        <v>21</v>
      </c>
      <c r="BW28" s="1343"/>
      <c r="BX28" s="1344"/>
      <c r="BY28" s="895" t="s">
        <v>21</v>
      </c>
      <c r="BZ28" s="1343"/>
      <c r="CA28" s="1344"/>
      <c r="CB28" s="257"/>
    </row>
    <row r="29" spans="1:80" ht="3.95" customHeight="1" x14ac:dyDescent="0.25">
      <c r="A29" s="231"/>
      <c r="B29" s="1259"/>
      <c r="C29" s="1260"/>
      <c r="D29" s="1260"/>
      <c r="E29" s="1260"/>
      <c r="F29" s="1260"/>
      <c r="G29" s="1260"/>
      <c r="H29" s="1260"/>
      <c r="I29" s="1260"/>
      <c r="J29" s="1260"/>
      <c r="K29" s="1260"/>
      <c r="L29" s="1260"/>
      <c r="M29" s="1261"/>
      <c r="N29" s="1262"/>
      <c r="O29" s="1263"/>
      <c r="P29" s="1254"/>
      <c r="Q29" s="1255"/>
      <c r="R29" s="1255"/>
      <c r="S29" s="1255"/>
      <c r="T29" s="1255"/>
      <c r="U29" s="1255"/>
      <c r="V29" s="1255"/>
      <c r="W29" s="1255"/>
      <c r="X29" s="1255"/>
      <c r="Y29" s="1255"/>
      <c r="Z29" s="1255"/>
      <c r="AA29" s="1256"/>
      <c r="AB29" s="1257"/>
      <c r="AC29" s="1258"/>
      <c r="AD29" s="1254"/>
      <c r="AE29" s="1255"/>
      <c r="AF29" s="1255"/>
      <c r="AG29" s="1255"/>
      <c r="AH29" s="1255"/>
      <c r="AI29" s="1255"/>
      <c r="AJ29" s="1255"/>
      <c r="AK29" s="1255"/>
      <c r="AL29" s="1255"/>
      <c r="AM29" s="1255"/>
      <c r="AN29" s="1255"/>
      <c r="AO29" s="1256"/>
      <c r="AP29" s="1257"/>
      <c r="AQ29" s="1258"/>
      <c r="AR29" s="231"/>
      <c r="AT29" s="256"/>
      <c r="AU29" s="1352"/>
      <c r="AV29" s="1353"/>
      <c r="AW29" s="1354"/>
      <c r="AX29" s="1178"/>
      <c r="AY29" s="1179"/>
      <c r="AZ29" s="1179"/>
      <c r="BA29" s="1416"/>
      <c r="BB29" s="1416"/>
      <c r="BC29" s="1417"/>
      <c r="BD29" s="248"/>
      <c r="BE29" s="1393"/>
      <c r="BF29" s="1146"/>
      <c r="BG29" s="1394"/>
      <c r="BH29" s="1400"/>
      <c r="BI29" s="1401"/>
      <c r="BJ29" s="1402"/>
      <c r="BK29" s="1362"/>
      <c r="BL29" s="1363"/>
      <c r="BM29" s="894"/>
      <c r="BN29" s="1408"/>
      <c r="BO29" s="1409"/>
      <c r="BP29" s="895"/>
      <c r="BQ29" s="1408"/>
      <c r="BR29" s="1409"/>
      <c r="BS29" s="895"/>
      <c r="BT29" s="1408"/>
      <c r="BU29" s="1409"/>
      <c r="BV29" s="895"/>
      <c r="BW29" s="1345"/>
      <c r="BX29" s="1346"/>
      <c r="BY29" s="895"/>
      <c r="BZ29" s="1345"/>
      <c r="CA29" s="1346"/>
      <c r="CB29" s="257"/>
    </row>
    <row r="30" spans="1:80" ht="3.95" customHeight="1" x14ac:dyDescent="0.25">
      <c r="A30" s="231"/>
      <c r="B30" s="1259"/>
      <c r="C30" s="1260"/>
      <c r="D30" s="1260"/>
      <c r="E30" s="1260"/>
      <c r="F30" s="1260"/>
      <c r="G30" s="1260"/>
      <c r="H30" s="1260"/>
      <c r="I30" s="1260"/>
      <c r="J30" s="1260"/>
      <c r="K30" s="1260"/>
      <c r="L30" s="1260"/>
      <c r="M30" s="1261"/>
      <c r="N30" s="1262"/>
      <c r="O30" s="1263"/>
      <c r="P30" s="1254"/>
      <c r="Q30" s="1255"/>
      <c r="R30" s="1255"/>
      <c r="S30" s="1255"/>
      <c r="T30" s="1255"/>
      <c r="U30" s="1255"/>
      <c r="V30" s="1255"/>
      <c r="W30" s="1255"/>
      <c r="X30" s="1255"/>
      <c r="Y30" s="1255"/>
      <c r="Z30" s="1255"/>
      <c r="AA30" s="1256"/>
      <c r="AB30" s="1257"/>
      <c r="AC30" s="1258"/>
      <c r="AD30" s="1254"/>
      <c r="AE30" s="1255"/>
      <c r="AF30" s="1255"/>
      <c r="AG30" s="1255"/>
      <c r="AH30" s="1255"/>
      <c r="AI30" s="1255"/>
      <c r="AJ30" s="1255"/>
      <c r="AK30" s="1255"/>
      <c r="AL30" s="1255"/>
      <c r="AM30" s="1255"/>
      <c r="AN30" s="1255"/>
      <c r="AO30" s="1256"/>
      <c r="AP30" s="1257"/>
      <c r="AQ30" s="1258"/>
      <c r="AR30" s="231"/>
      <c r="AT30" s="256"/>
      <c r="AU30" s="1352"/>
      <c r="AV30" s="1353"/>
      <c r="AW30" s="1354"/>
      <c r="AX30" s="1178"/>
      <c r="AY30" s="1179"/>
      <c r="AZ30" s="1179"/>
      <c r="BA30" s="1416"/>
      <c r="BB30" s="1416"/>
      <c r="BC30" s="1417"/>
      <c r="BD30" s="248"/>
      <c r="BE30" s="1393"/>
      <c r="BF30" s="1146"/>
      <c r="BG30" s="1394"/>
      <c r="BH30" s="1400"/>
      <c r="BI30" s="1401"/>
      <c r="BJ30" s="1402"/>
      <c r="BK30" s="1362"/>
      <c r="BL30" s="1363"/>
      <c r="BM30" s="894"/>
      <c r="BN30" s="1408"/>
      <c r="BO30" s="1409"/>
      <c r="BP30" s="895"/>
      <c r="BQ30" s="1408"/>
      <c r="BR30" s="1409"/>
      <c r="BS30" s="895"/>
      <c r="BT30" s="1408"/>
      <c r="BU30" s="1409"/>
      <c r="BV30" s="895"/>
      <c r="BW30" s="1345"/>
      <c r="BX30" s="1346"/>
      <c r="BY30" s="895"/>
      <c r="BZ30" s="1345"/>
      <c r="CA30" s="1346"/>
      <c r="CB30" s="257"/>
    </row>
    <row r="31" spans="1:80" ht="3.95" customHeight="1" x14ac:dyDescent="0.25">
      <c r="A31" s="231"/>
      <c r="B31" s="1259"/>
      <c r="C31" s="1260"/>
      <c r="D31" s="1260"/>
      <c r="E31" s="1260"/>
      <c r="F31" s="1260"/>
      <c r="G31" s="1260"/>
      <c r="H31" s="1260"/>
      <c r="I31" s="1260"/>
      <c r="J31" s="1260"/>
      <c r="K31" s="1260"/>
      <c r="L31" s="1260"/>
      <c r="M31" s="1261"/>
      <c r="N31" s="1262"/>
      <c r="O31" s="1263"/>
      <c r="P31" s="1254"/>
      <c r="Q31" s="1255"/>
      <c r="R31" s="1255"/>
      <c r="S31" s="1255"/>
      <c r="T31" s="1255"/>
      <c r="U31" s="1255"/>
      <c r="V31" s="1255"/>
      <c r="W31" s="1255"/>
      <c r="X31" s="1255"/>
      <c r="Y31" s="1255"/>
      <c r="Z31" s="1255"/>
      <c r="AA31" s="1256"/>
      <c r="AB31" s="1257"/>
      <c r="AC31" s="1258"/>
      <c r="AD31" s="1254"/>
      <c r="AE31" s="1255"/>
      <c r="AF31" s="1255"/>
      <c r="AG31" s="1255"/>
      <c r="AH31" s="1255"/>
      <c r="AI31" s="1255"/>
      <c r="AJ31" s="1255"/>
      <c r="AK31" s="1255"/>
      <c r="AL31" s="1255"/>
      <c r="AM31" s="1255"/>
      <c r="AN31" s="1255"/>
      <c r="AO31" s="1256"/>
      <c r="AP31" s="1257"/>
      <c r="AQ31" s="1258"/>
      <c r="AR31" s="231"/>
      <c r="AT31" s="256"/>
      <c r="AU31" s="1352" t="s">
        <v>11</v>
      </c>
      <c r="AV31" s="1353"/>
      <c r="AW31" s="1354"/>
      <c r="AX31" s="1178"/>
      <c r="AY31" s="1179"/>
      <c r="AZ31" s="1179"/>
      <c r="BA31" s="1374">
        <f>IF(AX31&lt;10,ROUNDDOWN((AX31-10)/2,1),ROUNDDOWN((AX31-10)/2,0))</f>
        <v>-5</v>
      </c>
      <c r="BB31" s="1375"/>
      <c r="BC31" s="1376"/>
      <c r="BD31" s="248"/>
      <c r="BE31" s="1395"/>
      <c r="BF31" s="1396"/>
      <c r="BG31" s="1397"/>
      <c r="BH31" s="1403"/>
      <c r="BI31" s="1404"/>
      <c r="BJ31" s="1405"/>
      <c r="BK31" s="1362"/>
      <c r="BL31" s="1363"/>
      <c r="BM31" s="894"/>
      <c r="BN31" s="1410"/>
      <c r="BO31" s="1411"/>
      <c r="BP31" s="895"/>
      <c r="BQ31" s="1410"/>
      <c r="BR31" s="1411"/>
      <c r="BS31" s="895"/>
      <c r="BT31" s="1410"/>
      <c r="BU31" s="1411"/>
      <c r="BV31" s="895"/>
      <c r="BW31" s="1347"/>
      <c r="BX31" s="1348"/>
      <c r="BY31" s="895"/>
      <c r="BZ31" s="1347"/>
      <c r="CA31" s="1348"/>
      <c r="CB31" s="257"/>
    </row>
    <row r="32" spans="1:80" ht="3.95" customHeight="1" x14ac:dyDescent="0.25">
      <c r="A32" s="231"/>
      <c r="B32" s="1259"/>
      <c r="C32" s="1260"/>
      <c r="D32" s="1260"/>
      <c r="E32" s="1260"/>
      <c r="F32" s="1260"/>
      <c r="G32" s="1260"/>
      <c r="H32" s="1260"/>
      <c r="I32" s="1260"/>
      <c r="J32" s="1260"/>
      <c r="K32" s="1260"/>
      <c r="L32" s="1260"/>
      <c r="M32" s="1261"/>
      <c r="N32" s="1262"/>
      <c r="O32" s="1263"/>
      <c r="P32" s="1254"/>
      <c r="Q32" s="1255"/>
      <c r="R32" s="1255"/>
      <c r="S32" s="1255"/>
      <c r="T32" s="1255"/>
      <c r="U32" s="1255"/>
      <c r="V32" s="1255"/>
      <c r="W32" s="1255"/>
      <c r="X32" s="1255"/>
      <c r="Y32" s="1255"/>
      <c r="Z32" s="1255"/>
      <c r="AA32" s="1256"/>
      <c r="AB32" s="1257"/>
      <c r="AC32" s="1258"/>
      <c r="AD32" s="1254"/>
      <c r="AE32" s="1255"/>
      <c r="AF32" s="1255"/>
      <c r="AG32" s="1255"/>
      <c r="AH32" s="1255"/>
      <c r="AI32" s="1255"/>
      <c r="AJ32" s="1255"/>
      <c r="AK32" s="1255"/>
      <c r="AL32" s="1255"/>
      <c r="AM32" s="1255"/>
      <c r="AN32" s="1255"/>
      <c r="AO32" s="1256"/>
      <c r="AP32" s="1257"/>
      <c r="AQ32" s="1258"/>
      <c r="AR32" s="231"/>
      <c r="AT32" s="256"/>
      <c r="AU32" s="1352"/>
      <c r="AV32" s="1353"/>
      <c r="AW32" s="1354"/>
      <c r="AX32" s="1178"/>
      <c r="AY32" s="1179"/>
      <c r="AZ32" s="1179"/>
      <c r="BA32" s="1377"/>
      <c r="BB32" s="1378"/>
      <c r="BC32" s="1379"/>
      <c r="BD32" s="248"/>
      <c r="BE32" s="248"/>
      <c r="BF32" s="248"/>
      <c r="BG32" s="248"/>
      <c r="BH32" s="248"/>
      <c r="BI32" s="248"/>
      <c r="BJ32" s="248"/>
      <c r="BK32" s="248"/>
      <c r="BL32" s="248"/>
      <c r="BM32" s="248"/>
      <c r="BN32" s="248"/>
      <c r="BO32" s="248"/>
      <c r="BP32" s="248"/>
      <c r="BQ32" s="248"/>
      <c r="BR32" s="248"/>
      <c r="BS32" s="248"/>
      <c r="BT32" s="248"/>
      <c r="BU32" s="248"/>
      <c r="BV32" s="248"/>
      <c r="BW32" s="248"/>
      <c r="BX32" s="248"/>
      <c r="BY32" s="248"/>
      <c r="BZ32" s="248"/>
      <c r="CA32" s="248"/>
      <c r="CB32" s="257"/>
    </row>
    <row r="33" spans="1:80" ht="3.95" customHeight="1" x14ac:dyDescent="0.25">
      <c r="A33" s="231"/>
      <c r="B33" s="1259"/>
      <c r="C33" s="1260"/>
      <c r="D33" s="1260"/>
      <c r="E33" s="1260"/>
      <c r="F33" s="1260"/>
      <c r="G33" s="1260"/>
      <c r="H33" s="1260"/>
      <c r="I33" s="1260"/>
      <c r="J33" s="1260"/>
      <c r="K33" s="1260"/>
      <c r="L33" s="1260"/>
      <c r="M33" s="1261"/>
      <c r="N33" s="1262"/>
      <c r="O33" s="1263"/>
      <c r="P33" s="1254"/>
      <c r="Q33" s="1255"/>
      <c r="R33" s="1255"/>
      <c r="S33" s="1255"/>
      <c r="T33" s="1255"/>
      <c r="U33" s="1255"/>
      <c r="V33" s="1255"/>
      <c r="W33" s="1255"/>
      <c r="X33" s="1255"/>
      <c r="Y33" s="1255"/>
      <c r="Z33" s="1255"/>
      <c r="AA33" s="1256"/>
      <c r="AB33" s="1257"/>
      <c r="AC33" s="1258"/>
      <c r="AD33" s="1254"/>
      <c r="AE33" s="1255"/>
      <c r="AF33" s="1255"/>
      <c r="AG33" s="1255"/>
      <c r="AH33" s="1255"/>
      <c r="AI33" s="1255"/>
      <c r="AJ33" s="1255"/>
      <c r="AK33" s="1255"/>
      <c r="AL33" s="1255"/>
      <c r="AM33" s="1255"/>
      <c r="AN33" s="1255"/>
      <c r="AO33" s="1256"/>
      <c r="AP33" s="1257"/>
      <c r="AQ33" s="1258"/>
      <c r="AR33" s="231"/>
      <c r="AT33" s="256"/>
      <c r="AU33" s="1352"/>
      <c r="AV33" s="1353"/>
      <c r="AW33" s="1354"/>
      <c r="AX33" s="1178"/>
      <c r="AY33" s="1179"/>
      <c r="AZ33" s="1179"/>
      <c r="BA33" s="1380"/>
      <c r="BB33" s="1381"/>
      <c r="BC33" s="1382"/>
      <c r="BD33" s="1386" t="s">
        <v>28</v>
      </c>
      <c r="BE33" s="1387"/>
      <c r="BF33" s="1387"/>
      <c r="BG33" s="1387"/>
      <c r="BH33" s="1387"/>
      <c r="BI33" s="1387"/>
      <c r="BJ33" s="1387"/>
      <c r="BK33" s="1387"/>
      <c r="BL33" s="248"/>
      <c r="BM33" s="248"/>
      <c r="BN33" s="248"/>
      <c r="BO33" s="248"/>
      <c r="BP33" s="248"/>
      <c r="BQ33" s="248"/>
      <c r="BR33" s="248"/>
      <c r="BS33" s="248"/>
      <c r="BT33" s="248"/>
      <c r="BU33" s="248"/>
      <c r="BV33" s="248"/>
      <c r="BW33" s="248"/>
      <c r="BX33" s="248"/>
      <c r="BY33" s="248"/>
      <c r="BZ33" s="248"/>
      <c r="CA33" s="248"/>
      <c r="CB33" s="257"/>
    </row>
    <row r="34" spans="1:80" ht="3.95" customHeight="1" x14ac:dyDescent="0.25">
      <c r="A34" s="231"/>
      <c r="B34" s="1259"/>
      <c r="C34" s="1260"/>
      <c r="D34" s="1260"/>
      <c r="E34" s="1260"/>
      <c r="F34" s="1260"/>
      <c r="G34" s="1260"/>
      <c r="H34" s="1260"/>
      <c r="I34" s="1260"/>
      <c r="J34" s="1260"/>
      <c r="K34" s="1260"/>
      <c r="L34" s="1260"/>
      <c r="M34" s="1261"/>
      <c r="N34" s="1262"/>
      <c r="O34" s="1263"/>
      <c r="P34" s="1254"/>
      <c r="Q34" s="1255"/>
      <c r="R34" s="1255"/>
      <c r="S34" s="1255"/>
      <c r="T34" s="1255"/>
      <c r="U34" s="1255"/>
      <c r="V34" s="1255"/>
      <c r="W34" s="1255"/>
      <c r="X34" s="1255"/>
      <c r="Y34" s="1255"/>
      <c r="Z34" s="1255"/>
      <c r="AA34" s="1256"/>
      <c r="AB34" s="1257"/>
      <c r="AC34" s="1258"/>
      <c r="AD34" s="1254"/>
      <c r="AE34" s="1255"/>
      <c r="AF34" s="1255"/>
      <c r="AG34" s="1255"/>
      <c r="AH34" s="1255"/>
      <c r="AI34" s="1255"/>
      <c r="AJ34" s="1255"/>
      <c r="AK34" s="1255"/>
      <c r="AL34" s="1255"/>
      <c r="AM34" s="1255"/>
      <c r="AN34" s="1255"/>
      <c r="AO34" s="1256"/>
      <c r="AP34" s="1257"/>
      <c r="AQ34" s="1258"/>
      <c r="AR34" s="231"/>
      <c r="AT34" s="256"/>
      <c r="AU34" s="1352" t="s">
        <v>12</v>
      </c>
      <c r="AV34" s="1353"/>
      <c r="AW34" s="1354"/>
      <c r="AX34" s="1178"/>
      <c r="AY34" s="1179"/>
      <c r="AZ34" s="1179"/>
      <c r="BA34" s="1374">
        <f>IF(AX34&lt;10,ROUNDDOWN((AX34-10)/2,1),ROUNDDOWN((AX34-10)/2,0))</f>
        <v>-5</v>
      </c>
      <c r="BB34" s="1375"/>
      <c r="BC34" s="1376"/>
      <c r="BD34" s="1386"/>
      <c r="BE34" s="1387"/>
      <c r="BF34" s="1387"/>
      <c r="BG34" s="1387"/>
      <c r="BH34" s="1387"/>
      <c r="BI34" s="1387"/>
      <c r="BJ34" s="1387"/>
      <c r="BK34" s="1387"/>
      <c r="BL34" s="1303" t="s">
        <v>105</v>
      </c>
      <c r="BM34" s="1303"/>
      <c r="BN34" s="248"/>
      <c r="BO34" s="1303" t="s">
        <v>22</v>
      </c>
      <c r="BP34" s="1303"/>
      <c r="BQ34" s="1303" t="s">
        <v>63</v>
      </c>
      <c r="BR34" s="1303"/>
      <c r="BS34" s="1303"/>
      <c r="BT34" s="1303"/>
      <c r="BU34" s="1388" t="s">
        <v>496</v>
      </c>
      <c r="BV34" s="1388"/>
      <c r="BW34" s="1388"/>
      <c r="BX34" s="1388"/>
      <c r="BY34" s="1388"/>
      <c r="BZ34" s="1388"/>
      <c r="CA34" s="1388"/>
      <c r="CB34" s="257"/>
    </row>
    <row r="35" spans="1:80" ht="3.95" customHeight="1" x14ac:dyDescent="0.25">
      <c r="A35" s="231"/>
      <c r="B35" s="1259"/>
      <c r="C35" s="1260"/>
      <c r="D35" s="1260"/>
      <c r="E35" s="1260"/>
      <c r="F35" s="1260"/>
      <c r="G35" s="1260"/>
      <c r="H35" s="1260"/>
      <c r="I35" s="1260"/>
      <c r="J35" s="1260"/>
      <c r="K35" s="1260"/>
      <c r="L35" s="1260"/>
      <c r="M35" s="1261"/>
      <c r="N35" s="1262"/>
      <c r="O35" s="1263"/>
      <c r="P35" s="1254"/>
      <c r="Q35" s="1255"/>
      <c r="R35" s="1255"/>
      <c r="S35" s="1255"/>
      <c r="T35" s="1255"/>
      <c r="U35" s="1255"/>
      <c r="V35" s="1255"/>
      <c r="W35" s="1255"/>
      <c r="X35" s="1255"/>
      <c r="Y35" s="1255"/>
      <c r="Z35" s="1255"/>
      <c r="AA35" s="1256"/>
      <c r="AB35" s="1257"/>
      <c r="AC35" s="1258"/>
      <c r="AD35" s="1254"/>
      <c r="AE35" s="1255"/>
      <c r="AF35" s="1255"/>
      <c r="AG35" s="1255"/>
      <c r="AH35" s="1255"/>
      <c r="AI35" s="1255"/>
      <c r="AJ35" s="1255"/>
      <c r="AK35" s="1255"/>
      <c r="AL35" s="1255"/>
      <c r="AM35" s="1255"/>
      <c r="AN35" s="1255"/>
      <c r="AO35" s="1256"/>
      <c r="AP35" s="1257"/>
      <c r="AQ35" s="1258"/>
      <c r="AR35" s="231"/>
      <c r="AT35" s="256"/>
      <c r="AU35" s="1352"/>
      <c r="AV35" s="1353"/>
      <c r="AW35" s="1354"/>
      <c r="AX35" s="1178"/>
      <c r="AY35" s="1179"/>
      <c r="AZ35" s="1179"/>
      <c r="BA35" s="1377"/>
      <c r="BB35" s="1378"/>
      <c r="BC35" s="1379"/>
      <c r="BD35" s="1386"/>
      <c r="BE35" s="1387"/>
      <c r="BF35" s="1387"/>
      <c r="BG35" s="1387"/>
      <c r="BH35" s="1387"/>
      <c r="BI35" s="1387"/>
      <c r="BJ35" s="1387"/>
      <c r="BK35" s="1387"/>
      <c r="BL35" s="1303"/>
      <c r="BM35" s="1303"/>
      <c r="BN35" s="248"/>
      <c r="BO35" s="1303"/>
      <c r="BP35" s="1303"/>
      <c r="BQ35" s="1303"/>
      <c r="BR35" s="1303"/>
      <c r="BS35" s="1303"/>
      <c r="BT35" s="1303"/>
      <c r="BU35" s="1388"/>
      <c r="BV35" s="1388"/>
      <c r="BW35" s="1388"/>
      <c r="BX35" s="1388"/>
      <c r="BY35" s="1388"/>
      <c r="BZ35" s="1388"/>
      <c r="CA35" s="1388"/>
      <c r="CB35" s="257"/>
    </row>
    <row r="36" spans="1:80" ht="3.95" customHeight="1" x14ac:dyDescent="0.25">
      <c r="A36" s="231"/>
      <c r="B36" s="1259"/>
      <c r="C36" s="1260"/>
      <c r="D36" s="1260"/>
      <c r="E36" s="1260"/>
      <c r="F36" s="1260"/>
      <c r="G36" s="1260"/>
      <c r="H36" s="1260"/>
      <c r="I36" s="1260"/>
      <c r="J36" s="1260"/>
      <c r="K36" s="1260"/>
      <c r="L36" s="1260"/>
      <c r="M36" s="1261"/>
      <c r="N36" s="1262"/>
      <c r="O36" s="1263"/>
      <c r="P36" s="1254"/>
      <c r="Q36" s="1255"/>
      <c r="R36" s="1255"/>
      <c r="S36" s="1255"/>
      <c r="T36" s="1255"/>
      <c r="U36" s="1255"/>
      <c r="V36" s="1255"/>
      <c r="W36" s="1255"/>
      <c r="X36" s="1255"/>
      <c r="Y36" s="1255"/>
      <c r="Z36" s="1255"/>
      <c r="AA36" s="1256"/>
      <c r="AB36" s="1257"/>
      <c r="AC36" s="1258"/>
      <c r="AD36" s="1254"/>
      <c r="AE36" s="1255"/>
      <c r="AF36" s="1255"/>
      <c r="AG36" s="1255"/>
      <c r="AH36" s="1255"/>
      <c r="AI36" s="1255"/>
      <c r="AJ36" s="1255"/>
      <c r="AK36" s="1255"/>
      <c r="AL36" s="1255"/>
      <c r="AM36" s="1255"/>
      <c r="AN36" s="1255"/>
      <c r="AO36" s="1256"/>
      <c r="AP36" s="1257"/>
      <c r="AQ36" s="1258"/>
      <c r="AR36" s="231"/>
      <c r="AT36" s="256"/>
      <c r="AU36" s="1352"/>
      <c r="AV36" s="1353"/>
      <c r="AW36" s="1354"/>
      <c r="AX36" s="1178"/>
      <c r="AY36" s="1179"/>
      <c r="AZ36" s="1179"/>
      <c r="BA36" s="1380"/>
      <c r="BB36" s="1381"/>
      <c r="BC36" s="1382"/>
      <c r="BD36" s="1386"/>
      <c r="BE36" s="1387"/>
      <c r="BF36" s="1387"/>
      <c r="BG36" s="1387"/>
      <c r="BH36" s="1387"/>
      <c r="BI36" s="1387"/>
      <c r="BJ36" s="1387"/>
      <c r="BK36" s="1387"/>
      <c r="BL36" s="1304"/>
      <c r="BM36" s="1304"/>
      <c r="BN36" s="248"/>
      <c r="BO36" s="1304"/>
      <c r="BP36" s="1304"/>
      <c r="BQ36" s="1303"/>
      <c r="BR36" s="1303"/>
      <c r="BS36" s="1303"/>
      <c r="BT36" s="1303"/>
      <c r="BU36" s="1388"/>
      <c r="BV36" s="1388"/>
      <c r="BW36" s="1388"/>
      <c r="BX36" s="1388"/>
      <c r="BY36" s="1388"/>
      <c r="BZ36" s="1388"/>
      <c r="CA36" s="1388"/>
      <c r="CB36" s="257"/>
    </row>
    <row r="37" spans="1:80" ht="3.95" customHeight="1" x14ac:dyDescent="0.25">
      <c r="A37" s="231"/>
      <c r="B37" s="1259"/>
      <c r="C37" s="1260"/>
      <c r="D37" s="1260"/>
      <c r="E37" s="1260"/>
      <c r="F37" s="1260"/>
      <c r="G37" s="1260"/>
      <c r="H37" s="1260"/>
      <c r="I37" s="1260"/>
      <c r="J37" s="1260"/>
      <c r="K37" s="1260"/>
      <c r="L37" s="1260"/>
      <c r="M37" s="1261"/>
      <c r="N37" s="1262"/>
      <c r="O37" s="1263"/>
      <c r="P37" s="1254"/>
      <c r="Q37" s="1255"/>
      <c r="R37" s="1255"/>
      <c r="S37" s="1255"/>
      <c r="T37" s="1255"/>
      <c r="U37" s="1255"/>
      <c r="V37" s="1255"/>
      <c r="W37" s="1255"/>
      <c r="X37" s="1255"/>
      <c r="Y37" s="1255"/>
      <c r="Z37" s="1255"/>
      <c r="AA37" s="1256"/>
      <c r="AB37" s="1257"/>
      <c r="AC37" s="1258"/>
      <c r="AD37" s="1254"/>
      <c r="AE37" s="1255"/>
      <c r="AF37" s="1255"/>
      <c r="AG37" s="1255"/>
      <c r="AH37" s="1255"/>
      <c r="AI37" s="1255"/>
      <c r="AJ37" s="1255"/>
      <c r="AK37" s="1255"/>
      <c r="AL37" s="1255"/>
      <c r="AM37" s="1255"/>
      <c r="AN37" s="1255"/>
      <c r="AO37" s="1256"/>
      <c r="AP37" s="1257"/>
      <c r="AQ37" s="1258"/>
      <c r="AR37" s="231"/>
      <c r="AT37" s="256"/>
      <c r="AU37" s="1352" t="s">
        <v>13</v>
      </c>
      <c r="AV37" s="1353"/>
      <c r="AW37" s="1354"/>
      <c r="AX37" s="1178"/>
      <c r="AY37" s="1179"/>
      <c r="AZ37" s="1179"/>
      <c r="BA37" s="1374">
        <f>IF(AX37&lt;10,ROUNDDOWN((AX37-10)/2,1),ROUNDDOWN((AX37-10)/2,0))</f>
        <v>-5</v>
      </c>
      <c r="BB37" s="1375"/>
      <c r="BC37" s="1376"/>
      <c r="BD37" s="248"/>
      <c r="BE37" s="1349" t="s">
        <v>26</v>
      </c>
      <c r="BF37" s="1350"/>
      <c r="BG37" s="1351"/>
      <c r="BH37" s="1365">
        <f>BL37+BO37+BR37</f>
        <v>-5</v>
      </c>
      <c r="BI37" s="1366"/>
      <c r="BJ37" s="1367"/>
      <c r="BK37" s="1389" t="s">
        <v>20</v>
      </c>
      <c r="BL37" s="1326">
        <f>ROUNDDOWN(AT10/2,0)</f>
        <v>0</v>
      </c>
      <c r="BM37" s="1327"/>
      <c r="BN37" s="1389" t="s">
        <v>21</v>
      </c>
      <c r="BO37" s="1326">
        <f>BA34</f>
        <v>-5</v>
      </c>
      <c r="BP37" s="1327"/>
      <c r="BQ37" s="1389" t="s">
        <v>21</v>
      </c>
      <c r="BR37" s="1328"/>
      <c r="BS37" s="1329"/>
      <c r="BT37" s="248"/>
      <c r="BU37" s="1388"/>
      <c r="BV37" s="1388"/>
      <c r="BW37" s="1388"/>
      <c r="BX37" s="1388"/>
      <c r="BY37" s="1388"/>
      <c r="BZ37" s="1388"/>
      <c r="CA37" s="1388"/>
      <c r="CB37" s="257"/>
    </row>
    <row r="38" spans="1:80" ht="3.95" customHeight="1" x14ac:dyDescent="0.25">
      <c r="A38" s="231"/>
      <c r="B38" s="1259"/>
      <c r="C38" s="1260"/>
      <c r="D38" s="1260"/>
      <c r="E38" s="1260"/>
      <c r="F38" s="1260"/>
      <c r="G38" s="1260"/>
      <c r="H38" s="1260"/>
      <c r="I38" s="1260"/>
      <c r="J38" s="1260"/>
      <c r="K38" s="1260"/>
      <c r="L38" s="1260"/>
      <c r="M38" s="1261"/>
      <c r="N38" s="1262"/>
      <c r="O38" s="1263"/>
      <c r="P38" s="1254"/>
      <c r="Q38" s="1255"/>
      <c r="R38" s="1255"/>
      <c r="S38" s="1255"/>
      <c r="T38" s="1255"/>
      <c r="U38" s="1255"/>
      <c r="V38" s="1255"/>
      <c r="W38" s="1255"/>
      <c r="X38" s="1255"/>
      <c r="Y38" s="1255"/>
      <c r="Z38" s="1255"/>
      <c r="AA38" s="1256"/>
      <c r="AB38" s="1257"/>
      <c r="AC38" s="1258"/>
      <c r="AD38" s="1235" t="s">
        <v>565</v>
      </c>
      <c r="AE38" s="1236"/>
      <c r="AF38" s="1236"/>
      <c r="AG38" s="1236"/>
      <c r="AH38" s="1241" t="s">
        <v>97</v>
      </c>
      <c r="AI38" s="1241"/>
      <c r="AJ38" s="1241"/>
      <c r="AK38" s="1244">
        <f>CD.magia.base+7</f>
        <v>17</v>
      </c>
      <c r="AL38" s="1244"/>
      <c r="AM38" s="1244"/>
      <c r="AN38" s="1244"/>
      <c r="AO38" s="1245"/>
      <c r="AP38" s="1475" t="str">
        <f>IF(NÍVEL.conjurador&gt;=(VLOOKUP(CONJURADOR,TABELA.classes,45,FALSE)),"ü","û")</f>
        <v>ü</v>
      </c>
      <c r="AQ38" s="1476"/>
      <c r="AR38" s="231"/>
      <c r="AT38" s="256"/>
      <c r="AU38" s="1352"/>
      <c r="AV38" s="1353"/>
      <c r="AW38" s="1354"/>
      <c r="AX38" s="1178"/>
      <c r="AY38" s="1179"/>
      <c r="AZ38" s="1179"/>
      <c r="BA38" s="1377"/>
      <c r="BB38" s="1378"/>
      <c r="BC38" s="1379"/>
      <c r="BD38" s="248"/>
      <c r="BE38" s="1352"/>
      <c r="BF38" s="1353"/>
      <c r="BG38" s="1354"/>
      <c r="BH38" s="1368"/>
      <c r="BI38" s="1369"/>
      <c r="BJ38" s="1370"/>
      <c r="BK38" s="1390"/>
      <c r="BL38" s="1322"/>
      <c r="BM38" s="1323"/>
      <c r="BN38" s="1390"/>
      <c r="BO38" s="1322"/>
      <c r="BP38" s="1323"/>
      <c r="BQ38" s="1390"/>
      <c r="BR38" s="1330"/>
      <c r="BS38" s="1331"/>
      <c r="BT38" s="248"/>
      <c r="BU38" s="1388"/>
      <c r="BV38" s="1388"/>
      <c r="BW38" s="1388"/>
      <c r="BX38" s="1388"/>
      <c r="BY38" s="1388"/>
      <c r="BZ38" s="1388"/>
      <c r="CA38" s="1388"/>
      <c r="CB38" s="257"/>
    </row>
    <row r="39" spans="1:80" ht="3.95" customHeight="1" thickBot="1" x14ac:dyDescent="0.3">
      <c r="A39" s="231"/>
      <c r="B39" s="1259"/>
      <c r="C39" s="1260"/>
      <c r="D39" s="1260"/>
      <c r="E39" s="1260"/>
      <c r="F39" s="1260"/>
      <c r="G39" s="1260"/>
      <c r="H39" s="1260"/>
      <c r="I39" s="1260"/>
      <c r="J39" s="1260"/>
      <c r="K39" s="1260"/>
      <c r="L39" s="1260"/>
      <c r="M39" s="1261"/>
      <c r="N39" s="1262"/>
      <c r="O39" s="1263"/>
      <c r="P39" s="1254"/>
      <c r="Q39" s="1255"/>
      <c r="R39" s="1255"/>
      <c r="S39" s="1255"/>
      <c r="T39" s="1255"/>
      <c r="U39" s="1255"/>
      <c r="V39" s="1255"/>
      <c r="W39" s="1255"/>
      <c r="X39" s="1255"/>
      <c r="Y39" s="1255"/>
      <c r="Z39" s="1255"/>
      <c r="AA39" s="1256"/>
      <c r="AB39" s="1257"/>
      <c r="AC39" s="1258"/>
      <c r="AD39" s="1237"/>
      <c r="AE39" s="1238"/>
      <c r="AF39" s="1238"/>
      <c r="AG39" s="1238"/>
      <c r="AH39" s="1242"/>
      <c r="AI39" s="1242"/>
      <c r="AJ39" s="1242"/>
      <c r="AK39" s="1246"/>
      <c r="AL39" s="1246"/>
      <c r="AM39" s="1246"/>
      <c r="AN39" s="1246"/>
      <c r="AO39" s="1247"/>
      <c r="AP39" s="1475"/>
      <c r="AQ39" s="1476"/>
      <c r="AR39" s="231"/>
      <c r="AT39" s="256"/>
      <c r="AU39" s="1352"/>
      <c r="AV39" s="1353"/>
      <c r="AW39" s="1354"/>
      <c r="AX39" s="1178"/>
      <c r="AY39" s="1179"/>
      <c r="AZ39" s="1179"/>
      <c r="BA39" s="1380"/>
      <c r="BB39" s="1381"/>
      <c r="BC39" s="1382"/>
      <c r="BD39" s="248"/>
      <c r="BE39" s="1352"/>
      <c r="BF39" s="1353"/>
      <c r="BG39" s="1354"/>
      <c r="BH39" s="1368"/>
      <c r="BI39" s="1369"/>
      <c r="BJ39" s="1370"/>
      <c r="BK39" s="1390"/>
      <c r="BL39" s="1322"/>
      <c r="BM39" s="1323"/>
      <c r="BN39" s="1390"/>
      <c r="BO39" s="1322"/>
      <c r="BP39" s="1323"/>
      <c r="BQ39" s="1390"/>
      <c r="BR39" s="1330"/>
      <c r="BS39" s="1331"/>
      <c r="BT39" s="248"/>
      <c r="BU39" s="1388"/>
      <c r="BV39" s="1388"/>
      <c r="BW39" s="1388"/>
      <c r="BX39" s="1388"/>
      <c r="BY39" s="1388"/>
      <c r="BZ39" s="1388"/>
      <c r="CA39" s="1388"/>
      <c r="CB39" s="257"/>
    </row>
    <row r="40" spans="1:80" ht="3.95" customHeight="1" x14ac:dyDescent="0.25">
      <c r="A40" s="231"/>
      <c r="B40" s="1259"/>
      <c r="C40" s="1260"/>
      <c r="D40" s="1260"/>
      <c r="E40" s="1260"/>
      <c r="F40" s="1260"/>
      <c r="G40" s="1260"/>
      <c r="H40" s="1260"/>
      <c r="I40" s="1260"/>
      <c r="J40" s="1260"/>
      <c r="K40" s="1260"/>
      <c r="L40" s="1260"/>
      <c r="M40" s="1261"/>
      <c r="N40" s="1262"/>
      <c r="O40" s="1263"/>
      <c r="P40" s="1254"/>
      <c r="Q40" s="1255"/>
      <c r="R40" s="1255"/>
      <c r="S40" s="1255"/>
      <c r="T40" s="1255"/>
      <c r="U40" s="1255"/>
      <c r="V40" s="1255"/>
      <c r="W40" s="1255"/>
      <c r="X40" s="1255"/>
      <c r="Y40" s="1255"/>
      <c r="Z40" s="1255"/>
      <c r="AA40" s="1256"/>
      <c r="AB40" s="1257"/>
      <c r="AC40" s="1258"/>
      <c r="AD40" s="1239"/>
      <c r="AE40" s="1240"/>
      <c r="AF40" s="1240"/>
      <c r="AG40" s="1240"/>
      <c r="AH40" s="1243"/>
      <c r="AI40" s="1243"/>
      <c r="AJ40" s="1243"/>
      <c r="AK40" s="1248"/>
      <c r="AL40" s="1248"/>
      <c r="AM40" s="1248"/>
      <c r="AN40" s="1248"/>
      <c r="AO40" s="1249"/>
      <c r="AP40" s="1475"/>
      <c r="AQ40" s="1476"/>
      <c r="AR40" s="231"/>
      <c r="AT40" s="256"/>
      <c r="AU40" s="1352" t="s">
        <v>14</v>
      </c>
      <c r="AV40" s="1353"/>
      <c r="AW40" s="1354"/>
      <c r="AX40" s="1178"/>
      <c r="AY40" s="1179"/>
      <c r="AZ40" s="1179"/>
      <c r="BA40" s="1374">
        <f>IF(AX40&lt;10,ROUNDDOWN((AX40-10)/2,1),ROUNDDOWN((AX40-10)/2,0))</f>
        <v>-5</v>
      </c>
      <c r="BB40" s="1375"/>
      <c r="BC40" s="1376"/>
      <c r="BD40" s="248"/>
      <c r="BE40" s="1352" t="s">
        <v>35</v>
      </c>
      <c r="BF40" s="1353"/>
      <c r="BG40" s="1354"/>
      <c r="BH40" s="1368">
        <f>BL40+BO40+BR40</f>
        <v>-5</v>
      </c>
      <c r="BI40" s="1369"/>
      <c r="BJ40" s="1370"/>
      <c r="BK40" s="1389" t="s">
        <v>20</v>
      </c>
      <c r="BL40" s="1322">
        <f>ROUNDDOWN(AT10/2,0)</f>
        <v>0</v>
      </c>
      <c r="BM40" s="1323"/>
      <c r="BN40" s="1389" t="s">
        <v>21</v>
      </c>
      <c r="BO40" s="1322">
        <f>BA31</f>
        <v>-5</v>
      </c>
      <c r="BP40" s="1323"/>
      <c r="BQ40" s="1389" t="s">
        <v>21</v>
      </c>
      <c r="BR40" s="1330"/>
      <c r="BS40" s="1331"/>
      <c r="BT40" s="248"/>
      <c r="BU40" s="1334"/>
      <c r="BV40" s="1335"/>
      <c r="BW40" s="1336"/>
      <c r="BX40" s="248"/>
      <c r="BY40" s="1334"/>
      <c r="BZ40" s="1335"/>
      <c r="CA40" s="1336"/>
      <c r="CB40" s="257"/>
    </row>
    <row r="41" spans="1:80" ht="3.95" customHeight="1" x14ac:dyDescent="0.25">
      <c r="A41" s="231"/>
      <c r="B41" s="1259"/>
      <c r="C41" s="1260"/>
      <c r="D41" s="1260"/>
      <c r="E41" s="1260"/>
      <c r="F41" s="1260"/>
      <c r="G41" s="1260"/>
      <c r="H41" s="1260"/>
      <c r="I41" s="1260"/>
      <c r="J41" s="1260"/>
      <c r="K41" s="1260"/>
      <c r="L41" s="1260"/>
      <c r="M41" s="1261"/>
      <c r="N41" s="1262"/>
      <c r="O41" s="1263"/>
      <c r="P41" s="1254"/>
      <c r="Q41" s="1255"/>
      <c r="R41" s="1255"/>
      <c r="S41" s="1255"/>
      <c r="T41" s="1255"/>
      <c r="U41" s="1255"/>
      <c r="V41" s="1255"/>
      <c r="W41" s="1255"/>
      <c r="X41" s="1255"/>
      <c r="Y41" s="1255"/>
      <c r="Z41" s="1255"/>
      <c r="AA41" s="1256"/>
      <c r="AB41" s="1257"/>
      <c r="AC41" s="1258"/>
      <c r="AD41" s="1254"/>
      <c r="AE41" s="1255"/>
      <c r="AF41" s="1255"/>
      <c r="AG41" s="1255"/>
      <c r="AH41" s="1255"/>
      <c r="AI41" s="1255"/>
      <c r="AJ41" s="1255"/>
      <c r="AK41" s="1255"/>
      <c r="AL41" s="1255"/>
      <c r="AM41" s="1255"/>
      <c r="AN41" s="1255"/>
      <c r="AO41" s="1256"/>
      <c r="AP41" s="1257"/>
      <c r="AQ41" s="1258"/>
      <c r="AR41" s="231"/>
      <c r="AT41" s="256"/>
      <c r="AU41" s="1352"/>
      <c r="AV41" s="1353"/>
      <c r="AW41" s="1354"/>
      <c r="AX41" s="1178"/>
      <c r="AY41" s="1179"/>
      <c r="AZ41" s="1179"/>
      <c r="BA41" s="1377"/>
      <c r="BB41" s="1378"/>
      <c r="BC41" s="1379"/>
      <c r="BD41" s="248"/>
      <c r="BE41" s="1352"/>
      <c r="BF41" s="1353"/>
      <c r="BG41" s="1354"/>
      <c r="BH41" s="1368"/>
      <c r="BI41" s="1369"/>
      <c r="BJ41" s="1370"/>
      <c r="BK41" s="1390"/>
      <c r="BL41" s="1322"/>
      <c r="BM41" s="1323"/>
      <c r="BN41" s="1390"/>
      <c r="BO41" s="1322"/>
      <c r="BP41" s="1323"/>
      <c r="BQ41" s="1390"/>
      <c r="BR41" s="1330"/>
      <c r="BS41" s="1331"/>
      <c r="BT41" s="248"/>
      <c r="BU41" s="1337"/>
      <c r="BV41" s="1338"/>
      <c r="BW41" s="1339"/>
      <c r="BX41" s="248"/>
      <c r="BY41" s="1337"/>
      <c r="BZ41" s="1338"/>
      <c r="CA41" s="1339"/>
      <c r="CB41" s="257"/>
    </row>
    <row r="42" spans="1:80" ht="3.95" customHeight="1" x14ac:dyDescent="0.25">
      <c r="A42" s="231"/>
      <c r="B42" s="1259"/>
      <c r="C42" s="1260"/>
      <c r="D42" s="1260"/>
      <c r="E42" s="1260"/>
      <c r="F42" s="1260"/>
      <c r="G42" s="1260"/>
      <c r="H42" s="1260"/>
      <c r="I42" s="1260"/>
      <c r="J42" s="1260"/>
      <c r="K42" s="1260"/>
      <c r="L42" s="1260"/>
      <c r="M42" s="1261"/>
      <c r="N42" s="1262"/>
      <c r="O42" s="1263"/>
      <c r="P42" s="1254"/>
      <c r="Q42" s="1255"/>
      <c r="R42" s="1255"/>
      <c r="S42" s="1255"/>
      <c r="T42" s="1255"/>
      <c r="U42" s="1255"/>
      <c r="V42" s="1255"/>
      <c r="W42" s="1255"/>
      <c r="X42" s="1255"/>
      <c r="Y42" s="1255"/>
      <c r="Z42" s="1255"/>
      <c r="AA42" s="1256"/>
      <c r="AB42" s="1257"/>
      <c r="AC42" s="1258"/>
      <c r="AD42" s="1254"/>
      <c r="AE42" s="1255"/>
      <c r="AF42" s="1255"/>
      <c r="AG42" s="1255"/>
      <c r="AH42" s="1255"/>
      <c r="AI42" s="1255"/>
      <c r="AJ42" s="1255"/>
      <c r="AK42" s="1255"/>
      <c r="AL42" s="1255"/>
      <c r="AM42" s="1255"/>
      <c r="AN42" s="1255"/>
      <c r="AO42" s="1256"/>
      <c r="AP42" s="1257"/>
      <c r="AQ42" s="1258"/>
      <c r="AR42" s="231"/>
      <c r="AT42" s="256"/>
      <c r="AU42" s="1352"/>
      <c r="AV42" s="1353"/>
      <c r="AW42" s="1354"/>
      <c r="AX42" s="1178"/>
      <c r="AY42" s="1179"/>
      <c r="AZ42" s="1179"/>
      <c r="BA42" s="1380"/>
      <c r="BB42" s="1381"/>
      <c r="BC42" s="1382"/>
      <c r="BD42" s="248"/>
      <c r="BE42" s="1352"/>
      <c r="BF42" s="1353"/>
      <c r="BG42" s="1354"/>
      <c r="BH42" s="1368"/>
      <c r="BI42" s="1369"/>
      <c r="BJ42" s="1370"/>
      <c r="BK42" s="1390"/>
      <c r="BL42" s="1322"/>
      <c r="BM42" s="1323"/>
      <c r="BN42" s="1390"/>
      <c r="BO42" s="1322"/>
      <c r="BP42" s="1323"/>
      <c r="BQ42" s="1390"/>
      <c r="BR42" s="1330"/>
      <c r="BS42" s="1331"/>
      <c r="BT42" s="248"/>
      <c r="BU42" s="1337"/>
      <c r="BV42" s="1338"/>
      <c r="BW42" s="1339"/>
      <c r="BX42" s="248"/>
      <c r="BY42" s="1337"/>
      <c r="BZ42" s="1338"/>
      <c r="CA42" s="1339"/>
      <c r="CB42" s="257"/>
    </row>
    <row r="43" spans="1:80" ht="3.95" customHeight="1" x14ac:dyDescent="0.25">
      <c r="A43" s="231"/>
      <c r="B43" s="1259"/>
      <c r="C43" s="1260"/>
      <c r="D43" s="1260"/>
      <c r="E43" s="1260"/>
      <c r="F43" s="1260"/>
      <c r="G43" s="1260"/>
      <c r="H43" s="1260"/>
      <c r="I43" s="1260"/>
      <c r="J43" s="1260"/>
      <c r="K43" s="1260"/>
      <c r="L43" s="1260"/>
      <c r="M43" s="1261"/>
      <c r="N43" s="1262"/>
      <c r="O43" s="1263"/>
      <c r="P43" s="1254"/>
      <c r="Q43" s="1255"/>
      <c r="R43" s="1255"/>
      <c r="S43" s="1255"/>
      <c r="T43" s="1255"/>
      <c r="U43" s="1255"/>
      <c r="V43" s="1255"/>
      <c r="W43" s="1255"/>
      <c r="X43" s="1255"/>
      <c r="Y43" s="1255"/>
      <c r="Z43" s="1255"/>
      <c r="AA43" s="1256"/>
      <c r="AB43" s="1257"/>
      <c r="AC43" s="1258"/>
      <c r="AD43" s="1254"/>
      <c r="AE43" s="1255"/>
      <c r="AF43" s="1255"/>
      <c r="AG43" s="1255"/>
      <c r="AH43" s="1255"/>
      <c r="AI43" s="1255"/>
      <c r="AJ43" s="1255"/>
      <c r="AK43" s="1255"/>
      <c r="AL43" s="1255"/>
      <c r="AM43" s="1255"/>
      <c r="AN43" s="1255"/>
      <c r="AO43" s="1256"/>
      <c r="AP43" s="1257"/>
      <c r="AQ43" s="1258"/>
      <c r="AR43" s="231"/>
      <c r="AT43" s="256"/>
      <c r="AU43" s="1352" t="s">
        <v>15</v>
      </c>
      <c r="AV43" s="1353"/>
      <c r="AW43" s="1354"/>
      <c r="AX43" s="1178"/>
      <c r="AY43" s="1179"/>
      <c r="AZ43" s="1179"/>
      <c r="BA43" s="1374">
        <f>IF(AX43&lt;10,ROUNDDOWN((AX43-10)/2,1),ROUNDDOWN((AX43-10)/2,0))</f>
        <v>-5</v>
      </c>
      <c r="BB43" s="1375"/>
      <c r="BC43" s="1376"/>
      <c r="BD43" s="248"/>
      <c r="BE43" s="1352" t="s">
        <v>36</v>
      </c>
      <c r="BF43" s="1353"/>
      <c r="BG43" s="1354"/>
      <c r="BH43" s="1368">
        <f>BL43+BO43+BR43</f>
        <v>-5</v>
      </c>
      <c r="BI43" s="1369"/>
      <c r="BJ43" s="1370"/>
      <c r="BK43" s="1389" t="s">
        <v>20</v>
      </c>
      <c r="BL43" s="1322">
        <f>ROUNDDOWN(AT10/2,0)</f>
        <v>0</v>
      </c>
      <c r="BM43" s="1323"/>
      <c r="BN43" s="1389" t="s">
        <v>21</v>
      </c>
      <c r="BO43" s="1322">
        <f>BA40</f>
        <v>-5</v>
      </c>
      <c r="BP43" s="1323"/>
      <c r="BQ43" s="1389" t="s">
        <v>21</v>
      </c>
      <c r="BR43" s="1330"/>
      <c r="BS43" s="1331"/>
      <c r="BT43" s="248"/>
      <c r="BU43" s="1337"/>
      <c r="BV43" s="1338"/>
      <c r="BW43" s="1339"/>
      <c r="BX43" s="248"/>
      <c r="BY43" s="1337"/>
      <c r="BZ43" s="1338"/>
      <c r="CA43" s="1339"/>
      <c r="CB43" s="257"/>
    </row>
    <row r="44" spans="1:80" ht="3.95" customHeight="1" x14ac:dyDescent="0.25">
      <c r="A44" s="231"/>
      <c r="B44" s="1259"/>
      <c r="C44" s="1260"/>
      <c r="D44" s="1260"/>
      <c r="E44" s="1260"/>
      <c r="F44" s="1260"/>
      <c r="G44" s="1260"/>
      <c r="H44" s="1260"/>
      <c r="I44" s="1260"/>
      <c r="J44" s="1260"/>
      <c r="K44" s="1260"/>
      <c r="L44" s="1260"/>
      <c r="M44" s="1261"/>
      <c r="N44" s="1262"/>
      <c r="O44" s="1263"/>
      <c r="P44" s="1254"/>
      <c r="Q44" s="1255"/>
      <c r="R44" s="1255"/>
      <c r="S44" s="1255"/>
      <c r="T44" s="1255"/>
      <c r="U44" s="1255"/>
      <c r="V44" s="1255"/>
      <c r="W44" s="1255"/>
      <c r="X44" s="1255"/>
      <c r="Y44" s="1255"/>
      <c r="Z44" s="1255"/>
      <c r="AA44" s="1256"/>
      <c r="AB44" s="1257"/>
      <c r="AC44" s="1258"/>
      <c r="AD44" s="1254"/>
      <c r="AE44" s="1255"/>
      <c r="AF44" s="1255"/>
      <c r="AG44" s="1255"/>
      <c r="AH44" s="1255"/>
      <c r="AI44" s="1255"/>
      <c r="AJ44" s="1255"/>
      <c r="AK44" s="1255"/>
      <c r="AL44" s="1255"/>
      <c r="AM44" s="1255"/>
      <c r="AN44" s="1255"/>
      <c r="AO44" s="1256"/>
      <c r="AP44" s="1257"/>
      <c r="AQ44" s="1258"/>
      <c r="AR44" s="231"/>
      <c r="AT44" s="256"/>
      <c r="AU44" s="1352"/>
      <c r="AV44" s="1353"/>
      <c r="AW44" s="1354"/>
      <c r="AX44" s="1178"/>
      <c r="AY44" s="1179"/>
      <c r="AZ44" s="1179"/>
      <c r="BA44" s="1377"/>
      <c r="BB44" s="1378"/>
      <c r="BC44" s="1379"/>
      <c r="BD44" s="248"/>
      <c r="BE44" s="1352"/>
      <c r="BF44" s="1353"/>
      <c r="BG44" s="1354"/>
      <c r="BH44" s="1368"/>
      <c r="BI44" s="1369"/>
      <c r="BJ44" s="1370"/>
      <c r="BK44" s="1390"/>
      <c r="BL44" s="1322"/>
      <c r="BM44" s="1323"/>
      <c r="BN44" s="1390"/>
      <c r="BO44" s="1322"/>
      <c r="BP44" s="1323"/>
      <c r="BQ44" s="1390"/>
      <c r="BR44" s="1330"/>
      <c r="BS44" s="1331"/>
      <c r="BT44" s="248"/>
      <c r="BU44" s="1337"/>
      <c r="BV44" s="1338"/>
      <c r="BW44" s="1339"/>
      <c r="BX44" s="248"/>
      <c r="BY44" s="1337"/>
      <c r="BZ44" s="1338"/>
      <c r="CA44" s="1339"/>
      <c r="CB44" s="257"/>
    </row>
    <row r="45" spans="1:80" ht="3.95" customHeight="1" thickBot="1" x14ac:dyDescent="0.3">
      <c r="A45" s="231"/>
      <c r="B45" s="1259"/>
      <c r="C45" s="1260"/>
      <c r="D45" s="1260"/>
      <c r="E45" s="1260"/>
      <c r="F45" s="1260"/>
      <c r="G45" s="1260"/>
      <c r="H45" s="1260"/>
      <c r="I45" s="1260"/>
      <c r="J45" s="1260"/>
      <c r="K45" s="1260"/>
      <c r="L45" s="1260"/>
      <c r="M45" s="1261"/>
      <c r="N45" s="1262"/>
      <c r="O45" s="1263"/>
      <c r="P45" s="1254"/>
      <c r="Q45" s="1255"/>
      <c r="R45" s="1255"/>
      <c r="S45" s="1255"/>
      <c r="T45" s="1255"/>
      <c r="U45" s="1255"/>
      <c r="V45" s="1255"/>
      <c r="W45" s="1255"/>
      <c r="X45" s="1255"/>
      <c r="Y45" s="1255"/>
      <c r="Z45" s="1255"/>
      <c r="AA45" s="1256"/>
      <c r="AB45" s="1257"/>
      <c r="AC45" s="1258"/>
      <c r="AD45" s="1254"/>
      <c r="AE45" s="1255"/>
      <c r="AF45" s="1255"/>
      <c r="AG45" s="1255"/>
      <c r="AH45" s="1255"/>
      <c r="AI45" s="1255"/>
      <c r="AJ45" s="1255"/>
      <c r="AK45" s="1255"/>
      <c r="AL45" s="1255"/>
      <c r="AM45" s="1255"/>
      <c r="AN45" s="1255"/>
      <c r="AO45" s="1256"/>
      <c r="AP45" s="1257"/>
      <c r="AQ45" s="1258"/>
      <c r="AR45" s="231"/>
      <c r="AT45" s="256"/>
      <c r="AU45" s="1355"/>
      <c r="AV45" s="1356"/>
      <c r="AW45" s="1357"/>
      <c r="AX45" s="1180"/>
      <c r="AY45" s="1181"/>
      <c r="AZ45" s="1181"/>
      <c r="BA45" s="1383"/>
      <c r="BB45" s="1384"/>
      <c r="BC45" s="1385"/>
      <c r="BD45" s="248"/>
      <c r="BE45" s="1355"/>
      <c r="BF45" s="1356"/>
      <c r="BG45" s="1357"/>
      <c r="BH45" s="1371"/>
      <c r="BI45" s="1372"/>
      <c r="BJ45" s="1373"/>
      <c r="BK45" s="1390"/>
      <c r="BL45" s="1324"/>
      <c r="BM45" s="1325"/>
      <c r="BN45" s="1390"/>
      <c r="BO45" s="1324"/>
      <c r="BP45" s="1325"/>
      <c r="BQ45" s="1390"/>
      <c r="BR45" s="1332"/>
      <c r="BS45" s="1333"/>
      <c r="BT45" s="248"/>
      <c r="BU45" s="1340"/>
      <c r="BV45" s="1341"/>
      <c r="BW45" s="1342"/>
      <c r="BX45" s="248"/>
      <c r="BY45" s="1340"/>
      <c r="BZ45" s="1341"/>
      <c r="CA45" s="1342"/>
      <c r="CB45" s="257"/>
    </row>
    <row r="46" spans="1:80" ht="3.95" customHeight="1" x14ac:dyDescent="0.25">
      <c r="A46" s="231"/>
      <c r="B46" s="1259"/>
      <c r="C46" s="1260"/>
      <c r="D46" s="1260"/>
      <c r="E46" s="1260"/>
      <c r="F46" s="1260"/>
      <c r="G46" s="1260"/>
      <c r="H46" s="1260"/>
      <c r="I46" s="1260"/>
      <c r="J46" s="1260"/>
      <c r="K46" s="1260"/>
      <c r="L46" s="1260"/>
      <c r="M46" s="1261"/>
      <c r="N46" s="1262"/>
      <c r="O46" s="1263"/>
      <c r="P46" s="1254"/>
      <c r="Q46" s="1255"/>
      <c r="R46" s="1255"/>
      <c r="S46" s="1255"/>
      <c r="T46" s="1255"/>
      <c r="U46" s="1255"/>
      <c r="V46" s="1255"/>
      <c r="W46" s="1255"/>
      <c r="X46" s="1255"/>
      <c r="Y46" s="1255"/>
      <c r="Z46" s="1255"/>
      <c r="AA46" s="1256"/>
      <c r="AB46" s="1257"/>
      <c r="AC46" s="1258"/>
      <c r="AD46" s="1254"/>
      <c r="AE46" s="1255"/>
      <c r="AF46" s="1255"/>
      <c r="AG46" s="1255"/>
      <c r="AH46" s="1255"/>
      <c r="AI46" s="1255"/>
      <c r="AJ46" s="1255"/>
      <c r="AK46" s="1255"/>
      <c r="AL46" s="1255"/>
      <c r="AM46" s="1255"/>
      <c r="AN46" s="1255"/>
      <c r="AO46" s="1256"/>
      <c r="AP46" s="1257"/>
      <c r="AQ46" s="1258"/>
      <c r="AR46" s="231"/>
      <c r="AT46" s="256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  <c r="BM46" s="248"/>
      <c r="BN46" s="248"/>
      <c r="BO46" s="248"/>
      <c r="BP46" s="248"/>
      <c r="BQ46" s="248"/>
      <c r="BR46" s="248"/>
      <c r="BS46" s="248"/>
      <c r="BT46" s="255"/>
      <c r="BU46" s="1303" t="s">
        <v>590</v>
      </c>
      <c r="BV46" s="1303"/>
      <c r="BW46" s="1303"/>
      <c r="BX46" s="255"/>
      <c r="BY46" s="1303" t="s">
        <v>32</v>
      </c>
      <c r="BZ46" s="1303"/>
      <c r="CA46" s="1303"/>
      <c r="CB46" s="257"/>
    </row>
    <row r="47" spans="1:80" ht="3.95" customHeight="1" x14ac:dyDescent="0.25">
      <c r="A47" s="231"/>
      <c r="B47" s="1259"/>
      <c r="C47" s="1260"/>
      <c r="D47" s="1260"/>
      <c r="E47" s="1260"/>
      <c r="F47" s="1260"/>
      <c r="G47" s="1260"/>
      <c r="H47" s="1260"/>
      <c r="I47" s="1260"/>
      <c r="J47" s="1260"/>
      <c r="K47" s="1260"/>
      <c r="L47" s="1260"/>
      <c r="M47" s="1261"/>
      <c r="N47" s="1262"/>
      <c r="O47" s="1263"/>
      <c r="P47" s="1254"/>
      <c r="Q47" s="1255"/>
      <c r="R47" s="1255"/>
      <c r="S47" s="1255"/>
      <c r="T47" s="1255"/>
      <c r="U47" s="1255"/>
      <c r="V47" s="1255"/>
      <c r="W47" s="1255"/>
      <c r="X47" s="1255"/>
      <c r="Y47" s="1255"/>
      <c r="Z47" s="1255"/>
      <c r="AA47" s="1256"/>
      <c r="AB47" s="1257"/>
      <c r="AC47" s="1258"/>
      <c r="AD47" s="1254"/>
      <c r="AE47" s="1255"/>
      <c r="AF47" s="1255"/>
      <c r="AG47" s="1255"/>
      <c r="AH47" s="1255"/>
      <c r="AI47" s="1255"/>
      <c r="AJ47" s="1255"/>
      <c r="AK47" s="1255"/>
      <c r="AL47" s="1255"/>
      <c r="AM47" s="1255"/>
      <c r="AN47" s="1255"/>
      <c r="AO47" s="1256"/>
      <c r="AP47" s="1257"/>
      <c r="AQ47" s="1258"/>
      <c r="AR47" s="231"/>
      <c r="AT47" s="256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  <c r="BM47" s="248"/>
      <c r="BN47" s="248"/>
      <c r="BO47" s="248"/>
      <c r="BP47" s="248"/>
      <c r="BQ47" s="248"/>
      <c r="BR47" s="248"/>
      <c r="BS47" s="248"/>
      <c r="BT47" s="255"/>
      <c r="BU47" s="1303"/>
      <c r="BV47" s="1303"/>
      <c r="BW47" s="1303"/>
      <c r="BX47" s="255"/>
      <c r="BY47" s="1303"/>
      <c r="BZ47" s="1303"/>
      <c r="CA47" s="1303"/>
      <c r="CB47" s="257"/>
    </row>
    <row r="48" spans="1:80" ht="3.95" customHeight="1" x14ac:dyDescent="0.25">
      <c r="A48" s="231"/>
      <c r="B48" s="1259"/>
      <c r="C48" s="1260"/>
      <c r="D48" s="1260"/>
      <c r="E48" s="1260"/>
      <c r="F48" s="1260"/>
      <c r="G48" s="1260"/>
      <c r="H48" s="1260"/>
      <c r="I48" s="1260"/>
      <c r="J48" s="1260"/>
      <c r="K48" s="1260"/>
      <c r="L48" s="1260"/>
      <c r="M48" s="1261"/>
      <c r="N48" s="1262"/>
      <c r="O48" s="1263"/>
      <c r="P48" s="1254"/>
      <c r="Q48" s="1255"/>
      <c r="R48" s="1255"/>
      <c r="S48" s="1255"/>
      <c r="T48" s="1255"/>
      <c r="U48" s="1255"/>
      <c r="V48" s="1255"/>
      <c r="W48" s="1255"/>
      <c r="X48" s="1255"/>
      <c r="Y48" s="1255"/>
      <c r="Z48" s="1255"/>
      <c r="AA48" s="1256"/>
      <c r="AB48" s="1257"/>
      <c r="AC48" s="1258"/>
      <c r="AD48" s="1254"/>
      <c r="AE48" s="1255"/>
      <c r="AF48" s="1255"/>
      <c r="AG48" s="1255"/>
      <c r="AH48" s="1255"/>
      <c r="AI48" s="1255"/>
      <c r="AJ48" s="1255"/>
      <c r="AK48" s="1255"/>
      <c r="AL48" s="1255"/>
      <c r="AM48" s="1255"/>
      <c r="AN48" s="1255"/>
      <c r="AO48" s="1256"/>
      <c r="AP48" s="1257"/>
      <c r="AQ48" s="1258"/>
      <c r="AR48" s="231"/>
      <c r="AT48" s="258"/>
      <c r="AU48" s="259"/>
      <c r="AV48" s="259"/>
      <c r="AW48" s="259"/>
      <c r="AX48" s="259"/>
      <c r="AY48" s="259"/>
      <c r="AZ48" s="259"/>
      <c r="BA48" s="259"/>
      <c r="BB48" s="259"/>
      <c r="BC48" s="259"/>
      <c r="BD48" s="259"/>
      <c r="BE48" s="259"/>
      <c r="BF48" s="259"/>
      <c r="BG48" s="259"/>
      <c r="BH48" s="259"/>
      <c r="BI48" s="259"/>
      <c r="BJ48" s="259"/>
      <c r="BK48" s="259"/>
      <c r="BL48" s="259"/>
      <c r="BM48" s="259"/>
      <c r="BN48" s="259"/>
      <c r="BO48" s="259"/>
      <c r="BP48" s="259"/>
      <c r="BQ48" s="259"/>
      <c r="BR48" s="259"/>
      <c r="BS48" s="259"/>
      <c r="BT48" s="260"/>
      <c r="BU48" s="1304"/>
      <c r="BV48" s="1304"/>
      <c r="BW48" s="1304"/>
      <c r="BX48" s="260"/>
      <c r="BY48" s="1304"/>
      <c r="BZ48" s="1304"/>
      <c r="CA48" s="1304"/>
      <c r="CB48" s="261"/>
    </row>
    <row r="49" spans="1:80" ht="3.95" customHeight="1" x14ac:dyDescent="0.25">
      <c r="A49" s="231"/>
      <c r="B49" s="1500"/>
      <c r="C49" s="1501"/>
      <c r="D49" s="1501"/>
      <c r="E49" s="1501"/>
      <c r="F49" s="1501"/>
      <c r="G49" s="1501"/>
      <c r="H49" s="1501"/>
      <c r="I49" s="1501"/>
      <c r="J49" s="1501"/>
      <c r="K49" s="1501"/>
      <c r="L49" s="1501"/>
      <c r="M49" s="1502"/>
      <c r="N49" s="1503"/>
      <c r="O49" s="1504"/>
      <c r="P49" s="1254"/>
      <c r="Q49" s="1255"/>
      <c r="R49" s="1255"/>
      <c r="S49" s="1255"/>
      <c r="T49" s="1255"/>
      <c r="U49" s="1255"/>
      <c r="V49" s="1255"/>
      <c r="W49" s="1255"/>
      <c r="X49" s="1255"/>
      <c r="Y49" s="1255"/>
      <c r="Z49" s="1255"/>
      <c r="AA49" s="1256"/>
      <c r="AB49" s="1257"/>
      <c r="AC49" s="1258"/>
      <c r="AD49" s="1254"/>
      <c r="AE49" s="1255"/>
      <c r="AF49" s="1255"/>
      <c r="AG49" s="1255"/>
      <c r="AH49" s="1255"/>
      <c r="AI49" s="1255"/>
      <c r="AJ49" s="1255"/>
      <c r="AK49" s="1255"/>
      <c r="AL49" s="1255"/>
      <c r="AM49" s="1255"/>
      <c r="AN49" s="1255"/>
      <c r="AO49" s="1256"/>
      <c r="AP49" s="1257"/>
      <c r="AQ49" s="1258"/>
      <c r="AR49" s="231"/>
      <c r="AT49" s="1300" t="s">
        <v>591</v>
      </c>
      <c r="AU49" s="1301"/>
      <c r="AV49" s="1301"/>
      <c r="AW49" s="1301"/>
      <c r="AX49" s="1301"/>
      <c r="AY49" s="1301"/>
      <c r="AZ49" s="1301"/>
      <c r="BA49" s="1301"/>
      <c r="BB49" s="1301"/>
      <c r="BC49" s="1301"/>
      <c r="BD49" s="1301"/>
      <c r="BE49" s="1305"/>
      <c r="BF49" s="1308" t="s">
        <v>55</v>
      </c>
      <c r="BG49" s="1308"/>
      <c r="BH49" s="1308"/>
      <c r="BI49" s="1308" t="s">
        <v>56</v>
      </c>
      <c r="BJ49" s="1308"/>
      <c r="BK49" s="1308"/>
      <c r="BL49" s="1308"/>
      <c r="BM49" s="1308"/>
      <c r="BN49" s="1308" t="s">
        <v>57</v>
      </c>
      <c r="BO49" s="1308"/>
      <c r="BP49" s="1308"/>
      <c r="BQ49" s="1308" t="s">
        <v>183</v>
      </c>
      <c r="BR49" s="1308"/>
      <c r="BS49" s="1308"/>
      <c r="BT49" s="1308"/>
      <c r="BU49" s="1308"/>
      <c r="BV49" s="1308"/>
      <c r="BW49" s="1308"/>
      <c r="BX49" s="1308"/>
      <c r="BY49" s="1308"/>
      <c r="BZ49" s="1308"/>
      <c r="CA49" s="1308"/>
      <c r="CB49" s="1310"/>
    </row>
    <row r="50" spans="1:80" ht="3.95" customHeight="1" x14ac:dyDescent="0.25">
      <c r="A50" s="231"/>
      <c r="B50" s="1235" t="s">
        <v>559</v>
      </c>
      <c r="C50" s="1236"/>
      <c r="D50" s="1236"/>
      <c r="E50" s="1236"/>
      <c r="F50" s="1241" t="s">
        <v>97</v>
      </c>
      <c r="G50" s="1241"/>
      <c r="H50" s="1241"/>
      <c r="I50" s="1244">
        <f>CD.magia.base+1</f>
        <v>11</v>
      </c>
      <c r="J50" s="1244"/>
      <c r="K50" s="1244"/>
      <c r="L50" s="1244"/>
      <c r="M50" s="1245"/>
      <c r="N50" s="1541" t="str">
        <f>IF(NÍVEL.conjurador&gt;=(VLOOKUP(CONJURADOR,TABELA.classes,39,FALSE)),"ü","û")</f>
        <v>ü</v>
      </c>
      <c r="O50" s="1542"/>
      <c r="P50" s="1254"/>
      <c r="Q50" s="1255"/>
      <c r="R50" s="1255"/>
      <c r="S50" s="1255"/>
      <c r="T50" s="1255"/>
      <c r="U50" s="1255"/>
      <c r="V50" s="1255"/>
      <c r="W50" s="1255"/>
      <c r="X50" s="1255"/>
      <c r="Y50" s="1255"/>
      <c r="Z50" s="1255"/>
      <c r="AA50" s="1256"/>
      <c r="AB50" s="1257"/>
      <c r="AC50" s="1258"/>
      <c r="AD50" s="1254"/>
      <c r="AE50" s="1255"/>
      <c r="AF50" s="1255"/>
      <c r="AG50" s="1255"/>
      <c r="AH50" s="1255"/>
      <c r="AI50" s="1255"/>
      <c r="AJ50" s="1255"/>
      <c r="AK50" s="1255"/>
      <c r="AL50" s="1255"/>
      <c r="AM50" s="1255"/>
      <c r="AN50" s="1255"/>
      <c r="AO50" s="1256"/>
      <c r="AP50" s="1257"/>
      <c r="AQ50" s="1258"/>
      <c r="AR50" s="231"/>
      <c r="AT50" s="1277"/>
      <c r="AU50" s="1278"/>
      <c r="AV50" s="1278"/>
      <c r="AW50" s="1278"/>
      <c r="AX50" s="1278"/>
      <c r="AY50" s="1278"/>
      <c r="AZ50" s="1278"/>
      <c r="BA50" s="1278"/>
      <c r="BB50" s="1278"/>
      <c r="BC50" s="1278"/>
      <c r="BD50" s="1278"/>
      <c r="BE50" s="1306"/>
      <c r="BF50" s="1309"/>
      <c r="BG50" s="1309"/>
      <c r="BH50" s="1309"/>
      <c r="BI50" s="1309"/>
      <c r="BJ50" s="1309"/>
      <c r="BK50" s="1309"/>
      <c r="BL50" s="1309"/>
      <c r="BM50" s="1309"/>
      <c r="BN50" s="1309"/>
      <c r="BO50" s="1309"/>
      <c r="BP50" s="1309"/>
      <c r="BQ50" s="1309"/>
      <c r="BR50" s="1309"/>
      <c r="BS50" s="1309"/>
      <c r="BT50" s="1309"/>
      <c r="BU50" s="1309"/>
      <c r="BV50" s="1309"/>
      <c r="BW50" s="1309"/>
      <c r="BX50" s="1309"/>
      <c r="BY50" s="1309"/>
      <c r="BZ50" s="1309"/>
      <c r="CA50" s="1309"/>
      <c r="CB50" s="1311"/>
    </row>
    <row r="51" spans="1:80" ht="3.95" customHeight="1" x14ac:dyDescent="0.25">
      <c r="A51" s="231"/>
      <c r="B51" s="1237"/>
      <c r="C51" s="1238"/>
      <c r="D51" s="1238"/>
      <c r="E51" s="1238"/>
      <c r="F51" s="1242"/>
      <c r="G51" s="1242"/>
      <c r="H51" s="1242"/>
      <c r="I51" s="1246"/>
      <c r="J51" s="1246"/>
      <c r="K51" s="1246"/>
      <c r="L51" s="1246"/>
      <c r="M51" s="1247"/>
      <c r="N51" s="1543"/>
      <c r="O51" s="1544"/>
      <c r="P51" s="1254"/>
      <c r="Q51" s="1255"/>
      <c r="R51" s="1255"/>
      <c r="S51" s="1255"/>
      <c r="T51" s="1255"/>
      <c r="U51" s="1255"/>
      <c r="V51" s="1255"/>
      <c r="W51" s="1255"/>
      <c r="X51" s="1255"/>
      <c r="Y51" s="1255"/>
      <c r="Z51" s="1255"/>
      <c r="AA51" s="1256"/>
      <c r="AB51" s="1257"/>
      <c r="AC51" s="1258"/>
      <c r="AD51" s="1254"/>
      <c r="AE51" s="1255"/>
      <c r="AF51" s="1255"/>
      <c r="AG51" s="1255"/>
      <c r="AH51" s="1255"/>
      <c r="AI51" s="1255"/>
      <c r="AJ51" s="1255"/>
      <c r="AK51" s="1255"/>
      <c r="AL51" s="1255"/>
      <c r="AM51" s="1255"/>
      <c r="AN51" s="1255"/>
      <c r="AO51" s="1256"/>
      <c r="AP51" s="1257"/>
      <c r="AQ51" s="1258"/>
      <c r="AR51" s="231"/>
      <c r="AT51" s="1292"/>
      <c r="AU51" s="1293"/>
      <c r="AV51" s="1293"/>
      <c r="AW51" s="1293"/>
      <c r="AX51" s="1293"/>
      <c r="AY51" s="1293"/>
      <c r="AZ51" s="1293"/>
      <c r="BA51" s="1293"/>
      <c r="BB51" s="1293"/>
      <c r="BC51" s="1293"/>
      <c r="BD51" s="1293"/>
      <c r="BE51" s="1307"/>
      <c r="BF51" s="1309"/>
      <c r="BG51" s="1309"/>
      <c r="BH51" s="1309"/>
      <c r="BI51" s="1309"/>
      <c r="BJ51" s="1309"/>
      <c r="BK51" s="1309"/>
      <c r="BL51" s="1309"/>
      <c r="BM51" s="1309"/>
      <c r="BN51" s="1309"/>
      <c r="BO51" s="1309"/>
      <c r="BP51" s="1309"/>
      <c r="BQ51" s="1309"/>
      <c r="BR51" s="1309"/>
      <c r="BS51" s="1309"/>
      <c r="BT51" s="1309"/>
      <c r="BU51" s="1309"/>
      <c r="BV51" s="1309"/>
      <c r="BW51" s="1309"/>
      <c r="BX51" s="1309"/>
      <c r="BY51" s="1309"/>
      <c r="BZ51" s="1309"/>
      <c r="CA51" s="1309"/>
      <c r="CB51" s="1311"/>
    </row>
    <row r="52" spans="1:80" ht="3.95" customHeight="1" x14ac:dyDescent="0.25">
      <c r="A52" s="231"/>
      <c r="B52" s="1239"/>
      <c r="C52" s="1240"/>
      <c r="D52" s="1240"/>
      <c r="E52" s="1240"/>
      <c r="F52" s="1243"/>
      <c r="G52" s="1243"/>
      <c r="H52" s="1243"/>
      <c r="I52" s="1248"/>
      <c r="J52" s="1248"/>
      <c r="K52" s="1248"/>
      <c r="L52" s="1248"/>
      <c r="M52" s="1249"/>
      <c r="N52" s="1545"/>
      <c r="O52" s="1546"/>
      <c r="P52" s="1254"/>
      <c r="Q52" s="1255"/>
      <c r="R52" s="1255"/>
      <c r="S52" s="1255"/>
      <c r="T52" s="1255"/>
      <c r="U52" s="1255"/>
      <c r="V52" s="1255"/>
      <c r="W52" s="1255"/>
      <c r="X52" s="1255"/>
      <c r="Y52" s="1255"/>
      <c r="Z52" s="1255"/>
      <c r="AA52" s="1256"/>
      <c r="AB52" s="1257"/>
      <c r="AC52" s="1258"/>
      <c r="AD52" s="1254"/>
      <c r="AE52" s="1255"/>
      <c r="AF52" s="1255"/>
      <c r="AG52" s="1255"/>
      <c r="AH52" s="1255"/>
      <c r="AI52" s="1255"/>
      <c r="AJ52" s="1255"/>
      <c r="AK52" s="1255"/>
      <c r="AL52" s="1255"/>
      <c r="AM52" s="1255"/>
      <c r="AN52" s="1255"/>
      <c r="AO52" s="1256"/>
      <c r="AP52" s="1257"/>
      <c r="AQ52" s="1258"/>
      <c r="AR52" s="231"/>
      <c r="AT52" s="1312"/>
      <c r="AU52" s="1313"/>
      <c r="AV52" s="1313"/>
      <c r="AW52" s="1313"/>
      <c r="AX52" s="1313"/>
      <c r="AY52" s="1313"/>
      <c r="AZ52" s="1313"/>
      <c r="BA52" s="1313"/>
      <c r="BB52" s="1313"/>
      <c r="BC52" s="1313"/>
      <c r="BD52" s="1313"/>
      <c r="BE52" s="1313"/>
      <c r="BF52" s="1316"/>
      <c r="BG52" s="1316"/>
      <c r="BH52" s="1316"/>
      <c r="BI52" s="1318"/>
      <c r="BJ52" s="1318"/>
      <c r="BK52" s="1318"/>
      <c r="BL52" s="1318"/>
      <c r="BM52" s="1318"/>
      <c r="BN52" s="1318"/>
      <c r="BO52" s="1318"/>
      <c r="BP52" s="1318"/>
      <c r="BQ52" s="1318"/>
      <c r="BR52" s="1318"/>
      <c r="BS52" s="1318"/>
      <c r="BT52" s="1318"/>
      <c r="BU52" s="1318"/>
      <c r="BV52" s="1318"/>
      <c r="BW52" s="1318"/>
      <c r="BX52" s="1318"/>
      <c r="BY52" s="1318"/>
      <c r="BZ52" s="1318"/>
      <c r="CA52" s="1318"/>
      <c r="CB52" s="1320"/>
    </row>
    <row r="53" spans="1:80" ht="3.95" customHeight="1" x14ac:dyDescent="0.25">
      <c r="A53" s="231"/>
      <c r="B53" s="1259"/>
      <c r="C53" s="1260"/>
      <c r="D53" s="1260"/>
      <c r="E53" s="1260"/>
      <c r="F53" s="1260"/>
      <c r="G53" s="1260"/>
      <c r="H53" s="1260"/>
      <c r="I53" s="1260"/>
      <c r="J53" s="1260"/>
      <c r="K53" s="1260"/>
      <c r="L53" s="1260"/>
      <c r="M53" s="1261"/>
      <c r="N53" s="1262"/>
      <c r="O53" s="1263"/>
      <c r="P53" s="1235" t="s">
        <v>562</v>
      </c>
      <c r="Q53" s="1236"/>
      <c r="R53" s="1236"/>
      <c r="S53" s="1236"/>
      <c r="T53" s="1241" t="s">
        <v>97</v>
      </c>
      <c r="U53" s="1241"/>
      <c r="V53" s="1241"/>
      <c r="W53" s="1244">
        <f>CD.magia.base+4</f>
        <v>14</v>
      </c>
      <c r="X53" s="1244"/>
      <c r="Y53" s="1244"/>
      <c r="Z53" s="1244"/>
      <c r="AA53" s="1245"/>
      <c r="AB53" s="1475" t="str">
        <f>IF(NÍVEL.conjurador&gt;=(VLOOKUP(CONJURADOR,TABELA.classes,42,FALSE)),"ü","û")</f>
        <v>ü</v>
      </c>
      <c r="AC53" s="1476"/>
      <c r="AD53" s="1254"/>
      <c r="AE53" s="1255"/>
      <c r="AF53" s="1255"/>
      <c r="AG53" s="1255"/>
      <c r="AH53" s="1255"/>
      <c r="AI53" s="1255"/>
      <c r="AJ53" s="1255"/>
      <c r="AK53" s="1255"/>
      <c r="AL53" s="1255"/>
      <c r="AM53" s="1255"/>
      <c r="AN53" s="1255"/>
      <c r="AO53" s="1256"/>
      <c r="AP53" s="1257"/>
      <c r="AQ53" s="1258"/>
      <c r="AR53" s="231"/>
      <c r="AT53" s="1312"/>
      <c r="AU53" s="1313"/>
      <c r="AV53" s="1313"/>
      <c r="AW53" s="1313"/>
      <c r="AX53" s="1313"/>
      <c r="AY53" s="1313"/>
      <c r="AZ53" s="1313"/>
      <c r="BA53" s="1313"/>
      <c r="BB53" s="1313"/>
      <c r="BC53" s="1313"/>
      <c r="BD53" s="1313"/>
      <c r="BE53" s="1313"/>
      <c r="BF53" s="1316"/>
      <c r="BG53" s="1316"/>
      <c r="BH53" s="1316"/>
      <c r="BI53" s="1318"/>
      <c r="BJ53" s="1318"/>
      <c r="BK53" s="1318"/>
      <c r="BL53" s="1318"/>
      <c r="BM53" s="1318"/>
      <c r="BN53" s="1318"/>
      <c r="BO53" s="1318"/>
      <c r="BP53" s="1318"/>
      <c r="BQ53" s="1318"/>
      <c r="BR53" s="1318"/>
      <c r="BS53" s="1318"/>
      <c r="BT53" s="1318"/>
      <c r="BU53" s="1318"/>
      <c r="BV53" s="1318"/>
      <c r="BW53" s="1318"/>
      <c r="BX53" s="1318"/>
      <c r="BY53" s="1318"/>
      <c r="BZ53" s="1318"/>
      <c r="CA53" s="1318"/>
      <c r="CB53" s="1320"/>
    </row>
    <row r="54" spans="1:80" ht="3.95" customHeight="1" x14ac:dyDescent="0.25">
      <c r="A54" s="231"/>
      <c r="B54" s="1259"/>
      <c r="C54" s="1260"/>
      <c r="D54" s="1260"/>
      <c r="E54" s="1260"/>
      <c r="F54" s="1260"/>
      <c r="G54" s="1260"/>
      <c r="H54" s="1260"/>
      <c r="I54" s="1260"/>
      <c r="J54" s="1260"/>
      <c r="K54" s="1260"/>
      <c r="L54" s="1260"/>
      <c r="M54" s="1261"/>
      <c r="N54" s="1262"/>
      <c r="O54" s="1263"/>
      <c r="P54" s="1237"/>
      <c r="Q54" s="1238"/>
      <c r="R54" s="1238"/>
      <c r="S54" s="1238"/>
      <c r="T54" s="1242"/>
      <c r="U54" s="1242"/>
      <c r="V54" s="1242"/>
      <c r="W54" s="1246"/>
      <c r="X54" s="1246"/>
      <c r="Y54" s="1246"/>
      <c r="Z54" s="1246"/>
      <c r="AA54" s="1247"/>
      <c r="AB54" s="1475"/>
      <c r="AC54" s="1476"/>
      <c r="AD54" s="1254"/>
      <c r="AE54" s="1255"/>
      <c r="AF54" s="1255"/>
      <c r="AG54" s="1255"/>
      <c r="AH54" s="1255"/>
      <c r="AI54" s="1255"/>
      <c r="AJ54" s="1255"/>
      <c r="AK54" s="1255"/>
      <c r="AL54" s="1255"/>
      <c r="AM54" s="1255"/>
      <c r="AN54" s="1255"/>
      <c r="AO54" s="1256"/>
      <c r="AP54" s="1257"/>
      <c r="AQ54" s="1258"/>
      <c r="AR54" s="231"/>
      <c r="AT54" s="1312"/>
      <c r="AU54" s="1313"/>
      <c r="AV54" s="1313"/>
      <c r="AW54" s="1313"/>
      <c r="AX54" s="1313"/>
      <c r="AY54" s="1313"/>
      <c r="AZ54" s="1313"/>
      <c r="BA54" s="1313"/>
      <c r="BB54" s="1313"/>
      <c r="BC54" s="1313"/>
      <c r="BD54" s="1313"/>
      <c r="BE54" s="1313"/>
      <c r="BF54" s="1316"/>
      <c r="BG54" s="1316"/>
      <c r="BH54" s="1316"/>
      <c r="BI54" s="1318"/>
      <c r="BJ54" s="1318"/>
      <c r="BK54" s="1318"/>
      <c r="BL54" s="1318"/>
      <c r="BM54" s="1318"/>
      <c r="BN54" s="1318"/>
      <c r="BO54" s="1318"/>
      <c r="BP54" s="1318"/>
      <c r="BQ54" s="1318"/>
      <c r="BR54" s="1318"/>
      <c r="BS54" s="1318"/>
      <c r="BT54" s="1318"/>
      <c r="BU54" s="1318"/>
      <c r="BV54" s="1318"/>
      <c r="BW54" s="1318"/>
      <c r="BX54" s="1318"/>
      <c r="BY54" s="1318"/>
      <c r="BZ54" s="1318"/>
      <c r="CA54" s="1318"/>
      <c r="CB54" s="1320"/>
    </row>
    <row r="55" spans="1:80" ht="3.95" customHeight="1" x14ac:dyDescent="0.25">
      <c r="A55" s="231"/>
      <c r="B55" s="1259"/>
      <c r="C55" s="1260"/>
      <c r="D55" s="1260"/>
      <c r="E55" s="1260"/>
      <c r="F55" s="1260"/>
      <c r="G55" s="1260"/>
      <c r="H55" s="1260"/>
      <c r="I55" s="1260"/>
      <c r="J55" s="1260"/>
      <c r="K55" s="1260"/>
      <c r="L55" s="1260"/>
      <c r="M55" s="1261"/>
      <c r="N55" s="1262"/>
      <c r="O55" s="1263"/>
      <c r="P55" s="1239"/>
      <c r="Q55" s="1240"/>
      <c r="R55" s="1240"/>
      <c r="S55" s="1240"/>
      <c r="T55" s="1243"/>
      <c r="U55" s="1243"/>
      <c r="V55" s="1243"/>
      <c r="W55" s="1248"/>
      <c r="X55" s="1248"/>
      <c r="Y55" s="1248"/>
      <c r="Z55" s="1248"/>
      <c r="AA55" s="1249"/>
      <c r="AB55" s="1475"/>
      <c r="AC55" s="1476"/>
      <c r="AD55" s="1254"/>
      <c r="AE55" s="1255"/>
      <c r="AF55" s="1255"/>
      <c r="AG55" s="1255"/>
      <c r="AH55" s="1255"/>
      <c r="AI55" s="1255"/>
      <c r="AJ55" s="1255"/>
      <c r="AK55" s="1255"/>
      <c r="AL55" s="1255"/>
      <c r="AM55" s="1255"/>
      <c r="AN55" s="1255"/>
      <c r="AO55" s="1256"/>
      <c r="AP55" s="1257"/>
      <c r="AQ55" s="1258"/>
      <c r="AR55" s="231"/>
      <c r="AT55" s="1312"/>
      <c r="AU55" s="1313"/>
      <c r="AV55" s="1313"/>
      <c r="AW55" s="1313"/>
      <c r="AX55" s="1313"/>
      <c r="AY55" s="1313"/>
      <c r="AZ55" s="1313"/>
      <c r="BA55" s="1313"/>
      <c r="BB55" s="1313"/>
      <c r="BC55" s="1313"/>
      <c r="BD55" s="1313"/>
      <c r="BE55" s="1313"/>
      <c r="BF55" s="1316"/>
      <c r="BG55" s="1316"/>
      <c r="BH55" s="1316"/>
      <c r="BI55" s="1318"/>
      <c r="BJ55" s="1318"/>
      <c r="BK55" s="1318"/>
      <c r="BL55" s="1318"/>
      <c r="BM55" s="1318"/>
      <c r="BN55" s="1318"/>
      <c r="BO55" s="1318"/>
      <c r="BP55" s="1318"/>
      <c r="BQ55" s="1318"/>
      <c r="BR55" s="1318"/>
      <c r="BS55" s="1318"/>
      <c r="BT55" s="1318"/>
      <c r="BU55" s="1318"/>
      <c r="BV55" s="1318"/>
      <c r="BW55" s="1318"/>
      <c r="BX55" s="1318"/>
      <c r="BY55" s="1318"/>
      <c r="BZ55" s="1318"/>
      <c r="CA55" s="1318"/>
      <c r="CB55" s="1320"/>
    </row>
    <row r="56" spans="1:80" ht="3.95" customHeight="1" x14ac:dyDescent="0.25">
      <c r="A56" s="231"/>
      <c r="B56" s="1259"/>
      <c r="C56" s="1260"/>
      <c r="D56" s="1260"/>
      <c r="E56" s="1260"/>
      <c r="F56" s="1260"/>
      <c r="G56" s="1260"/>
      <c r="H56" s="1260"/>
      <c r="I56" s="1260"/>
      <c r="J56" s="1260"/>
      <c r="K56" s="1260"/>
      <c r="L56" s="1260"/>
      <c r="M56" s="1261"/>
      <c r="N56" s="1262"/>
      <c r="O56" s="1263"/>
      <c r="P56" s="1254"/>
      <c r="Q56" s="1255"/>
      <c r="R56" s="1255"/>
      <c r="S56" s="1255"/>
      <c r="T56" s="1255"/>
      <c r="U56" s="1255"/>
      <c r="V56" s="1255"/>
      <c r="W56" s="1255"/>
      <c r="X56" s="1255"/>
      <c r="Y56" s="1255"/>
      <c r="Z56" s="1255"/>
      <c r="AA56" s="1256"/>
      <c r="AB56" s="1257"/>
      <c r="AC56" s="1258"/>
      <c r="AD56" s="1254"/>
      <c r="AE56" s="1255"/>
      <c r="AF56" s="1255"/>
      <c r="AG56" s="1255"/>
      <c r="AH56" s="1255"/>
      <c r="AI56" s="1255"/>
      <c r="AJ56" s="1255"/>
      <c r="AK56" s="1255"/>
      <c r="AL56" s="1255"/>
      <c r="AM56" s="1255"/>
      <c r="AN56" s="1255"/>
      <c r="AO56" s="1256"/>
      <c r="AP56" s="1257"/>
      <c r="AQ56" s="1258"/>
      <c r="AR56" s="231"/>
      <c r="AT56" s="1312"/>
      <c r="AU56" s="1313"/>
      <c r="AV56" s="1313"/>
      <c r="AW56" s="1313"/>
      <c r="AX56" s="1313"/>
      <c r="AY56" s="1313"/>
      <c r="AZ56" s="1313"/>
      <c r="BA56" s="1313"/>
      <c r="BB56" s="1313"/>
      <c r="BC56" s="1313"/>
      <c r="BD56" s="1313"/>
      <c r="BE56" s="1313"/>
      <c r="BF56" s="1316"/>
      <c r="BG56" s="1316"/>
      <c r="BH56" s="1316"/>
      <c r="BI56" s="1318"/>
      <c r="BJ56" s="1318"/>
      <c r="BK56" s="1318"/>
      <c r="BL56" s="1318"/>
      <c r="BM56" s="1318"/>
      <c r="BN56" s="1318"/>
      <c r="BO56" s="1318"/>
      <c r="BP56" s="1318"/>
      <c r="BQ56" s="1318"/>
      <c r="BR56" s="1318"/>
      <c r="BS56" s="1318"/>
      <c r="BT56" s="1318"/>
      <c r="BU56" s="1318"/>
      <c r="BV56" s="1318"/>
      <c r="BW56" s="1318"/>
      <c r="BX56" s="1318"/>
      <c r="BY56" s="1318"/>
      <c r="BZ56" s="1318"/>
      <c r="CA56" s="1318"/>
      <c r="CB56" s="1320"/>
    </row>
    <row r="57" spans="1:80" ht="3.95" customHeight="1" x14ac:dyDescent="0.25">
      <c r="A57" s="231"/>
      <c r="B57" s="1259"/>
      <c r="C57" s="1260"/>
      <c r="D57" s="1260"/>
      <c r="E57" s="1260"/>
      <c r="F57" s="1260"/>
      <c r="G57" s="1260"/>
      <c r="H57" s="1260"/>
      <c r="I57" s="1260"/>
      <c r="J57" s="1260"/>
      <c r="K57" s="1260"/>
      <c r="L57" s="1260"/>
      <c r="M57" s="1261"/>
      <c r="N57" s="1262"/>
      <c r="O57" s="1263"/>
      <c r="P57" s="1254"/>
      <c r="Q57" s="1255"/>
      <c r="R57" s="1255"/>
      <c r="S57" s="1255"/>
      <c r="T57" s="1255"/>
      <c r="U57" s="1255"/>
      <c r="V57" s="1255"/>
      <c r="W57" s="1255"/>
      <c r="X57" s="1255"/>
      <c r="Y57" s="1255"/>
      <c r="Z57" s="1255"/>
      <c r="AA57" s="1256"/>
      <c r="AB57" s="1257"/>
      <c r="AC57" s="1258"/>
      <c r="AD57" s="1254"/>
      <c r="AE57" s="1255"/>
      <c r="AF57" s="1255"/>
      <c r="AG57" s="1255"/>
      <c r="AH57" s="1255"/>
      <c r="AI57" s="1255"/>
      <c r="AJ57" s="1255"/>
      <c r="AK57" s="1255"/>
      <c r="AL57" s="1255"/>
      <c r="AM57" s="1255"/>
      <c r="AN57" s="1255"/>
      <c r="AO57" s="1256"/>
      <c r="AP57" s="1257"/>
      <c r="AQ57" s="1258"/>
      <c r="AR57" s="231"/>
      <c r="AT57" s="1312"/>
      <c r="AU57" s="1313"/>
      <c r="AV57" s="1313"/>
      <c r="AW57" s="1313"/>
      <c r="AX57" s="1313"/>
      <c r="AY57" s="1313"/>
      <c r="AZ57" s="1313"/>
      <c r="BA57" s="1313"/>
      <c r="BB57" s="1313"/>
      <c r="BC57" s="1313"/>
      <c r="BD57" s="1313"/>
      <c r="BE57" s="1313"/>
      <c r="BF57" s="1316"/>
      <c r="BG57" s="1316"/>
      <c r="BH57" s="1316"/>
      <c r="BI57" s="1318"/>
      <c r="BJ57" s="1318"/>
      <c r="BK57" s="1318"/>
      <c r="BL57" s="1318"/>
      <c r="BM57" s="1318"/>
      <c r="BN57" s="1318"/>
      <c r="BO57" s="1318"/>
      <c r="BP57" s="1318"/>
      <c r="BQ57" s="1318"/>
      <c r="BR57" s="1318"/>
      <c r="BS57" s="1318"/>
      <c r="BT57" s="1318"/>
      <c r="BU57" s="1318"/>
      <c r="BV57" s="1318"/>
      <c r="BW57" s="1318"/>
      <c r="BX57" s="1318"/>
      <c r="BY57" s="1318"/>
      <c r="BZ57" s="1318"/>
      <c r="CA57" s="1318"/>
      <c r="CB57" s="1320"/>
    </row>
    <row r="58" spans="1:80" ht="3.95" customHeight="1" x14ac:dyDescent="0.25">
      <c r="A58" s="231"/>
      <c r="B58" s="1259"/>
      <c r="C58" s="1260"/>
      <c r="D58" s="1260"/>
      <c r="E58" s="1260"/>
      <c r="F58" s="1260"/>
      <c r="G58" s="1260"/>
      <c r="H58" s="1260"/>
      <c r="I58" s="1260"/>
      <c r="J58" s="1260"/>
      <c r="K58" s="1260"/>
      <c r="L58" s="1260"/>
      <c r="M58" s="1261"/>
      <c r="N58" s="1262"/>
      <c r="O58" s="1263"/>
      <c r="P58" s="1254"/>
      <c r="Q58" s="1255"/>
      <c r="R58" s="1255"/>
      <c r="S58" s="1255"/>
      <c r="T58" s="1255"/>
      <c r="U58" s="1255"/>
      <c r="V58" s="1255"/>
      <c r="W58" s="1255"/>
      <c r="X58" s="1255"/>
      <c r="Y58" s="1255"/>
      <c r="Z58" s="1255"/>
      <c r="AA58" s="1256"/>
      <c r="AB58" s="1257"/>
      <c r="AC58" s="1258"/>
      <c r="AD58" s="1254"/>
      <c r="AE58" s="1255"/>
      <c r="AF58" s="1255"/>
      <c r="AG58" s="1255"/>
      <c r="AH58" s="1255"/>
      <c r="AI58" s="1255"/>
      <c r="AJ58" s="1255"/>
      <c r="AK58" s="1255"/>
      <c r="AL58" s="1255"/>
      <c r="AM58" s="1255"/>
      <c r="AN58" s="1255"/>
      <c r="AO58" s="1256"/>
      <c r="AP58" s="1257"/>
      <c r="AQ58" s="1258"/>
      <c r="AR58" s="231"/>
      <c r="AT58" s="1312"/>
      <c r="AU58" s="1313"/>
      <c r="AV58" s="1313"/>
      <c r="AW58" s="1313"/>
      <c r="AX58" s="1313"/>
      <c r="AY58" s="1313"/>
      <c r="AZ58" s="1313"/>
      <c r="BA58" s="1313"/>
      <c r="BB58" s="1313"/>
      <c r="BC58" s="1313"/>
      <c r="BD58" s="1313"/>
      <c r="BE58" s="1313"/>
      <c r="BF58" s="1316"/>
      <c r="BG58" s="1316"/>
      <c r="BH58" s="1316"/>
      <c r="BI58" s="1318"/>
      <c r="BJ58" s="1318"/>
      <c r="BK58" s="1318"/>
      <c r="BL58" s="1318"/>
      <c r="BM58" s="1318"/>
      <c r="BN58" s="1318"/>
      <c r="BO58" s="1318"/>
      <c r="BP58" s="1318"/>
      <c r="BQ58" s="1318"/>
      <c r="BR58" s="1318"/>
      <c r="BS58" s="1318"/>
      <c r="BT58" s="1318"/>
      <c r="BU58" s="1318"/>
      <c r="BV58" s="1318"/>
      <c r="BW58" s="1318"/>
      <c r="BX58" s="1318"/>
      <c r="BY58" s="1318"/>
      <c r="BZ58" s="1318"/>
      <c r="CA58" s="1318"/>
      <c r="CB58" s="1320"/>
    </row>
    <row r="59" spans="1:80" ht="3.95" customHeight="1" x14ac:dyDescent="0.25">
      <c r="A59" s="231"/>
      <c r="B59" s="1259"/>
      <c r="C59" s="1260"/>
      <c r="D59" s="1260"/>
      <c r="E59" s="1260"/>
      <c r="F59" s="1260"/>
      <c r="G59" s="1260"/>
      <c r="H59" s="1260"/>
      <c r="I59" s="1260"/>
      <c r="J59" s="1260"/>
      <c r="K59" s="1260"/>
      <c r="L59" s="1260"/>
      <c r="M59" s="1261"/>
      <c r="N59" s="1262"/>
      <c r="O59" s="1263"/>
      <c r="P59" s="1254"/>
      <c r="Q59" s="1255"/>
      <c r="R59" s="1255"/>
      <c r="S59" s="1255"/>
      <c r="T59" s="1255"/>
      <c r="U59" s="1255"/>
      <c r="V59" s="1255"/>
      <c r="W59" s="1255"/>
      <c r="X59" s="1255"/>
      <c r="Y59" s="1255"/>
      <c r="Z59" s="1255"/>
      <c r="AA59" s="1256"/>
      <c r="AB59" s="1257"/>
      <c r="AC59" s="1258"/>
      <c r="AD59" s="1254"/>
      <c r="AE59" s="1255"/>
      <c r="AF59" s="1255"/>
      <c r="AG59" s="1255"/>
      <c r="AH59" s="1255"/>
      <c r="AI59" s="1255"/>
      <c r="AJ59" s="1255"/>
      <c r="AK59" s="1255"/>
      <c r="AL59" s="1255"/>
      <c r="AM59" s="1255"/>
      <c r="AN59" s="1255"/>
      <c r="AO59" s="1256"/>
      <c r="AP59" s="1257"/>
      <c r="AQ59" s="1258"/>
      <c r="AR59" s="231"/>
      <c r="AT59" s="1312"/>
      <c r="AU59" s="1313"/>
      <c r="AV59" s="1313"/>
      <c r="AW59" s="1313"/>
      <c r="AX59" s="1313"/>
      <c r="AY59" s="1313"/>
      <c r="AZ59" s="1313"/>
      <c r="BA59" s="1313"/>
      <c r="BB59" s="1313"/>
      <c r="BC59" s="1313"/>
      <c r="BD59" s="1313"/>
      <c r="BE59" s="1313"/>
      <c r="BF59" s="1316"/>
      <c r="BG59" s="1316"/>
      <c r="BH59" s="1316"/>
      <c r="BI59" s="1318"/>
      <c r="BJ59" s="1318"/>
      <c r="BK59" s="1318"/>
      <c r="BL59" s="1318"/>
      <c r="BM59" s="1318"/>
      <c r="BN59" s="1318"/>
      <c r="BO59" s="1318"/>
      <c r="BP59" s="1318"/>
      <c r="BQ59" s="1318"/>
      <c r="BR59" s="1318"/>
      <c r="BS59" s="1318"/>
      <c r="BT59" s="1318"/>
      <c r="BU59" s="1318"/>
      <c r="BV59" s="1318"/>
      <c r="BW59" s="1318"/>
      <c r="BX59" s="1318"/>
      <c r="BY59" s="1318"/>
      <c r="BZ59" s="1318"/>
      <c r="CA59" s="1318"/>
      <c r="CB59" s="1320"/>
    </row>
    <row r="60" spans="1:80" ht="3.95" customHeight="1" x14ac:dyDescent="0.25">
      <c r="A60" s="231"/>
      <c r="B60" s="1259"/>
      <c r="C60" s="1260"/>
      <c r="D60" s="1260"/>
      <c r="E60" s="1260"/>
      <c r="F60" s="1260"/>
      <c r="G60" s="1260"/>
      <c r="H60" s="1260"/>
      <c r="I60" s="1260"/>
      <c r="J60" s="1260"/>
      <c r="K60" s="1260"/>
      <c r="L60" s="1260"/>
      <c r="M60" s="1261"/>
      <c r="N60" s="1262"/>
      <c r="O60" s="1263"/>
      <c r="P60" s="1254"/>
      <c r="Q60" s="1255"/>
      <c r="R60" s="1255"/>
      <c r="S60" s="1255"/>
      <c r="T60" s="1255"/>
      <c r="U60" s="1255"/>
      <c r="V60" s="1255"/>
      <c r="W60" s="1255"/>
      <c r="X60" s="1255"/>
      <c r="Y60" s="1255"/>
      <c r="Z60" s="1255"/>
      <c r="AA60" s="1256"/>
      <c r="AB60" s="1257"/>
      <c r="AC60" s="1258"/>
      <c r="AD60" s="1254"/>
      <c r="AE60" s="1255"/>
      <c r="AF60" s="1255"/>
      <c r="AG60" s="1255"/>
      <c r="AH60" s="1255"/>
      <c r="AI60" s="1255"/>
      <c r="AJ60" s="1255"/>
      <c r="AK60" s="1255"/>
      <c r="AL60" s="1255"/>
      <c r="AM60" s="1255"/>
      <c r="AN60" s="1255"/>
      <c r="AO60" s="1256"/>
      <c r="AP60" s="1257"/>
      <c r="AQ60" s="1258"/>
      <c r="AR60" s="231"/>
      <c r="AT60" s="1314"/>
      <c r="AU60" s="1315"/>
      <c r="AV60" s="1315"/>
      <c r="AW60" s="1315"/>
      <c r="AX60" s="1315"/>
      <c r="AY60" s="1315"/>
      <c r="AZ60" s="1315"/>
      <c r="BA60" s="1315"/>
      <c r="BB60" s="1315"/>
      <c r="BC60" s="1315"/>
      <c r="BD60" s="1315"/>
      <c r="BE60" s="1315"/>
      <c r="BF60" s="1317"/>
      <c r="BG60" s="1317"/>
      <c r="BH60" s="1317"/>
      <c r="BI60" s="1319"/>
      <c r="BJ60" s="1319"/>
      <c r="BK60" s="1319"/>
      <c r="BL60" s="1319"/>
      <c r="BM60" s="1319"/>
      <c r="BN60" s="1319"/>
      <c r="BO60" s="1319"/>
      <c r="BP60" s="1319"/>
      <c r="BQ60" s="1319"/>
      <c r="BR60" s="1319"/>
      <c r="BS60" s="1319"/>
      <c r="BT60" s="1319"/>
      <c r="BU60" s="1319"/>
      <c r="BV60" s="1319"/>
      <c r="BW60" s="1319"/>
      <c r="BX60" s="1319"/>
      <c r="BY60" s="1319"/>
      <c r="BZ60" s="1319"/>
      <c r="CA60" s="1319"/>
      <c r="CB60" s="1321"/>
    </row>
    <row r="61" spans="1:80" ht="3.95" customHeight="1" x14ac:dyDescent="0.25">
      <c r="A61" s="231"/>
      <c r="B61" s="1259"/>
      <c r="C61" s="1260"/>
      <c r="D61" s="1260"/>
      <c r="E61" s="1260"/>
      <c r="F61" s="1260"/>
      <c r="G61" s="1260"/>
      <c r="H61" s="1260"/>
      <c r="I61" s="1260"/>
      <c r="J61" s="1260"/>
      <c r="K61" s="1260"/>
      <c r="L61" s="1260"/>
      <c r="M61" s="1261"/>
      <c r="N61" s="1262"/>
      <c r="O61" s="1263"/>
      <c r="P61" s="1254"/>
      <c r="Q61" s="1255"/>
      <c r="R61" s="1255"/>
      <c r="S61" s="1255"/>
      <c r="T61" s="1255"/>
      <c r="U61" s="1255"/>
      <c r="V61" s="1255"/>
      <c r="W61" s="1255"/>
      <c r="X61" s="1255"/>
      <c r="Y61" s="1255"/>
      <c r="Z61" s="1255"/>
      <c r="AA61" s="1256"/>
      <c r="AB61" s="1257"/>
      <c r="AC61" s="1258"/>
      <c r="AD61" s="1254"/>
      <c r="AE61" s="1255"/>
      <c r="AF61" s="1255"/>
      <c r="AG61" s="1255"/>
      <c r="AH61" s="1255"/>
      <c r="AI61" s="1255"/>
      <c r="AJ61" s="1255"/>
      <c r="AK61" s="1255"/>
      <c r="AL61" s="1255"/>
      <c r="AM61" s="1255"/>
      <c r="AN61" s="1255"/>
      <c r="AO61" s="1256"/>
      <c r="AP61" s="1257"/>
      <c r="AQ61" s="1258"/>
      <c r="AR61" s="231"/>
      <c r="AT61" s="1300" t="s">
        <v>593</v>
      </c>
      <c r="AU61" s="1301"/>
      <c r="AV61" s="1301"/>
      <c r="AW61" s="1301"/>
      <c r="AX61" s="1301"/>
      <c r="AY61" s="1301"/>
      <c r="AZ61" s="1301"/>
      <c r="BA61" s="1301"/>
      <c r="BB61" s="1301"/>
      <c r="BC61" s="1301"/>
      <c r="BD61" s="1301"/>
      <c r="BE61" s="1301"/>
      <c r="BF61" s="1301"/>
      <c r="BG61" s="1301"/>
      <c r="BH61" s="1301"/>
      <c r="BI61" s="1301"/>
      <c r="BJ61" s="1301"/>
      <c r="BK61" s="1301"/>
      <c r="BL61" s="1301"/>
      <c r="BM61" s="1301"/>
      <c r="BN61" s="1301"/>
      <c r="BO61" s="1301"/>
      <c r="BP61" s="1301"/>
      <c r="BQ61" s="1301"/>
      <c r="BR61" s="1301"/>
      <c r="BS61" s="1301"/>
      <c r="BT61" s="1301"/>
      <c r="BU61" s="1301"/>
      <c r="BV61" s="1301"/>
      <c r="BW61" s="1301"/>
      <c r="BX61" s="1301"/>
      <c r="BY61" s="1301"/>
      <c r="BZ61" s="1301"/>
      <c r="CA61" s="1301"/>
      <c r="CB61" s="1302"/>
    </row>
    <row r="62" spans="1:80" ht="3.95" customHeight="1" x14ac:dyDescent="0.25">
      <c r="A62" s="231"/>
      <c r="B62" s="1259"/>
      <c r="C62" s="1260"/>
      <c r="D62" s="1260"/>
      <c r="E62" s="1260"/>
      <c r="F62" s="1260"/>
      <c r="G62" s="1260"/>
      <c r="H62" s="1260"/>
      <c r="I62" s="1260"/>
      <c r="J62" s="1260"/>
      <c r="K62" s="1260"/>
      <c r="L62" s="1260"/>
      <c r="M62" s="1261"/>
      <c r="N62" s="1262"/>
      <c r="O62" s="1263"/>
      <c r="P62" s="1254"/>
      <c r="Q62" s="1255"/>
      <c r="R62" s="1255"/>
      <c r="S62" s="1255"/>
      <c r="T62" s="1255"/>
      <c r="U62" s="1255"/>
      <c r="V62" s="1255"/>
      <c r="W62" s="1255"/>
      <c r="X62" s="1255"/>
      <c r="Y62" s="1255"/>
      <c r="Z62" s="1255"/>
      <c r="AA62" s="1256"/>
      <c r="AB62" s="1257"/>
      <c r="AC62" s="1258"/>
      <c r="AD62" s="1254"/>
      <c r="AE62" s="1255"/>
      <c r="AF62" s="1255"/>
      <c r="AG62" s="1255"/>
      <c r="AH62" s="1255"/>
      <c r="AI62" s="1255"/>
      <c r="AJ62" s="1255"/>
      <c r="AK62" s="1255"/>
      <c r="AL62" s="1255"/>
      <c r="AM62" s="1255"/>
      <c r="AN62" s="1255"/>
      <c r="AO62" s="1256"/>
      <c r="AP62" s="1257"/>
      <c r="AQ62" s="1258"/>
      <c r="AR62" s="231"/>
      <c r="AT62" s="1277"/>
      <c r="AU62" s="1278"/>
      <c r="AV62" s="1278"/>
      <c r="AW62" s="1278"/>
      <c r="AX62" s="1278"/>
      <c r="AY62" s="1278"/>
      <c r="AZ62" s="1278"/>
      <c r="BA62" s="1278"/>
      <c r="BB62" s="1278"/>
      <c r="BC62" s="1278"/>
      <c r="BD62" s="1278"/>
      <c r="BE62" s="1278"/>
      <c r="BF62" s="1278"/>
      <c r="BG62" s="1278"/>
      <c r="BH62" s="1278"/>
      <c r="BI62" s="1278"/>
      <c r="BJ62" s="1278"/>
      <c r="BK62" s="1278"/>
      <c r="BL62" s="1278"/>
      <c r="BM62" s="1278"/>
      <c r="BN62" s="1278"/>
      <c r="BO62" s="1278"/>
      <c r="BP62" s="1278"/>
      <c r="BQ62" s="1278"/>
      <c r="BR62" s="1278"/>
      <c r="BS62" s="1278"/>
      <c r="BT62" s="1278"/>
      <c r="BU62" s="1278"/>
      <c r="BV62" s="1278"/>
      <c r="BW62" s="1278"/>
      <c r="BX62" s="1278"/>
      <c r="BY62" s="1278"/>
      <c r="BZ62" s="1278"/>
      <c r="CA62" s="1278"/>
      <c r="CB62" s="1279"/>
    </row>
    <row r="63" spans="1:80" ht="3.95" customHeight="1" x14ac:dyDescent="0.25">
      <c r="A63" s="231"/>
      <c r="B63" s="1259"/>
      <c r="C63" s="1260"/>
      <c r="D63" s="1260"/>
      <c r="E63" s="1260"/>
      <c r="F63" s="1260"/>
      <c r="G63" s="1260"/>
      <c r="H63" s="1260"/>
      <c r="I63" s="1260"/>
      <c r="J63" s="1260"/>
      <c r="K63" s="1260"/>
      <c r="L63" s="1260"/>
      <c r="M63" s="1261"/>
      <c r="N63" s="1262"/>
      <c r="O63" s="1263"/>
      <c r="P63" s="1254"/>
      <c r="Q63" s="1255"/>
      <c r="R63" s="1255"/>
      <c r="S63" s="1255"/>
      <c r="T63" s="1255"/>
      <c r="U63" s="1255"/>
      <c r="V63" s="1255"/>
      <c r="W63" s="1255"/>
      <c r="X63" s="1255"/>
      <c r="Y63" s="1255"/>
      <c r="Z63" s="1255"/>
      <c r="AA63" s="1256"/>
      <c r="AB63" s="1257"/>
      <c r="AC63" s="1258"/>
      <c r="AD63" s="1254"/>
      <c r="AE63" s="1255"/>
      <c r="AF63" s="1255"/>
      <c r="AG63" s="1255"/>
      <c r="AH63" s="1255"/>
      <c r="AI63" s="1255"/>
      <c r="AJ63" s="1255"/>
      <c r="AK63" s="1255"/>
      <c r="AL63" s="1255"/>
      <c r="AM63" s="1255"/>
      <c r="AN63" s="1255"/>
      <c r="AO63" s="1256"/>
      <c r="AP63" s="1257"/>
      <c r="AQ63" s="1258"/>
      <c r="AR63" s="231"/>
      <c r="AT63" s="1277"/>
      <c r="AU63" s="1278"/>
      <c r="AV63" s="1278"/>
      <c r="AW63" s="1278"/>
      <c r="AX63" s="1278"/>
      <c r="AY63" s="1278"/>
      <c r="AZ63" s="1278"/>
      <c r="BA63" s="1278"/>
      <c r="BB63" s="1278"/>
      <c r="BC63" s="1278"/>
      <c r="BD63" s="1278"/>
      <c r="BE63" s="1278"/>
      <c r="BF63" s="1278"/>
      <c r="BG63" s="1278"/>
      <c r="BH63" s="1278"/>
      <c r="BI63" s="1278"/>
      <c r="BJ63" s="1278"/>
      <c r="BK63" s="1278"/>
      <c r="BL63" s="1278"/>
      <c r="BM63" s="1278"/>
      <c r="BN63" s="1278"/>
      <c r="BO63" s="1278"/>
      <c r="BP63" s="1278"/>
      <c r="BQ63" s="1278"/>
      <c r="BR63" s="1278"/>
      <c r="BS63" s="1278"/>
      <c r="BT63" s="1278"/>
      <c r="BU63" s="1278"/>
      <c r="BV63" s="1278"/>
      <c r="BW63" s="1278"/>
      <c r="BX63" s="1278"/>
      <c r="BY63" s="1278"/>
      <c r="BZ63" s="1278"/>
      <c r="CA63" s="1278"/>
      <c r="CB63" s="1279"/>
    </row>
    <row r="64" spans="1:80" ht="3.95" customHeight="1" x14ac:dyDescent="0.25">
      <c r="A64" s="231"/>
      <c r="B64" s="1259"/>
      <c r="C64" s="1260"/>
      <c r="D64" s="1260"/>
      <c r="E64" s="1260"/>
      <c r="F64" s="1260"/>
      <c r="G64" s="1260"/>
      <c r="H64" s="1260"/>
      <c r="I64" s="1260"/>
      <c r="J64" s="1260"/>
      <c r="K64" s="1260"/>
      <c r="L64" s="1260"/>
      <c r="M64" s="1261"/>
      <c r="N64" s="1262"/>
      <c r="O64" s="1263"/>
      <c r="P64" s="1254"/>
      <c r="Q64" s="1255"/>
      <c r="R64" s="1255"/>
      <c r="S64" s="1255"/>
      <c r="T64" s="1255"/>
      <c r="U64" s="1255"/>
      <c r="V64" s="1255"/>
      <c r="W64" s="1255"/>
      <c r="X64" s="1255"/>
      <c r="Y64" s="1255"/>
      <c r="Z64" s="1255"/>
      <c r="AA64" s="1256"/>
      <c r="AB64" s="1257"/>
      <c r="AC64" s="1258"/>
      <c r="AD64" s="1254"/>
      <c r="AE64" s="1255"/>
      <c r="AF64" s="1255"/>
      <c r="AG64" s="1255"/>
      <c r="AH64" s="1255"/>
      <c r="AI64" s="1255"/>
      <c r="AJ64" s="1255"/>
      <c r="AK64" s="1255"/>
      <c r="AL64" s="1255"/>
      <c r="AM64" s="1255"/>
      <c r="AN64" s="1255"/>
      <c r="AO64" s="1256"/>
      <c r="AP64" s="1257"/>
      <c r="AQ64" s="1258"/>
      <c r="AR64" s="231"/>
      <c r="AT64" s="1280"/>
      <c r="AU64" s="1281"/>
      <c r="AV64" s="1281"/>
      <c r="AW64" s="1281"/>
      <c r="AX64" s="1281"/>
      <c r="AY64" s="1281"/>
      <c r="AZ64" s="1281"/>
      <c r="BA64" s="1281"/>
      <c r="BB64" s="1281"/>
      <c r="BC64" s="1281"/>
      <c r="BD64" s="1281"/>
      <c r="BE64" s="1281"/>
      <c r="BF64" s="1281"/>
      <c r="BG64" s="1281"/>
      <c r="BH64" s="1281"/>
      <c r="BI64" s="1281"/>
      <c r="BJ64" s="1281"/>
      <c r="BK64" s="1281"/>
      <c r="BL64" s="1281"/>
      <c r="BM64" s="1281"/>
      <c r="BN64" s="1281"/>
      <c r="BO64" s="1281"/>
      <c r="BP64" s="1281"/>
      <c r="BQ64" s="1281"/>
      <c r="BR64" s="1281"/>
      <c r="BS64" s="1281"/>
      <c r="BT64" s="1281"/>
      <c r="BU64" s="1281"/>
      <c r="BV64" s="1281"/>
      <c r="BW64" s="1281"/>
      <c r="BX64" s="1281"/>
      <c r="BY64" s="1281"/>
      <c r="BZ64" s="1281"/>
      <c r="CA64" s="1281"/>
      <c r="CB64" s="1282"/>
    </row>
    <row r="65" spans="1:80" ht="3.95" customHeight="1" x14ac:dyDescent="0.25">
      <c r="A65" s="231"/>
      <c r="B65" s="1259"/>
      <c r="C65" s="1260"/>
      <c r="D65" s="1260"/>
      <c r="E65" s="1260"/>
      <c r="F65" s="1260"/>
      <c r="G65" s="1260"/>
      <c r="H65" s="1260"/>
      <c r="I65" s="1260"/>
      <c r="J65" s="1260"/>
      <c r="K65" s="1260"/>
      <c r="L65" s="1260"/>
      <c r="M65" s="1261"/>
      <c r="N65" s="1262"/>
      <c r="O65" s="1263"/>
      <c r="P65" s="1254"/>
      <c r="Q65" s="1255"/>
      <c r="R65" s="1255"/>
      <c r="S65" s="1255"/>
      <c r="T65" s="1255"/>
      <c r="U65" s="1255"/>
      <c r="V65" s="1255"/>
      <c r="W65" s="1255"/>
      <c r="X65" s="1255"/>
      <c r="Y65" s="1255"/>
      <c r="Z65" s="1255"/>
      <c r="AA65" s="1256"/>
      <c r="AB65" s="1257"/>
      <c r="AC65" s="1258"/>
      <c r="AD65" s="1235" t="s">
        <v>566</v>
      </c>
      <c r="AE65" s="1236"/>
      <c r="AF65" s="1236"/>
      <c r="AG65" s="1236"/>
      <c r="AH65" s="1241" t="s">
        <v>97</v>
      </c>
      <c r="AI65" s="1241"/>
      <c r="AJ65" s="1241"/>
      <c r="AK65" s="1244">
        <f>CD.magia.base+8</f>
        <v>18</v>
      </c>
      <c r="AL65" s="1244"/>
      <c r="AM65" s="1244"/>
      <c r="AN65" s="1244"/>
      <c r="AO65" s="1245"/>
      <c r="AP65" s="1475" t="str">
        <f>IF(NÍVEL.conjurador&gt;=(VLOOKUP(CONJURADOR,TABELA.classes,46,FALSE)),"ü","û")</f>
        <v>ü</v>
      </c>
      <c r="AQ65" s="1476"/>
      <c r="AR65" s="231"/>
      <c r="AT65" s="1283"/>
      <c r="AU65" s="1284"/>
      <c r="AV65" s="1284"/>
      <c r="AW65" s="1284"/>
      <c r="AX65" s="1284"/>
      <c r="AY65" s="1284"/>
      <c r="AZ65" s="1284"/>
      <c r="BA65" s="1284"/>
      <c r="BB65" s="1284"/>
      <c r="BC65" s="1284"/>
      <c r="BD65" s="1284"/>
      <c r="BE65" s="1284"/>
      <c r="BF65" s="1284"/>
      <c r="BG65" s="1284"/>
      <c r="BH65" s="1284"/>
      <c r="BI65" s="1284"/>
      <c r="BJ65" s="1284"/>
      <c r="BK65" s="1284"/>
      <c r="BL65" s="1284"/>
      <c r="BM65" s="1284"/>
      <c r="BN65" s="1284"/>
      <c r="BO65" s="1284"/>
      <c r="BP65" s="1284"/>
      <c r="BQ65" s="1284"/>
      <c r="BR65" s="1284"/>
      <c r="BS65" s="1284"/>
      <c r="BT65" s="1284"/>
      <c r="BU65" s="1284"/>
      <c r="BV65" s="1284"/>
      <c r="BW65" s="1284"/>
      <c r="BX65" s="1284"/>
      <c r="BY65" s="1284"/>
      <c r="BZ65" s="1284"/>
      <c r="CA65" s="1284"/>
      <c r="CB65" s="1285"/>
    </row>
    <row r="66" spans="1:80" ht="3.95" customHeight="1" x14ac:dyDescent="0.25">
      <c r="A66" s="231"/>
      <c r="B66" s="1259"/>
      <c r="C66" s="1260"/>
      <c r="D66" s="1260"/>
      <c r="E66" s="1260"/>
      <c r="F66" s="1260"/>
      <c r="G66" s="1260"/>
      <c r="H66" s="1260"/>
      <c r="I66" s="1260"/>
      <c r="J66" s="1260"/>
      <c r="K66" s="1260"/>
      <c r="L66" s="1260"/>
      <c r="M66" s="1261"/>
      <c r="N66" s="1262"/>
      <c r="O66" s="1263"/>
      <c r="P66" s="1254"/>
      <c r="Q66" s="1255"/>
      <c r="R66" s="1255"/>
      <c r="S66" s="1255"/>
      <c r="T66" s="1255"/>
      <c r="U66" s="1255"/>
      <c r="V66" s="1255"/>
      <c r="W66" s="1255"/>
      <c r="X66" s="1255"/>
      <c r="Y66" s="1255"/>
      <c r="Z66" s="1255"/>
      <c r="AA66" s="1256"/>
      <c r="AB66" s="1257"/>
      <c r="AC66" s="1258"/>
      <c r="AD66" s="1237"/>
      <c r="AE66" s="1238"/>
      <c r="AF66" s="1238"/>
      <c r="AG66" s="1238"/>
      <c r="AH66" s="1242"/>
      <c r="AI66" s="1242"/>
      <c r="AJ66" s="1242"/>
      <c r="AK66" s="1246"/>
      <c r="AL66" s="1246"/>
      <c r="AM66" s="1246"/>
      <c r="AN66" s="1246"/>
      <c r="AO66" s="1247"/>
      <c r="AP66" s="1475"/>
      <c r="AQ66" s="1476"/>
      <c r="AR66" s="231"/>
      <c r="AT66" s="1283"/>
      <c r="AU66" s="1284"/>
      <c r="AV66" s="1284"/>
      <c r="AW66" s="1284"/>
      <c r="AX66" s="1284"/>
      <c r="AY66" s="1284"/>
      <c r="AZ66" s="1284"/>
      <c r="BA66" s="1284"/>
      <c r="BB66" s="1284"/>
      <c r="BC66" s="1284"/>
      <c r="BD66" s="1284"/>
      <c r="BE66" s="1284"/>
      <c r="BF66" s="1284"/>
      <c r="BG66" s="1284"/>
      <c r="BH66" s="1284"/>
      <c r="BI66" s="1284"/>
      <c r="BJ66" s="1284"/>
      <c r="BK66" s="1284"/>
      <c r="BL66" s="1284"/>
      <c r="BM66" s="1284"/>
      <c r="BN66" s="1284"/>
      <c r="BO66" s="1284"/>
      <c r="BP66" s="1284"/>
      <c r="BQ66" s="1284"/>
      <c r="BR66" s="1284"/>
      <c r="BS66" s="1284"/>
      <c r="BT66" s="1284"/>
      <c r="BU66" s="1284"/>
      <c r="BV66" s="1284"/>
      <c r="BW66" s="1284"/>
      <c r="BX66" s="1284"/>
      <c r="BY66" s="1284"/>
      <c r="BZ66" s="1284"/>
      <c r="CA66" s="1284"/>
      <c r="CB66" s="1285"/>
    </row>
    <row r="67" spans="1:80" ht="3.95" customHeight="1" x14ac:dyDescent="0.25">
      <c r="A67" s="231"/>
      <c r="B67" s="1259"/>
      <c r="C67" s="1260"/>
      <c r="D67" s="1260"/>
      <c r="E67" s="1260"/>
      <c r="F67" s="1260"/>
      <c r="G67" s="1260"/>
      <c r="H67" s="1260"/>
      <c r="I67" s="1260"/>
      <c r="J67" s="1260"/>
      <c r="K67" s="1260"/>
      <c r="L67" s="1260"/>
      <c r="M67" s="1261"/>
      <c r="N67" s="1262"/>
      <c r="O67" s="1263"/>
      <c r="P67" s="1254"/>
      <c r="Q67" s="1255"/>
      <c r="R67" s="1255"/>
      <c r="S67" s="1255"/>
      <c r="T67" s="1255"/>
      <c r="U67" s="1255"/>
      <c r="V67" s="1255"/>
      <c r="W67" s="1255"/>
      <c r="X67" s="1255"/>
      <c r="Y67" s="1255"/>
      <c r="Z67" s="1255"/>
      <c r="AA67" s="1256"/>
      <c r="AB67" s="1257"/>
      <c r="AC67" s="1258"/>
      <c r="AD67" s="1239"/>
      <c r="AE67" s="1240"/>
      <c r="AF67" s="1240"/>
      <c r="AG67" s="1240"/>
      <c r="AH67" s="1243"/>
      <c r="AI67" s="1243"/>
      <c r="AJ67" s="1243"/>
      <c r="AK67" s="1248"/>
      <c r="AL67" s="1248"/>
      <c r="AM67" s="1248"/>
      <c r="AN67" s="1248"/>
      <c r="AO67" s="1249"/>
      <c r="AP67" s="1475"/>
      <c r="AQ67" s="1476"/>
      <c r="AR67" s="231"/>
      <c r="AT67" s="1283"/>
      <c r="AU67" s="1284"/>
      <c r="AV67" s="1284"/>
      <c r="AW67" s="1284"/>
      <c r="AX67" s="1284"/>
      <c r="AY67" s="1284"/>
      <c r="AZ67" s="1284"/>
      <c r="BA67" s="1284"/>
      <c r="BB67" s="1284"/>
      <c r="BC67" s="1284"/>
      <c r="BD67" s="1284"/>
      <c r="BE67" s="1284"/>
      <c r="BF67" s="1284"/>
      <c r="BG67" s="1284"/>
      <c r="BH67" s="1284"/>
      <c r="BI67" s="1284"/>
      <c r="BJ67" s="1284"/>
      <c r="BK67" s="1284"/>
      <c r="BL67" s="1284"/>
      <c r="BM67" s="1284"/>
      <c r="BN67" s="1284"/>
      <c r="BO67" s="1284"/>
      <c r="BP67" s="1284"/>
      <c r="BQ67" s="1284"/>
      <c r="BR67" s="1284"/>
      <c r="BS67" s="1284"/>
      <c r="BT67" s="1284"/>
      <c r="BU67" s="1284"/>
      <c r="BV67" s="1284"/>
      <c r="BW67" s="1284"/>
      <c r="BX67" s="1284"/>
      <c r="BY67" s="1284"/>
      <c r="BZ67" s="1284"/>
      <c r="CA67" s="1284"/>
      <c r="CB67" s="1285"/>
    </row>
    <row r="68" spans="1:80" ht="3.95" customHeight="1" x14ac:dyDescent="0.25">
      <c r="A68" s="231"/>
      <c r="B68" s="1491"/>
      <c r="C68" s="1492"/>
      <c r="D68" s="1492"/>
      <c r="E68" s="1492"/>
      <c r="F68" s="1492"/>
      <c r="G68" s="1492"/>
      <c r="H68" s="1492"/>
      <c r="I68" s="1492"/>
      <c r="J68" s="1492"/>
      <c r="K68" s="1492"/>
      <c r="L68" s="1492"/>
      <c r="M68" s="1493"/>
      <c r="N68" s="1262"/>
      <c r="O68" s="1263"/>
      <c r="P68" s="1254"/>
      <c r="Q68" s="1255"/>
      <c r="R68" s="1255"/>
      <c r="S68" s="1255"/>
      <c r="T68" s="1255"/>
      <c r="U68" s="1255"/>
      <c r="V68" s="1255"/>
      <c r="W68" s="1255"/>
      <c r="X68" s="1255"/>
      <c r="Y68" s="1255"/>
      <c r="Z68" s="1255"/>
      <c r="AA68" s="1256"/>
      <c r="AB68" s="1257"/>
      <c r="AC68" s="1258"/>
      <c r="AD68" s="1254"/>
      <c r="AE68" s="1255"/>
      <c r="AF68" s="1255"/>
      <c r="AG68" s="1255"/>
      <c r="AH68" s="1255"/>
      <c r="AI68" s="1255"/>
      <c r="AJ68" s="1255"/>
      <c r="AK68" s="1255"/>
      <c r="AL68" s="1255"/>
      <c r="AM68" s="1255"/>
      <c r="AN68" s="1255"/>
      <c r="AO68" s="1256"/>
      <c r="AP68" s="1257"/>
      <c r="AQ68" s="1258"/>
      <c r="AR68" s="231"/>
      <c r="AT68" s="1283"/>
      <c r="AU68" s="1284"/>
      <c r="AV68" s="1284"/>
      <c r="AW68" s="1284"/>
      <c r="AX68" s="1284"/>
      <c r="AY68" s="1284"/>
      <c r="AZ68" s="1284"/>
      <c r="BA68" s="1284"/>
      <c r="BB68" s="1284"/>
      <c r="BC68" s="1284"/>
      <c r="BD68" s="1284"/>
      <c r="BE68" s="1284"/>
      <c r="BF68" s="1284"/>
      <c r="BG68" s="1284"/>
      <c r="BH68" s="1284"/>
      <c r="BI68" s="1284"/>
      <c r="BJ68" s="1284"/>
      <c r="BK68" s="1284"/>
      <c r="BL68" s="1284"/>
      <c r="BM68" s="1284"/>
      <c r="BN68" s="1284"/>
      <c r="BO68" s="1284"/>
      <c r="BP68" s="1284"/>
      <c r="BQ68" s="1284"/>
      <c r="BR68" s="1284"/>
      <c r="BS68" s="1284"/>
      <c r="BT68" s="1284"/>
      <c r="BU68" s="1284"/>
      <c r="BV68" s="1284"/>
      <c r="BW68" s="1284"/>
      <c r="BX68" s="1284"/>
      <c r="BY68" s="1284"/>
      <c r="BZ68" s="1284"/>
      <c r="CA68" s="1284"/>
      <c r="CB68" s="1285"/>
    </row>
    <row r="69" spans="1:80" ht="3.95" customHeight="1" x14ac:dyDescent="0.25">
      <c r="A69" s="231"/>
      <c r="B69" s="1494"/>
      <c r="C69" s="1495"/>
      <c r="D69" s="1495"/>
      <c r="E69" s="1495"/>
      <c r="F69" s="1495"/>
      <c r="G69" s="1495"/>
      <c r="H69" s="1495"/>
      <c r="I69" s="1495"/>
      <c r="J69" s="1495"/>
      <c r="K69" s="1495"/>
      <c r="L69" s="1495"/>
      <c r="M69" s="1496"/>
      <c r="N69" s="1262"/>
      <c r="O69" s="1263"/>
      <c r="P69" s="1254"/>
      <c r="Q69" s="1255"/>
      <c r="R69" s="1255"/>
      <c r="S69" s="1255"/>
      <c r="T69" s="1255"/>
      <c r="U69" s="1255"/>
      <c r="V69" s="1255"/>
      <c r="W69" s="1255"/>
      <c r="X69" s="1255"/>
      <c r="Y69" s="1255"/>
      <c r="Z69" s="1255"/>
      <c r="AA69" s="1256"/>
      <c r="AB69" s="1257"/>
      <c r="AC69" s="1258"/>
      <c r="AD69" s="1254"/>
      <c r="AE69" s="1255"/>
      <c r="AF69" s="1255"/>
      <c r="AG69" s="1255"/>
      <c r="AH69" s="1255"/>
      <c r="AI69" s="1255"/>
      <c r="AJ69" s="1255"/>
      <c r="AK69" s="1255"/>
      <c r="AL69" s="1255"/>
      <c r="AM69" s="1255"/>
      <c r="AN69" s="1255"/>
      <c r="AO69" s="1256"/>
      <c r="AP69" s="1257"/>
      <c r="AQ69" s="1258"/>
      <c r="AR69" s="231"/>
      <c r="AT69" s="1286"/>
      <c r="AU69" s="1287"/>
      <c r="AV69" s="1287"/>
      <c r="AW69" s="1287"/>
      <c r="AX69" s="1287"/>
      <c r="AY69" s="1287"/>
      <c r="AZ69" s="1287"/>
      <c r="BA69" s="1287"/>
      <c r="BB69" s="1287"/>
      <c r="BC69" s="1287"/>
      <c r="BD69" s="1287"/>
      <c r="BE69" s="1287"/>
      <c r="BF69" s="1287"/>
      <c r="BG69" s="1287"/>
      <c r="BH69" s="1287"/>
      <c r="BI69" s="1287"/>
      <c r="BJ69" s="1287"/>
      <c r="BK69" s="1287"/>
      <c r="BL69" s="1287"/>
      <c r="BM69" s="1287"/>
      <c r="BN69" s="1287"/>
      <c r="BO69" s="1287"/>
      <c r="BP69" s="1287"/>
      <c r="BQ69" s="1287"/>
      <c r="BR69" s="1287"/>
      <c r="BS69" s="1287"/>
      <c r="BT69" s="1287"/>
      <c r="BU69" s="1287"/>
      <c r="BV69" s="1287"/>
      <c r="BW69" s="1287"/>
      <c r="BX69" s="1287"/>
      <c r="BY69" s="1287"/>
      <c r="BZ69" s="1287"/>
      <c r="CA69" s="1287"/>
      <c r="CB69" s="1288"/>
    </row>
    <row r="70" spans="1:80" ht="3.95" customHeight="1" x14ac:dyDescent="0.25">
      <c r="A70" s="231"/>
      <c r="B70" s="1497"/>
      <c r="C70" s="1498"/>
      <c r="D70" s="1498"/>
      <c r="E70" s="1498"/>
      <c r="F70" s="1498"/>
      <c r="G70" s="1498"/>
      <c r="H70" s="1498"/>
      <c r="I70" s="1498"/>
      <c r="J70" s="1498"/>
      <c r="K70" s="1498"/>
      <c r="L70" s="1498"/>
      <c r="M70" s="1499"/>
      <c r="N70" s="1262"/>
      <c r="O70" s="1263"/>
      <c r="P70" s="1254"/>
      <c r="Q70" s="1255"/>
      <c r="R70" s="1255"/>
      <c r="S70" s="1255"/>
      <c r="T70" s="1255"/>
      <c r="U70" s="1255"/>
      <c r="V70" s="1255"/>
      <c r="W70" s="1255"/>
      <c r="X70" s="1255"/>
      <c r="Y70" s="1255"/>
      <c r="Z70" s="1255"/>
      <c r="AA70" s="1256"/>
      <c r="AB70" s="1257"/>
      <c r="AC70" s="1258"/>
      <c r="AD70" s="1254"/>
      <c r="AE70" s="1255"/>
      <c r="AF70" s="1255"/>
      <c r="AG70" s="1255"/>
      <c r="AH70" s="1255"/>
      <c r="AI70" s="1255"/>
      <c r="AJ70" s="1255"/>
      <c r="AK70" s="1255"/>
      <c r="AL70" s="1255"/>
      <c r="AM70" s="1255"/>
      <c r="AN70" s="1255"/>
      <c r="AO70" s="1256"/>
      <c r="AP70" s="1257"/>
      <c r="AQ70" s="1258"/>
      <c r="AR70" s="231"/>
      <c r="AT70" s="1277" t="s">
        <v>594</v>
      </c>
      <c r="AU70" s="1278"/>
      <c r="AV70" s="1278"/>
      <c r="AW70" s="1278"/>
      <c r="AX70" s="1278"/>
      <c r="AY70" s="1278"/>
      <c r="AZ70" s="1278"/>
      <c r="BA70" s="1278"/>
      <c r="BB70" s="1278"/>
      <c r="BC70" s="1278"/>
      <c r="BD70" s="1278"/>
      <c r="BE70" s="1278"/>
      <c r="BF70" s="1278"/>
      <c r="BG70" s="1278"/>
      <c r="BH70" s="1278"/>
      <c r="BI70" s="1278"/>
      <c r="BJ70" s="1278"/>
      <c r="BK70" s="1278"/>
      <c r="BL70" s="1278"/>
      <c r="BM70" s="1278"/>
      <c r="BN70" s="1278"/>
      <c r="BO70" s="1278"/>
      <c r="BP70" s="1278"/>
      <c r="BQ70" s="1278"/>
      <c r="BR70" s="1278"/>
      <c r="BS70" s="1278"/>
      <c r="BT70" s="1278"/>
      <c r="BU70" s="1278"/>
      <c r="BV70" s="1278"/>
      <c r="BW70" s="1278"/>
      <c r="BX70" s="1278"/>
      <c r="BY70" s="1278"/>
      <c r="BZ70" s="1278"/>
      <c r="CA70" s="1278"/>
      <c r="CB70" s="1279"/>
    </row>
    <row r="71" spans="1:80" ht="3.95" customHeight="1" x14ac:dyDescent="0.25">
      <c r="A71" s="231"/>
      <c r="B71" s="1491"/>
      <c r="C71" s="1492"/>
      <c r="D71" s="1492"/>
      <c r="E71" s="1492"/>
      <c r="F71" s="1492"/>
      <c r="G71" s="1492"/>
      <c r="H71" s="1492"/>
      <c r="I71" s="1492"/>
      <c r="J71" s="1492"/>
      <c r="K71" s="1492"/>
      <c r="L71" s="1492"/>
      <c r="M71" s="1493"/>
      <c r="N71" s="1262"/>
      <c r="O71" s="1263"/>
      <c r="P71" s="1254"/>
      <c r="Q71" s="1255"/>
      <c r="R71" s="1255"/>
      <c r="S71" s="1255"/>
      <c r="T71" s="1255"/>
      <c r="U71" s="1255"/>
      <c r="V71" s="1255"/>
      <c r="W71" s="1255"/>
      <c r="X71" s="1255"/>
      <c r="Y71" s="1255"/>
      <c r="Z71" s="1255"/>
      <c r="AA71" s="1256"/>
      <c r="AB71" s="1257"/>
      <c r="AC71" s="1258"/>
      <c r="AD71" s="1254"/>
      <c r="AE71" s="1255"/>
      <c r="AF71" s="1255"/>
      <c r="AG71" s="1255"/>
      <c r="AH71" s="1255"/>
      <c r="AI71" s="1255"/>
      <c r="AJ71" s="1255"/>
      <c r="AK71" s="1255"/>
      <c r="AL71" s="1255"/>
      <c r="AM71" s="1255"/>
      <c r="AN71" s="1255"/>
      <c r="AO71" s="1256"/>
      <c r="AP71" s="1257"/>
      <c r="AQ71" s="1258"/>
      <c r="AR71" s="231"/>
      <c r="AT71" s="1277"/>
      <c r="AU71" s="1278"/>
      <c r="AV71" s="1278"/>
      <c r="AW71" s="1278"/>
      <c r="AX71" s="1278"/>
      <c r="AY71" s="1278"/>
      <c r="AZ71" s="1278"/>
      <c r="BA71" s="1278"/>
      <c r="BB71" s="1278"/>
      <c r="BC71" s="1278"/>
      <c r="BD71" s="1278"/>
      <c r="BE71" s="1278"/>
      <c r="BF71" s="1278"/>
      <c r="BG71" s="1278"/>
      <c r="BH71" s="1278"/>
      <c r="BI71" s="1278"/>
      <c r="BJ71" s="1278"/>
      <c r="BK71" s="1278"/>
      <c r="BL71" s="1278"/>
      <c r="BM71" s="1278"/>
      <c r="BN71" s="1278"/>
      <c r="BO71" s="1278"/>
      <c r="BP71" s="1278"/>
      <c r="BQ71" s="1278"/>
      <c r="BR71" s="1278"/>
      <c r="BS71" s="1278"/>
      <c r="BT71" s="1278"/>
      <c r="BU71" s="1278"/>
      <c r="BV71" s="1278"/>
      <c r="BW71" s="1278"/>
      <c r="BX71" s="1278"/>
      <c r="BY71" s="1278"/>
      <c r="BZ71" s="1278"/>
      <c r="CA71" s="1278"/>
      <c r="CB71" s="1279"/>
    </row>
    <row r="72" spans="1:80" ht="3.95" customHeight="1" x14ac:dyDescent="0.25">
      <c r="A72" s="231"/>
      <c r="B72" s="1494"/>
      <c r="C72" s="1495"/>
      <c r="D72" s="1495"/>
      <c r="E72" s="1495"/>
      <c r="F72" s="1495"/>
      <c r="G72" s="1495"/>
      <c r="H72" s="1495"/>
      <c r="I72" s="1495"/>
      <c r="J72" s="1495"/>
      <c r="K72" s="1495"/>
      <c r="L72" s="1495"/>
      <c r="M72" s="1496"/>
      <c r="N72" s="1262"/>
      <c r="O72" s="1263"/>
      <c r="P72" s="1254"/>
      <c r="Q72" s="1255"/>
      <c r="R72" s="1255"/>
      <c r="S72" s="1255"/>
      <c r="T72" s="1255"/>
      <c r="U72" s="1255"/>
      <c r="V72" s="1255"/>
      <c r="W72" s="1255"/>
      <c r="X72" s="1255"/>
      <c r="Y72" s="1255"/>
      <c r="Z72" s="1255"/>
      <c r="AA72" s="1256"/>
      <c r="AB72" s="1257"/>
      <c r="AC72" s="1258"/>
      <c r="AD72" s="1254"/>
      <c r="AE72" s="1255"/>
      <c r="AF72" s="1255"/>
      <c r="AG72" s="1255"/>
      <c r="AH72" s="1255"/>
      <c r="AI72" s="1255"/>
      <c r="AJ72" s="1255"/>
      <c r="AK72" s="1255"/>
      <c r="AL72" s="1255"/>
      <c r="AM72" s="1255"/>
      <c r="AN72" s="1255"/>
      <c r="AO72" s="1256"/>
      <c r="AP72" s="1257"/>
      <c r="AQ72" s="1258"/>
      <c r="AR72" s="231"/>
      <c r="AT72" s="1277"/>
      <c r="AU72" s="1278"/>
      <c r="AV72" s="1278"/>
      <c r="AW72" s="1278"/>
      <c r="AX72" s="1278"/>
      <c r="AY72" s="1278"/>
      <c r="AZ72" s="1278"/>
      <c r="BA72" s="1278"/>
      <c r="BB72" s="1278"/>
      <c r="BC72" s="1278"/>
      <c r="BD72" s="1278"/>
      <c r="BE72" s="1278"/>
      <c r="BF72" s="1278"/>
      <c r="BG72" s="1278"/>
      <c r="BH72" s="1278"/>
      <c r="BI72" s="1278"/>
      <c r="BJ72" s="1278"/>
      <c r="BK72" s="1278"/>
      <c r="BL72" s="1278"/>
      <c r="BM72" s="1278"/>
      <c r="BN72" s="1278"/>
      <c r="BO72" s="1278"/>
      <c r="BP72" s="1278"/>
      <c r="BQ72" s="1278"/>
      <c r="BR72" s="1278"/>
      <c r="BS72" s="1278"/>
      <c r="BT72" s="1278"/>
      <c r="BU72" s="1278"/>
      <c r="BV72" s="1278"/>
      <c r="BW72" s="1278"/>
      <c r="BX72" s="1278"/>
      <c r="BY72" s="1278"/>
      <c r="BZ72" s="1278"/>
      <c r="CA72" s="1278"/>
      <c r="CB72" s="1279"/>
    </row>
    <row r="73" spans="1:80" ht="3.95" customHeight="1" x14ac:dyDescent="0.25">
      <c r="A73" s="231"/>
      <c r="B73" s="1497"/>
      <c r="C73" s="1498"/>
      <c r="D73" s="1498"/>
      <c r="E73" s="1498"/>
      <c r="F73" s="1498"/>
      <c r="G73" s="1498"/>
      <c r="H73" s="1498"/>
      <c r="I73" s="1498"/>
      <c r="J73" s="1498"/>
      <c r="K73" s="1498"/>
      <c r="L73" s="1498"/>
      <c r="M73" s="1499"/>
      <c r="N73" s="1262"/>
      <c r="O73" s="1263"/>
      <c r="P73" s="1254"/>
      <c r="Q73" s="1255"/>
      <c r="R73" s="1255"/>
      <c r="S73" s="1255"/>
      <c r="T73" s="1255"/>
      <c r="U73" s="1255"/>
      <c r="V73" s="1255"/>
      <c r="W73" s="1255"/>
      <c r="X73" s="1255"/>
      <c r="Y73" s="1255"/>
      <c r="Z73" s="1255"/>
      <c r="AA73" s="1256"/>
      <c r="AB73" s="1257"/>
      <c r="AC73" s="1258"/>
      <c r="AD73" s="1254"/>
      <c r="AE73" s="1255"/>
      <c r="AF73" s="1255"/>
      <c r="AG73" s="1255"/>
      <c r="AH73" s="1255"/>
      <c r="AI73" s="1255"/>
      <c r="AJ73" s="1255"/>
      <c r="AK73" s="1255"/>
      <c r="AL73" s="1255"/>
      <c r="AM73" s="1255"/>
      <c r="AN73" s="1255"/>
      <c r="AO73" s="1256"/>
      <c r="AP73" s="1257"/>
      <c r="AQ73" s="1258"/>
      <c r="AR73" s="231"/>
      <c r="AT73" s="1280"/>
      <c r="AU73" s="1281"/>
      <c r="AV73" s="1281"/>
      <c r="AW73" s="1281"/>
      <c r="AX73" s="1281"/>
      <c r="AY73" s="1281"/>
      <c r="AZ73" s="1281"/>
      <c r="BA73" s="1281"/>
      <c r="BB73" s="1281"/>
      <c r="BC73" s="1281"/>
      <c r="BD73" s="1281"/>
      <c r="BE73" s="1281"/>
      <c r="BF73" s="1281"/>
      <c r="BG73" s="1281"/>
      <c r="BH73" s="1281"/>
      <c r="BI73" s="1281"/>
      <c r="BJ73" s="1281"/>
      <c r="BK73" s="1281"/>
      <c r="BL73" s="1281"/>
      <c r="BM73" s="1281"/>
      <c r="BN73" s="1281"/>
      <c r="BO73" s="1281"/>
      <c r="BP73" s="1281"/>
      <c r="BQ73" s="1281"/>
      <c r="BR73" s="1281"/>
      <c r="BS73" s="1281"/>
      <c r="BT73" s="1281"/>
      <c r="BU73" s="1281"/>
      <c r="BV73" s="1281"/>
      <c r="BW73" s="1281"/>
      <c r="BX73" s="1281"/>
      <c r="BY73" s="1281"/>
      <c r="BZ73" s="1281"/>
      <c r="CA73" s="1281"/>
      <c r="CB73" s="1282"/>
    </row>
    <row r="74" spans="1:80" ht="3.95" customHeight="1" x14ac:dyDescent="0.25">
      <c r="A74" s="231"/>
      <c r="B74" s="1491"/>
      <c r="C74" s="1492"/>
      <c r="D74" s="1492"/>
      <c r="E74" s="1492"/>
      <c r="F74" s="1492"/>
      <c r="G74" s="1492"/>
      <c r="H74" s="1492"/>
      <c r="I74" s="1492"/>
      <c r="J74" s="1492"/>
      <c r="K74" s="1492"/>
      <c r="L74" s="1492"/>
      <c r="M74" s="1493"/>
      <c r="N74" s="1262"/>
      <c r="O74" s="1263"/>
      <c r="P74" s="1254"/>
      <c r="Q74" s="1255"/>
      <c r="R74" s="1255"/>
      <c r="S74" s="1255"/>
      <c r="T74" s="1255"/>
      <c r="U74" s="1255"/>
      <c r="V74" s="1255"/>
      <c r="W74" s="1255"/>
      <c r="X74" s="1255"/>
      <c r="Y74" s="1255"/>
      <c r="Z74" s="1255"/>
      <c r="AA74" s="1256"/>
      <c r="AB74" s="1257"/>
      <c r="AC74" s="1258"/>
      <c r="AD74" s="1254"/>
      <c r="AE74" s="1255"/>
      <c r="AF74" s="1255"/>
      <c r="AG74" s="1255"/>
      <c r="AH74" s="1255"/>
      <c r="AI74" s="1255"/>
      <c r="AJ74" s="1255"/>
      <c r="AK74" s="1255"/>
      <c r="AL74" s="1255"/>
      <c r="AM74" s="1255"/>
      <c r="AN74" s="1255"/>
      <c r="AO74" s="1256"/>
      <c r="AP74" s="1257"/>
      <c r="AQ74" s="1258"/>
      <c r="AR74" s="231"/>
      <c r="AT74" s="1283"/>
      <c r="AU74" s="1284"/>
      <c r="AV74" s="1284"/>
      <c r="AW74" s="1284"/>
      <c r="AX74" s="1284"/>
      <c r="AY74" s="1284"/>
      <c r="AZ74" s="1284"/>
      <c r="BA74" s="1284"/>
      <c r="BB74" s="1284"/>
      <c r="BC74" s="1284"/>
      <c r="BD74" s="1284"/>
      <c r="BE74" s="1284"/>
      <c r="BF74" s="1284"/>
      <c r="BG74" s="1284"/>
      <c r="BH74" s="1284"/>
      <c r="BI74" s="1284"/>
      <c r="BJ74" s="1284"/>
      <c r="BK74" s="1284"/>
      <c r="BL74" s="1284"/>
      <c r="BM74" s="1284"/>
      <c r="BN74" s="1284"/>
      <c r="BO74" s="1284"/>
      <c r="BP74" s="1284"/>
      <c r="BQ74" s="1284"/>
      <c r="BR74" s="1284"/>
      <c r="BS74" s="1284"/>
      <c r="BT74" s="1284"/>
      <c r="BU74" s="1284"/>
      <c r="BV74" s="1284"/>
      <c r="BW74" s="1284"/>
      <c r="BX74" s="1284"/>
      <c r="BY74" s="1284"/>
      <c r="BZ74" s="1284"/>
      <c r="CA74" s="1284"/>
      <c r="CB74" s="1285"/>
    </row>
    <row r="75" spans="1:80" ht="3.95" customHeight="1" x14ac:dyDescent="0.25">
      <c r="A75" s="231"/>
      <c r="B75" s="1494"/>
      <c r="C75" s="1495"/>
      <c r="D75" s="1495"/>
      <c r="E75" s="1495"/>
      <c r="F75" s="1495"/>
      <c r="G75" s="1495"/>
      <c r="H75" s="1495"/>
      <c r="I75" s="1495"/>
      <c r="J75" s="1495"/>
      <c r="K75" s="1495"/>
      <c r="L75" s="1495"/>
      <c r="M75" s="1496"/>
      <c r="N75" s="1262"/>
      <c r="O75" s="1263"/>
      <c r="P75" s="1254"/>
      <c r="Q75" s="1255"/>
      <c r="R75" s="1255"/>
      <c r="S75" s="1255"/>
      <c r="T75" s="1255"/>
      <c r="U75" s="1255"/>
      <c r="V75" s="1255"/>
      <c r="W75" s="1255"/>
      <c r="X75" s="1255"/>
      <c r="Y75" s="1255"/>
      <c r="Z75" s="1255"/>
      <c r="AA75" s="1256"/>
      <c r="AB75" s="1257"/>
      <c r="AC75" s="1258"/>
      <c r="AD75" s="1254"/>
      <c r="AE75" s="1255"/>
      <c r="AF75" s="1255"/>
      <c r="AG75" s="1255"/>
      <c r="AH75" s="1255"/>
      <c r="AI75" s="1255"/>
      <c r="AJ75" s="1255"/>
      <c r="AK75" s="1255"/>
      <c r="AL75" s="1255"/>
      <c r="AM75" s="1255"/>
      <c r="AN75" s="1255"/>
      <c r="AO75" s="1256"/>
      <c r="AP75" s="1257"/>
      <c r="AQ75" s="1258"/>
      <c r="AR75" s="231"/>
      <c r="AT75" s="1283"/>
      <c r="AU75" s="1284"/>
      <c r="AV75" s="1284"/>
      <c r="AW75" s="1284"/>
      <c r="AX75" s="1284"/>
      <c r="AY75" s="1284"/>
      <c r="AZ75" s="1284"/>
      <c r="BA75" s="1284"/>
      <c r="BB75" s="1284"/>
      <c r="BC75" s="1284"/>
      <c r="BD75" s="1284"/>
      <c r="BE75" s="1284"/>
      <c r="BF75" s="1284"/>
      <c r="BG75" s="1284"/>
      <c r="BH75" s="1284"/>
      <c r="BI75" s="1284"/>
      <c r="BJ75" s="1284"/>
      <c r="BK75" s="1284"/>
      <c r="BL75" s="1284"/>
      <c r="BM75" s="1284"/>
      <c r="BN75" s="1284"/>
      <c r="BO75" s="1284"/>
      <c r="BP75" s="1284"/>
      <c r="BQ75" s="1284"/>
      <c r="BR75" s="1284"/>
      <c r="BS75" s="1284"/>
      <c r="BT75" s="1284"/>
      <c r="BU75" s="1284"/>
      <c r="BV75" s="1284"/>
      <c r="BW75" s="1284"/>
      <c r="BX75" s="1284"/>
      <c r="BY75" s="1284"/>
      <c r="BZ75" s="1284"/>
      <c r="CA75" s="1284"/>
      <c r="CB75" s="1285"/>
    </row>
    <row r="76" spans="1:80" ht="3.95" customHeight="1" x14ac:dyDescent="0.25">
      <c r="A76" s="231"/>
      <c r="B76" s="1497"/>
      <c r="C76" s="1498"/>
      <c r="D76" s="1498"/>
      <c r="E76" s="1498"/>
      <c r="F76" s="1498"/>
      <c r="G76" s="1498"/>
      <c r="H76" s="1498"/>
      <c r="I76" s="1498"/>
      <c r="J76" s="1498"/>
      <c r="K76" s="1498"/>
      <c r="L76" s="1498"/>
      <c r="M76" s="1499"/>
      <c r="N76" s="1262"/>
      <c r="O76" s="1263"/>
      <c r="P76" s="1254"/>
      <c r="Q76" s="1255"/>
      <c r="R76" s="1255"/>
      <c r="S76" s="1255"/>
      <c r="T76" s="1255"/>
      <c r="U76" s="1255"/>
      <c r="V76" s="1255"/>
      <c r="W76" s="1255"/>
      <c r="X76" s="1255"/>
      <c r="Y76" s="1255"/>
      <c r="Z76" s="1255"/>
      <c r="AA76" s="1256"/>
      <c r="AB76" s="1257"/>
      <c r="AC76" s="1258"/>
      <c r="AD76" s="1254"/>
      <c r="AE76" s="1255"/>
      <c r="AF76" s="1255"/>
      <c r="AG76" s="1255"/>
      <c r="AH76" s="1255"/>
      <c r="AI76" s="1255"/>
      <c r="AJ76" s="1255"/>
      <c r="AK76" s="1255"/>
      <c r="AL76" s="1255"/>
      <c r="AM76" s="1255"/>
      <c r="AN76" s="1255"/>
      <c r="AO76" s="1256"/>
      <c r="AP76" s="1257"/>
      <c r="AQ76" s="1258"/>
      <c r="AR76" s="231"/>
      <c r="AT76" s="1283"/>
      <c r="AU76" s="1284"/>
      <c r="AV76" s="1284"/>
      <c r="AW76" s="1284"/>
      <c r="AX76" s="1284"/>
      <c r="AY76" s="1284"/>
      <c r="AZ76" s="1284"/>
      <c r="BA76" s="1284"/>
      <c r="BB76" s="1284"/>
      <c r="BC76" s="1284"/>
      <c r="BD76" s="1284"/>
      <c r="BE76" s="1284"/>
      <c r="BF76" s="1284"/>
      <c r="BG76" s="1284"/>
      <c r="BH76" s="1284"/>
      <c r="BI76" s="1284"/>
      <c r="BJ76" s="1284"/>
      <c r="BK76" s="1284"/>
      <c r="BL76" s="1284"/>
      <c r="BM76" s="1284"/>
      <c r="BN76" s="1284"/>
      <c r="BO76" s="1284"/>
      <c r="BP76" s="1284"/>
      <c r="BQ76" s="1284"/>
      <c r="BR76" s="1284"/>
      <c r="BS76" s="1284"/>
      <c r="BT76" s="1284"/>
      <c r="BU76" s="1284"/>
      <c r="BV76" s="1284"/>
      <c r="BW76" s="1284"/>
      <c r="BX76" s="1284"/>
      <c r="BY76" s="1284"/>
      <c r="BZ76" s="1284"/>
      <c r="CA76" s="1284"/>
      <c r="CB76" s="1285"/>
    </row>
    <row r="77" spans="1:80" ht="3.95" customHeight="1" x14ac:dyDescent="0.25">
      <c r="A77" s="231"/>
      <c r="B77" s="1491"/>
      <c r="C77" s="1492"/>
      <c r="D77" s="1492"/>
      <c r="E77" s="1492"/>
      <c r="F77" s="1492"/>
      <c r="G77" s="1492"/>
      <c r="H77" s="1492"/>
      <c r="I77" s="1492"/>
      <c r="J77" s="1492"/>
      <c r="K77" s="1492"/>
      <c r="L77" s="1492"/>
      <c r="M77" s="1493"/>
      <c r="N77" s="1262"/>
      <c r="O77" s="1263"/>
      <c r="P77" s="1254"/>
      <c r="Q77" s="1255"/>
      <c r="R77" s="1255"/>
      <c r="S77" s="1255"/>
      <c r="T77" s="1255"/>
      <c r="U77" s="1255"/>
      <c r="V77" s="1255"/>
      <c r="W77" s="1255"/>
      <c r="X77" s="1255"/>
      <c r="Y77" s="1255"/>
      <c r="Z77" s="1255"/>
      <c r="AA77" s="1256"/>
      <c r="AB77" s="1257"/>
      <c r="AC77" s="1258"/>
      <c r="AD77" s="1254"/>
      <c r="AE77" s="1255"/>
      <c r="AF77" s="1255"/>
      <c r="AG77" s="1255"/>
      <c r="AH77" s="1255"/>
      <c r="AI77" s="1255"/>
      <c r="AJ77" s="1255"/>
      <c r="AK77" s="1255"/>
      <c r="AL77" s="1255"/>
      <c r="AM77" s="1255"/>
      <c r="AN77" s="1255"/>
      <c r="AO77" s="1256"/>
      <c r="AP77" s="1257"/>
      <c r="AQ77" s="1258"/>
      <c r="AR77" s="231"/>
      <c r="AT77" s="1283"/>
      <c r="AU77" s="1284"/>
      <c r="AV77" s="1284"/>
      <c r="AW77" s="1284"/>
      <c r="AX77" s="1284"/>
      <c r="AY77" s="1284"/>
      <c r="AZ77" s="1284"/>
      <c r="BA77" s="1284"/>
      <c r="BB77" s="1284"/>
      <c r="BC77" s="1284"/>
      <c r="BD77" s="1284"/>
      <c r="BE77" s="1284"/>
      <c r="BF77" s="1284"/>
      <c r="BG77" s="1284"/>
      <c r="BH77" s="1284"/>
      <c r="BI77" s="1284"/>
      <c r="BJ77" s="1284"/>
      <c r="BK77" s="1284"/>
      <c r="BL77" s="1284"/>
      <c r="BM77" s="1284"/>
      <c r="BN77" s="1284"/>
      <c r="BO77" s="1284"/>
      <c r="BP77" s="1284"/>
      <c r="BQ77" s="1284"/>
      <c r="BR77" s="1284"/>
      <c r="BS77" s="1284"/>
      <c r="BT77" s="1284"/>
      <c r="BU77" s="1284"/>
      <c r="BV77" s="1284"/>
      <c r="BW77" s="1284"/>
      <c r="BX77" s="1284"/>
      <c r="BY77" s="1284"/>
      <c r="BZ77" s="1284"/>
      <c r="CA77" s="1284"/>
      <c r="CB77" s="1285"/>
    </row>
    <row r="78" spans="1:80" ht="3.95" customHeight="1" x14ac:dyDescent="0.25">
      <c r="A78" s="231"/>
      <c r="B78" s="1494"/>
      <c r="C78" s="1495"/>
      <c r="D78" s="1495"/>
      <c r="E78" s="1495"/>
      <c r="F78" s="1495"/>
      <c r="G78" s="1495"/>
      <c r="H78" s="1495"/>
      <c r="I78" s="1495"/>
      <c r="J78" s="1495"/>
      <c r="K78" s="1495"/>
      <c r="L78" s="1495"/>
      <c r="M78" s="1496"/>
      <c r="N78" s="1262"/>
      <c r="O78" s="1263"/>
      <c r="P78" s="1254"/>
      <c r="Q78" s="1255"/>
      <c r="R78" s="1255"/>
      <c r="S78" s="1255"/>
      <c r="T78" s="1255"/>
      <c r="U78" s="1255"/>
      <c r="V78" s="1255"/>
      <c r="W78" s="1255"/>
      <c r="X78" s="1255"/>
      <c r="Y78" s="1255"/>
      <c r="Z78" s="1255"/>
      <c r="AA78" s="1256"/>
      <c r="AB78" s="1257"/>
      <c r="AC78" s="1258"/>
      <c r="AD78" s="1254"/>
      <c r="AE78" s="1255"/>
      <c r="AF78" s="1255"/>
      <c r="AG78" s="1255"/>
      <c r="AH78" s="1255"/>
      <c r="AI78" s="1255"/>
      <c r="AJ78" s="1255"/>
      <c r="AK78" s="1255"/>
      <c r="AL78" s="1255"/>
      <c r="AM78" s="1255"/>
      <c r="AN78" s="1255"/>
      <c r="AO78" s="1256"/>
      <c r="AP78" s="1257"/>
      <c r="AQ78" s="1258"/>
      <c r="AR78" s="231"/>
      <c r="AT78" s="1283"/>
      <c r="AU78" s="1284"/>
      <c r="AV78" s="1284"/>
      <c r="AW78" s="1284"/>
      <c r="AX78" s="1284"/>
      <c r="AY78" s="1284"/>
      <c r="AZ78" s="1284"/>
      <c r="BA78" s="1284"/>
      <c r="BB78" s="1284"/>
      <c r="BC78" s="1284"/>
      <c r="BD78" s="1284"/>
      <c r="BE78" s="1284"/>
      <c r="BF78" s="1284"/>
      <c r="BG78" s="1284"/>
      <c r="BH78" s="1284"/>
      <c r="BI78" s="1284"/>
      <c r="BJ78" s="1284"/>
      <c r="BK78" s="1284"/>
      <c r="BL78" s="1284"/>
      <c r="BM78" s="1284"/>
      <c r="BN78" s="1284"/>
      <c r="BO78" s="1284"/>
      <c r="BP78" s="1284"/>
      <c r="BQ78" s="1284"/>
      <c r="BR78" s="1284"/>
      <c r="BS78" s="1284"/>
      <c r="BT78" s="1284"/>
      <c r="BU78" s="1284"/>
      <c r="BV78" s="1284"/>
      <c r="BW78" s="1284"/>
      <c r="BX78" s="1284"/>
      <c r="BY78" s="1284"/>
      <c r="BZ78" s="1284"/>
      <c r="CA78" s="1284"/>
      <c r="CB78" s="1285"/>
    </row>
    <row r="79" spans="1:80" ht="3.95" customHeight="1" x14ac:dyDescent="0.25">
      <c r="A79" s="231"/>
      <c r="B79" s="1497"/>
      <c r="C79" s="1498"/>
      <c r="D79" s="1498"/>
      <c r="E79" s="1498"/>
      <c r="F79" s="1498"/>
      <c r="G79" s="1498"/>
      <c r="H79" s="1498"/>
      <c r="I79" s="1498"/>
      <c r="J79" s="1498"/>
      <c r="K79" s="1498"/>
      <c r="L79" s="1498"/>
      <c r="M79" s="1499"/>
      <c r="N79" s="1262"/>
      <c r="O79" s="1263"/>
      <c r="P79" s="1254"/>
      <c r="Q79" s="1255"/>
      <c r="R79" s="1255"/>
      <c r="S79" s="1255"/>
      <c r="T79" s="1255"/>
      <c r="U79" s="1255"/>
      <c r="V79" s="1255"/>
      <c r="W79" s="1255"/>
      <c r="X79" s="1255"/>
      <c r="Y79" s="1255"/>
      <c r="Z79" s="1255"/>
      <c r="AA79" s="1256"/>
      <c r="AB79" s="1257"/>
      <c r="AC79" s="1258"/>
      <c r="AD79" s="1254"/>
      <c r="AE79" s="1255"/>
      <c r="AF79" s="1255"/>
      <c r="AG79" s="1255"/>
      <c r="AH79" s="1255"/>
      <c r="AI79" s="1255"/>
      <c r="AJ79" s="1255"/>
      <c r="AK79" s="1255"/>
      <c r="AL79" s="1255"/>
      <c r="AM79" s="1255"/>
      <c r="AN79" s="1255"/>
      <c r="AO79" s="1256"/>
      <c r="AP79" s="1257"/>
      <c r="AQ79" s="1258"/>
      <c r="AR79" s="231"/>
      <c r="AT79" s="1283"/>
      <c r="AU79" s="1284"/>
      <c r="AV79" s="1284"/>
      <c r="AW79" s="1284"/>
      <c r="AX79" s="1284"/>
      <c r="AY79" s="1284"/>
      <c r="AZ79" s="1284"/>
      <c r="BA79" s="1284"/>
      <c r="BB79" s="1284"/>
      <c r="BC79" s="1284"/>
      <c r="BD79" s="1284"/>
      <c r="BE79" s="1284"/>
      <c r="BF79" s="1284"/>
      <c r="BG79" s="1284"/>
      <c r="BH79" s="1284"/>
      <c r="BI79" s="1284"/>
      <c r="BJ79" s="1284"/>
      <c r="BK79" s="1284"/>
      <c r="BL79" s="1284"/>
      <c r="BM79" s="1284"/>
      <c r="BN79" s="1284"/>
      <c r="BO79" s="1284"/>
      <c r="BP79" s="1284"/>
      <c r="BQ79" s="1284"/>
      <c r="BR79" s="1284"/>
      <c r="BS79" s="1284"/>
      <c r="BT79" s="1284"/>
      <c r="BU79" s="1284"/>
      <c r="BV79" s="1284"/>
      <c r="BW79" s="1284"/>
      <c r="BX79" s="1284"/>
      <c r="BY79" s="1284"/>
      <c r="BZ79" s="1284"/>
      <c r="CA79" s="1284"/>
      <c r="CB79" s="1285"/>
    </row>
    <row r="80" spans="1:80" ht="3.95" customHeight="1" x14ac:dyDescent="0.25">
      <c r="A80" s="231"/>
      <c r="B80" s="1491"/>
      <c r="C80" s="1492"/>
      <c r="D80" s="1492"/>
      <c r="E80" s="1492"/>
      <c r="F80" s="1492"/>
      <c r="G80" s="1492"/>
      <c r="H80" s="1492"/>
      <c r="I80" s="1492"/>
      <c r="J80" s="1492"/>
      <c r="K80" s="1492"/>
      <c r="L80" s="1492"/>
      <c r="M80" s="1493"/>
      <c r="N80" s="1262"/>
      <c r="O80" s="1263"/>
      <c r="P80" s="1235" t="s">
        <v>563</v>
      </c>
      <c r="Q80" s="1236"/>
      <c r="R80" s="1236"/>
      <c r="S80" s="1236"/>
      <c r="T80" s="1241" t="s">
        <v>97</v>
      </c>
      <c r="U80" s="1241"/>
      <c r="V80" s="1241"/>
      <c r="W80" s="1244">
        <f>CD.magia.base+5</f>
        <v>15</v>
      </c>
      <c r="X80" s="1244"/>
      <c r="Y80" s="1244"/>
      <c r="Z80" s="1244"/>
      <c r="AA80" s="1245"/>
      <c r="AB80" s="1475" t="str">
        <f>IF(NÍVEL.conjurador&gt;=(VLOOKUP(CONJURADOR,TABELA.classes,43,FALSE)),"ü","û")</f>
        <v>ü</v>
      </c>
      <c r="AC80" s="1476"/>
      <c r="AD80" s="1254"/>
      <c r="AE80" s="1255"/>
      <c r="AF80" s="1255"/>
      <c r="AG80" s="1255"/>
      <c r="AH80" s="1255"/>
      <c r="AI80" s="1255"/>
      <c r="AJ80" s="1255"/>
      <c r="AK80" s="1255"/>
      <c r="AL80" s="1255"/>
      <c r="AM80" s="1255"/>
      <c r="AN80" s="1255"/>
      <c r="AO80" s="1256"/>
      <c r="AP80" s="1257"/>
      <c r="AQ80" s="1258"/>
      <c r="AR80" s="231"/>
      <c r="AT80" s="1283"/>
      <c r="AU80" s="1284"/>
      <c r="AV80" s="1284"/>
      <c r="AW80" s="1284"/>
      <c r="AX80" s="1284"/>
      <c r="AY80" s="1284"/>
      <c r="AZ80" s="1284"/>
      <c r="BA80" s="1284"/>
      <c r="BB80" s="1284"/>
      <c r="BC80" s="1284"/>
      <c r="BD80" s="1284"/>
      <c r="BE80" s="1284"/>
      <c r="BF80" s="1284"/>
      <c r="BG80" s="1284"/>
      <c r="BH80" s="1284"/>
      <c r="BI80" s="1284"/>
      <c r="BJ80" s="1284"/>
      <c r="BK80" s="1284"/>
      <c r="BL80" s="1284"/>
      <c r="BM80" s="1284"/>
      <c r="BN80" s="1284"/>
      <c r="BO80" s="1284"/>
      <c r="BP80" s="1284"/>
      <c r="BQ80" s="1284"/>
      <c r="BR80" s="1284"/>
      <c r="BS80" s="1284"/>
      <c r="BT80" s="1284"/>
      <c r="BU80" s="1284"/>
      <c r="BV80" s="1284"/>
      <c r="BW80" s="1284"/>
      <c r="BX80" s="1284"/>
      <c r="BY80" s="1284"/>
      <c r="BZ80" s="1284"/>
      <c r="CA80" s="1284"/>
      <c r="CB80" s="1285"/>
    </row>
    <row r="81" spans="1:80" ht="3.95" customHeight="1" x14ac:dyDescent="0.25">
      <c r="A81" s="231"/>
      <c r="B81" s="1494"/>
      <c r="C81" s="1495"/>
      <c r="D81" s="1495"/>
      <c r="E81" s="1495"/>
      <c r="F81" s="1495"/>
      <c r="G81" s="1495"/>
      <c r="H81" s="1495"/>
      <c r="I81" s="1495"/>
      <c r="J81" s="1495"/>
      <c r="K81" s="1495"/>
      <c r="L81" s="1495"/>
      <c r="M81" s="1496"/>
      <c r="N81" s="1262"/>
      <c r="O81" s="1263"/>
      <c r="P81" s="1237"/>
      <c r="Q81" s="1238"/>
      <c r="R81" s="1238"/>
      <c r="S81" s="1238"/>
      <c r="T81" s="1242"/>
      <c r="U81" s="1242"/>
      <c r="V81" s="1242"/>
      <c r="W81" s="1246"/>
      <c r="X81" s="1246"/>
      <c r="Y81" s="1246"/>
      <c r="Z81" s="1246"/>
      <c r="AA81" s="1247"/>
      <c r="AB81" s="1475"/>
      <c r="AC81" s="1476"/>
      <c r="AD81" s="1254"/>
      <c r="AE81" s="1255"/>
      <c r="AF81" s="1255"/>
      <c r="AG81" s="1255"/>
      <c r="AH81" s="1255"/>
      <c r="AI81" s="1255"/>
      <c r="AJ81" s="1255"/>
      <c r="AK81" s="1255"/>
      <c r="AL81" s="1255"/>
      <c r="AM81" s="1255"/>
      <c r="AN81" s="1255"/>
      <c r="AO81" s="1256"/>
      <c r="AP81" s="1257"/>
      <c r="AQ81" s="1258"/>
      <c r="AR81" s="231"/>
      <c r="AT81" s="1286"/>
      <c r="AU81" s="1287"/>
      <c r="AV81" s="1287"/>
      <c r="AW81" s="1287"/>
      <c r="AX81" s="1287"/>
      <c r="AY81" s="1287"/>
      <c r="AZ81" s="1287"/>
      <c r="BA81" s="1287"/>
      <c r="BB81" s="1287"/>
      <c r="BC81" s="1287"/>
      <c r="BD81" s="1287"/>
      <c r="BE81" s="1287"/>
      <c r="BF81" s="1287"/>
      <c r="BG81" s="1287"/>
      <c r="BH81" s="1287"/>
      <c r="BI81" s="1287"/>
      <c r="BJ81" s="1287"/>
      <c r="BK81" s="1287"/>
      <c r="BL81" s="1287"/>
      <c r="BM81" s="1287"/>
      <c r="BN81" s="1287"/>
      <c r="BO81" s="1287"/>
      <c r="BP81" s="1287"/>
      <c r="BQ81" s="1287"/>
      <c r="BR81" s="1287"/>
      <c r="BS81" s="1287"/>
      <c r="BT81" s="1287"/>
      <c r="BU81" s="1287"/>
      <c r="BV81" s="1287"/>
      <c r="BW81" s="1287"/>
      <c r="BX81" s="1287"/>
      <c r="BY81" s="1287"/>
      <c r="BZ81" s="1287"/>
      <c r="CA81" s="1287"/>
      <c r="CB81" s="1288"/>
    </row>
    <row r="82" spans="1:80" ht="3.95" customHeight="1" x14ac:dyDescent="0.25">
      <c r="A82" s="231"/>
      <c r="B82" s="1497"/>
      <c r="C82" s="1498"/>
      <c r="D82" s="1498"/>
      <c r="E82" s="1498"/>
      <c r="F82" s="1498"/>
      <c r="G82" s="1498"/>
      <c r="H82" s="1498"/>
      <c r="I82" s="1498"/>
      <c r="J82" s="1498"/>
      <c r="K82" s="1498"/>
      <c r="L82" s="1498"/>
      <c r="M82" s="1499"/>
      <c r="N82" s="1262"/>
      <c r="O82" s="1263"/>
      <c r="P82" s="1239"/>
      <c r="Q82" s="1240"/>
      <c r="R82" s="1240"/>
      <c r="S82" s="1240"/>
      <c r="T82" s="1243"/>
      <c r="U82" s="1243"/>
      <c r="V82" s="1243"/>
      <c r="W82" s="1248"/>
      <c r="X82" s="1248"/>
      <c r="Y82" s="1248"/>
      <c r="Z82" s="1248"/>
      <c r="AA82" s="1249"/>
      <c r="AB82" s="1475"/>
      <c r="AC82" s="1476"/>
      <c r="AD82" s="1254"/>
      <c r="AE82" s="1255"/>
      <c r="AF82" s="1255"/>
      <c r="AG82" s="1255"/>
      <c r="AH82" s="1255"/>
      <c r="AI82" s="1255"/>
      <c r="AJ82" s="1255"/>
      <c r="AK82" s="1255"/>
      <c r="AL82" s="1255"/>
      <c r="AM82" s="1255"/>
      <c r="AN82" s="1255"/>
      <c r="AO82" s="1256"/>
      <c r="AP82" s="1257"/>
      <c r="AQ82" s="1258"/>
      <c r="AR82" s="231"/>
      <c r="AT82" s="1277" t="s">
        <v>592</v>
      </c>
      <c r="AU82" s="1278"/>
      <c r="AV82" s="1278"/>
      <c r="AW82" s="1278"/>
      <c r="AX82" s="1278"/>
      <c r="AY82" s="1278"/>
      <c r="AZ82" s="1278"/>
      <c r="BA82" s="1278"/>
      <c r="BB82" s="1278"/>
      <c r="BC82" s="1278"/>
      <c r="BD82" s="1278"/>
      <c r="BE82" s="1278"/>
      <c r="BF82" s="1278"/>
      <c r="BG82" s="1278"/>
      <c r="BH82" s="1278"/>
      <c r="BI82" s="1278"/>
      <c r="BJ82" s="1278"/>
      <c r="BK82" s="1278"/>
      <c r="BL82" s="1278"/>
      <c r="BM82" s="1278"/>
      <c r="BN82" s="1278"/>
      <c r="BO82" s="1278"/>
      <c r="BP82" s="1278"/>
      <c r="BQ82" s="1278"/>
      <c r="BR82" s="1278"/>
      <c r="BS82" s="1278"/>
      <c r="BT82" s="1278"/>
      <c r="BU82" s="1278"/>
      <c r="BV82" s="1278"/>
      <c r="BW82" s="1278"/>
      <c r="BX82" s="1278"/>
      <c r="BY82" s="1278"/>
      <c r="BZ82" s="1278"/>
      <c r="CA82" s="1278"/>
      <c r="CB82" s="1279"/>
    </row>
    <row r="83" spans="1:80" ht="3.95" customHeight="1" x14ac:dyDescent="0.25">
      <c r="A83" s="231"/>
      <c r="B83" s="1491"/>
      <c r="C83" s="1492"/>
      <c r="D83" s="1492"/>
      <c r="E83" s="1492"/>
      <c r="F83" s="1492"/>
      <c r="G83" s="1492"/>
      <c r="H83" s="1492"/>
      <c r="I83" s="1492"/>
      <c r="J83" s="1492"/>
      <c r="K83" s="1492"/>
      <c r="L83" s="1492"/>
      <c r="M83" s="1493"/>
      <c r="N83" s="1262"/>
      <c r="O83" s="1263"/>
      <c r="P83" s="1254"/>
      <c r="Q83" s="1255"/>
      <c r="R83" s="1255"/>
      <c r="S83" s="1255"/>
      <c r="T83" s="1255"/>
      <c r="U83" s="1255"/>
      <c r="V83" s="1255"/>
      <c r="W83" s="1255"/>
      <c r="X83" s="1255"/>
      <c r="Y83" s="1255"/>
      <c r="Z83" s="1255"/>
      <c r="AA83" s="1256"/>
      <c r="AB83" s="1257"/>
      <c r="AC83" s="1258"/>
      <c r="AD83" s="1254"/>
      <c r="AE83" s="1255"/>
      <c r="AF83" s="1255"/>
      <c r="AG83" s="1255"/>
      <c r="AH83" s="1255"/>
      <c r="AI83" s="1255"/>
      <c r="AJ83" s="1255"/>
      <c r="AK83" s="1255"/>
      <c r="AL83" s="1255"/>
      <c r="AM83" s="1255"/>
      <c r="AN83" s="1255"/>
      <c r="AO83" s="1256"/>
      <c r="AP83" s="1257"/>
      <c r="AQ83" s="1258"/>
      <c r="AR83" s="231"/>
      <c r="AT83" s="1277"/>
      <c r="AU83" s="1278"/>
      <c r="AV83" s="1278"/>
      <c r="AW83" s="1278"/>
      <c r="AX83" s="1278"/>
      <c r="AY83" s="1278"/>
      <c r="AZ83" s="1278"/>
      <c r="BA83" s="1278"/>
      <c r="BB83" s="1278"/>
      <c r="BC83" s="1278"/>
      <c r="BD83" s="1278"/>
      <c r="BE83" s="1278"/>
      <c r="BF83" s="1278"/>
      <c r="BG83" s="1278"/>
      <c r="BH83" s="1278"/>
      <c r="BI83" s="1278"/>
      <c r="BJ83" s="1278"/>
      <c r="BK83" s="1278"/>
      <c r="BL83" s="1278"/>
      <c r="BM83" s="1278"/>
      <c r="BN83" s="1278"/>
      <c r="BO83" s="1278"/>
      <c r="BP83" s="1278"/>
      <c r="BQ83" s="1278"/>
      <c r="BR83" s="1278"/>
      <c r="BS83" s="1278"/>
      <c r="BT83" s="1278"/>
      <c r="BU83" s="1278"/>
      <c r="BV83" s="1278"/>
      <c r="BW83" s="1278"/>
      <c r="BX83" s="1278"/>
      <c r="BY83" s="1278"/>
      <c r="BZ83" s="1278"/>
      <c r="CA83" s="1278"/>
      <c r="CB83" s="1279"/>
    </row>
    <row r="84" spans="1:80" ht="3.95" customHeight="1" x14ac:dyDescent="0.25">
      <c r="A84" s="231"/>
      <c r="B84" s="1494"/>
      <c r="C84" s="1495"/>
      <c r="D84" s="1495"/>
      <c r="E84" s="1495"/>
      <c r="F84" s="1495"/>
      <c r="G84" s="1495"/>
      <c r="H84" s="1495"/>
      <c r="I84" s="1495"/>
      <c r="J84" s="1495"/>
      <c r="K84" s="1495"/>
      <c r="L84" s="1495"/>
      <c r="M84" s="1496"/>
      <c r="N84" s="1262"/>
      <c r="O84" s="1263"/>
      <c r="P84" s="1254"/>
      <c r="Q84" s="1255"/>
      <c r="R84" s="1255"/>
      <c r="S84" s="1255"/>
      <c r="T84" s="1255"/>
      <c r="U84" s="1255"/>
      <c r="V84" s="1255"/>
      <c r="W84" s="1255"/>
      <c r="X84" s="1255"/>
      <c r="Y84" s="1255"/>
      <c r="Z84" s="1255"/>
      <c r="AA84" s="1256"/>
      <c r="AB84" s="1257"/>
      <c r="AC84" s="1258"/>
      <c r="AD84" s="1254"/>
      <c r="AE84" s="1255"/>
      <c r="AF84" s="1255"/>
      <c r="AG84" s="1255"/>
      <c r="AH84" s="1255"/>
      <c r="AI84" s="1255"/>
      <c r="AJ84" s="1255"/>
      <c r="AK84" s="1255"/>
      <c r="AL84" s="1255"/>
      <c r="AM84" s="1255"/>
      <c r="AN84" s="1255"/>
      <c r="AO84" s="1256"/>
      <c r="AP84" s="1257"/>
      <c r="AQ84" s="1258"/>
      <c r="AR84" s="231"/>
      <c r="AT84" s="1277"/>
      <c r="AU84" s="1278"/>
      <c r="AV84" s="1278"/>
      <c r="AW84" s="1278"/>
      <c r="AX84" s="1278"/>
      <c r="AY84" s="1278"/>
      <c r="AZ84" s="1278"/>
      <c r="BA84" s="1278"/>
      <c r="BB84" s="1278"/>
      <c r="BC84" s="1278"/>
      <c r="BD84" s="1278"/>
      <c r="BE84" s="1278"/>
      <c r="BF84" s="1278"/>
      <c r="BG84" s="1278"/>
      <c r="BH84" s="1278"/>
      <c r="BI84" s="1278"/>
      <c r="BJ84" s="1278"/>
      <c r="BK84" s="1278"/>
      <c r="BL84" s="1278"/>
      <c r="BM84" s="1278"/>
      <c r="BN84" s="1278"/>
      <c r="BO84" s="1278"/>
      <c r="BP84" s="1278"/>
      <c r="BQ84" s="1278"/>
      <c r="BR84" s="1278"/>
      <c r="BS84" s="1278"/>
      <c r="BT84" s="1278"/>
      <c r="BU84" s="1278"/>
      <c r="BV84" s="1278"/>
      <c r="BW84" s="1278"/>
      <c r="BX84" s="1278"/>
      <c r="BY84" s="1278"/>
      <c r="BZ84" s="1278"/>
      <c r="CA84" s="1278"/>
      <c r="CB84" s="1279"/>
    </row>
    <row r="85" spans="1:80" ht="3.95" customHeight="1" x14ac:dyDescent="0.25">
      <c r="A85" s="231"/>
      <c r="B85" s="1497"/>
      <c r="C85" s="1498"/>
      <c r="D85" s="1498"/>
      <c r="E85" s="1498"/>
      <c r="F85" s="1498"/>
      <c r="G85" s="1498"/>
      <c r="H85" s="1498"/>
      <c r="I85" s="1498"/>
      <c r="J85" s="1498"/>
      <c r="K85" s="1498"/>
      <c r="L85" s="1498"/>
      <c r="M85" s="1499"/>
      <c r="N85" s="1262"/>
      <c r="O85" s="1263"/>
      <c r="P85" s="1254"/>
      <c r="Q85" s="1255"/>
      <c r="R85" s="1255"/>
      <c r="S85" s="1255"/>
      <c r="T85" s="1255"/>
      <c r="U85" s="1255"/>
      <c r="V85" s="1255"/>
      <c r="W85" s="1255"/>
      <c r="X85" s="1255"/>
      <c r="Y85" s="1255"/>
      <c r="Z85" s="1255"/>
      <c r="AA85" s="1256"/>
      <c r="AB85" s="1257"/>
      <c r="AC85" s="1258"/>
      <c r="AD85" s="1254"/>
      <c r="AE85" s="1255"/>
      <c r="AF85" s="1255"/>
      <c r="AG85" s="1255"/>
      <c r="AH85" s="1255"/>
      <c r="AI85" s="1255"/>
      <c r="AJ85" s="1255"/>
      <c r="AK85" s="1255"/>
      <c r="AL85" s="1255"/>
      <c r="AM85" s="1255"/>
      <c r="AN85" s="1255"/>
      <c r="AO85" s="1256"/>
      <c r="AP85" s="1257"/>
      <c r="AQ85" s="1258"/>
      <c r="AR85" s="231"/>
      <c r="AT85" s="1280"/>
      <c r="AU85" s="1281"/>
      <c r="AV85" s="1281"/>
      <c r="AW85" s="1281"/>
      <c r="AX85" s="1281"/>
      <c r="AY85" s="1281"/>
      <c r="AZ85" s="1281"/>
      <c r="BA85" s="1281"/>
      <c r="BB85" s="1281"/>
      <c r="BC85" s="1281"/>
      <c r="BD85" s="1281"/>
      <c r="BE85" s="1281"/>
      <c r="BF85" s="1281"/>
      <c r="BG85" s="1281"/>
      <c r="BH85" s="1281"/>
      <c r="BI85" s="1281"/>
      <c r="BJ85" s="1281"/>
      <c r="BK85" s="1281"/>
      <c r="BL85" s="1281"/>
      <c r="BM85" s="1281"/>
      <c r="BN85" s="1281"/>
      <c r="BO85" s="1281"/>
      <c r="BP85" s="1281"/>
      <c r="BQ85" s="1281"/>
      <c r="BR85" s="1281"/>
      <c r="BS85" s="1281"/>
      <c r="BT85" s="1281"/>
      <c r="BU85" s="1281"/>
      <c r="BV85" s="1281"/>
      <c r="BW85" s="1281"/>
      <c r="BX85" s="1281"/>
      <c r="BY85" s="1281"/>
      <c r="BZ85" s="1281"/>
      <c r="CA85" s="1281"/>
      <c r="CB85" s="1282"/>
    </row>
    <row r="86" spans="1:80" ht="3.95" customHeight="1" x14ac:dyDescent="0.25">
      <c r="A86" s="231"/>
      <c r="B86" s="1491"/>
      <c r="C86" s="1492"/>
      <c r="D86" s="1492"/>
      <c r="E86" s="1492"/>
      <c r="F86" s="1492"/>
      <c r="G86" s="1492"/>
      <c r="H86" s="1492"/>
      <c r="I86" s="1492"/>
      <c r="J86" s="1492"/>
      <c r="K86" s="1492"/>
      <c r="L86" s="1492"/>
      <c r="M86" s="1493"/>
      <c r="N86" s="1262"/>
      <c r="O86" s="1263"/>
      <c r="P86" s="1254"/>
      <c r="Q86" s="1255"/>
      <c r="R86" s="1255"/>
      <c r="S86" s="1255"/>
      <c r="T86" s="1255"/>
      <c r="U86" s="1255"/>
      <c r="V86" s="1255"/>
      <c r="W86" s="1255"/>
      <c r="X86" s="1255"/>
      <c r="Y86" s="1255"/>
      <c r="Z86" s="1255"/>
      <c r="AA86" s="1256"/>
      <c r="AB86" s="1257"/>
      <c r="AC86" s="1258"/>
      <c r="AD86" s="1254"/>
      <c r="AE86" s="1255"/>
      <c r="AF86" s="1255"/>
      <c r="AG86" s="1255"/>
      <c r="AH86" s="1255"/>
      <c r="AI86" s="1255"/>
      <c r="AJ86" s="1255"/>
      <c r="AK86" s="1255"/>
      <c r="AL86" s="1255"/>
      <c r="AM86" s="1255"/>
      <c r="AN86" s="1255"/>
      <c r="AO86" s="1256"/>
      <c r="AP86" s="1257"/>
      <c r="AQ86" s="1258"/>
      <c r="AR86" s="231"/>
      <c r="AT86" s="1283"/>
      <c r="AU86" s="1284"/>
      <c r="AV86" s="1284"/>
      <c r="AW86" s="1284"/>
      <c r="AX86" s="1284"/>
      <c r="AY86" s="1284"/>
      <c r="AZ86" s="1284"/>
      <c r="BA86" s="1284"/>
      <c r="BB86" s="1284"/>
      <c r="BC86" s="1284"/>
      <c r="BD86" s="1284"/>
      <c r="BE86" s="1284"/>
      <c r="BF86" s="1284"/>
      <c r="BG86" s="1284"/>
      <c r="BH86" s="1284"/>
      <c r="BI86" s="1284"/>
      <c r="BJ86" s="1284"/>
      <c r="BK86" s="1284"/>
      <c r="BL86" s="1284"/>
      <c r="BM86" s="1284"/>
      <c r="BN86" s="1284"/>
      <c r="BO86" s="1284"/>
      <c r="BP86" s="1284"/>
      <c r="BQ86" s="1284"/>
      <c r="BR86" s="1284"/>
      <c r="BS86" s="1284"/>
      <c r="BT86" s="1284"/>
      <c r="BU86" s="1284"/>
      <c r="BV86" s="1284"/>
      <c r="BW86" s="1284"/>
      <c r="BX86" s="1284"/>
      <c r="BY86" s="1284"/>
      <c r="BZ86" s="1284"/>
      <c r="CA86" s="1284"/>
      <c r="CB86" s="1285"/>
    </row>
    <row r="87" spans="1:80" ht="3.95" customHeight="1" x14ac:dyDescent="0.25">
      <c r="A87" s="231"/>
      <c r="B87" s="1494"/>
      <c r="C87" s="1495"/>
      <c r="D87" s="1495"/>
      <c r="E87" s="1495"/>
      <c r="F87" s="1495"/>
      <c r="G87" s="1495"/>
      <c r="H87" s="1495"/>
      <c r="I87" s="1495"/>
      <c r="J87" s="1495"/>
      <c r="K87" s="1495"/>
      <c r="L87" s="1495"/>
      <c r="M87" s="1496"/>
      <c r="N87" s="1262"/>
      <c r="O87" s="1263"/>
      <c r="P87" s="1254"/>
      <c r="Q87" s="1255"/>
      <c r="R87" s="1255"/>
      <c r="S87" s="1255"/>
      <c r="T87" s="1255"/>
      <c r="U87" s="1255"/>
      <c r="V87" s="1255"/>
      <c r="W87" s="1255"/>
      <c r="X87" s="1255"/>
      <c r="Y87" s="1255"/>
      <c r="Z87" s="1255"/>
      <c r="AA87" s="1256"/>
      <c r="AB87" s="1257"/>
      <c r="AC87" s="1258"/>
      <c r="AD87" s="1254"/>
      <c r="AE87" s="1255"/>
      <c r="AF87" s="1255"/>
      <c r="AG87" s="1255"/>
      <c r="AH87" s="1255"/>
      <c r="AI87" s="1255"/>
      <c r="AJ87" s="1255"/>
      <c r="AK87" s="1255"/>
      <c r="AL87" s="1255"/>
      <c r="AM87" s="1255"/>
      <c r="AN87" s="1255"/>
      <c r="AO87" s="1256"/>
      <c r="AP87" s="1257"/>
      <c r="AQ87" s="1258"/>
      <c r="AR87" s="231"/>
      <c r="AT87" s="1283"/>
      <c r="AU87" s="1284"/>
      <c r="AV87" s="1284"/>
      <c r="AW87" s="1284"/>
      <c r="AX87" s="1284"/>
      <c r="AY87" s="1284"/>
      <c r="AZ87" s="1284"/>
      <c r="BA87" s="1284"/>
      <c r="BB87" s="1284"/>
      <c r="BC87" s="1284"/>
      <c r="BD87" s="1284"/>
      <c r="BE87" s="1284"/>
      <c r="BF87" s="1284"/>
      <c r="BG87" s="1284"/>
      <c r="BH87" s="1284"/>
      <c r="BI87" s="1284"/>
      <c r="BJ87" s="1284"/>
      <c r="BK87" s="1284"/>
      <c r="BL87" s="1284"/>
      <c r="BM87" s="1284"/>
      <c r="BN87" s="1284"/>
      <c r="BO87" s="1284"/>
      <c r="BP87" s="1284"/>
      <c r="BQ87" s="1284"/>
      <c r="BR87" s="1284"/>
      <c r="BS87" s="1284"/>
      <c r="BT87" s="1284"/>
      <c r="BU87" s="1284"/>
      <c r="BV87" s="1284"/>
      <c r="BW87" s="1284"/>
      <c r="BX87" s="1284"/>
      <c r="BY87" s="1284"/>
      <c r="BZ87" s="1284"/>
      <c r="CA87" s="1284"/>
      <c r="CB87" s="1285"/>
    </row>
    <row r="88" spans="1:80" ht="3.95" customHeight="1" x14ac:dyDescent="0.25">
      <c r="A88" s="231"/>
      <c r="B88" s="1497"/>
      <c r="C88" s="1498"/>
      <c r="D88" s="1498"/>
      <c r="E88" s="1498"/>
      <c r="F88" s="1498"/>
      <c r="G88" s="1498"/>
      <c r="H88" s="1498"/>
      <c r="I88" s="1498"/>
      <c r="J88" s="1498"/>
      <c r="K88" s="1498"/>
      <c r="L88" s="1498"/>
      <c r="M88" s="1499"/>
      <c r="N88" s="1262"/>
      <c r="O88" s="1263"/>
      <c r="P88" s="1254"/>
      <c r="Q88" s="1255"/>
      <c r="R88" s="1255"/>
      <c r="S88" s="1255"/>
      <c r="T88" s="1255"/>
      <c r="U88" s="1255"/>
      <c r="V88" s="1255"/>
      <c r="W88" s="1255"/>
      <c r="X88" s="1255"/>
      <c r="Y88" s="1255"/>
      <c r="Z88" s="1255"/>
      <c r="AA88" s="1256"/>
      <c r="AB88" s="1257"/>
      <c r="AC88" s="1258"/>
      <c r="AD88" s="1254"/>
      <c r="AE88" s="1255"/>
      <c r="AF88" s="1255"/>
      <c r="AG88" s="1255"/>
      <c r="AH88" s="1255"/>
      <c r="AI88" s="1255"/>
      <c r="AJ88" s="1255"/>
      <c r="AK88" s="1255"/>
      <c r="AL88" s="1255"/>
      <c r="AM88" s="1255"/>
      <c r="AN88" s="1255"/>
      <c r="AO88" s="1256"/>
      <c r="AP88" s="1257"/>
      <c r="AQ88" s="1258"/>
      <c r="AR88" s="231"/>
      <c r="AT88" s="1283"/>
      <c r="AU88" s="1284"/>
      <c r="AV88" s="1284"/>
      <c r="AW88" s="1284"/>
      <c r="AX88" s="1284"/>
      <c r="AY88" s="1284"/>
      <c r="AZ88" s="1284"/>
      <c r="BA88" s="1284"/>
      <c r="BB88" s="1284"/>
      <c r="BC88" s="1284"/>
      <c r="BD88" s="1284"/>
      <c r="BE88" s="1284"/>
      <c r="BF88" s="1284"/>
      <c r="BG88" s="1284"/>
      <c r="BH88" s="1284"/>
      <c r="BI88" s="1284"/>
      <c r="BJ88" s="1284"/>
      <c r="BK88" s="1284"/>
      <c r="BL88" s="1284"/>
      <c r="BM88" s="1284"/>
      <c r="BN88" s="1284"/>
      <c r="BO88" s="1284"/>
      <c r="BP88" s="1284"/>
      <c r="BQ88" s="1284"/>
      <c r="BR88" s="1284"/>
      <c r="BS88" s="1284"/>
      <c r="BT88" s="1284"/>
      <c r="BU88" s="1284"/>
      <c r="BV88" s="1284"/>
      <c r="BW88" s="1284"/>
      <c r="BX88" s="1284"/>
      <c r="BY88" s="1284"/>
      <c r="BZ88" s="1284"/>
      <c r="CA88" s="1284"/>
      <c r="CB88" s="1285"/>
    </row>
    <row r="89" spans="1:80" ht="3.95" customHeight="1" x14ac:dyDescent="0.25">
      <c r="A89" s="231"/>
      <c r="B89" s="1491"/>
      <c r="C89" s="1492"/>
      <c r="D89" s="1492"/>
      <c r="E89" s="1492"/>
      <c r="F89" s="1492"/>
      <c r="G89" s="1492"/>
      <c r="H89" s="1492"/>
      <c r="I89" s="1492"/>
      <c r="J89" s="1492"/>
      <c r="K89" s="1492"/>
      <c r="L89" s="1492"/>
      <c r="M89" s="1493"/>
      <c r="N89" s="1262"/>
      <c r="O89" s="1263"/>
      <c r="P89" s="1254"/>
      <c r="Q89" s="1255"/>
      <c r="R89" s="1255"/>
      <c r="S89" s="1255"/>
      <c r="T89" s="1255"/>
      <c r="U89" s="1255"/>
      <c r="V89" s="1255"/>
      <c r="W89" s="1255"/>
      <c r="X89" s="1255"/>
      <c r="Y89" s="1255"/>
      <c r="Z89" s="1255"/>
      <c r="AA89" s="1256"/>
      <c r="AB89" s="1257"/>
      <c r="AC89" s="1258"/>
      <c r="AD89" s="1254"/>
      <c r="AE89" s="1255"/>
      <c r="AF89" s="1255"/>
      <c r="AG89" s="1255"/>
      <c r="AH89" s="1255"/>
      <c r="AI89" s="1255"/>
      <c r="AJ89" s="1255"/>
      <c r="AK89" s="1255"/>
      <c r="AL89" s="1255"/>
      <c r="AM89" s="1255"/>
      <c r="AN89" s="1255"/>
      <c r="AO89" s="1256"/>
      <c r="AP89" s="1257"/>
      <c r="AQ89" s="1258"/>
      <c r="AR89" s="231"/>
      <c r="AT89" s="1283"/>
      <c r="AU89" s="1284"/>
      <c r="AV89" s="1284"/>
      <c r="AW89" s="1284"/>
      <c r="AX89" s="1284"/>
      <c r="AY89" s="1284"/>
      <c r="AZ89" s="1284"/>
      <c r="BA89" s="1284"/>
      <c r="BB89" s="1284"/>
      <c r="BC89" s="1284"/>
      <c r="BD89" s="1284"/>
      <c r="BE89" s="1284"/>
      <c r="BF89" s="1284"/>
      <c r="BG89" s="1284"/>
      <c r="BH89" s="1284"/>
      <c r="BI89" s="1284"/>
      <c r="BJ89" s="1284"/>
      <c r="BK89" s="1284"/>
      <c r="BL89" s="1284"/>
      <c r="BM89" s="1284"/>
      <c r="BN89" s="1284"/>
      <c r="BO89" s="1284"/>
      <c r="BP89" s="1284"/>
      <c r="BQ89" s="1284"/>
      <c r="BR89" s="1284"/>
      <c r="BS89" s="1284"/>
      <c r="BT89" s="1284"/>
      <c r="BU89" s="1284"/>
      <c r="BV89" s="1284"/>
      <c r="BW89" s="1284"/>
      <c r="BX89" s="1284"/>
      <c r="BY89" s="1284"/>
      <c r="BZ89" s="1284"/>
      <c r="CA89" s="1284"/>
      <c r="CB89" s="1285"/>
    </row>
    <row r="90" spans="1:80" ht="3.95" customHeight="1" x14ac:dyDescent="0.25">
      <c r="A90" s="231"/>
      <c r="B90" s="1494"/>
      <c r="C90" s="1495"/>
      <c r="D90" s="1495"/>
      <c r="E90" s="1495"/>
      <c r="F90" s="1495"/>
      <c r="G90" s="1495"/>
      <c r="H90" s="1495"/>
      <c r="I90" s="1495"/>
      <c r="J90" s="1495"/>
      <c r="K90" s="1495"/>
      <c r="L90" s="1495"/>
      <c r="M90" s="1496"/>
      <c r="N90" s="1262"/>
      <c r="O90" s="1263"/>
      <c r="P90" s="1254"/>
      <c r="Q90" s="1255"/>
      <c r="R90" s="1255"/>
      <c r="S90" s="1255"/>
      <c r="T90" s="1255"/>
      <c r="U90" s="1255"/>
      <c r="V90" s="1255"/>
      <c r="W90" s="1255"/>
      <c r="X90" s="1255"/>
      <c r="Y90" s="1255"/>
      <c r="Z90" s="1255"/>
      <c r="AA90" s="1256"/>
      <c r="AB90" s="1257"/>
      <c r="AC90" s="1258"/>
      <c r="AD90" s="1254"/>
      <c r="AE90" s="1255"/>
      <c r="AF90" s="1255"/>
      <c r="AG90" s="1255"/>
      <c r="AH90" s="1255"/>
      <c r="AI90" s="1255"/>
      <c r="AJ90" s="1255"/>
      <c r="AK90" s="1255"/>
      <c r="AL90" s="1255"/>
      <c r="AM90" s="1255"/>
      <c r="AN90" s="1255"/>
      <c r="AO90" s="1256"/>
      <c r="AP90" s="1257"/>
      <c r="AQ90" s="1258"/>
      <c r="AR90" s="231"/>
      <c r="AT90" s="1283"/>
      <c r="AU90" s="1284"/>
      <c r="AV90" s="1284"/>
      <c r="AW90" s="1284"/>
      <c r="AX90" s="1284"/>
      <c r="AY90" s="1284"/>
      <c r="AZ90" s="1284"/>
      <c r="BA90" s="1284"/>
      <c r="BB90" s="1284"/>
      <c r="BC90" s="1284"/>
      <c r="BD90" s="1284"/>
      <c r="BE90" s="1284"/>
      <c r="BF90" s="1284"/>
      <c r="BG90" s="1284"/>
      <c r="BH90" s="1284"/>
      <c r="BI90" s="1284"/>
      <c r="BJ90" s="1284"/>
      <c r="BK90" s="1284"/>
      <c r="BL90" s="1284"/>
      <c r="BM90" s="1284"/>
      <c r="BN90" s="1284"/>
      <c r="BO90" s="1284"/>
      <c r="BP90" s="1284"/>
      <c r="BQ90" s="1284"/>
      <c r="BR90" s="1284"/>
      <c r="BS90" s="1284"/>
      <c r="BT90" s="1284"/>
      <c r="BU90" s="1284"/>
      <c r="BV90" s="1284"/>
      <c r="BW90" s="1284"/>
      <c r="BX90" s="1284"/>
      <c r="BY90" s="1284"/>
      <c r="BZ90" s="1284"/>
      <c r="CA90" s="1284"/>
      <c r="CB90" s="1285"/>
    </row>
    <row r="91" spans="1:80" ht="3.95" customHeight="1" x14ac:dyDescent="0.25">
      <c r="A91" s="231"/>
      <c r="B91" s="1497"/>
      <c r="C91" s="1498"/>
      <c r="D91" s="1498"/>
      <c r="E91" s="1498"/>
      <c r="F91" s="1498"/>
      <c r="G91" s="1498"/>
      <c r="H91" s="1498"/>
      <c r="I91" s="1498"/>
      <c r="J91" s="1498"/>
      <c r="K91" s="1498"/>
      <c r="L91" s="1498"/>
      <c r="M91" s="1499"/>
      <c r="N91" s="1262"/>
      <c r="O91" s="1263"/>
      <c r="P91" s="1254"/>
      <c r="Q91" s="1255"/>
      <c r="R91" s="1255"/>
      <c r="S91" s="1255"/>
      <c r="T91" s="1255"/>
      <c r="U91" s="1255"/>
      <c r="V91" s="1255"/>
      <c r="W91" s="1255"/>
      <c r="X91" s="1255"/>
      <c r="Y91" s="1255"/>
      <c r="Z91" s="1255"/>
      <c r="AA91" s="1256"/>
      <c r="AB91" s="1257"/>
      <c r="AC91" s="1258"/>
      <c r="AD91" s="1254"/>
      <c r="AE91" s="1255"/>
      <c r="AF91" s="1255"/>
      <c r="AG91" s="1255"/>
      <c r="AH91" s="1255"/>
      <c r="AI91" s="1255"/>
      <c r="AJ91" s="1255"/>
      <c r="AK91" s="1255"/>
      <c r="AL91" s="1255"/>
      <c r="AM91" s="1255"/>
      <c r="AN91" s="1255"/>
      <c r="AO91" s="1256"/>
      <c r="AP91" s="1257"/>
      <c r="AQ91" s="1258"/>
      <c r="AR91" s="231"/>
      <c r="AT91" s="1283"/>
      <c r="AU91" s="1284"/>
      <c r="AV91" s="1284"/>
      <c r="AW91" s="1284"/>
      <c r="AX91" s="1284"/>
      <c r="AY91" s="1284"/>
      <c r="AZ91" s="1284"/>
      <c r="BA91" s="1284"/>
      <c r="BB91" s="1284"/>
      <c r="BC91" s="1284"/>
      <c r="BD91" s="1284"/>
      <c r="BE91" s="1284"/>
      <c r="BF91" s="1284"/>
      <c r="BG91" s="1284"/>
      <c r="BH91" s="1284"/>
      <c r="BI91" s="1284"/>
      <c r="BJ91" s="1284"/>
      <c r="BK91" s="1284"/>
      <c r="BL91" s="1284"/>
      <c r="BM91" s="1284"/>
      <c r="BN91" s="1284"/>
      <c r="BO91" s="1284"/>
      <c r="BP91" s="1284"/>
      <c r="BQ91" s="1284"/>
      <c r="BR91" s="1284"/>
      <c r="BS91" s="1284"/>
      <c r="BT91" s="1284"/>
      <c r="BU91" s="1284"/>
      <c r="BV91" s="1284"/>
      <c r="BW91" s="1284"/>
      <c r="BX91" s="1284"/>
      <c r="BY91" s="1284"/>
      <c r="BZ91" s="1284"/>
      <c r="CA91" s="1284"/>
      <c r="CB91" s="1285"/>
    </row>
    <row r="92" spans="1:80" ht="3.95" customHeight="1" x14ac:dyDescent="0.25">
      <c r="A92" s="231"/>
      <c r="B92" s="1491"/>
      <c r="C92" s="1492"/>
      <c r="D92" s="1492"/>
      <c r="E92" s="1492"/>
      <c r="F92" s="1492"/>
      <c r="G92" s="1492"/>
      <c r="H92" s="1492"/>
      <c r="I92" s="1492"/>
      <c r="J92" s="1492"/>
      <c r="K92" s="1492"/>
      <c r="L92" s="1492"/>
      <c r="M92" s="1493"/>
      <c r="N92" s="1262"/>
      <c r="O92" s="1263"/>
      <c r="P92" s="1254"/>
      <c r="Q92" s="1255"/>
      <c r="R92" s="1255"/>
      <c r="S92" s="1255"/>
      <c r="T92" s="1255"/>
      <c r="U92" s="1255"/>
      <c r="V92" s="1255"/>
      <c r="W92" s="1255"/>
      <c r="X92" s="1255"/>
      <c r="Y92" s="1255"/>
      <c r="Z92" s="1255"/>
      <c r="AA92" s="1256"/>
      <c r="AB92" s="1257"/>
      <c r="AC92" s="1258"/>
      <c r="AD92" s="1235" t="s">
        <v>567</v>
      </c>
      <c r="AE92" s="1236"/>
      <c r="AF92" s="1236"/>
      <c r="AG92" s="1236"/>
      <c r="AH92" s="1241" t="s">
        <v>97</v>
      </c>
      <c r="AI92" s="1241"/>
      <c r="AJ92" s="1241"/>
      <c r="AK92" s="1244">
        <f>CD.magia.base+9</f>
        <v>19</v>
      </c>
      <c r="AL92" s="1244"/>
      <c r="AM92" s="1244"/>
      <c r="AN92" s="1244"/>
      <c r="AO92" s="1245"/>
      <c r="AP92" s="1475" t="str">
        <f>IF(NÍVEL.conjurador&gt;=(VLOOKUP(CONJURADOR,TABELA.classes,47,FALSE)),"ü","û")</f>
        <v>ü</v>
      </c>
      <c r="AQ92" s="1476"/>
      <c r="AR92" s="231"/>
      <c r="AT92" s="1283"/>
      <c r="AU92" s="1284"/>
      <c r="AV92" s="1284"/>
      <c r="AW92" s="1284"/>
      <c r="AX92" s="1284"/>
      <c r="AY92" s="1284"/>
      <c r="AZ92" s="1284"/>
      <c r="BA92" s="1284"/>
      <c r="BB92" s="1284"/>
      <c r="BC92" s="1284"/>
      <c r="BD92" s="1284"/>
      <c r="BE92" s="1284"/>
      <c r="BF92" s="1284"/>
      <c r="BG92" s="1284"/>
      <c r="BH92" s="1284"/>
      <c r="BI92" s="1284"/>
      <c r="BJ92" s="1284"/>
      <c r="BK92" s="1284"/>
      <c r="BL92" s="1284"/>
      <c r="BM92" s="1284"/>
      <c r="BN92" s="1284"/>
      <c r="BO92" s="1284"/>
      <c r="BP92" s="1284"/>
      <c r="BQ92" s="1284"/>
      <c r="BR92" s="1284"/>
      <c r="BS92" s="1284"/>
      <c r="BT92" s="1284"/>
      <c r="BU92" s="1284"/>
      <c r="BV92" s="1284"/>
      <c r="BW92" s="1284"/>
      <c r="BX92" s="1284"/>
      <c r="BY92" s="1284"/>
      <c r="BZ92" s="1284"/>
      <c r="CA92" s="1284"/>
      <c r="CB92" s="1285"/>
    </row>
    <row r="93" spans="1:80" ht="3.95" customHeight="1" x14ac:dyDescent="0.25">
      <c r="A93" s="231"/>
      <c r="B93" s="1494"/>
      <c r="C93" s="1495"/>
      <c r="D93" s="1495"/>
      <c r="E93" s="1495"/>
      <c r="F93" s="1495"/>
      <c r="G93" s="1495"/>
      <c r="H93" s="1495"/>
      <c r="I93" s="1495"/>
      <c r="J93" s="1495"/>
      <c r="K93" s="1495"/>
      <c r="L93" s="1495"/>
      <c r="M93" s="1496"/>
      <c r="N93" s="1262"/>
      <c r="O93" s="1263"/>
      <c r="P93" s="1254"/>
      <c r="Q93" s="1255"/>
      <c r="R93" s="1255"/>
      <c r="S93" s="1255"/>
      <c r="T93" s="1255"/>
      <c r="U93" s="1255"/>
      <c r="V93" s="1255"/>
      <c r="W93" s="1255"/>
      <c r="X93" s="1255"/>
      <c r="Y93" s="1255"/>
      <c r="Z93" s="1255"/>
      <c r="AA93" s="1256"/>
      <c r="AB93" s="1257"/>
      <c r="AC93" s="1258"/>
      <c r="AD93" s="1237"/>
      <c r="AE93" s="1238"/>
      <c r="AF93" s="1238"/>
      <c r="AG93" s="1238"/>
      <c r="AH93" s="1242"/>
      <c r="AI93" s="1242"/>
      <c r="AJ93" s="1242"/>
      <c r="AK93" s="1246"/>
      <c r="AL93" s="1246"/>
      <c r="AM93" s="1246"/>
      <c r="AN93" s="1246"/>
      <c r="AO93" s="1247"/>
      <c r="AP93" s="1475"/>
      <c r="AQ93" s="1476"/>
      <c r="AR93" s="231"/>
      <c r="AT93" s="1286"/>
      <c r="AU93" s="1287"/>
      <c r="AV93" s="1287"/>
      <c r="AW93" s="1287"/>
      <c r="AX93" s="1287"/>
      <c r="AY93" s="1287"/>
      <c r="AZ93" s="1287"/>
      <c r="BA93" s="1287"/>
      <c r="BB93" s="1287"/>
      <c r="BC93" s="1287"/>
      <c r="BD93" s="1287"/>
      <c r="BE93" s="1287"/>
      <c r="BF93" s="1287"/>
      <c r="BG93" s="1287"/>
      <c r="BH93" s="1287"/>
      <c r="BI93" s="1287"/>
      <c r="BJ93" s="1287"/>
      <c r="BK93" s="1287"/>
      <c r="BL93" s="1287"/>
      <c r="BM93" s="1287"/>
      <c r="BN93" s="1287"/>
      <c r="BO93" s="1287"/>
      <c r="BP93" s="1287"/>
      <c r="BQ93" s="1287"/>
      <c r="BR93" s="1287"/>
      <c r="BS93" s="1287"/>
      <c r="BT93" s="1287"/>
      <c r="BU93" s="1287"/>
      <c r="BV93" s="1287"/>
      <c r="BW93" s="1287"/>
      <c r="BX93" s="1287"/>
      <c r="BY93" s="1287"/>
      <c r="BZ93" s="1287"/>
      <c r="CA93" s="1287"/>
      <c r="CB93" s="1288"/>
    </row>
    <row r="94" spans="1:80" ht="3.95" customHeight="1" x14ac:dyDescent="0.25">
      <c r="A94" s="231"/>
      <c r="B94" s="1497"/>
      <c r="C94" s="1498"/>
      <c r="D94" s="1498"/>
      <c r="E94" s="1498"/>
      <c r="F94" s="1498"/>
      <c r="G94" s="1498"/>
      <c r="H94" s="1498"/>
      <c r="I94" s="1498"/>
      <c r="J94" s="1498"/>
      <c r="K94" s="1498"/>
      <c r="L94" s="1498"/>
      <c r="M94" s="1499"/>
      <c r="N94" s="1262"/>
      <c r="O94" s="1263"/>
      <c r="P94" s="1254"/>
      <c r="Q94" s="1255"/>
      <c r="R94" s="1255"/>
      <c r="S94" s="1255"/>
      <c r="T94" s="1255"/>
      <c r="U94" s="1255"/>
      <c r="V94" s="1255"/>
      <c r="W94" s="1255"/>
      <c r="X94" s="1255"/>
      <c r="Y94" s="1255"/>
      <c r="Z94" s="1255"/>
      <c r="AA94" s="1256"/>
      <c r="AB94" s="1257"/>
      <c r="AC94" s="1258"/>
      <c r="AD94" s="1239"/>
      <c r="AE94" s="1240"/>
      <c r="AF94" s="1240"/>
      <c r="AG94" s="1240"/>
      <c r="AH94" s="1243"/>
      <c r="AI94" s="1243"/>
      <c r="AJ94" s="1243"/>
      <c r="AK94" s="1248"/>
      <c r="AL94" s="1248"/>
      <c r="AM94" s="1248"/>
      <c r="AN94" s="1248"/>
      <c r="AO94" s="1249"/>
      <c r="AP94" s="1475"/>
      <c r="AQ94" s="1476"/>
      <c r="AR94" s="231"/>
      <c r="AT94" s="1277" t="s">
        <v>595</v>
      </c>
      <c r="AU94" s="1278"/>
      <c r="AV94" s="1278"/>
      <c r="AW94" s="1278"/>
      <c r="AX94" s="1278"/>
      <c r="AY94" s="1278"/>
      <c r="AZ94" s="1278"/>
      <c r="BA94" s="1278"/>
      <c r="BB94" s="1278"/>
      <c r="BC94" s="1278"/>
      <c r="BD94" s="1278"/>
      <c r="BE94" s="1278"/>
      <c r="BF94" s="1278"/>
      <c r="BG94" s="1278"/>
      <c r="BH94" s="1278"/>
      <c r="BI94" s="1278"/>
      <c r="BJ94" s="1278"/>
      <c r="BK94" s="1278"/>
      <c r="BL94" s="1278"/>
      <c r="BM94" s="1278"/>
      <c r="BN94" s="1278"/>
      <c r="BO94" s="1278"/>
      <c r="BP94" s="1278"/>
      <c r="BQ94" s="1278"/>
      <c r="BR94" s="1278"/>
      <c r="BS94" s="1278"/>
      <c r="BT94" s="1278"/>
      <c r="BU94" s="1278"/>
      <c r="BV94" s="1278"/>
      <c r="BW94" s="1278"/>
      <c r="BX94" s="1278"/>
      <c r="BY94" s="1278"/>
      <c r="BZ94" s="1278"/>
      <c r="CA94" s="1278"/>
      <c r="CB94" s="1279"/>
    </row>
    <row r="95" spans="1:80" ht="3.95" customHeight="1" x14ac:dyDescent="0.25">
      <c r="A95" s="231"/>
      <c r="B95" s="1235" t="s">
        <v>560</v>
      </c>
      <c r="C95" s="1236"/>
      <c r="D95" s="1236"/>
      <c r="E95" s="1236"/>
      <c r="F95" s="1241" t="s">
        <v>97</v>
      </c>
      <c r="G95" s="1241"/>
      <c r="H95" s="1241"/>
      <c r="I95" s="1244">
        <f>CD.magia.base+2</f>
        <v>12</v>
      </c>
      <c r="J95" s="1244"/>
      <c r="K95" s="1244"/>
      <c r="L95" s="1244"/>
      <c r="M95" s="1245"/>
      <c r="N95" s="1475" t="str">
        <f>IF(NÍVEL.conjurador&gt;=(VLOOKUP(CONJURADOR,TABELA.classes,40,FALSE)),"ü","û")</f>
        <v>ü</v>
      </c>
      <c r="O95" s="1476"/>
      <c r="P95" s="1254"/>
      <c r="Q95" s="1255"/>
      <c r="R95" s="1255"/>
      <c r="S95" s="1255"/>
      <c r="T95" s="1255"/>
      <c r="U95" s="1255"/>
      <c r="V95" s="1255"/>
      <c r="W95" s="1255"/>
      <c r="X95" s="1255"/>
      <c r="Y95" s="1255"/>
      <c r="Z95" s="1255"/>
      <c r="AA95" s="1256"/>
      <c r="AB95" s="1257"/>
      <c r="AC95" s="1258"/>
      <c r="AD95" s="1254"/>
      <c r="AE95" s="1255"/>
      <c r="AF95" s="1255"/>
      <c r="AG95" s="1255"/>
      <c r="AH95" s="1255"/>
      <c r="AI95" s="1255"/>
      <c r="AJ95" s="1255"/>
      <c r="AK95" s="1255"/>
      <c r="AL95" s="1255"/>
      <c r="AM95" s="1255"/>
      <c r="AN95" s="1255"/>
      <c r="AO95" s="1256"/>
      <c r="AP95" s="1257"/>
      <c r="AQ95" s="1258"/>
      <c r="AR95" s="231"/>
      <c r="AT95" s="1277"/>
      <c r="AU95" s="1278"/>
      <c r="AV95" s="1278"/>
      <c r="AW95" s="1278"/>
      <c r="AX95" s="1278"/>
      <c r="AY95" s="1278"/>
      <c r="AZ95" s="1278"/>
      <c r="BA95" s="1278"/>
      <c r="BB95" s="1278"/>
      <c r="BC95" s="1278"/>
      <c r="BD95" s="1278"/>
      <c r="BE95" s="1278"/>
      <c r="BF95" s="1278"/>
      <c r="BG95" s="1278"/>
      <c r="BH95" s="1278"/>
      <c r="BI95" s="1278"/>
      <c r="BJ95" s="1278"/>
      <c r="BK95" s="1278"/>
      <c r="BL95" s="1278"/>
      <c r="BM95" s="1278"/>
      <c r="BN95" s="1278"/>
      <c r="BO95" s="1278"/>
      <c r="BP95" s="1278"/>
      <c r="BQ95" s="1278"/>
      <c r="BR95" s="1278"/>
      <c r="BS95" s="1278"/>
      <c r="BT95" s="1278"/>
      <c r="BU95" s="1278"/>
      <c r="BV95" s="1278"/>
      <c r="BW95" s="1278"/>
      <c r="BX95" s="1278"/>
      <c r="BY95" s="1278"/>
      <c r="BZ95" s="1278"/>
      <c r="CA95" s="1278"/>
      <c r="CB95" s="1279"/>
    </row>
    <row r="96" spans="1:80" ht="3.95" customHeight="1" x14ac:dyDescent="0.25">
      <c r="A96" s="231"/>
      <c r="B96" s="1237"/>
      <c r="C96" s="1238"/>
      <c r="D96" s="1238"/>
      <c r="E96" s="1238"/>
      <c r="F96" s="1242"/>
      <c r="G96" s="1242"/>
      <c r="H96" s="1242"/>
      <c r="I96" s="1246"/>
      <c r="J96" s="1246"/>
      <c r="K96" s="1246"/>
      <c r="L96" s="1246"/>
      <c r="M96" s="1247"/>
      <c r="N96" s="1475"/>
      <c r="O96" s="1476"/>
      <c r="P96" s="1254"/>
      <c r="Q96" s="1255"/>
      <c r="R96" s="1255"/>
      <c r="S96" s="1255"/>
      <c r="T96" s="1255"/>
      <c r="U96" s="1255"/>
      <c r="V96" s="1255"/>
      <c r="W96" s="1255"/>
      <c r="X96" s="1255"/>
      <c r="Y96" s="1255"/>
      <c r="Z96" s="1255"/>
      <c r="AA96" s="1256"/>
      <c r="AB96" s="1257"/>
      <c r="AC96" s="1258"/>
      <c r="AD96" s="1254"/>
      <c r="AE96" s="1255"/>
      <c r="AF96" s="1255"/>
      <c r="AG96" s="1255"/>
      <c r="AH96" s="1255"/>
      <c r="AI96" s="1255"/>
      <c r="AJ96" s="1255"/>
      <c r="AK96" s="1255"/>
      <c r="AL96" s="1255"/>
      <c r="AM96" s="1255"/>
      <c r="AN96" s="1255"/>
      <c r="AO96" s="1256"/>
      <c r="AP96" s="1257"/>
      <c r="AQ96" s="1258"/>
      <c r="AR96" s="231"/>
      <c r="AT96" s="1277"/>
      <c r="AU96" s="1278"/>
      <c r="AV96" s="1278"/>
      <c r="AW96" s="1278"/>
      <c r="AX96" s="1278"/>
      <c r="AY96" s="1278"/>
      <c r="AZ96" s="1278"/>
      <c r="BA96" s="1278"/>
      <c r="BB96" s="1278"/>
      <c r="BC96" s="1278"/>
      <c r="BD96" s="1278"/>
      <c r="BE96" s="1278"/>
      <c r="BF96" s="1278"/>
      <c r="BG96" s="1278"/>
      <c r="BH96" s="1278"/>
      <c r="BI96" s="1278"/>
      <c r="BJ96" s="1278"/>
      <c r="BK96" s="1278"/>
      <c r="BL96" s="1278"/>
      <c r="BM96" s="1278"/>
      <c r="BN96" s="1278"/>
      <c r="BO96" s="1278"/>
      <c r="BP96" s="1278"/>
      <c r="BQ96" s="1278"/>
      <c r="BR96" s="1278"/>
      <c r="BS96" s="1278"/>
      <c r="BT96" s="1278"/>
      <c r="BU96" s="1278"/>
      <c r="BV96" s="1278"/>
      <c r="BW96" s="1278"/>
      <c r="BX96" s="1278"/>
      <c r="BY96" s="1278"/>
      <c r="BZ96" s="1278"/>
      <c r="CA96" s="1278"/>
      <c r="CB96" s="1279"/>
    </row>
    <row r="97" spans="1:80" ht="3.95" customHeight="1" x14ac:dyDescent="0.25">
      <c r="A97" s="231"/>
      <c r="B97" s="1239"/>
      <c r="C97" s="1240"/>
      <c r="D97" s="1240"/>
      <c r="E97" s="1240"/>
      <c r="F97" s="1243"/>
      <c r="G97" s="1243"/>
      <c r="H97" s="1243"/>
      <c r="I97" s="1248"/>
      <c r="J97" s="1248"/>
      <c r="K97" s="1248"/>
      <c r="L97" s="1248"/>
      <c r="M97" s="1249"/>
      <c r="N97" s="1475"/>
      <c r="O97" s="1476"/>
      <c r="P97" s="1254"/>
      <c r="Q97" s="1255"/>
      <c r="R97" s="1255"/>
      <c r="S97" s="1255"/>
      <c r="T97" s="1255"/>
      <c r="U97" s="1255"/>
      <c r="V97" s="1255"/>
      <c r="W97" s="1255"/>
      <c r="X97" s="1255"/>
      <c r="Y97" s="1255"/>
      <c r="Z97" s="1255"/>
      <c r="AA97" s="1256"/>
      <c r="AB97" s="1257"/>
      <c r="AC97" s="1258"/>
      <c r="AD97" s="1254"/>
      <c r="AE97" s="1255"/>
      <c r="AF97" s="1255"/>
      <c r="AG97" s="1255"/>
      <c r="AH97" s="1255"/>
      <c r="AI97" s="1255"/>
      <c r="AJ97" s="1255"/>
      <c r="AK97" s="1255"/>
      <c r="AL97" s="1255"/>
      <c r="AM97" s="1255"/>
      <c r="AN97" s="1255"/>
      <c r="AO97" s="1256"/>
      <c r="AP97" s="1257"/>
      <c r="AQ97" s="1258"/>
      <c r="AR97" s="231"/>
      <c r="AT97" s="1280"/>
      <c r="AU97" s="1281"/>
      <c r="AV97" s="1281"/>
      <c r="AW97" s="1281"/>
      <c r="AX97" s="1281"/>
      <c r="AY97" s="1281"/>
      <c r="AZ97" s="1281"/>
      <c r="BA97" s="1281"/>
      <c r="BB97" s="1281"/>
      <c r="BC97" s="1281"/>
      <c r="BD97" s="1281"/>
      <c r="BE97" s="1281"/>
      <c r="BF97" s="1281"/>
      <c r="BG97" s="1281"/>
      <c r="BH97" s="1281"/>
      <c r="BI97" s="1281"/>
      <c r="BJ97" s="1281"/>
      <c r="BK97" s="1281"/>
      <c r="BL97" s="1281"/>
      <c r="BM97" s="1281"/>
      <c r="BN97" s="1281"/>
      <c r="BO97" s="1281"/>
      <c r="BP97" s="1281"/>
      <c r="BQ97" s="1281"/>
      <c r="BR97" s="1281"/>
      <c r="BS97" s="1281"/>
      <c r="BT97" s="1281"/>
      <c r="BU97" s="1281"/>
      <c r="BV97" s="1281"/>
      <c r="BW97" s="1281"/>
      <c r="BX97" s="1281"/>
      <c r="BY97" s="1281"/>
      <c r="BZ97" s="1281"/>
      <c r="CA97" s="1281"/>
      <c r="CB97" s="1282"/>
    </row>
    <row r="98" spans="1:80" ht="3.95" customHeight="1" x14ac:dyDescent="0.25">
      <c r="A98" s="231"/>
      <c r="B98" s="1259"/>
      <c r="C98" s="1260"/>
      <c r="D98" s="1260"/>
      <c r="E98" s="1260"/>
      <c r="F98" s="1260"/>
      <c r="G98" s="1260"/>
      <c r="H98" s="1260"/>
      <c r="I98" s="1260"/>
      <c r="J98" s="1260"/>
      <c r="K98" s="1260"/>
      <c r="L98" s="1260"/>
      <c r="M98" s="1261"/>
      <c r="N98" s="1262"/>
      <c r="O98" s="1263"/>
      <c r="P98" s="1254"/>
      <c r="Q98" s="1255"/>
      <c r="R98" s="1255"/>
      <c r="S98" s="1255"/>
      <c r="T98" s="1255"/>
      <c r="U98" s="1255"/>
      <c r="V98" s="1255"/>
      <c r="W98" s="1255"/>
      <c r="X98" s="1255"/>
      <c r="Y98" s="1255"/>
      <c r="Z98" s="1255"/>
      <c r="AA98" s="1256"/>
      <c r="AB98" s="1257"/>
      <c r="AC98" s="1258"/>
      <c r="AD98" s="1254"/>
      <c r="AE98" s="1255"/>
      <c r="AF98" s="1255"/>
      <c r="AG98" s="1255"/>
      <c r="AH98" s="1255"/>
      <c r="AI98" s="1255"/>
      <c r="AJ98" s="1255"/>
      <c r="AK98" s="1255"/>
      <c r="AL98" s="1255"/>
      <c r="AM98" s="1255"/>
      <c r="AN98" s="1255"/>
      <c r="AO98" s="1256"/>
      <c r="AP98" s="1257"/>
      <c r="AQ98" s="1258"/>
      <c r="AR98" s="231"/>
      <c r="AT98" s="1283"/>
      <c r="AU98" s="1284"/>
      <c r="AV98" s="1284"/>
      <c r="AW98" s="1284"/>
      <c r="AX98" s="1284"/>
      <c r="AY98" s="1284"/>
      <c r="AZ98" s="1284"/>
      <c r="BA98" s="1284"/>
      <c r="BB98" s="1284"/>
      <c r="BC98" s="1284"/>
      <c r="BD98" s="1284"/>
      <c r="BE98" s="1284"/>
      <c r="BF98" s="1284"/>
      <c r="BG98" s="1284"/>
      <c r="BH98" s="1284"/>
      <c r="BI98" s="1284"/>
      <c r="BJ98" s="1284"/>
      <c r="BK98" s="1284"/>
      <c r="BL98" s="1284"/>
      <c r="BM98" s="1284"/>
      <c r="BN98" s="1284"/>
      <c r="BO98" s="1284"/>
      <c r="BP98" s="1284"/>
      <c r="BQ98" s="1284"/>
      <c r="BR98" s="1284"/>
      <c r="BS98" s="1284"/>
      <c r="BT98" s="1284"/>
      <c r="BU98" s="1284"/>
      <c r="BV98" s="1284"/>
      <c r="BW98" s="1284"/>
      <c r="BX98" s="1284"/>
      <c r="BY98" s="1284"/>
      <c r="BZ98" s="1284"/>
      <c r="CA98" s="1284"/>
      <c r="CB98" s="1285"/>
    </row>
    <row r="99" spans="1:80" ht="3.95" customHeight="1" x14ac:dyDescent="0.25">
      <c r="A99" s="231"/>
      <c r="B99" s="1259"/>
      <c r="C99" s="1260"/>
      <c r="D99" s="1260"/>
      <c r="E99" s="1260"/>
      <c r="F99" s="1260"/>
      <c r="G99" s="1260"/>
      <c r="H99" s="1260"/>
      <c r="I99" s="1260"/>
      <c r="J99" s="1260"/>
      <c r="K99" s="1260"/>
      <c r="L99" s="1260"/>
      <c r="M99" s="1261"/>
      <c r="N99" s="1262"/>
      <c r="O99" s="1263"/>
      <c r="P99" s="1254"/>
      <c r="Q99" s="1255"/>
      <c r="R99" s="1255"/>
      <c r="S99" s="1255"/>
      <c r="T99" s="1255"/>
      <c r="U99" s="1255"/>
      <c r="V99" s="1255"/>
      <c r="W99" s="1255"/>
      <c r="X99" s="1255"/>
      <c r="Y99" s="1255"/>
      <c r="Z99" s="1255"/>
      <c r="AA99" s="1256"/>
      <c r="AB99" s="1257"/>
      <c r="AC99" s="1258"/>
      <c r="AD99" s="1254"/>
      <c r="AE99" s="1255"/>
      <c r="AF99" s="1255"/>
      <c r="AG99" s="1255"/>
      <c r="AH99" s="1255"/>
      <c r="AI99" s="1255"/>
      <c r="AJ99" s="1255"/>
      <c r="AK99" s="1255"/>
      <c r="AL99" s="1255"/>
      <c r="AM99" s="1255"/>
      <c r="AN99" s="1255"/>
      <c r="AO99" s="1256"/>
      <c r="AP99" s="1257"/>
      <c r="AQ99" s="1258"/>
      <c r="AR99" s="231"/>
      <c r="AT99" s="1283"/>
      <c r="AU99" s="1284"/>
      <c r="AV99" s="1284"/>
      <c r="AW99" s="1284"/>
      <c r="AX99" s="1284"/>
      <c r="AY99" s="1284"/>
      <c r="AZ99" s="1284"/>
      <c r="BA99" s="1284"/>
      <c r="BB99" s="1284"/>
      <c r="BC99" s="1284"/>
      <c r="BD99" s="1284"/>
      <c r="BE99" s="1284"/>
      <c r="BF99" s="1284"/>
      <c r="BG99" s="1284"/>
      <c r="BH99" s="1284"/>
      <c r="BI99" s="1284"/>
      <c r="BJ99" s="1284"/>
      <c r="BK99" s="1284"/>
      <c r="BL99" s="1284"/>
      <c r="BM99" s="1284"/>
      <c r="BN99" s="1284"/>
      <c r="BO99" s="1284"/>
      <c r="BP99" s="1284"/>
      <c r="BQ99" s="1284"/>
      <c r="BR99" s="1284"/>
      <c r="BS99" s="1284"/>
      <c r="BT99" s="1284"/>
      <c r="BU99" s="1284"/>
      <c r="BV99" s="1284"/>
      <c r="BW99" s="1284"/>
      <c r="BX99" s="1284"/>
      <c r="BY99" s="1284"/>
      <c r="BZ99" s="1284"/>
      <c r="CA99" s="1284"/>
      <c r="CB99" s="1285"/>
    </row>
    <row r="100" spans="1:80" ht="3.95" customHeight="1" x14ac:dyDescent="0.25">
      <c r="A100" s="231"/>
      <c r="B100" s="1259"/>
      <c r="C100" s="1260"/>
      <c r="D100" s="1260"/>
      <c r="E100" s="1260"/>
      <c r="F100" s="1260"/>
      <c r="G100" s="1260"/>
      <c r="H100" s="1260"/>
      <c r="I100" s="1260"/>
      <c r="J100" s="1260"/>
      <c r="K100" s="1260"/>
      <c r="L100" s="1260"/>
      <c r="M100" s="1261"/>
      <c r="N100" s="1262"/>
      <c r="O100" s="1263"/>
      <c r="P100" s="1254"/>
      <c r="Q100" s="1255"/>
      <c r="R100" s="1255"/>
      <c r="S100" s="1255"/>
      <c r="T100" s="1255"/>
      <c r="U100" s="1255"/>
      <c r="V100" s="1255"/>
      <c r="W100" s="1255"/>
      <c r="X100" s="1255"/>
      <c r="Y100" s="1255"/>
      <c r="Z100" s="1255"/>
      <c r="AA100" s="1256"/>
      <c r="AB100" s="1257"/>
      <c r="AC100" s="1258"/>
      <c r="AD100" s="1254"/>
      <c r="AE100" s="1255"/>
      <c r="AF100" s="1255"/>
      <c r="AG100" s="1255"/>
      <c r="AH100" s="1255"/>
      <c r="AI100" s="1255"/>
      <c r="AJ100" s="1255"/>
      <c r="AK100" s="1255"/>
      <c r="AL100" s="1255"/>
      <c r="AM100" s="1255"/>
      <c r="AN100" s="1255"/>
      <c r="AO100" s="1256"/>
      <c r="AP100" s="1257"/>
      <c r="AQ100" s="1258"/>
      <c r="AR100" s="231"/>
      <c r="AT100" s="1283"/>
      <c r="AU100" s="1284"/>
      <c r="AV100" s="1284"/>
      <c r="AW100" s="1284"/>
      <c r="AX100" s="1284"/>
      <c r="AY100" s="1284"/>
      <c r="AZ100" s="1284"/>
      <c r="BA100" s="1284"/>
      <c r="BB100" s="1284"/>
      <c r="BC100" s="1284"/>
      <c r="BD100" s="1284"/>
      <c r="BE100" s="1284"/>
      <c r="BF100" s="1284"/>
      <c r="BG100" s="1284"/>
      <c r="BH100" s="1284"/>
      <c r="BI100" s="1284"/>
      <c r="BJ100" s="1284"/>
      <c r="BK100" s="1284"/>
      <c r="BL100" s="1284"/>
      <c r="BM100" s="1284"/>
      <c r="BN100" s="1284"/>
      <c r="BO100" s="1284"/>
      <c r="BP100" s="1284"/>
      <c r="BQ100" s="1284"/>
      <c r="BR100" s="1284"/>
      <c r="BS100" s="1284"/>
      <c r="BT100" s="1284"/>
      <c r="BU100" s="1284"/>
      <c r="BV100" s="1284"/>
      <c r="BW100" s="1284"/>
      <c r="BX100" s="1284"/>
      <c r="BY100" s="1284"/>
      <c r="BZ100" s="1284"/>
      <c r="CA100" s="1284"/>
      <c r="CB100" s="1285"/>
    </row>
    <row r="101" spans="1:80" ht="3.95" customHeight="1" x14ac:dyDescent="0.25">
      <c r="A101" s="231"/>
      <c r="B101" s="1259"/>
      <c r="C101" s="1260"/>
      <c r="D101" s="1260"/>
      <c r="E101" s="1260"/>
      <c r="F101" s="1260"/>
      <c r="G101" s="1260"/>
      <c r="H101" s="1260"/>
      <c r="I101" s="1260"/>
      <c r="J101" s="1260"/>
      <c r="K101" s="1260"/>
      <c r="L101" s="1260"/>
      <c r="M101" s="1261"/>
      <c r="N101" s="1262"/>
      <c r="O101" s="1263"/>
      <c r="P101" s="1254"/>
      <c r="Q101" s="1255"/>
      <c r="R101" s="1255"/>
      <c r="S101" s="1255"/>
      <c r="T101" s="1255"/>
      <c r="U101" s="1255"/>
      <c r="V101" s="1255"/>
      <c r="W101" s="1255"/>
      <c r="X101" s="1255"/>
      <c r="Y101" s="1255"/>
      <c r="Z101" s="1255"/>
      <c r="AA101" s="1256"/>
      <c r="AB101" s="1257"/>
      <c r="AC101" s="1258"/>
      <c r="AD101" s="1254"/>
      <c r="AE101" s="1255"/>
      <c r="AF101" s="1255"/>
      <c r="AG101" s="1255"/>
      <c r="AH101" s="1255"/>
      <c r="AI101" s="1255"/>
      <c r="AJ101" s="1255"/>
      <c r="AK101" s="1255"/>
      <c r="AL101" s="1255"/>
      <c r="AM101" s="1255"/>
      <c r="AN101" s="1255"/>
      <c r="AO101" s="1256"/>
      <c r="AP101" s="1257"/>
      <c r="AQ101" s="1258"/>
      <c r="AR101" s="231"/>
      <c r="AT101" s="1283"/>
      <c r="AU101" s="1284"/>
      <c r="AV101" s="1284"/>
      <c r="AW101" s="1284"/>
      <c r="AX101" s="1284"/>
      <c r="AY101" s="1284"/>
      <c r="AZ101" s="1284"/>
      <c r="BA101" s="1284"/>
      <c r="BB101" s="1284"/>
      <c r="BC101" s="1284"/>
      <c r="BD101" s="1284"/>
      <c r="BE101" s="1284"/>
      <c r="BF101" s="1284"/>
      <c r="BG101" s="1284"/>
      <c r="BH101" s="1284"/>
      <c r="BI101" s="1284"/>
      <c r="BJ101" s="1284"/>
      <c r="BK101" s="1284"/>
      <c r="BL101" s="1284"/>
      <c r="BM101" s="1284"/>
      <c r="BN101" s="1284"/>
      <c r="BO101" s="1284"/>
      <c r="BP101" s="1284"/>
      <c r="BQ101" s="1284"/>
      <c r="BR101" s="1284"/>
      <c r="BS101" s="1284"/>
      <c r="BT101" s="1284"/>
      <c r="BU101" s="1284"/>
      <c r="BV101" s="1284"/>
      <c r="BW101" s="1284"/>
      <c r="BX101" s="1284"/>
      <c r="BY101" s="1284"/>
      <c r="BZ101" s="1284"/>
      <c r="CA101" s="1284"/>
      <c r="CB101" s="1285"/>
    </row>
    <row r="102" spans="1:80" ht="3.95" customHeight="1" x14ac:dyDescent="0.25">
      <c r="A102" s="231"/>
      <c r="B102" s="1259"/>
      <c r="C102" s="1260"/>
      <c r="D102" s="1260"/>
      <c r="E102" s="1260"/>
      <c r="F102" s="1260"/>
      <c r="G102" s="1260"/>
      <c r="H102" s="1260"/>
      <c r="I102" s="1260"/>
      <c r="J102" s="1260"/>
      <c r="K102" s="1260"/>
      <c r="L102" s="1260"/>
      <c r="M102" s="1261"/>
      <c r="N102" s="1262"/>
      <c r="O102" s="1263"/>
      <c r="P102" s="1254"/>
      <c r="Q102" s="1255"/>
      <c r="R102" s="1255"/>
      <c r="S102" s="1255"/>
      <c r="T102" s="1255"/>
      <c r="U102" s="1255"/>
      <c r="V102" s="1255"/>
      <c r="W102" s="1255"/>
      <c r="X102" s="1255"/>
      <c r="Y102" s="1255"/>
      <c r="Z102" s="1255"/>
      <c r="AA102" s="1256"/>
      <c r="AB102" s="1257"/>
      <c r="AC102" s="1258"/>
      <c r="AD102" s="1254"/>
      <c r="AE102" s="1255"/>
      <c r="AF102" s="1255"/>
      <c r="AG102" s="1255"/>
      <c r="AH102" s="1255"/>
      <c r="AI102" s="1255"/>
      <c r="AJ102" s="1255"/>
      <c r="AK102" s="1255"/>
      <c r="AL102" s="1255"/>
      <c r="AM102" s="1255"/>
      <c r="AN102" s="1255"/>
      <c r="AO102" s="1256"/>
      <c r="AP102" s="1257"/>
      <c r="AQ102" s="1258"/>
      <c r="AR102" s="231"/>
      <c r="AT102" s="1283"/>
      <c r="AU102" s="1284"/>
      <c r="AV102" s="1284"/>
      <c r="AW102" s="1284"/>
      <c r="AX102" s="1284"/>
      <c r="AY102" s="1284"/>
      <c r="AZ102" s="1284"/>
      <c r="BA102" s="1284"/>
      <c r="BB102" s="1284"/>
      <c r="BC102" s="1284"/>
      <c r="BD102" s="1284"/>
      <c r="BE102" s="1284"/>
      <c r="BF102" s="1284"/>
      <c r="BG102" s="1284"/>
      <c r="BH102" s="1284"/>
      <c r="BI102" s="1284"/>
      <c r="BJ102" s="1284"/>
      <c r="BK102" s="1284"/>
      <c r="BL102" s="1284"/>
      <c r="BM102" s="1284"/>
      <c r="BN102" s="1284"/>
      <c r="BO102" s="1284"/>
      <c r="BP102" s="1284"/>
      <c r="BQ102" s="1284"/>
      <c r="BR102" s="1284"/>
      <c r="BS102" s="1284"/>
      <c r="BT102" s="1284"/>
      <c r="BU102" s="1284"/>
      <c r="BV102" s="1284"/>
      <c r="BW102" s="1284"/>
      <c r="BX102" s="1284"/>
      <c r="BY102" s="1284"/>
      <c r="BZ102" s="1284"/>
      <c r="CA102" s="1284"/>
      <c r="CB102" s="1285"/>
    </row>
    <row r="103" spans="1:80" ht="3.95" customHeight="1" x14ac:dyDescent="0.25">
      <c r="A103" s="231"/>
      <c r="B103" s="1259"/>
      <c r="C103" s="1260"/>
      <c r="D103" s="1260"/>
      <c r="E103" s="1260"/>
      <c r="F103" s="1260"/>
      <c r="G103" s="1260"/>
      <c r="H103" s="1260"/>
      <c r="I103" s="1260"/>
      <c r="J103" s="1260"/>
      <c r="K103" s="1260"/>
      <c r="L103" s="1260"/>
      <c r="M103" s="1261"/>
      <c r="N103" s="1262"/>
      <c r="O103" s="1263"/>
      <c r="P103" s="1254"/>
      <c r="Q103" s="1255"/>
      <c r="R103" s="1255"/>
      <c r="S103" s="1255"/>
      <c r="T103" s="1255"/>
      <c r="U103" s="1255"/>
      <c r="V103" s="1255"/>
      <c r="W103" s="1255"/>
      <c r="X103" s="1255"/>
      <c r="Y103" s="1255"/>
      <c r="Z103" s="1255"/>
      <c r="AA103" s="1256"/>
      <c r="AB103" s="1257"/>
      <c r="AC103" s="1258"/>
      <c r="AD103" s="1254"/>
      <c r="AE103" s="1255"/>
      <c r="AF103" s="1255"/>
      <c r="AG103" s="1255"/>
      <c r="AH103" s="1255"/>
      <c r="AI103" s="1255"/>
      <c r="AJ103" s="1255"/>
      <c r="AK103" s="1255"/>
      <c r="AL103" s="1255"/>
      <c r="AM103" s="1255"/>
      <c r="AN103" s="1255"/>
      <c r="AO103" s="1256"/>
      <c r="AP103" s="1257"/>
      <c r="AQ103" s="1258"/>
      <c r="AR103" s="231"/>
      <c r="AT103" s="1283"/>
      <c r="AU103" s="1284"/>
      <c r="AV103" s="1284"/>
      <c r="AW103" s="1284"/>
      <c r="AX103" s="1284"/>
      <c r="AY103" s="1284"/>
      <c r="AZ103" s="1284"/>
      <c r="BA103" s="1284"/>
      <c r="BB103" s="1284"/>
      <c r="BC103" s="1284"/>
      <c r="BD103" s="1284"/>
      <c r="BE103" s="1284"/>
      <c r="BF103" s="1284"/>
      <c r="BG103" s="1284"/>
      <c r="BH103" s="1284"/>
      <c r="BI103" s="1284"/>
      <c r="BJ103" s="1284"/>
      <c r="BK103" s="1284"/>
      <c r="BL103" s="1284"/>
      <c r="BM103" s="1284"/>
      <c r="BN103" s="1284"/>
      <c r="BO103" s="1284"/>
      <c r="BP103" s="1284"/>
      <c r="BQ103" s="1284"/>
      <c r="BR103" s="1284"/>
      <c r="BS103" s="1284"/>
      <c r="BT103" s="1284"/>
      <c r="BU103" s="1284"/>
      <c r="BV103" s="1284"/>
      <c r="BW103" s="1284"/>
      <c r="BX103" s="1284"/>
      <c r="BY103" s="1284"/>
      <c r="BZ103" s="1284"/>
      <c r="CA103" s="1284"/>
      <c r="CB103" s="1285"/>
    </row>
    <row r="104" spans="1:80" ht="3.95" customHeight="1" x14ac:dyDescent="0.25">
      <c r="A104" s="231"/>
      <c r="B104" s="1259"/>
      <c r="C104" s="1260"/>
      <c r="D104" s="1260"/>
      <c r="E104" s="1260"/>
      <c r="F104" s="1260"/>
      <c r="G104" s="1260"/>
      <c r="H104" s="1260"/>
      <c r="I104" s="1260"/>
      <c r="J104" s="1260"/>
      <c r="K104" s="1260"/>
      <c r="L104" s="1260"/>
      <c r="M104" s="1261"/>
      <c r="N104" s="1262"/>
      <c r="O104" s="1263"/>
      <c r="P104" s="1254"/>
      <c r="Q104" s="1255"/>
      <c r="R104" s="1255"/>
      <c r="S104" s="1255"/>
      <c r="T104" s="1255"/>
      <c r="U104" s="1255"/>
      <c r="V104" s="1255"/>
      <c r="W104" s="1255"/>
      <c r="X104" s="1255"/>
      <c r="Y104" s="1255"/>
      <c r="Z104" s="1255"/>
      <c r="AA104" s="1256"/>
      <c r="AB104" s="1257"/>
      <c r="AC104" s="1258"/>
      <c r="AD104" s="1254"/>
      <c r="AE104" s="1255"/>
      <c r="AF104" s="1255"/>
      <c r="AG104" s="1255"/>
      <c r="AH104" s="1255"/>
      <c r="AI104" s="1255"/>
      <c r="AJ104" s="1255"/>
      <c r="AK104" s="1255"/>
      <c r="AL104" s="1255"/>
      <c r="AM104" s="1255"/>
      <c r="AN104" s="1255"/>
      <c r="AO104" s="1256"/>
      <c r="AP104" s="1257"/>
      <c r="AQ104" s="1258"/>
      <c r="AR104" s="231"/>
      <c r="AT104" s="1283"/>
      <c r="AU104" s="1284"/>
      <c r="AV104" s="1284"/>
      <c r="AW104" s="1284"/>
      <c r="AX104" s="1284"/>
      <c r="AY104" s="1284"/>
      <c r="AZ104" s="1284"/>
      <c r="BA104" s="1284"/>
      <c r="BB104" s="1284"/>
      <c r="BC104" s="1284"/>
      <c r="BD104" s="1284"/>
      <c r="BE104" s="1284"/>
      <c r="BF104" s="1284"/>
      <c r="BG104" s="1284"/>
      <c r="BH104" s="1284"/>
      <c r="BI104" s="1284"/>
      <c r="BJ104" s="1284"/>
      <c r="BK104" s="1284"/>
      <c r="BL104" s="1284"/>
      <c r="BM104" s="1284"/>
      <c r="BN104" s="1284"/>
      <c r="BO104" s="1284"/>
      <c r="BP104" s="1284"/>
      <c r="BQ104" s="1284"/>
      <c r="BR104" s="1284"/>
      <c r="BS104" s="1284"/>
      <c r="BT104" s="1284"/>
      <c r="BU104" s="1284"/>
      <c r="BV104" s="1284"/>
      <c r="BW104" s="1284"/>
      <c r="BX104" s="1284"/>
      <c r="BY104" s="1284"/>
      <c r="BZ104" s="1284"/>
      <c r="CA104" s="1284"/>
      <c r="CB104" s="1285"/>
    </row>
    <row r="105" spans="1:80" ht="3.95" customHeight="1" x14ac:dyDescent="0.25">
      <c r="A105" s="231"/>
      <c r="B105" s="1259"/>
      <c r="C105" s="1260"/>
      <c r="D105" s="1260"/>
      <c r="E105" s="1260"/>
      <c r="F105" s="1260"/>
      <c r="G105" s="1260"/>
      <c r="H105" s="1260"/>
      <c r="I105" s="1260"/>
      <c r="J105" s="1260"/>
      <c r="K105" s="1260"/>
      <c r="L105" s="1260"/>
      <c r="M105" s="1261"/>
      <c r="N105" s="1262"/>
      <c r="O105" s="1263"/>
      <c r="P105" s="1254"/>
      <c r="Q105" s="1255"/>
      <c r="R105" s="1255"/>
      <c r="S105" s="1255"/>
      <c r="T105" s="1255"/>
      <c r="U105" s="1255"/>
      <c r="V105" s="1255"/>
      <c r="W105" s="1255"/>
      <c r="X105" s="1255"/>
      <c r="Y105" s="1255"/>
      <c r="Z105" s="1255"/>
      <c r="AA105" s="1256"/>
      <c r="AB105" s="1257"/>
      <c r="AC105" s="1258"/>
      <c r="AD105" s="1254"/>
      <c r="AE105" s="1255"/>
      <c r="AF105" s="1255"/>
      <c r="AG105" s="1255"/>
      <c r="AH105" s="1255"/>
      <c r="AI105" s="1255"/>
      <c r="AJ105" s="1255"/>
      <c r="AK105" s="1255"/>
      <c r="AL105" s="1255"/>
      <c r="AM105" s="1255"/>
      <c r="AN105" s="1255"/>
      <c r="AO105" s="1256"/>
      <c r="AP105" s="1257"/>
      <c r="AQ105" s="1258"/>
      <c r="AR105" s="231"/>
      <c r="AT105" s="1286"/>
      <c r="AU105" s="1287"/>
      <c r="AV105" s="1287"/>
      <c r="AW105" s="1287"/>
      <c r="AX105" s="1287"/>
      <c r="AY105" s="1287"/>
      <c r="AZ105" s="1287"/>
      <c r="BA105" s="1287"/>
      <c r="BB105" s="1287"/>
      <c r="BC105" s="1287"/>
      <c r="BD105" s="1287"/>
      <c r="BE105" s="1287"/>
      <c r="BF105" s="1287"/>
      <c r="BG105" s="1287"/>
      <c r="BH105" s="1287"/>
      <c r="BI105" s="1287"/>
      <c r="BJ105" s="1287"/>
      <c r="BK105" s="1287"/>
      <c r="BL105" s="1287"/>
      <c r="BM105" s="1287"/>
      <c r="BN105" s="1287"/>
      <c r="BO105" s="1287"/>
      <c r="BP105" s="1287"/>
      <c r="BQ105" s="1287"/>
      <c r="BR105" s="1287"/>
      <c r="BS105" s="1287"/>
      <c r="BT105" s="1287"/>
      <c r="BU105" s="1287"/>
      <c r="BV105" s="1287"/>
      <c r="BW105" s="1287"/>
      <c r="BX105" s="1287"/>
      <c r="BY105" s="1287"/>
      <c r="BZ105" s="1287"/>
      <c r="CA105" s="1287"/>
      <c r="CB105" s="1288"/>
    </row>
    <row r="106" spans="1:80" ht="3.95" customHeight="1" x14ac:dyDescent="0.25">
      <c r="A106" s="231"/>
      <c r="B106" s="1259"/>
      <c r="C106" s="1260"/>
      <c r="D106" s="1260"/>
      <c r="E106" s="1260"/>
      <c r="F106" s="1260"/>
      <c r="G106" s="1260"/>
      <c r="H106" s="1260"/>
      <c r="I106" s="1260"/>
      <c r="J106" s="1260"/>
      <c r="K106" s="1260"/>
      <c r="L106" s="1260"/>
      <c r="M106" s="1261"/>
      <c r="N106" s="1262"/>
      <c r="O106" s="1263"/>
      <c r="P106" s="1254"/>
      <c r="Q106" s="1255"/>
      <c r="R106" s="1255"/>
      <c r="S106" s="1255"/>
      <c r="T106" s="1255"/>
      <c r="U106" s="1255"/>
      <c r="V106" s="1255"/>
      <c r="W106" s="1255"/>
      <c r="X106" s="1255"/>
      <c r="Y106" s="1255"/>
      <c r="Z106" s="1255"/>
      <c r="AA106" s="1256"/>
      <c r="AB106" s="1257"/>
      <c r="AC106" s="1258"/>
      <c r="AD106" s="1254"/>
      <c r="AE106" s="1255"/>
      <c r="AF106" s="1255"/>
      <c r="AG106" s="1255"/>
      <c r="AH106" s="1255"/>
      <c r="AI106" s="1255"/>
      <c r="AJ106" s="1255"/>
      <c r="AK106" s="1255"/>
      <c r="AL106" s="1255"/>
      <c r="AM106" s="1255"/>
      <c r="AN106" s="1255"/>
      <c r="AO106" s="1256"/>
      <c r="AP106" s="1257"/>
      <c r="AQ106" s="1258"/>
      <c r="AR106" s="231"/>
      <c r="AT106" s="1277" t="s">
        <v>596</v>
      </c>
      <c r="AU106" s="1278"/>
      <c r="AV106" s="1278"/>
      <c r="AW106" s="1278"/>
      <c r="AX106" s="1278"/>
      <c r="AY106" s="1278"/>
      <c r="AZ106" s="1278"/>
      <c r="BA106" s="1278"/>
      <c r="BB106" s="1278"/>
      <c r="BC106" s="1278"/>
      <c r="BD106" s="1278"/>
      <c r="BE106" s="1278"/>
      <c r="BF106" s="1278"/>
      <c r="BG106" s="1278"/>
      <c r="BH106" s="1278"/>
      <c r="BI106" s="1278"/>
      <c r="BJ106" s="1278"/>
      <c r="BK106" s="1278"/>
      <c r="BL106" s="1278"/>
      <c r="BM106" s="1278"/>
      <c r="BN106" s="1278"/>
      <c r="BO106" s="1278"/>
      <c r="BP106" s="1278"/>
      <c r="BQ106" s="1278"/>
      <c r="BR106" s="1278"/>
      <c r="BS106" s="1278"/>
      <c r="BT106" s="1278"/>
      <c r="BU106" s="1278"/>
      <c r="BV106" s="1278"/>
      <c r="BW106" s="1278"/>
      <c r="BX106" s="1278"/>
      <c r="BY106" s="1278"/>
      <c r="BZ106" s="1278"/>
      <c r="CA106" s="1278"/>
      <c r="CB106" s="1279"/>
    </row>
    <row r="107" spans="1:80" ht="3.95" customHeight="1" x14ac:dyDescent="0.25">
      <c r="A107" s="231"/>
      <c r="B107" s="1259"/>
      <c r="C107" s="1260"/>
      <c r="D107" s="1260"/>
      <c r="E107" s="1260"/>
      <c r="F107" s="1260"/>
      <c r="G107" s="1260"/>
      <c r="H107" s="1260"/>
      <c r="I107" s="1260"/>
      <c r="J107" s="1260"/>
      <c r="K107" s="1260"/>
      <c r="L107" s="1260"/>
      <c r="M107" s="1261"/>
      <c r="N107" s="1262"/>
      <c r="O107" s="1263"/>
      <c r="P107" s="1235" t="s">
        <v>564</v>
      </c>
      <c r="Q107" s="1236"/>
      <c r="R107" s="1236"/>
      <c r="S107" s="1236"/>
      <c r="T107" s="1241" t="s">
        <v>97</v>
      </c>
      <c r="U107" s="1241"/>
      <c r="V107" s="1241"/>
      <c r="W107" s="1244">
        <f>CD.magia.base+6</f>
        <v>16</v>
      </c>
      <c r="X107" s="1244"/>
      <c r="Y107" s="1244"/>
      <c r="Z107" s="1244"/>
      <c r="AA107" s="1245"/>
      <c r="AB107" s="1475" t="str">
        <f>IF(NÍVEL.conjurador&gt;=(VLOOKUP(CONJURADOR,TABELA.classes,44,FALSE)),"ü","û")</f>
        <v>ü</v>
      </c>
      <c r="AC107" s="1476"/>
      <c r="AD107" s="1254"/>
      <c r="AE107" s="1255"/>
      <c r="AF107" s="1255"/>
      <c r="AG107" s="1255"/>
      <c r="AH107" s="1255"/>
      <c r="AI107" s="1255"/>
      <c r="AJ107" s="1255"/>
      <c r="AK107" s="1255"/>
      <c r="AL107" s="1255"/>
      <c r="AM107" s="1255"/>
      <c r="AN107" s="1255"/>
      <c r="AO107" s="1256"/>
      <c r="AP107" s="1257"/>
      <c r="AQ107" s="1258"/>
      <c r="AR107" s="231"/>
      <c r="AT107" s="1277"/>
      <c r="AU107" s="1278"/>
      <c r="AV107" s="1278"/>
      <c r="AW107" s="1278"/>
      <c r="AX107" s="1278"/>
      <c r="AY107" s="1278"/>
      <c r="AZ107" s="1278"/>
      <c r="BA107" s="1278"/>
      <c r="BB107" s="1278"/>
      <c r="BC107" s="1278"/>
      <c r="BD107" s="1278"/>
      <c r="BE107" s="1278"/>
      <c r="BF107" s="1278"/>
      <c r="BG107" s="1278"/>
      <c r="BH107" s="1278"/>
      <c r="BI107" s="1278"/>
      <c r="BJ107" s="1278"/>
      <c r="BK107" s="1278"/>
      <c r="BL107" s="1278"/>
      <c r="BM107" s="1278"/>
      <c r="BN107" s="1278"/>
      <c r="BO107" s="1278"/>
      <c r="BP107" s="1278"/>
      <c r="BQ107" s="1278"/>
      <c r="BR107" s="1278"/>
      <c r="BS107" s="1278"/>
      <c r="BT107" s="1278"/>
      <c r="BU107" s="1278"/>
      <c r="BV107" s="1278"/>
      <c r="BW107" s="1278"/>
      <c r="BX107" s="1278"/>
      <c r="BY107" s="1278"/>
      <c r="BZ107" s="1278"/>
      <c r="CA107" s="1278"/>
      <c r="CB107" s="1279"/>
    </row>
    <row r="108" spans="1:80" ht="3.95" customHeight="1" x14ac:dyDescent="0.25">
      <c r="A108" s="231"/>
      <c r="B108" s="1259"/>
      <c r="C108" s="1260"/>
      <c r="D108" s="1260"/>
      <c r="E108" s="1260"/>
      <c r="F108" s="1260"/>
      <c r="G108" s="1260"/>
      <c r="H108" s="1260"/>
      <c r="I108" s="1260"/>
      <c r="J108" s="1260"/>
      <c r="K108" s="1260"/>
      <c r="L108" s="1260"/>
      <c r="M108" s="1261"/>
      <c r="N108" s="1262"/>
      <c r="O108" s="1263"/>
      <c r="P108" s="1237"/>
      <c r="Q108" s="1238"/>
      <c r="R108" s="1238"/>
      <c r="S108" s="1238"/>
      <c r="T108" s="1242"/>
      <c r="U108" s="1242"/>
      <c r="V108" s="1242"/>
      <c r="W108" s="1246"/>
      <c r="X108" s="1246"/>
      <c r="Y108" s="1246"/>
      <c r="Z108" s="1246"/>
      <c r="AA108" s="1247"/>
      <c r="AB108" s="1475"/>
      <c r="AC108" s="1476"/>
      <c r="AD108" s="1254"/>
      <c r="AE108" s="1255"/>
      <c r="AF108" s="1255"/>
      <c r="AG108" s="1255"/>
      <c r="AH108" s="1255"/>
      <c r="AI108" s="1255"/>
      <c r="AJ108" s="1255"/>
      <c r="AK108" s="1255"/>
      <c r="AL108" s="1255"/>
      <c r="AM108" s="1255"/>
      <c r="AN108" s="1255"/>
      <c r="AO108" s="1256"/>
      <c r="AP108" s="1257"/>
      <c r="AQ108" s="1258"/>
      <c r="AR108" s="231"/>
      <c r="AT108" s="1277"/>
      <c r="AU108" s="1278"/>
      <c r="AV108" s="1278"/>
      <c r="AW108" s="1278"/>
      <c r="AX108" s="1278"/>
      <c r="AY108" s="1278"/>
      <c r="AZ108" s="1278"/>
      <c r="BA108" s="1278"/>
      <c r="BB108" s="1278"/>
      <c r="BC108" s="1278"/>
      <c r="BD108" s="1278"/>
      <c r="BE108" s="1278"/>
      <c r="BF108" s="1278"/>
      <c r="BG108" s="1278"/>
      <c r="BH108" s="1278"/>
      <c r="BI108" s="1278"/>
      <c r="BJ108" s="1278"/>
      <c r="BK108" s="1278"/>
      <c r="BL108" s="1278"/>
      <c r="BM108" s="1278"/>
      <c r="BN108" s="1278"/>
      <c r="BO108" s="1278"/>
      <c r="BP108" s="1278"/>
      <c r="BQ108" s="1278"/>
      <c r="BR108" s="1278"/>
      <c r="BS108" s="1278"/>
      <c r="BT108" s="1278"/>
      <c r="BU108" s="1278"/>
      <c r="BV108" s="1278"/>
      <c r="BW108" s="1278"/>
      <c r="BX108" s="1278"/>
      <c r="BY108" s="1278"/>
      <c r="BZ108" s="1278"/>
      <c r="CA108" s="1278"/>
      <c r="CB108" s="1279"/>
    </row>
    <row r="109" spans="1:80" ht="3.95" customHeight="1" x14ac:dyDescent="0.25">
      <c r="A109" s="231"/>
      <c r="B109" s="1259"/>
      <c r="C109" s="1260"/>
      <c r="D109" s="1260"/>
      <c r="E109" s="1260"/>
      <c r="F109" s="1260"/>
      <c r="G109" s="1260"/>
      <c r="H109" s="1260"/>
      <c r="I109" s="1260"/>
      <c r="J109" s="1260"/>
      <c r="K109" s="1260"/>
      <c r="L109" s="1260"/>
      <c r="M109" s="1261"/>
      <c r="N109" s="1262"/>
      <c r="O109" s="1263"/>
      <c r="P109" s="1239"/>
      <c r="Q109" s="1240"/>
      <c r="R109" s="1240"/>
      <c r="S109" s="1240"/>
      <c r="T109" s="1243"/>
      <c r="U109" s="1243"/>
      <c r="V109" s="1243"/>
      <c r="W109" s="1248"/>
      <c r="X109" s="1248"/>
      <c r="Y109" s="1248"/>
      <c r="Z109" s="1248"/>
      <c r="AA109" s="1249"/>
      <c r="AB109" s="1475"/>
      <c r="AC109" s="1476"/>
      <c r="AD109" s="1254"/>
      <c r="AE109" s="1255"/>
      <c r="AF109" s="1255"/>
      <c r="AG109" s="1255"/>
      <c r="AH109" s="1255"/>
      <c r="AI109" s="1255"/>
      <c r="AJ109" s="1255"/>
      <c r="AK109" s="1255"/>
      <c r="AL109" s="1255"/>
      <c r="AM109" s="1255"/>
      <c r="AN109" s="1255"/>
      <c r="AO109" s="1256"/>
      <c r="AP109" s="1257"/>
      <c r="AQ109" s="1258"/>
      <c r="AR109" s="231"/>
      <c r="AT109" s="1280"/>
      <c r="AU109" s="1281"/>
      <c r="AV109" s="1281"/>
      <c r="AW109" s="1281"/>
      <c r="AX109" s="1281"/>
      <c r="AY109" s="1281"/>
      <c r="AZ109" s="1281"/>
      <c r="BA109" s="1281"/>
      <c r="BB109" s="1281"/>
      <c r="BC109" s="1281"/>
      <c r="BD109" s="1281"/>
      <c r="BE109" s="1281"/>
      <c r="BF109" s="1281"/>
      <c r="BG109" s="1281"/>
      <c r="BH109" s="1281"/>
      <c r="BI109" s="1281"/>
      <c r="BJ109" s="1281"/>
      <c r="BK109" s="1281"/>
      <c r="BL109" s="1281"/>
      <c r="BM109" s="1281"/>
      <c r="BN109" s="1281"/>
      <c r="BO109" s="1281"/>
      <c r="BP109" s="1281"/>
      <c r="BQ109" s="1281"/>
      <c r="BR109" s="1281"/>
      <c r="BS109" s="1281"/>
      <c r="BT109" s="1281"/>
      <c r="BU109" s="1281"/>
      <c r="BV109" s="1281"/>
      <c r="BW109" s="1281"/>
      <c r="BX109" s="1281"/>
      <c r="BY109" s="1281"/>
      <c r="BZ109" s="1281"/>
      <c r="CA109" s="1281"/>
      <c r="CB109" s="1282"/>
    </row>
    <row r="110" spans="1:80" ht="3.95" customHeight="1" x14ac:dyDescent="0.25">
      <c r="A110" s="231"/>
      <c r="B110" s="1259"/>
      <c r="C110" s="1260"/>
      <c r="D110" s="1260"/>
      <c r="E110" s="1260"/>
      <c r="F110" s="1260"/>
      <c r="G110" s="1260"/>
      <c r="H110" s="1260"/>
      <c r="I110" s="1260"/>
      <c r="J110" s="1260"/>
      <c r="K110" s="1260"/>
      <c r="L110" s="1260"/>
      <c r="M110" s="1261"/>
      <c r="N110" s="1262"/>
      <c r="O110" s="1263"/>
      <c r="P110" s="1254"/>
      <c r="Q110" s="1255"/>
      <c r="R110" s="1255"/>
      <c r="S110" s="1255"/>
      <c r="T110" s="1255"/>
      <c r="U110" s="1255"/>
      <c r="V110" s="1255"/>
      <c r="W110" s="1255"/>
      <c r="X110" s="1255"/>
      <c r="Y110" s="1255"/>
      <c r="Z110" s="1255"/>
      <c r="AA110" s="1256"/>
      <c r="AB110" s="1257"/>
      <c r="AC110" s="1258"/>
      <c r="AD110" s="1254"/>
      <c r="AE110" s="1255"/>
      <c r="AF110" s="1255"/>
      <c r="AG110" s="1255"/>
      <c r="AH110" s="1255"/>
      <c r="AI110" s="1255"/>
      <c r="AJ110" s="1255"/>
      <c r="AK110" s="1255"/>
      <c r="AL110" s="1255"/>
      <c r="AM110" s="1255"/>
      <c r="AN110" s="1255"/>
      <c r="AO110" s="1256"/>
      <c r="AP110" s="1257"/>
      <c r="AQ110" s="1258"/>
      <c r="AR110" s="231"/>
      <c r="AT110" s="1283"/>
      <c r="AU110" s="1284"/>
      <c r="AV110" s="1284"/>
      <c r="AW110" s="1284"/>
      <c r="AX110" s="1284"/>
      <c r="AY110" s="1284"/>
      <c r="AZ110" s="1284"/>
      <c r="BA110" s="1284"/>
      <c r="BB110" s="1284"/>
      <c r="BC110" s="1284"/>
      <c r="BD110" s="1284"/>
      <c r="BE110" s="1284"/>
      <c r="BF110" s="1284"/>
      <c r="BG110" s="1284"/>
      <c r="BH110" s="1284"/>
      <c r="BI110" s="1284"/>
      <c r="BJ110" s="1284"/>
      <c r="BK110" s="1284"/>
      <c r="BL110" s="1284"/>
      <c r="BM110" s="1284"/>
      <c r="BN110" s="1284"/>
      <c r="BO110" s="1284"/>
      <c r="BP110" s="1284"/>
      <c r="BQ110" s="1284"/>
      <c r="BR110" s="1284"/>
      <c r="BS110" s="1284"/>
      <c r="BT110" s="1284"/>
      <c r="BU110" s="1284"/>
      <c r="BV110" s="1284"/>
      <c r="BW110" s="1284"/>
      <c r="BX110" s="1284"/>
      <c r="BY110" s="1284"/>
      <c r="BZ110" s="1284"/>
      <c r="CA110" s="1284"/>
      <c r="CB110" s="1285"/>
    </row>
    <row r="111" spans="1:80" ht="3.95" customHeight="1" x14ac:dyDescent="0.25">
      <c r="A111" s="231"/>
      <c r="B111" s="1259"/>
      <c r="C111" s="1260"/>
      <c r="D111" s="1260"/>
      <c r="E111" s="1260"/>
      <c r="F111" s="1260"/>
      <c r="G111" s="1260"/>
      <c r="H111" s="1260"/>
      <c r="I111" s="1260"/>
      <c r="J111" s="1260"/>
      <c r="K111" s="1260"/>
      <c r="L111" s="1260"/>
      <c r="M111" s="1261"/>
      <c r="N111" s="1262"/>
      <c r="O111" s="1263"/>
      <c r="P111" s="1254"/>
      <c r="Q111" s="1255"/>
      <c r="R111" s="1255"/>
      <c r="S111" s="1255"/>
      <c r="T111" s="1255"/>
      <c r="U111" s="1255"/>
      <c r="V111" s="1255"/>
      <c r="W111" s="1255"/>
      <c r="X111" s="1255"/>
      <c r="Y111" s="1255"/>
      <c r="Z111" s="1255"/>
      <c r="AA111" s="1256"/>
      <c r="AB111" s="1257"/>
      <c r="AC111" s="1258"/>
      <c r="AD111" s="1254"/>
      <c r="AE111" s="1255"/>
      <c r="AF111" s="1255"/>
      <c r="AG111" s="1255"/>
      <c r="AH111" s="1255"/>
      <c r="AI111" s="1255"/>
      <c r="AJ111" s="1255"/>
      <c r="AK111" s="1255"/>
      <c r="AL111" s="1255"/>
      <c r="AM111" s="1255"/>
      <c r="AN111" s="1255"/>
      <c r="AO111" s="1256"/>
      <c r="AP111" s="1257"/>
      <c r="AQ111" s="1258"/>
      <c r="AR111" s="231"/>
      <c r="AT111" s="1283"/>
      <c r="AU111" s="1284"/>
      <c r="AV111" s="1284"/>
      <c r="AW111" s="1284"/>
      <c r="AX111" s="1284"/>
      <c r="AY111" s="1284"/>
      <c r="AZ111" s="1284"/>
      <c r="BA111" s="1284"/>
      <c r="BB111" s="1284"/>
      <c r="BC111" s="1284"/>
      <c r="BD111" s="1284"/>
      <c r="BE111" s="1284"/>
      <c r="BF111" s="1284"/>
      <c r="BG111" s="1284"/>
      <c r="BH111" s="1284"/>
      <c r="BI111" s="1284"/>
      <c r="BJ111" s="1284"/>
      <c r="BK111" s="1284"/>
      <c r="BL111" s="1284"/>
      <c r="BM111" s="1284"/>
      <c r="BN111" s="1284"/>
      <c r="BO111" s="1284"/>
      <c r="BP111" s="1284"/>
      <c r="BQ111" s="1284"/>
      <c r="BR111" s="1284"/>
      <c r="BS111" s="1284"/>
      <c r="BT111" s="1284"/>
      <c r="BU111" s="1284"/>
      <c r="BV111" s="1284"/>
      <c r="BW111" s="1284"/>
      <c r="BX111" s="1284"/>
      <c r="BY111" s="1284"/>
      <c r="BZ111" s="1284"/>
      <c r="CA111" s="1284"/>
      <c r="CB111" s="1285"/>
    </row>
    <row r="112" spans="1:80" ht="3.95" customHeight="1" x14ac:dyDescent="0.25">
      <c r="A112" s="231"/>
      <c r="B112" s="1259"/>
      <c r="C112" s="1260"/>
      <c r="D112" s="1260"/>
      <c r="E112" s="1260"/>
      <c r="F112" s="1260"/>
      <c r="G112" s="1260"/>
      <c r="H112" s="1260"/>
      <c r="I112" s="1260"/>
      <c r="J112" s="1260"/>
      <c r="K112" s="1260"/>
      <c r="L112" s="1260"/>
      <c r="M112" s="1261"/>
      <c r="N112" s="1262"/>
      <c r="O112" s="1263"/>
      <c r="P112" s="1254"/>
      <c r="Q112" s="1255"/>
      <c r="R112" s="1255"/>
      <c r="S112" s="1255"/>
      <c r="T112" s="1255"/>
      <c r="U112" s="1255"/>
      <c r="V112" s="1255"/>
      <c r="W112" s="1255"/>
      <c r="X112" s="1255"/>
      <c r="Y112" s="1255"/>
      <c r="Z112" s="1255"/>
      <c r="AA112" s="1256"/>
      <c r="AB112" s="1257"/>
      <c r="AC112" s="1258"/>
      <c r="AD112" s="1254"/>
      <c r="AE112" s="1255"/>
      <c r="AF112" s="1255"/>
      <c r="AG112" s="1255"/>
      <c r="AH112" s="1255"/>
      <c r="AI112" s="1255"/>
      <c r="AJ112" s="1255"/>
      <c r="AK112" s="1255"/>
      <c r="AL112" s="1255"/>
      <c r="AM112" s="1255"/>
      <c r="AN112" s="1255"/>
      <c r="AO112" s="1256"/>
      <c r="AP112" s="1257"/>
      <c r="AQ112" s="1258"/>
      <c r="AR112" s="231"/>
      <c r="AT112" s="1283"/>
      <c r="AU112" s="1284"/>
      <c r="AV112" s="1284"/>
      <c r="AW112" s="1284"/>
      <c r="AX112" s="1284"/>
      <c r="AY112" s="1284"/>
      <c r="AZ112" s="1284"/>
      <c r="BA112" s="1284"/>
      <c r="BB112" s="1284"/>
      <c r="BC112" s="1284"/>
      <c r="BD112" s="1284"/>
      <c r="BE112" s="1284"/>
      <c r="BF112" s="1284"/>
      <c r="BG112" s="1284"/>
      <c r="BH112" s="1284"/>
      <c r="BI112" s="1284"/>
      <c r="BJ112" s="1284"/>
      <c r="BK112" s="1284"/>
      <c r="BL112" s="1284"/>
      <c r="BM112" s="1284"/>
      <c r="BN112" s="1284"/>
      <c r="BO112" s="1284"/>
      <c r="BP112" s="1284"/>
      <c r="BQ112" s="1284"/>
      <c r="BR112" s="1284"/>
      <c r="BS112" s="1284"/>
      <c r="BT112" s="1284"/>
      <c r="BU112" s="1284"/>
      <c r="BV112" s="1284"/>
      <c r="BW112" s="1284"/>
      <c r="BX112" s="1284"/>
      <c r="BY112" s="1284"/>
      <c r="BZ112" s="1284"/>
      <c r="CA112" s="1284"/>
      <c r="CB112" s="1285"/>
    </row>
    <row r="113" spans="1:80" ht="3.95" customHeight="1" x14ac:dyDescent="0.25">
      <c r="A113" s="231"/>
      <c r="B113" s="1259"/>
      <c r="C113" s="1260"/>
      <c r="D113" s="1260"/>
      <c r="E113" s="1260"/>
      <c r="F113" s="1260"/>
      <c r="G113" s="1260"/>
      <c r="H113" s="1260"/>
      <c r="I113" s="1260"/>
      <c r="J113" s="1260"/>
      <c r="K113" s="1260"/>
      <c r="L113" s="1260"/>
      <c r="M113" s="1261"/>
      <c r="N113" s="1262"/>
      <c r="O113" s="1263"/>
      <c r="P113" s="1254"/>
      <c r="Q113" s="1255"/>
      <c r="R113" s="1255"/>
      <c r="S113" s="1255"/>
      <c r="T113" s="1255"/>
      <c r="U113" s="1255"/>
      <c r="V113" s="1255"/>
      <c r="W113" s="1255"/>
      <c r="X113" s="1255"/>
      <c r="Y113" s="1255"/>
      <c r="Z113" s="1255"/>
      <c r="AA113" s="1256"/>
      <c r="AB113" s="1257"/>
      <c r="AC113" s="1258"/>
      <c r="AD113" s="1254"/>
      <c r="AE113" s="1255"/>
      <c r="AF113" s="1255"/>
      <c r="AG113" s="1255"/>
      <c r="AH113" s="1255"/>
      <c r="AI113" s="1255"/>
      <c r="AJ113" s="1255"/>
      <c r="AK113" s="1255"/>
      <c r="AL113" s="1255"/>
      <c r="AM113" s="1255"/>
      <c r="AN113" s="1255"/>
      <c r="AO113" s="1256"/>
      <c r="AP113" s="1257"/>
      <c r="AQ113" s="1258"/>
      <c r="AR113" s="231"/>
      <c r="AT113" s="1283"/>
      <c r="AU113" s="1284"/>
      <c r="AV113" s="1284"/>
      <c r="AW113" s="1284"/>
      <c r="AX113" s="1284"/>
      <c r="AY113" s="1284"/>
      <c r="AZ113" s="1284"/>
      <c r="BA113" s="1284"/>
      <c r="BB113" s="1284"/>
      <c r="BC113" s="1284"/>
      <c r="BD113" s="1284"/>
      <c r="BE113" s="1284"/>
      <c r="BF113" s="1284"/>
      <c r="BG113" s="1284"/>
      <c r="BH113" s="1284"/>
      <c r="BI113" s="1284"/>
      <c r="BJ113" s="1284"/>
      <c r="BK113" s="1284"/>
      <c r="BL113" s="1284"/>
      <c r="BM113" s="1284"/>
      <c r="BN113" s="1284"/>
      <c r="BO113" s="1284"/>
      <c r="BP113" s="1284"/>
      <c r="BQ113" s="1284"/>
      <c r="BR113" s="1284"/>
      <c r="BS113" s="1284"/>
      <c r="BT113" s="1284"/>
      <c r="BU113" s="1284"/>
      <c r="BV113" s="1284"/>
      <c r="BW113" s="1284"/>
      <c r="BX113" s="1284"/>
      <c r="BY113" s="1284"/>
      <c r="BZ113" s="1284"/>
      <c r="CA113" s="1284"/>
      <c r="CB113" s="1285"/>
    </row>
    <row r="114" spans="1:80" ht="3.95" customHeight="1" x14ac:dyDescent="0.25">
      <c r="A114" s="231"/>
      <c r="B114" s="1259"/>
      <c r="C114" s="1260"/>
      <c r="D114" s="1260"/>
      <c r="E114" s="1260"/>
      <c r="F114" s="1260"/>
      <c r="G114" s="1260"/>
      <c r="H114" s="1260"/>
      <c r="I114" s="1260"/>
      <c r="J114" s="1260"/>
      <c r="K114" s="1260"/>
      <c r="L114" s="1260"/>
      <c r="M114" s="1261"/>
      <c r="N114" s="1262"/>
      <c r="O114" s="1263"/>
      <c r="P114" s="1254"/>
      <c r="Q114" s="1255"/>
      <c r="R114" s="1255"/>
      <c r="S114" s="1255"/>
      <c r="T114" s="1255"/>
      <c r="U114" s="1255"/>
      <c r="V114" s="1255"/>
      <c r="W114" s="1255"/>
      <c r="X114" s="1255"/>
      <c r="Y114" s="1255"/>
      <c r="Z114" s="1255"/>
      <c r="AA114" s="1256"/>
      <c r="AB114" s="1257"/>
      <c r="AC114" s="1258"/>
      <c r="AD114" s="1254"/>
      <c r="AE114" s="1255"/>
      <c r="AF114" s="1255"/>
      <c r="AG114" s="1255"/>
      <c r="AH114" s="1255"/>
      <c r="AI114" s="1255"/>
      <c r="AJ114" s="1255"/>
      <c r="AK114" s="1255"/>
      <c r="AL114" s="1255"/>
      <c r="AM114" s="1255"/>
      <c r="AN114" s="1255"/>
      <c r="AO114" s="1256"/>
      <c r="AP114" s="1257"/>
      <c r="AQ114" s="1258"/>
      <c r="AR114" s="231"/>
      <c r="AT114" s="1283"/>
      <c r="AU114" s="1284"/>
      <c r="AV114" s="1284"/>
      <c r="AW114" s="1284"/>
      <c r="AX114" s="1284"/>
      <c r="AY114" s="1284"/>
      <c r="AZ114" s="1284"/>
      <c r="BA114" s="1284"/>
      <c r="BB114" s="1284"/>
      <c r="BC114" s="1284"/>
      <c r="BD114" s="1284"/>
      <c r="BE114" s="1284"/>
      <c r="BF114" s="1284"/>
      <c r="BG114" s="1284"/>
      <c r="BH114" s="1284"/>
      <c r="BI114" s="1284"/>
      <c r="BJ114" s="1284"/>
      <c r="BK114" s="1284"/>
      <c r="BL114" s="1284"/>
      <c r="BM114" s="1284"/>
      <c r="BN114" s="1284"/>
      <c r="BO114" s="1284"/>
      <c r="BP114" s="1284"/>
      <c r="BQ114" s="1284"/>
      <c r="BR114" s="1284"/>
      <c r="BS114" s="1284"/>
      <c r="BT114" s="1284"/>
      <c r="BU114" s="1284"/>
      <c r="BV114" s="1284"/>
      <c r="BW114" s="1284"/>
      <c r="BX114" s="1284"/>
      <c r="BY114" s="1284"/>
      <c r="BZ114" s="1284"/>
      <c r="CA114" s="1284"/>
      <c r="CB114" s="1285"/>
    </row>
    <row r="115" spans="1:80" ht="3.95" customHeight="1" x14ac:dyDescent="0.25">
      <c r="A115" s="231"/>
      <c r="B115" s="1259"/>
      <c r="C115" s="1260"/>
      <c r="D115" s="1260"/>
      <c r="E115" s="1260"/>
      <c r="F115" s="1260"/>
      <c r="G115" s="1260"/>
      <c r="H115" s="1260"/>
      <c r="I115" s="1260"/>
      <c r="J115" s="1260"/>
      <c r="K115" s="1260"/>
      <c r="L115" s="1260"/>
      <c r="M115" s="1261"/>
      <c r="N115" s="1262"/>
      <c r="O115" s="1263"/>
      <c r="P115" s="1254"/>
      <c r="Q115" s="1255"/>
      <c r="R115" s="1255"/>
      <c r="S115" s="1255"/>
      <c r="T115" s="1255"/>
      <c r="U115" s="1255"/>
      <c r="V115" s="1255"/>
      <c r="W115" s="1255"/>
      <c r="X115" s="1255"/>
      <c r="Y115" s="1255"/>
      <c r="Z115" s="1255"/>
      <c r="AA115" s="1256"/>
      <c r="AB115" s="1257"/>
      <c r="AC115" s="1258"/>
      <c r="AD115" s="1254"/>
      <c r="AE115" s="1255"/>
      <c r="AF115" s="1255"/>
      <c r="AG115" s="1255"/>
      <c r="AH115" s="1255"/>
      <c r="AI115" s="1255"/>
      <c r="AJ115" s="1255"/>
      <c r="AK115" s="1255"/>
      <c r="AL115" s="1255"/>
      <c r="AM115" s="1255"/>
      <c r="AN115" s="1255"/>
      <c r="AO115" s="1256"/>
      <c r="AP115" s="1257"/>
      <c r="AQ115" s="1258"/>
      <c r="AR115" s="231"/>
      <c r="AT115" s="1283"/>
      <c r="AU115" s="1284"/>
      <c r="AV115" s="1284"/>
      <c r="AW115" s="1284"/>
      <c r="AX115" s="1284"/>
      <c r="AY115" s="1284"/>
      <c r="AZ115" s="1284"/>
      <c r="BA115" s="1284"/>
      <c r="BB115" s="1284"/>
      <c r="BC115" s="1284"/>
      <c r="BD115" s="1284"/>
      <c r="BE115" s="1284"/>
      <c r="BF115" s="1284"/>
      <c r="BG115" s="1284"/>
      <c r="BH115" s="1284"/>
      <c r="BI115" s="1284"/>
      <c r="BJ115" s="1284"/>
      <c r="BK115" s="1284"/>
      <c r="BL115" s="1284"/>
      <c r="BM115" s="1284"/>
      <c r="BN115" s="1284"/>
      <c r="BO115" s="1284"/>
      <c r="BP115" s="1284"/>
      <c r="BQ115" s="1284"/>
      <c r="BR115" s="1284"/>
      <c r="BS115" s="1284"/>
      <c r="BT115" s="1284"/>
      <c r="BU115" s="1284"/>
      <c r="BV115" s="1284"/>
      <c r="BW115" s="1284"/>
      <c r="BX115" s="1284"/>
      <c r="BY115" s="1284"/>
      <c r="BZ115" s="1284"/>
      <c r="CA115" s="1284"/>
      <c r="CB115" s="1285"/>
    </row>
    <row r="116" spans="1:80" ht="3.95" customHeight="1" x14ac:dyDescent="0.25">
      <c r="A116" s="231"/>
      <c r="B116" s="1259"/>
      <c r="C116" s="1260"/>
      <c r="D116" s="1260"/>
      <c r="E116" s="1260"/>
      <c r="F116" s="1260"/>
      <c r="G116" s="1260"/>
      <c r="H116" s="1260"/>
      <c r="I116" s="1260"/>
      <c r="J116" s="1260"/>
      <c r="K116" s="1260"/>
      <c r="L116" s="1260"/>
      <c r="M116" s="1261"/>
      <c r="N116" s="1262"/>
      <c r="O116" s="1263"/>
      <c r="P116" s="1254"/>
      <c r="Q116" s="1255"/>
      <c r="R116" s="1255"/>
      <c r="S116" s="1255"/>
      <c r="T116" s="1255"/>
      <c r="U116" s="1255"/>
      <c r="V116" s="1255"/>
      <c r="W116" s="1255"/>
      <c r="X116" s="1255"/>
      <c r="Y116" s="1255"/>
      <c r="Z116" s="1255"/>
      <c r="AA116" s="1256"/>
      <c r="AB116" s="1257"/>
      <c r="AC116" s="1258"/>
      <c r="AD116" s="1254"/>
      <c r="AE116" s="1255"/>
      <c r="AF116" s="1255"/>
      <c r="AG116" s="1255"/>
      <c r="AH116" s="1255"/>
      <c r="AI116" s="1255"/>
      <c r="AJ116" s="1255"/>
      <c r="AK116" s="1255"/>
      <c r="AL116" s="1255"/>
      <c r="AM116" s="1255"/>
      <c r="AN116" s="1255"/>
      <c r="AO116" s="1256"/>
      <c r="AP116" s="1257"/>
      <c r="AQ116" s="1258"/>
      <c r="AR116" s="231"/>
      <c r="AT116" s="1283"/>
      <c r="AU116" s="1284"/>
      <c r="AV116" s="1284"/>
      <c r="AW116" s="1284"/>
      <c r="AX116" s="1284"/>
      <c r="AY116" s="1284"/>
      <c r="AZ116" s="1284"/>
      <c r="BA116" s="1284"/>
      <c r="BB116" s="1284"/>
      <c r="BC116" s="1284"/>
      <c r="BD116" s="1284"/>
      <c r="BE116" s="1284"/>
      <c r="BF116" s="1284"/>
      <c r="BG116" s="1284"/>
      <c r="BH116" s="1284"/>
      <c r="BI116" s="1284"/>
      <c r="BJ116" s="1284"/>
      <c r="BK116" s="1284"/>
      <c r="BL116" s="1284"/>
      <c r="BM116" s="1284"/>
      <c r="BN116" s="1284"/>
      <c r="BO116" s="1284"/>
      <c r="BP116" s="1284"/>
      <c r="BQ116" s="1284"/>
      <c r="BR116" s="1284"/>
      <c r="BS116" s="1284"/>
      <c r="BT116" s="1284"/>
      <c r="BU116" s="1284"/>
      <c r="BV116" s="1284"/>
      <c r="BW116" s="1284"/>
      <c r="BX116" s="1284"/>
      <c r="BY116" s="1284"/>
      <c r="BZ116" s="1284"/>
      <c r="CA116" s="1284"/>
      <c r="CB116" s="1285"/>
    </row>
    <row r="117" spans="1:80" ht="3.95" customHeight="1" x14ac:dyDescent="0.25">
      <c r="A117" s="231"/>
      <c r="B117" s="1259"/>
      <c r="C117" s="1260"/>
      <c r="D117" s="1260"/>
      <c r="E117" s="1260"/>
      <c r="F117" s="1260"/>
      <c r="G117" s="1260"/>
      <c r="H117" s="1260"/>
      <c r="I117" s="1260"/>
      <c r="J117" s="1260"/>
      <c r="K117" s="1260"/>
      <c r="L117" s="1260"/>
      <c r="M117" s="1261"/>
      <c r="N117" s="1262"/>
      <c r="O117" s="1263"/>
      <c r="P117" s="1254"/>
      <c r="Q117" s="1255"/>
      <c r="R117" s="1255"/>
      <c r="S117" s="1255"/>
      <c r="T117" s="1255"/>
      <c r="U117" s="1255"/>
      <c r="V117" s="1255"/>
      <c r="W117" s="1255"/>
      <c r="X117" s="1255"/>
      <c r="Y117" s="1255"/>
      <c r="Z117" s="1255"/>
      <c r="AA117" s="1256"/>
      <c r="AB117" s="1257"/>
      <c r="AC117" s="1258"/>
      <c r="AD117" s="1254"/>
      <c r="AE117" s="1255"/>
      <c r="AF117" s="1255"/>
      <c r="AG117" s="1255"/>
      <c r="AH117" s="1255"/>
      <c r="AI117" s="1255"/>
      <c r="AJ117" s="1255"/>
      <c r="AK117" s="1255"/>
      <c r="AL117" s="1255"/>
      <c r="AM117" s="1255"/>
      <c r="AN117" s="1255"/>
      <c r="AO117" s="1256"/>
      <c r="AP117" s="1257"/>
      <c r="AQ117" s="1258"/>
      <c r="AR117" s="231"/>
      <c r="AT117" s="1286"/>
      <c r="AU117" s="1287"/>
      <c r="AV117" s="1287"/>
      <c r="AW117" s="1287"/>
      <c r="AX117" s="1287"/>
      <c r="AY117" s="1287"/>
      <c r="AZ117" s="1287"/>
      <c r="BA117" s="1287"/>
      <c r="BB117" s="1287"/>
      <c r="BC117" s="1287"/>
      <c r="BD117" s="1287"/>
      <c r="BE117" s="1287"/>
      <c r="BF117" s="1287"/>
      <c r="BG117" s="1287"/>
      <c r="BH117" s="1287"/>
      <c r="BI117" s="1287"/>
      <c r="BJ117" s="1287"/>
      <c r="BK117" s="1287"/>
      <c r="BL117" s="1287"/>
      <c r="BM117" s="1287"/>
      <c r="BN117" s="1287"/>
      <c r="BO117" s="1287"/>
      <c r="BP117" s="1287"/>
      <c r="BQ117" s="1287"/>
      <c r="BR117" s="1287"/>
      <c r="BS117" s="1287"/>
      <c r="BT117" s="1287"/>
      <c r="BU117" s="1287"/>
      <c r="BV117" s="1287"/>
      <c r="BW117" s="1287"/>
      <c r="BX117" s="1287"/>
      <c r="BY117" s="1287"/>
      <c r="BZ117" s="1287"/>
      <c r="CA117" s="1287"/>
      <c r="CB117" s="1288"/>
    </row>
    <row r="118" spans="1:80" ht="3.95" customHeight="1" x14ac:dyDescent="0.25">
      <c r="A118" s="231"/>
      <c r="B118" s="1574"/>
      <c r="C118" s="1575"/>
      <c r="D118" s="1575"/>
      <c r="E118" s="1575"/>
      <c r="F118" s="1575"/>
      <c r="G118" s="1575"/>
      <c r="H118" s="1575"/>
      <c r="I118" s="1575"/>
      <c r="J118" s="1575"/>
      <c r="K118" s="1575"/>
      <c r="L118" s="1575"/>
      <c r="M118" s="1576"/>
      <c r="N118" s="1577"/>
      <c r="O118" s="1578"/>
      <c r="P118" s="1568"/>
      <c r="Q118" s="1569"/>
      <c r="R118" s="1569"/>
      <c r="S118" s="1569"/>
      <c r="T118" s="1569"/>
      <c r="U118" s="1569"/>
      <c r="V118" s="1569"/>
      <c r="W118" s="1569"/>
      <c r="X118" s="1569"/>
      <c r="Y118" s="1569"/>
      <c r="Z118" s="1569"/>
      <c r="AA118" s="1570"/>
      <c r="AB118" s="1571"/>
      <c r="AC118" s="1572"/>
      <c r="AD118" s="1568"/>
      <c r="AE118" s="1569"/>
      <c r="AF118" s="1569"/>
      <c r="AG118" s="1569"/>
      <c r="AH118" s="1569"/>
      <c r="AI118" s="1569"/>
      <c r="AJ118" s="1569"/>
      <c r="AK118" s="1569"/>
      <c r="AL118" s="1569"/>
      <c r="AM118" s="1569"/>
      <c r="AN118" s="1569"/>
      <c r="AO118" s="1570"/>
      <c r="AP118" s="1571"/>
      <c r="AQ118" s="1572"/>
      <c r="AR118" s="231"/>
      <c r="AT118" s="1277" t="s">
        <v>597</v>
      </c>
      <c r="AU118" s="1278"/>
      <c r="AV118" s="1278"/>
      <c r="AW118" s="1278"/>
      <c r="AX118" s="1278"/>
      <c r="AY118" s="1278"/>
      <c r="AZ118" s="1278"/>
      <c r="BA118" s="1278"/>
      <c r="BB118" s="1278"/>
      <c r="BC118" s="1278"/>
      <c r="BD118" s="1278"/>
      <c r="BE118" s="1278"/>
      <c r="BF118" s="1278"/>
      <c r="BG118" s="1278"/>
      <c r="BH118" s="1278"/>
      <c r="BI118" s="1278"/>
      <c r="BJ118" s="1278"/>
      <c r="BK118" s="1278"/>
      <c r="BL118" s="1278"/>
      <c r="BM118" s="1278"/>
      <c r="BN118" s="1278"/>
      <c r="BO118" s="1278"/>
      <c r="BP118" s="1278"/>
      <c r="BQ118" s="1278"/>
      <c r="BR118" s="1278"/>
      <c r="BS118" s="1278"/>
      <c r="BT118" s="1278"/>
      <c r="BU118" s="1278"/>
      <c r="BV118" s="1278"/>
      <c r="BW118" s="1278"/>
      <c r="BX118" s="1278"/>
      <c r="BY118" s="1278"/>
      <c r="BZ118" s="1278"/>
      <c r="CA118" s="1278"/>
      <c r="CB118" s="1279"/>
    </row>
    <row r="119" spans="1:80" ht="3.95" customHeight="1" x14ac:dyDescent="0.25">
      <c r="A119" s="231"/>
      <c r="B119" s="231"/>
      <c r="C119" s="231"/>
      <c r="D119" s="231"/>
      <c r="E119" s="231"/>
      <c r="F119" s="231"/>
      <c r="G119" s="231"/>
      <c r="H119" s="231"/>
      <c r="I119" s="231"/>
      <c r="J119" s="231"/>
      <c r="K119" s="231"/>
      <c r="L119" s="231"/>
      <c r="M119" s="231"/>
      <c r="N119" s="231"/>
      <c r="O119" s="231"/>
      <c r="P119" s="231"/>
      <c r="Q119" s="231"/>
      <c r="R119" s="231"/>
      <c r="S119" s="231"/>
      <c r="T119" s="231"/>
      <c r="U119" s="231"/>
      <c r="V119" s="231"/>
      <c r="W119" s="231"/>
      <c r="X119" s="231"/>
      <c r="Y119" s="231"/>
      <c r="Z119" s="231"/>
      <c r="AA119" s="231"/>
      <c r="AB119" s="231"/>
      <c r="AC119" s="231"/>
      <c r="AD119" s="231"/>
      <c r="AE119" s="231"/>
      <c r="AF119" s="231"/>
      <c r="AG119" s="231"/>
      <c r="AH119" s="231"/>
      <c r="AI119" s="231"/>
      <c r="AJ119" s="231"/>
      <c r="AK119" s="231"/>
      <c r="AL119" s="231"/>
      <c r="AM119" s="231"/>
      <c r="AN119" s="231"/>
      <c r="AO119" s="231"/>
      <c r="AP119" s="231"/>
      <c r="AQ119" s="231"/>
      <c r="AR119" s="231"/>
      <c r="AT119" s="1277"/>
      <c r="AU119" s="1278"/>
      <c r="AV119" s="1278"/>
      <c r="AW119" s="1278"/>
      <c r="AX119" s="1278"/>
      <c r="AY119" s="1278"/>
      <c r="AZ119" s="1278"/>
      <c r="BA119" s="1278"/>
      <c r="BB119" s="1278"/>
      <c r="BC119" s="1278"/>
      <c r="BD119" s="1278"/>
      <c r="BE119" s="1278"/>
      <c r="BF119" s="1278"/>
      <c r="BG119" s="1278"/>
      <c r="BH119" s="1278"/>
      <c r="BI119" s="1278"/>
      <c r="BJ119" s="1278"/>
      <c r="BK119" s="1278"/>
      <c r="BL119" s="1278"/>
      <c r="BM119" s="1278"/>
      <c r="BN119" s="1278"/>
      <c r="BO119" s="1278"/>
      <c r="BP119" s="1278"/>
      <c r="BQ119" s="1278"/>
      <c r="BR119" s="1278"/>
      <c r="BS119" s="1278"/>
      <c r="BT119" s="1278"/>
      <c r="BU119" s="1278"/>
      <c r="BV119" s="1278"/>
      <c r="BW119" s="1278"/>
      <c r="BX119" s="1278"/>
      <c r="BY119" s="1278"/>
      <c r="BZ119" s="1278"/>
      <c r="CA119" s="1278"/>
      <c r="CB119" s="1279"/>
    </row>
    <row r="120" spans="1:80" ht="3.95" customHeight="1" x14ac:dyDescent="0.25">
      <c r="A120" s="231"/>
      <c r="B120" s="1486" t="s">
        <v>569</v>
      </c>
      <c r="C120" s="1486"/>
      <c r="D120" s="1485" t="s">
        <v>570</v>
      </c>
      <c r="E120" s="1485"/>
      <c r="F120" s="1485"/>
      <c r="G120" s="1485"/>
      <c r="H120" s="1485"/>
      <c r="I120" s="1485"/>
      <c r="J120" s="1485"/>
      <c r="K120" s="1485"/>
      <c r="L120" s="1485"/>
      <c r="M120" s="1485"/>
      <c r="N120" s="1485"/>
      <c r="O120" s="1485"/>
      <c r="P120" s="1485"/>
      <c r="Q120" s="1485"/>
      <c r="R120" s="1573" t="s">
        <v>180</v>
      </c>
      <c r="S120" s="1573"/>
      <c r="T120" s="1573"/>
      <c r="U120" s="1486" t="str">
        <f>IF(OR(AD5="arcana e divina espontânea",AD5="arcana espontânea",AD5="divina espontânea"),"usos","prep.")</f>
        <v>prep.</v>
      </c>
      <c r="V120" s="1486"/>
      <c r="W120" s="1486" t="s">
        <v>569</v>
      </c>
      <c r="X120" s="1486"/>
      <c r="Y120" s="1485" t="s">
        <v>570</v>
      </c>
      <c r="Z120" s="1485"/>
      <c r="AA120" s="1485"/>
      <c r="AB120" s="1485"/>
      <c r="AC120" s="1485"/>
      <c r="AD120" s="1485"/>
      <c r="AE120" s="1485"/>
      <c r="AF120" s="1485"/>
      <c r="AG120" s="1485"/>
      <c r="AH120" s="1485"/>
      <c r="AI120" s="1485"/>
      <c r="AJ120" s="1485"/>
      <c r="AK120" s="1485"/>
      <c r="AL120" s="1485"/>
      <c r="AM120" s="1573" t="s">
        <v>180</v>
      </c>
      <c r="AN120" s="1573"/>
      <c r="AO120" s="1573"/>
      <c r="AP120" s="1486" t="str">
        <f>IF(OR(AD5="arcana e divina espontânea",AD5="arcana espontânea",AD5="divina espontânea"),"usos","prep.")</f>
        <v>prep.</v>
      </c>
      <c r="AQ120" s="1486"/>
      <c r="AR120" s="231"/>
      <c r="AT120" s="1277"/>
      <c r="AU120" s="1278"/>
      <c r="AV120" s="1278"/>
      <c r="AW120" s="1278"/>
      <c r="AX120" s="1278"/>
      <c r="AY120" s="1278"/>
      <c r="AZ120" s="1278"/>
      <c r="BA120" s="1278"/>
      <c r="BB120" s="1278"/>
      <c r="BC120" s="1278"/>
      <c r="BD120" s="1278"/>
      <c r="BE120" s="1278"/>
      <c r="BF120" s="1278"/>
      <c r="BG120" s="1278"/>
      <c r="BH120" s="1278"/>
      <c r="BI120" s="1278"/>
      <c r="BJ120" s="1278"/>
      <c r="BK120" s="1278"/>
      <c r="BL120" s="1278"/>
      <c r="BM120" s="1278"/>
      <c r="BN120" s="1278"/>
      <c r="BO120" s="1278"/>
      <c r="BP120" s="1278"/>
      <c r="BQ120" s="1278"/>
      <c r="BR120" s="1278"/>
      <c r="BS120" s="1278"/>
      <c r="BT120" s="1278"/>
      <c r="BU120" s="1278"/>
      <c r="BV120" s="1278"/>
      <c r="BW120" s="1278"/>
      <c r="BX120" s="1278"/>
      <c r="BY120" s="1278"/>
      <c r="BZ120" s="1278"/>
      <c r="CA120" s="1278"/>
      <c r="CB120" s="1279"/>
    </row>
    <row r="121" spans="1:80" ht="3.95" customHeight="1" x14ac:dyDescent="0.25">
      <c r="A121" s="231"/>
      <c r="B121" s="1486"/>
      <c r="C121" s="1486"/>
      <c r="D121" s="1485"/>
      <c r="E121" s="1485"/>
      <c r="F121" s="1485"/>
      <c r="G121" s="1485"/>
      <c r="H121" s="1485"/>
      <c r="I121" s="1485"/>
      <c r="J121" s="1485"/>
      <c r="K121" s="1485"/>
      <c r="L121" s="1485"/>
      <c r="M121" s="1485"/>
      <c r="N121" s="1485"/>
      <c r="O121" s="1485"/>
      <c r="P121" s="1485"/>
      <c r="Q121" s="1485"/>
      <c r="R121" s="1573"/>
      <c r="S121" s="1573"/>
      <c r="T121" s="1573"/>
      <c r="U121" s="1486"/>
      <c r="V121" s="1486"/>
      <c r="W121" s="1486"/>
      <c r="X121" s="1486"/>
      <c r="Y121" s="1485"/>
      <c r="Z121" s="1485"/>
      <c r="AA121" s="1485"/>
      <c r="AB121" s="1485"/>
      <c r="AC121" s="1485"/>
      <c r="AD121" s="1485"/>
      <c r="AE121" s="1485"/>
      <c r="AF121" s="1485"/>
      <c r="AG121" s="1485"/>
      <c r="AH121" s="1485"/>
      <c r="AI121" s="1485"/>
      <c r="AJ121" s="1485"/>
      <c r="AK121" s="1485"/>
      <c r="AL121" s="1485"/>
      <c r="AM121" s="1573"/>
      <c r="AN121" s="1573"/>
      <c r="AO121" s="1573"/>
      <c r="AP121" s="1486"/>
      <c r="AQ121" s="1486"/>
      <c r="AR121" s="231"/>
      <c r="AT121" s="1280"/>
      <c r="AU121" s="1281"/>
      <c r="AV121" s="1281"/>
      <c r="AW121" s="1281"/>
      <c r="AX121" s="1281"/>
      <c r="AY121" s="1281"/>
      <c r="AZ121" s="1281"/>
      <c r="BA121" s="1281"/>
      <c r="BB121" s="1281"/>
      <c r="BC121" s="1281"/>
      <c r="BD121" s="1281"/>
      <c r="BE121" s="1281"/>
      <c r="BF121" s="1281"/>
      <c r="BG121" s="1281"/>
      <c r="BH121" s="1281"/>
      <c r="BI121" s="1281"/>
      <c r="BJ121" s="1281"/>
      <c r="BK121" s="1281"/>
      <c r="BL121" s="1281"/>
      <c r="BM121" s="1281"/>
      <c r="BN121" s="1281"/>
      <c r="BO121" s="1281"/>
      <c r="BP121" s="1281"/>
      <c r="BQ121" s="1281"/>
      <c r="BR121" s="1281"/>
      <c r="BS121" s="1281"/>
      <c r="BT121" s="1281"/>
      <c r="BU121" s="1281"/>
      <c r="BV121" s="1281"/>
      <c r="BW121" s="1281"/>
      <c r="BX121" s="1281"/>
      <c r="BY121" s="1281"/>
      <c r="BZ121" s="1281"/>
      <c r="CA121" s="1281"/>
      <c r="CB121" s="1282"/>
    </row>
    <row r="122" spans="1:80" ht="3.95" customHeight="1" x14ac:dyDescent="0.25">
      <c r="A122" s="231"/>
      <c r="B122" s="1486"/>
      <c r="C122" s="1486"/>
      <c r="D122" s="1485"/>
      <c r="E122" s="1485"/>
      <c r="F122" s="1485"/>
      <c r="G122" s="1485"/>
      <c r="H122" s="1485"/>
      <c r="I122" s="1485"/>
      <c r="J122" s="1485"/>
      <c r="K122" s="1485"/>
      <c r="L122" s="1485"/>
      <c r="M122" s="1485"/>
      <c r="N122" s="1485"/>
      <c r="O122" s="1485"/>
      <c r="P122" s="1485"/>
      <c r="Q122" s="1485"/>
      <c r="R122" s="1573"/>
      <c r="S122" s="1573"/>
      <c r="T122" s="1573"/>
      <c r="U122" s="1486"/>
      <c r="V122" s="1486"/>
      <c r="W122" s="1486"/>
      <c r="X122" s="1486"/>
      <c r="Y122" s="1485"/>
      <c r="Z122" s="1485"/>
      <c r="AA122" s="1485"/>
      <c r="AB122" s="1485"/>
      <c r="AC122" s="1485"/>
      <c r="AD122" s="1485"/>
      <c r="AE122" s="1485"/>
      <c r="AF122" s="1485"/>
      <c r="AG122" s="1485"/>
      <c r="AH122" s="1485"/>
      <c r="AI122" s="1485"/>
      <c r="AJ122" s="1485"/>
      <c r="AK122" s="1485"/>
      <c r="AL122" s="1485"/>
      <c r="AM122" s="1573"/>
      <c r="AN122" s="1573"/>
      <c r="AO122" s="1573"/>
      <c r="AP122" s="1486"/>
      <c r="AQ122" s="1486"/>
      <c r="AR122" s="231"/>
      <c r="AT122" s="1283"/>
      <c r="AU122" s="1284"/>
      <c r="AV122" s="1284"/>
      <c r="AW122" s="1284"/>
      <c r="AX122" s="1284"/>
      <c r="AY122" s="1284"/>
      <c r="AZ122" s="1284"/>
      <c r="BA122" s="1284"/>
      <c r="BB122" s="1284"/>
      <c r="BC122" s="1284"/>
      <c r="BD122" s="1284"/>
      <c r="BE122" s="1284"/>
      <c r="BF122" s="1284"/>
      <c r="BG122" s="1284"/>
      <c r="BH122" s="1284"/>
      <c r="BI122" s="1284"/>
      <c r="BJ122" s="1284"/>
      <c r="BK122" s="1284"/>
      <c r="BL122" s="1284"/>
      <c r="BM122" s="1284"/>
      <c r="BN122" s="1284"/>
      <c r="BO122" s="1284"/>
      <c r="BP122" s="1284"/>
      <c r="BQ122" s="1284"/>
      <c r="BR122" s="1284"/>
      <c r="BS122" s="1284"/>
      <c r="BT122" s="1284"/>
      <c r="BU122" s="1284"/>
      <c r="BV122" s="1284"/>
      <c r="BW122" s="1284"/>
      <c r="BX122" s="1284"/>
      <c r="BY122" s="1284"/>
      <c r="BZ122" s="1284"/>
      <c r="CA122" s="1284"/>
      <c r="CB122" s="1285"/>
    </row>
    <row r="123" spans="1:80" ht="3.75" customHeight="1" x14ac:dyDescent="0.25">
      <c r="A123" s="1264">
        <f>(B123*R123*U123)</f>
        <v>0</v>
      </c>
      <c r="B123" s="1482"/>
      <c r="C123" s="1271"/>
      <c r="D123" s="1274"/>
      <c r="E123" s="1274"/>
      <c r="F123" s="1274"/>
      <c r="G123" s="1274"/>
      <c r="H123" s="1274"/>
      <c r="I123" s="1274"/>
      <c r="J123" s="1274"/>
      <c r="K123" s="1274"/>
      <c r="L123" s="1274"/>
      <c r="M123" s="1274"/>
      <c r="N123" s="1274"/>
      <c r="O123" s="1274"/>
      <c r="P123" s="1274"/>
      <c r="Q123" s="1274"/>
      <c r="R123" s="1271"/>
      <c r="S123" s="1271"/>
      <c r="T123" s="1271"/>
      <c r="U123" s="1271"/>
      <c r="V123" s="1465"/>
      <c r="W123" s="1270"/>
      <c r="X123" s="1271"/>
      <c r="Y123" s="1274"/>
      <c r="Z123" s="1274"/>
      <c r="AA123" s="1274"/>
      <c r="AB123" s="1274"/>
      <c r="AC123" s="1274"/>
      <c r="AD123" s="1274"/>
      <c r="AE123" s="1274"/>
      <c r="AF123" s="1274"/>
      <c r="AG123" s="1274"/>
      <c r="AH123" s="1274"/>
      <c r="AI123" s="1274"/>
      <c r="AJ123" s="1274"/>
      <c r="AK123" s="1274"/>
      <c r="AL123" s="1274"/>
      <c r="AM123" s="1271"/>
      <c r="AN123" s="1271"/>
      <c r="AO123" s="1271"/>
      <c r="AP123" s="1271"/>
      <c r="AQ123" s="1465"/>
      <c r="AR123" s="1265">
        <f>(W123*AM123*AP123)</f>
        <v>0</v>
      </c>
      <c r="AT123" s="1283"/>
      <c r="AU123" s="1284"/>
      <c r="AV123" s="1284"/>
      <c r="AW123" s="1284"/>
      <c r="AX123" s="1284"/>
      <c r="AY123" s="1284"/>
      <c r="AZ123" s="1284"/>
      <c r="BA123" s="1284"/>
      <c r="BB123" s="1284"/>
      <c r="BC123" s="1284"/>
      <c r="BD123" s="1284"/>
      <c r="BE123" s="1284"/>
      <c r="BF123" s="1284"/>
      <c r="BG123" s="1284"/>
      <c r="BH123" s="1284"/>
      <c r="BI123" s="1284"/>
      <c r="BJ123" s="1284"/>
      <c r="BK123" s="1284"/>
      <c r="BL123" s="1284"/>
      <c r="BM123" s="1284"/>
      <c r="BN123" s="1284"/>
      <c r="BO123" s="1284"/>
      <c r="BP123" s="1284"/>
      <c r="BQ123" s="1284"/>
      <c r="BR123" s="1284"/>
      <c r="BS123" s="1284"/>
      <c r="BT123" s="1284"/>
      <c r="BU123" s="1284"/>
      <c r="BV123" s="1284"/>
      <c r="BW123" s="1284"/>
      <c r="BX123" s="1284"/>
      <c r="BY123" s="1284"/>
      <c r="BZ123" s="1284"/>
      <c r="CA123" s="1284"/>
      <c r="CB123" s="1285"/>
    </row>
    <row r="124" spans="1:80" ht="3.95" customHeight="1" x14ac:dyDescent="0.25">
      <c r="A124" s="1264"/>
      <c r="B124" s="1483"/>
      <c r="C124" s="1266"/>
      <c r="D124" s="1275"/>
      <c r="E124" s="1275"/>
      <c r="F124" s="1275"/>
      <c r="G124" s="1275"/>
      <c r="H124" s="1275"/>
      <c r="I124" s="1275"/>
      <c r="J124" s="1275"/>
      <c r="K124" s="1275"/>
      <c r="L124" s="1275"/>
      <c r="M124" s="1275"/>
      <c r="N124" s="1275"/>
      <c r="O124" s="1275"/>
      <c r="P124" s="1275"/>
      <c r="Q124" s="1275"/>
      <c r="R124" s="1266"/>
      <c r="S124" s="1266"/>
      <c r="T124" s="1266"/>
      <c r="U124" s="1266"/>
      <c r="V124" s="1268"/>
      <c r="W124" s="1272"/>
      <c r="X124" s="1266"/>
      <c r="Y124" s="1275"/>
      <c r="Z124" s="1275"/>
      <c r="AA124" s="1275"/>
      <c r="AB124" s="1275"/>
      <c r="AC124" s="1275"/>
      <c r="AD124" s="1275"/>
      <c r="AE124" s="1275"/>
      <c r="AF124" s="1275"/>
      <c r="AG124" s="1275"/>
      <c r="AH124" s="1275"/>
      <c r="AI124" s="1275"/>
      <c r="AJ124" s="1275"/>
      <c r="AK124" s="1275"/>
      <c r="AL124" s="1275"/>
      <c r="AM124" s="1266"/>
      <c r="AN124" s="1266"/>
      <c r="AO124" s="1266"/>
      <c r="AP124" s="1266"/>
      <c r="AQ124" s="1268"/>
      <c r="AR124" s="1265"/>
      <c r="AT124" s="1283"/>
      <c r="AU124" s="1284"/>
      <c r="AV124" s="1284"/>
      <c r="AW124" s="1284"/>
      <c r="AX124" s="1284"/>
      <c r="AY124" s="1284"/>
      <c r="AZ124" s="1284"/>
      <c r="BA124" s="1284"/>
      <c r="BB124" s="1284"/>
      <c r="BC124" s="1284"/>
      <c r="BD124" s="1284"/>
      <c r="BE124" s="1284"/>
      <c r="BF124" s="1284"/>
      <c r="BG124" s="1284"/>
      <c r="BH124" s="1284"/>
      <c r="BI124" s="1284"/>
      <c r="BJ124" s="1284"/>
      <c r="BK124" s="1284"/>
      <c r="BL124" s="1284"/>
      <c r="BM124" s="1284"/>
      <c r="BN124" s="1284"/>
      <c r="BO124" s="1284"/>
      <c r="BP124" s="1284"/>
      <c r="BQ124" s="1284"/>
      <c r="BR124" s="1284"/>
      <c r="BS124" s="1284"/>
      <c r="BT124" s="1284"/>
      <c r="BU124" s="1284"/>
      <c r="BV124" s="1284"/>
      <c r="BW124" s="1284"/>
      <c r="BX124" s="1284"/>
      <c r="BY124" s="1284"/>
      <c r="BZ124" s="1284"/>
      <c r="CA124" s="1284"/>
      <c r="CB124" s="1285"/>
    </row>
    <row r="125" spans="1:80" ht="3.95" customHeight="1" x14ac:dyDescent="0.25">
      <c r="A125" s="1264"/>
      <c r="B125" s="1483"/>
      <c r="C125" s="1266"/>
      <c r="D125" s="1275"/>
      <c r="E125" s="1275"/>
      <c r="F125" s="1275"/>
      <c r="G125" s="1275"/>
      <c r="H125" s="1275"/>
      <c r="I125" s="1275"/>
      <c r="J125" s="1275"/>
      <c r="K125" s="1275"/>
      <c r="L125" s="1275"/>
      <c r="M125" s="1275"/>
      <c r="N125" s="1275"/>
      <c r="O125" s="1275"/>
      <c r="P125" s="1275"/>
      <c r="Q125" s="1275"/>
      <c r="R125" s="1266"/>
      <c r="S125" s="1266"/>
      <c r="T125" s="1266"/>
      <c r="U125" s="1266"/>
      <c r="V125" s="1268"/>
      <c r="W125" s="1272"/>
      <c r="X125" s="1266"/>
      <c r="Y125" s="1275"/>
      <c r="Z125" s="1275"/>
      <c r="AA125" s="1275"/>
      <c r="AB125" s="1275"/>
      <c r="AC125" s="1275"/>
      <c r="AD125" s="1275"/>
      <c r="AE125" s="1275"/>
      <c r="AF125" s="1275"/>
      <c r="AG125" s="1275"/>
      <c r="AH125" s="1275"/>
      <c r="AI125" s="1275"/>
      <c r="AJ125" s="1275"/>
      <c r="AK125" s="1275"/>
      <c r="AL125" s="1275"/>
      <c r="AM125" s="1266"/>
      <c r="AN125" s="1266"/>
      <c r="AO125" s="1266"/>
      <c r="AP125" s="1266"/>
      <c r="AQ125" s="1268"/>
      <c r="AR125" s="1265"/>
      <c r="AT125" s="1283"/>
      <c r="AU125" s="1284"/>
      <c r="AV125" s="1284"/>
      <c r="AW125" s="1284"/>
      <c r="AX125" s="1284"/>
      <c r="AY125" s="1284"/>
      <c r="AZ125" s="1284"/>
      <c r="BA125" s="1284"/>
      <c r="BB125" s="1284"/>
      <c r="BC125" s="1284"/>
      <c r="BD125" s="1284"/>
      <c r="BE125" s="1284"/>
      <c r="BF125" s="1284"/>
      <c r="BG125" s="1284"/>
      <c r="BH125" s="1284"/>
      <c r="BI125" s="1284"/>
      <c r="BJ125" s="1284"/>
      <c r="BK125" s="1284"/>
      <c r="BL125" s="1284"/>
      <c r="BM125" s="1284"/>
      <c r="BN125" s="1284"/>
      <c r="BO125" s="1284"/>
      <c r="BP125" s="1284"/>
      <c r="BQ125" s="1284"/>
      <c r="BR125" s="1284"/>
      <c r="BS125" s="1284"/>
      <c r="BT125" s="1284"/>
      <c r="BU125" s="1284"/>
      <c r="BV125" s="1284"/>
      <c r="BW125" s="1284"/>
      <c r="BX125" s="1284"/>
      <c r="BY125" s="1284"/>
      <c r="BZ125" s="1284"/>
      <c r="CA125" s="1284"/>
      <c r="CB125" s="1285"/>
    </row>
    <row r="126" spans="1:80" ht="3.95" customHeight="1" x14ac:dyDescent="0.25">
      <c r="A126" s="1264">
        <f>(B126*R126*U126)</f>
        <v>0</v>
      </c>
      <c r="B126" s="1483"/>
      <c r="C126" s="1266"/>
      <c r="D126" s="1275"/>
      <c r="E126" s="1275"/>
      <c r="F126" s="1275"/>
      <c r="G126" s="1275"/>
      <c r="H126" s="1275"/>
      <c r="I126" s="1275"/>
      <c r="J126" s="1275"/>
      <c r="K126" s="1275"/>
      <c r="L126" s="1275"/>
      <c r="M126" s="1275"/>
      <c r="N126" s="1275"/>
      <c r="O126" s="1275"/>
      <c r="P126" s="1275"/>
      <c r="Q126" s="1275"/>
      <c r="R126" s="1266"/>
      <c r="S126" s="1266"/>
      <c r="T126" s="1266"/>
      <c r="U126" s="1266"/>
      <c r="V126" s="1268"/>
      <c r="W126" s="1272"/>
      <c r="X126" s="1266"/>
      <c r="Y126" s="1275"/>
      <c r="Z126" s="1275"/>
      <c r="AA126" s="1275"/>
      <c r="AB126" s="1275"/>
      <c r="AC126" s="1275"/>
      <c r="AD126" s="1275"/>
      <c r="AE126" s="1275"/>
      <c r="AF126" s="1275"/>
      <c r="AG126" s="1275"/>
      <c r="AH126" s="1275"/>
      <c r="AI126" s="1275"/>
      <c r="AJ126" s="1275"/>
      <c r="AK126" s="1275"/>
      <c r="AL126" s="1275"/>
      <c r="AM126" s="1266"/>
      <c r="AN126" s="1266"/>
      <c r="AO126" s="1266"/>
      <c r="AP126" s="1266"/>
      <c r="AQ126" s="1268"/>
      <c r="AR126" s="1265">
        <f>(W126*AM126*AP126)</f>
        <v>0</v>
      </c>
      <c r="AT126" s="1286"/>
      <c r="AU126" s="1287"/>
      <c r="AV126" s="1287"/>
      <c r="AW126" s="1287"/>
      <c r="AX126" s="1287"/>
      <c r="AY126" s="1287"/>
      <c r="AZ126" s="1287"/>
      <c r="BA126" s="1287"/>
      <c r="BB126" s="1287"/>
      <c r="BC126" s="1287"/>
      <c r="BD126" s="1287"/>
      <c r="BE126" s="1287"/>
      <c r="BF126" s="1287"/>
      <c r="BG126" s="1287"/>
      <c r="BH126" s="1287"/>
      <c r="BI126" s="1287"/>
      <c r="BJ126" s="1287"/>
      <c r="BK126" s="1287"/>
      <c r="BL126" s="1287"/>
      <c r="BM126" s="1287"/>
      <c r="BN126" s="1287"/>
      <c r="BO126" s="1287"/>
      <c r="BP126" s="1287"/>
      <c r="BQ126" s="1287"/>
      <c r="BR126" s="1287"/>
      <c r="BS126" s="1287"/>
      <c r="BT126" s="1287"/>
      <c r="BU126" s="1287"/>
      <c r="BV126" s="1287"/>
      <c r="BW126" s="1287"/>
      <c r="BX126" s="1287"/>
      <c r="BY126" s="1287"/>
      <c r="BZ126" s="1287"/>
      <c r="CA126" s="1287"/>
      <c r="CB126" s="1288"/>
    </row>
    <row r="127" spans="1:80" ht="3.95" customHeight="1" x14ac:dyDescent="0.25">
      <c r="A127" s="1264"/>
      <c r="B127" s="1483"/>
      <c r="C127" s="1266"/>
      <c r="D127" s="1275"/>
      <c r="E127" s="1275"/>
      <c r="F127" s="1275"/>
      <c r="G127" s="1275"/>
      <c r="H127" s="1275"/>
      <c r="I127" s="1275"/>
      <c r="J127" s="1275"/>
      <c r="K127" s="1275"/>
      <c r="L127" s="1275"/>
      <c r="M127" s="1275"/>
      <c r="N127" s="1275"/>
      <c r="O127" s="1275"/>
      <c r="P127" s="1275"/>
      <c r="Q127" s="1275"/>
      <c r="R127" s="1266"/>
      <c r="S127" s="1266"/>
      <c r="T127" s="1266"/>
      <c r="U127" s="1266"/>
      <c r="V127" s="1268"/>
      <c r="W127" s="1272"/>
      <c r="X127" s="1266"/>
      <c r="Y127" s="1275"/>
      <c r="Z127" s="1275"/>
      <c r="AA127" s="1275"/>
      <c r="AB127" s="1275"/>
      <c r="AC127" s="1275"/>
      <c r="AD127" s="1275"/>
      <c r="AE127" s="1275"/>
      <c r="AF127" s="1275"/>
      <c r="AG127" s="1275"/>
      <c r="AH127" s="1275"/>
      <c r="AI127" s="1275"/>
      <c r="AJ127" s="1275"/>
      <c r="AK127" s="1275"/>
      <c r="AL127" s="1275"/>
      <c r="AM127" s="1266"/>
      <c r="AN127" s="1266"/>
      <c r="AO127" s="1266"/>
      <c r="AP127" s="1266"/>
      <c r="AQ127" s="1268"/>
      <c r="AR127" s="1265"/>
      <c r="AT127" s="1289" t="s">
        <v>535</v>
      </c>
      <c r="AU127" s="1290"/>
      <c r="AV127" s="1290"/>
      <c r="AW127" s="1290"/>
      <c r="AX127" s="1290"/>
      <c r="AY127" s="1290"/>
      <c r="AZ127" s="1290"/>
      <c r="BA127" s="1290"/>
      <c r="BB127" s="1290"/>
      <c r="BC127" s="1290"/>
      <c r="BD127" s="1290"/>
      <c r="BE127" s="1290"/>
      <c r="BF127" s="1290"/>
      <c r="BG127" s="1290"/>
      <c r="BH127" s="1290"/>
      <c r="BI127" s="1290"/>
      <c r="BJ127" s="1290"/>
      <c r="BK127" s="1290"/>
      <c r="BL127" s="1290"/>
      <c r="BM127" s="1290"/>
      <c r="BN127" s="1290"/>
      <c r="BO127" s="1290"/>
      <c r="BP127" s="1290"/>
      <c r="BQ127" s="1290"/>
      <c r="BR127" s="1290"/>
      <c r="BS127" s="1290"/>
      <c r="BT127" s="1290"/>
      <c r="BU127" s="1290"/>
      <c r="BV127" s="1290"/>
      <c r="BW127" s="1290"/>
      <c r="BX127" s="1290"/>
      <c r="BY127" s="1290"/>
      <c r="BZ127" s="1290"/>
      <c r="CA127" s="1290"/>
      <c r="CB127" s="1291"/>
    </row>
    <row r="128" spans="1:80" ht="3.95" customHeight="1" x14ac:dyDescent="0.25">
      <c r="A128" s="1264"/>
      <c r="B128" s="1483"/>
      <c r="C128" s="1266"/>
      <c r="D128" s="1275"/>
      <c r="E128" s="1275"/>
      <c r="F128" s="1275"/>
      <c r="G128" s="1275"/>
      <c r="H128" s="1275"/>
      <c r="I128" s="1275"/>
      <c r="J128" s="1275"/>
      <c r="K128" s="1275"/>
      <c r="L128" s="1275"/>
      <c r="M128" s="1275"/>
      <c r="N128" s="1275"/>
      <c r="O128" s="1275"/>
      <c r="P128" s="1275"/>
      <c r="Q128" s="1275"/>
      <c r="R128" s="1266"/>
      <c r="S128" s="1266"/>
      <c r="T128" s="1266"/>
      <c r="U128" s="1266"/>
      <c r="V128" s="1268"/>
      <c r="W128" s="1272"/>
      <c r="X128" s="1266"/>
      <c r="Y128" s="1275"/>
      <c r="Z128" s="1275"/>
      <c r="AA128" s="1275"/>
      <c r="AB128" s="1275"/>
      <c r="AC128" s="1275"/>
      <c r="AD128" s="1275"/>
      <c r="AE128" s="1275"/>
      <c r="AF128" s="1275"/>
      <c r="AG128" s="1275"/>
      <c r="AH128" s="1275"/>
      <c r="AI128" s="1275"/>
      <c r="AJ128" s="1275"/>
      <c r="AK128" s="1275"/>
      <c r="AL128" s="1275"/>
      <c r="AM128" s="1266"/>
      <c r="AN128" s="1266"/>
      <c r="AO128" s="1266"/>
      <c r="AP128" s="1266"/>
      <c r="AQ128" s="1268"/>
      <c r="AR128" s="1265"/>
      <c r="AT128" s="1277"/>
      <c r="AU128" s="1278"/>
      <c r="AV128" s="1278"/>
      <c r="AW128" s="1278"/>
      <c r="AX128" s="1278"/>
      <c r="AY128" s="1278"/>
      <c r="AZ128" s="1278"/>
      <c r="BA128" s="1278"/>
      <c r="BB128" s="1278"/>
      <c r="BC128" s="1278"/>
      <c r="BD128" s="1278"/>
      <c r="BE128" s="1278"/>
      <c r="BF128" s="1278"/>
      <c r="BG128" s="1278"/>
      <c r="BH128" s="1278"/>
      <c r="BI128" s="1278"/>
      <c r="BJ128" s="1278"/>
      <c r="BK128" s="1278"/>
      <c r="BL128" s="1278"/>
      <c r="BM128" s="1278"/>
      <c r="BN128" s="1278"/>
      <c r="BO128" s="1278"/>
      <c r="BP128" s="1278"/>
      <c r="BQ128" s="1278"/>
      <c r="BR128" s="1278"/>
      <c r="BS128" s="1278"/>
      <c r="BT128" s="1278"/>
      <c r="BU128" s="1278"/>
      <c r="BV128" s="1278"/>
      <c r="BW128" s="1278"/>
      <c r="BX128" s="1278"/>
      <c r="BY128" s="1278"/>
      <c r="BZ128" s="1278"/>
      <c r="CA128" s="1278"/>
      <c r="CB128" s="1279"/>
    </row>
    <row r="129" spans="1:80" ht="3.95" customHeight="1" x14ac:dyDescent="0.25">
      <c r="A129" s="1264">
        <f>(B129*R129*U129)</f>
        <v>0</v>
      </c>
      <c r="B129" s="1483"/>
      <c r="C129" s="1266"/>
      <c r="D129" s="1275"/>
      <c r="E129" s="1275"/>
      <c r="F129" s="1275"/>
      <c r="G129" s="1275"/>
      <c r="H129" s="1275"/>
      <c r="I129" s="1275"/>
      <c r="J129" s="1275"/>
      <c r="K129" s="1275"/>
      <c r="L129" s="1275"/>
      <c r="M129" s="1275"/>
      <c r="N129" s="1275"/>
      <c r="O129" s="1275"/>
      <c r="P129" s="1275"/>
      <c r="Q129" s="1275"/>
      <c r="R129" s="1266"/>
      <c r="S129" s="1266"/>
      <c r="T129" s="1266"/>
      <c r="U129" s="1266"/>
      <c r="V129" s="1268"/>
      <c r="W129" s="1272"/>
      <c r="X129" s="1266"/>
      <c r="Y129" s="1275"/>
      <c r="Z129" s="1275"/>
      <c r="AA129" s="1275"/>
      <c r="AB129" s="1275"/>
      <c r="AC129" s="1275"/>
      <c r="AD129" s="1275"/>
      <c r="AE129" s="1275"/>
      <c r="AF129" s="1275"/>
      <c r="AG129" s="1275"/>
      <c r="AH129" s="1275"/>
      <c r="AI129" s="1275"/>
      <c r="AJ129" s="1275"/>
      <c r="AK129" s="1275"/>
      <c r="AL129" s="1275"/>
      <c r="AM129" s="1266"/>
      <c r="AN129" s="1266"/>
      <c r="AO129" s="1266"/>
      <c r="AP129" s="1266"/>
      <c r="AQ129" s="1268"/>
      <c r="AR129" s="1265">
        <f>(W129*AM129*AP129)</f>
        <v>0</v>
      </c>
      <c r="AT129" s="1292"/>
      <c r="AU129" s="1293"/>
      <c r="AV129" s="1293"/>
      <c r="AW129" s="1293"/>
      <c r="AX129" s="1293"/>
      <c r="AY129" s="1293"/>
      <c r="AZ129" s="1293"/>
      <c r="BA129" s="1293"/>
      <c r="BB129" s="1293"/>
      <c r="BC129" s="1293"/>
      <c r="BD129" s="1293"/>
      <c r="BE129" s="1293"/>
      <c r="BF129" s="1293"/>
      <c r="BG129" s="1293"/>
      <c r="BH129" s="1293"/>
      <c r="BI129" s="1293"/>
      <c r="BJ129" s="1293"/>
      <c r="BK129" s="1293"/>
      <c r="BL129" s="1293"/>
      <c r="BM129" s="1293"/>
      <c r="BN129" s="1293"/>
      <c r="BO129" s="1293"/>
      <c r="BP129" s="1293"/>
      <c r="BQ129" s="1293"/>
      <c r="BR129" s="1293"/>
      <c r="BS129" s="1293"/>
      <c r="BT129" s="1293"/>
      <c r="BU129" s="1293"/>
      <c r="BV129" s="1293"/>
      <c r="BW129" s="1293"/>
      <c r="BX129" s="1293"/>
      <c r="BY129" s="1293"/>
      <c r="BZ129" s="1293"/>
      <c r="CA129" s="1293"/>
      <c r="CB129" s="1294"/>
    </row>
    <row r="130" spans="1:80" ht="3.95" customHeight="1" x14ac:dyDescent="0.25">
      <c r="A130" s="1264"/>
      <c r="B130" s="1483"/>
      <c r="C130" s="1266"/>
      <c r="D130" s="1275"/>
      <c r="E130" s="1275"/>
      <c r="F130" s="1275"/>
      <c r="G130" s="1275"/>
      <c r="H130" s="1275"/>
      <c r="I130" s="1275"/>
      <c r="J130" s="1275"/>
      <c r="K130" s="1275"/>
      <c r="L130" s="1275"/>
      <c r="M130" s="1275"/>
      <c r="N130" s="1275"/>
      <c r="O130" s="1275"/>
      <c r="P130" s="1275"/>
      <c r="Q130" s="1275"/>
      <c r="R130" s="1266"/>
      <c r="S130" s="1266"/>
      <c r="T130" s="1266"/>
      <c r="U130" s="1266"/>
      <c r="V130" s="1268"/>
      <c r="W130" s="1272"/>
      <c r="X130" s="1266"/>
      <c r="Y130" s="1275"/>
      <c r="Z130" s="1275"/>
      <c r="AA130" s="1275"/>
      <c r="AB130" s="1275"/>
      <c r="AC130" s="1275"/>
      <c r="AD130" s="1275"/>
      <c r="AE130" s="1275"/>
      <c r="AF130" s="1275"/>
      <c r="AG130" s="1275"/>
      <c r="AH130" s="1275"/>
      <c r="AI130" s="1275"/>
      <c r="AJ130" s="1275"/>
      <c r="AK130" s="1275"/>
      <c r="AL130" s="1275"/>
      <c r="AM130" s="1266"/>
      <c r="AN130" s="1266"/>
      <c r="AO130" s="1266"/>
      <c r="AP130" s="1266"/>
      <c r="AQ130" s="1268"/>
      <c r="AR130" s="1265"/>
      <c r="AT130" s="1280"/>
      <c r="AU130" s="1281"/>
      <c r="AV130" s="1281"/>
      <c r="AW130" s="1281"/>
      <c r="AX130" s="1281"/>
      <c r="AY130" s="1281"/>
      <c r="AZ130" s="1281"/>
      <c r="BA130" s="1281"/>
      <c r="BB130" s="1281"/>
      <c r="BC130" s="1281"/>
      <c r="BD130" s="1281"/>
      <c r="BE130" s="1281"/>
      <c r="BF130" s="1281"/>
      <c r="BG130" s="1281"/>
      <c r="BH130" s="1281"/>
      <c r="BI130" s="1281"/>
      <c r="BJ130" s="1281"/>
      <c r="BK130" s="1281"/>
      <c r="BL130" s="1281"/>
      <c r="BM130" s="1281"/>
      <c r="BN130" s="1281"/>
      <c r="BO130" s="1281"/>
      <c r="BP130" s="1281"/>
      <c r="BQ130" s="1281"/>
      <c r="BR130" s="1281"/>
      <c r="BS130" s="1281"/>
      <c r="BT130" s="1281"/>
      <c r="BU130" s="1281"/>
      <c r="BV130" s="1281"/>
      <c r="BW130" s="1281"/>
      <c r="BX130" s="1281"/>
      <c r="BY130" s="1281"/>
      <c r="BZ130" s="1281"/>
      <c r="CA130" s="1281"/>
      <c r="CB130" s="1282"/>
    </row>
    <row r="131" spans="1:80" ht="3.95" customHeight="1" x14ac:dyDescent="0.25">
      <c r="A131" s="1264"/>
      <c r="B131" s="1483"/>
      <c r="C131" s="1266"/>
      <c r="D131" s="1275"/>
      <c r="E131" s="1275"/>
      <c r="F131" s="1275"/>
      <c r="G131" s="1275"/>
      <c r="H131" s="1275"/>
      <c r="I131" s="1275"/>
      <c r="J131" s="1275"/>
      <c r="K131" s="1275"/>
      <c r="L131" s="1275"/>
      <c r="M131" s="1275"/>
      <c r="N131" s="1275"/>
      <c r="O131" s="1275"/>
      <c r="P131" s="1275"/>
      <c r="Q131" s="1275"/>
      <c r="R131" s="1266"/>
      <c r="S131" s="1266"/>
      <c r="T131" s="1266"/>
      <c r="U131" s="1266"/>
      <c r="V131" s="1268"/>
      <c r="W131" s="1272"/>
      <c r="X131" s="1266"/>
      <c r="Y131" s="1275"/>
      <c r="Z131" s="1275"/>
      <c r="AA131" s="1275"/>
      <c r="AB131" s="1275"/>
      <c r="AC131" s="1275"/>
      <c r="AD131" s="1275"/>
      <c r="AE131" s="1275"/>
      <c r="AF131" s="1275"/>
      <c r="AG131" s="1275"/>
      <c r="AH131" s="1275"/>
      <c r="AI131" s="1275"/>
      <c r="AJ131" s="1275"/>
      <c r="AK131" s="1275"/>
      <c r="AL131" s="1275"/>
      <c r="AM131" s="1266"/>
      <c r="AN131" s="1266"/>
      <c r="AO131" s="1266"/>
      <c r="AP131" s="1266"/>
      <c r="AQ131" s="1268"/>
      <c r="AR131" s="1265"/>
      <c r="AT131" s="1283"/>
      <c r="AU131" s="1284"/>
      <c r="AV131" s="1284"/>
      <c r="AW131" s="1284"/>
      <c r="AX131" s="1284"/>
      <c r="AY131" s="1284"/>
      <c r="AZ131" s="1284"/>
      <c r="BA131" s="1284"/>
      <c r="BB131" s="1284"/>
      <c r="BC131" s="1284"/>
      <c r="BD131" s="1284"/>
      <c r="BE131" s="1284"/>
      <c r="BF131" s="1284"/>
      <c r="BG131" s="1284"/>
      <c r="BH131" s="1284"/>
      <c r="BI131" s="1284"/>
      <c r="BJ131" s="1284"/>
      <c r="BK131" s="1284"/>
      <c r="BL131" s="1284"/>
      <c r="BM131" s="1284"/>
      <c r="BN131" s="1284"/>
      <c r="BO131" s="1284"/>
      <c r="BP131" s="1284"/>
      <c r="BQ131" s="1284"/>
      <c r="BR131" s="1284"/>
      <c r="BS131" s="1284"/>
      <c r="BT131" s="1284"/>
      <c r="BU131" s="1284"/>
      <c r="BV131" s="1284"/>
      <c r="BW131" s="1284"/>
      <c r="BX131" s="1284"/>
      <c r="BY131" s="1284"/>
      <c r="BZ131" s="1284"/>
      <c r="CA131" s="1284"/>
      <c r="CB131" s="1285"/>
    </row>
    <row r="132" spans="1:80" ht="3.95" customHeight="1" x14ac:dyDescent="0.25">
      <c r="A132" s="1264">
        <f>(B132*R132*U132)</f>
        <v>0</v>
      </c>
      <c r="B132" s="1483"/>
      <c r="C132" s="1266"/>
      <c r="D132" s="1275"/>
      <c r="E132" s="1275"/>
      <c r="F132" s="1275"/>
      <c r="G132" s="1275"/>
      <c r="H132" s="1275"/>
      <c r="I132" s="1275"/>
      <c r="J132" s="1275"/>
      <c r="K132" s="1275"/>
      <c r="L132" s="1275"/>
      <c r="M132" s="1275"/>
      <c r="N132" s="1275"/>
      <c r="O132" s="1275"/>
      <c r="P132" s="1275"/>
      <c r="Q132" s="1275"/>
      <c r="R132" s="1266"/>
      <c r="S132" s="1266"/>
      <c r="T132" s="1266"/>
      <c r="U132" s="1266"/>
      <c r="V132" s="1268"/>
      <c r="W132" s="1272"/>
      <c r="X132" s="1266"/>
      <c r="Y132" s="1275"/>
      <c r="Z132" s="1275"/>
      <c r="AA132" s="1275"/>
      <c r="AB132" s="1275"/>
      <c r="AC132" s="1275"/>
      <c r="AD132" s="1275"/>
      <c r="AE132" s="1275"/>
      <c r="AF132" s="1275"/>
      <c r="AG132" s="1275"/>
      <c r="AH132" s="1275"/>
      <c r="AI132" s="1275"/>
      <c r="AJ132" s="1275"/>
      <c r="AK132" s="1275"/>
      <c r="AL132" s="1275"/>
      <c r="AM132" s="1266"/>
      <c r="AN132" s="1266"/>
      <c r="AO132" s="1266"/>
      <c r="AP132" s="1266"/>
      <c r="AQ132" s="1268"/>
      <c r="AR132" s="1265">
        <f>(W132*AM132*AP132)</f>
        <v>0</v>
      </c>
      <c r="AT132" s="1283"/>
      <c r="AU132" s="1284"/>
      <c r="AV132" s="1284"/>
      <c r="AW132" s="1284"/>
      <c r="AX132" s="1284"/>
      <c r="AY132" s="1284"/>
      <c r="AZ132" s="1284"/>
      <c r="BA132" s="1284"/>
      <c r="BB132" s="1284"/>
      <c r="BC132" s="1284"/>
      <c r="BD132" s="1284"/>
      <c r="BE132" s="1284"/>
      <c r="BF132" s="1284"/>
      <c r="BG132" s="1284"/>
      <c r="BH132" s="1284"/>
      <c r="BI132" s="1284"/>
      <c r="BJ132" s="1284"/>
      <c r="BK132" s="1284"/>
      <c r="BL132" s="1284"/>
      <c r="BM132" s="1284"/>
      <c r="BN132" s="1284"/>
      <c r="BO132" s="1284"/>
      <c r="BP132" s="1284"/>
      <c r="BQ132" s="1284"/>
      <c r="BR132" s="1284"/>
      <c r="BS132" s="1284"/>
      <c r="BT132" s="1284"/>
      <c r="BU132" s="1284"/>
      <c r="BV132" s="1284"/>
      <c r="BW132" s="1284"/>
      <c r="BX132" s="1284"/>
      <c r="BY132" s="1284"/>
      <c r="BZ132" s="1284"/>
      <c r="CA132" s="1284"/>
      <c r="CB132" s="1285"/>
    </row>
    <row r="133" spans="1:80" ht="3.95" customHeight="1" x14ac:dyDescent="0.25">
      <c r="A133" s="1264"/>
      <c r="B133" s="1483"/>
      <c r="C133" s="1266"/>
      <c r="D133" s="1275"/>
      <c r="E133" s="1275"/>
      <c r="F133" s="1275"/>
      <c r="G133" s="1275"/>
      <c r="H133" s="1275"/>
      <c r="I133" s="1275"/>
      <c r="J133" s="1275"/>
      <c r="K133" s="1275"/>
      <c r="L133" s="1275"/>
      <c r="M133" s="1275"/>
      <c r="N133" s="1275"/>
      <c r="O133" s="1275"/>
      <c r="P133" s="1275"/>
      <c r="Q133" s="1275"/>
      <c r="R133" s="1266"/>
      <c r="S133" s="1266"/>
      <c r="T133" s="1266"/>
      <c r="U133" s="1266"/>
      <c r="V133" s="1268"/>
      <c r="W133" s="1272"/>
      <c r="X133" s="1266"/>
      <c r="Y133" s="1275"/>
      <c r="Z133" s="1275"/>
      <c r="AA133" s="1275"/>
      <c r="AB133" s="1275"/>
      <c r="AC133" s="1275"/>
      <c r="AD133" s="1275"/>
      <c r="AE133" s="1275"/>
      <c r="AF133" s="1275"/>
      <c r="AG133" s="1275"/>
      <c r="AH133" s="1275"/>
      <c r="AI133" s="1275"/>
      <c r="AJ133" s="1275"/>
      <c r="AK133" s="1275"/>
      <c r="AL133" s="1275"/>
      <c r="AM133" s="1266"/>
      <c r="AN133" s="1266"/>
      <c r="AO133" s="1266"/>
      <c r="AP133" s="1266"/>
      <c r="AQ133" s="1268"/>
      <c r="AR133" s="1265"/>
      <c r="AT133" s="1283"/>
      <c r="AU133" s="1284"/>
      <c r="AV133" s="1284"/>
      <c r="AW133" s="1284"/>
      <c r="AX133" s="1284"/>
      <c r="AY133" s="1284"/>
      <c r="AZ133" s="1284"/>
      <c r="BA133" s="1284"/>
      <c r="BB133" s="1284"/>
      <c r="BC133" s="1284"/>
      <c r="BD133" s="1284"/>
      <c r="BE133" s="1284"/>
      <c r="BF133" s="1284"/>
      <c r="BG133" s="1284"/>
      <c r="BH133" s="1284"/>
      <c r="BI133" s="1284"/>
      <c r="BJ133" s="1284"/>
      <c r="BK133" s="1284"/>
      <c r="BL133" s="1284"/>
      <c r="BM133" s="1284"/>
      <c r="BN133" s="1284"/>
      <c r="BO133" s="1284"/>
      <c r="BP133" s="1284"/>
      <c r="BQ133" s="1284"/>
      <c r="BR133" s="1284"/>
      <c r="BS133" s="1284"/>
      <c r="BT133" s="1284"/>
      <c r="BU133" s="1284"/>
      <c r="BV133" s="1284"/>
      <c r="BW133" s="1284"/>
      <c r="BX133" s="1284"/>
      <c r="BY133" s="1284"/>
      <c r="BZ133" s="1284"/>
      <c r="CA133" s="1284"/>
      <c r="CB133" s="1285"/>
    </row>
    <row r="134" spans="1:80" ht="3.95" customHeight="1" x14ac:dyDescent="0.25">
      <c r="A134" s="1264"/>
      <c r="B134" s="1483"/>
      <c r="C134" s="1266"/>
      <c r="D134" s="1275"/>
      <c r="E134" s="1275"/>
      <c r="F134" s="1275"/>
      <c r="G134" s="1275"/>
      <c r="H134" s="1275"/>
      <c r="I134" s="1275"/>
      <c r="J134" s="1275"/>
      <c r="K134" s="1275"/>
      <c r="L134" s="1275"/>
      <c r="M134" s="1275"/>
      <c r="N134" s="1275"/>
      <c r="O134" s="1275"/>
      <c r="P134" s="1275"/>
      <c r="Q134" s="1275"/>
      <c r="R134" s="1266"/>
      <c r="S134" s="1266"/>
      <c r="T134" s="1266"/>
      <c r="U134" s="1266"/>
      <c r="V134" s="1268"/>
      <c r="W134" s="1272"/>
      <c r="X134" s="1266"/>
      <c r="Y134" s="1275"/>
      <c r="Z134" s="1275"/>
      <c r="AA134" s="1275"/>
      <c r="AB134" s="1275"/>
      <c r="AC134" s="1275"/>
      <c r="AD134" s="1275"/>
      <c r="AE134" s="1275"/>
      <c r="AF134" s="1275"/>
      <c r="AG134" s="1275"/>
      <c r="AH134" s="1275"/>
      <c r="AI134" s="1275"/>
      <c r="AJ134" s="1275"/>
      <c r="AK134" s="1275"/>
      <c r="AL134" s="1275"/>
      <c r="AM134" s="1266"/>
      <c r="AN134" s="1266"/>
      <c r="AO134" s="1266"/>
      <c r="AP134" s="1266"/>
      <c r="AQ134" s="1268"/>
      <c r="AR134" s="1265"/>
      <c r="AT134" s="1283"/>
      <c r="AU134" s="1284"/>
      <c r="AV134" s="1284"/>
      <c r="AW134" s="1284"/>
      <c r="AX134" s="1284"/>
      <c r="AY134" s="1284"/>
      <c r="AZ134" s="1284"/>
      <c r="BA134" s="1284"/>
      <c r="BB134" s="1284"/>
      <c r="BC134" s="1284"/>
      <c r="BD134" s="1284"/>
      <c r="BE134" s="1284"/>
      <c r="BF134" s="1284"/>
      <c r="BG134" s="1284"/>
      <c r="BH134" s="1284"/>
      <c r="BI134" s="1284"/>
      <c r="BJ134" s="1284"/>
      <c r="BK134" s="1284"/>
      <c r="BL134" s="1284"/>
      <c r="BM134" s="1284"/>
      <c r="BN134" s="1284"/>
      <c r="BO134" s="1284"/>
      <c r="BP134" s="1284"/>
      <c r="BQ134" s="1284"/>
      <c r="BR134" s="1284"/>
      <c r="BS134" s="1284"/>
      <c r="BT134" s="1284"/>
      <c r="BU134" s="1284"/>
      <c r="BV134" s="1284"/>
      <c r="BW134" s="1284"/>
      <c r="BX134" s="1284"/>
      <c r="BY134" s="1284"/>
      <c r="BZ134" s="1284"/>
      <c r="CA134" s="1284"/>
      <c r="CB134" s="1285"/>
    </row>
    <row r="135" spans="1:80" ht="3.95" customHeight="1" x14ac:dyDescent="0.25">
      <c r="A135" s="1264">
        <f>(B135*R135*U135)</f>
        <v>0</v>
      </c>
      <c r="B135" s="1483"/>
      <c r="C135" s="1266"/>
      <c r="D135" s="1275"/>
      <c r="E135" s="1275"/>
      <c r="F135" s="1275"/>
      <c r="G135" s="1275"/>
      <c r="H135" s="1275"/>
      <c r="I135" s="1275"/>
      <c r="J135" s="1275"/>
      <c r="K135" s="1275"/>
      <c r="L135" s="1275"/>
      <c r="M135" s="1275"/>
      <c r="N135" s="1275"/>
      <c r="O135" s="1275"/>
      <c r="P135" s="1275"/>
      <c r="Q135" s="1275"/>
      <c r="R135" s="1266"/>
      <c r="S135" s="1266"/>
      <c r="T135" s="1266"/>
      <c r="U135" s="1266"/>
      <c r="V135" s="1268"/>
      <c r="W135" s="1272"/>
      <c r="X135" s="1266"/>
      <c r="Y135" s="1275"/>
      <c r="Z135" s="1275"/>
      <c r="AA135" s="1275"/>
      <c r="AB135" s="1275"/>
      <c r="AC135" s="1275"/>
      <c r="AD135" s="1275"/>
      <c r="AE135" s="1275"/>
      <c r="AF135" s="1275"/>
      <c r="AG135" s="1275"/>
      <c r="AH135" s="1275"/>
      <c r="AI135" s="1275"/>
      <c r="AJ135" s="1275"/>
      <c r="AK135" s="1275"/>
      <c r="AL135" s="1275"/>
      <c r="AM135" s="1266"/>
      <c r="AN135" s="1266"/>
      <c r="AO135" s="1266"/>
      <c r="AP135" s="1266"/>
      <c r="AQ135" s="1268"/>
      <c r="AR135" s="1265">
        <f>(W135*AM135*AP135)</f>
        <v>0</v>
      </c>
      <c r="AT135" s="1283"/>
      <c r="AU135" s="1284"/>
      <c r="AV135" s="1284"/>
      <c r="AW135" s="1284"/>
      <c r="AX135" s="1284"/>
      <c r="AY135" s="1284"/>
      <c r="AZ135" s="1284"/>
      <c r="BA135" s="1284"/>
      <c r="BB135" s="1284"/>
      <c r="BC135" s="1284"/>
      <c r="BD135" s="1284"/>
      <c r="BE135" s="1284"/>
      <c r="BF135" s="1284"/>
      <c r="BG135" s="1284"/>
      <c r="BH135" s="1284"/>
      <c r="BI135" s="1284"/>
      <c r="BJ135" s="1284"/>
      <c r="BK135" s="1284"/>
      <c r="BL135" s="1284"/>
      <c r="BM135" s="1284"/>
      <c r="BN135" s="1284"/>
      <c r="BO135" s="1284"/>
      <c r="BP135" s="1284"/>
      <c r="BQ135" s="1284"/>
      <c r="BR135" s="1284"/>
      <c r="BS135" s="1284"/>
      <c r="BT135" s="1284"/>
      <c r="BU135" s="1284"/>
      <c r="BV135" s="1284"/>
      <c r="BW135" s="1284"/>
      <c r="BX135" s="1284"/>
      <c r="BY135" s="1284"/>
      <c r="BZ135" s="1284"/>
      <c r="CA135" s="1284"/>
      <c r="CB135" s="1285"/>
    </row>
    <row r="136" spans="1:80" ht="3.95" customHeight="1" x14ac:dyDescent="0.25">
      <c r="A136" s="1264"/>
      <c r="B136" s="1483"/>
      <c r="C136" s="1266"/>
      <c r="D136" s="1275"/>
      <c r="E136" s="1275"/>
      <c r="F136" s="1275"/>
      <c r="G136" s="1275"/>
      <c r="H136" s="1275"/>
      <c r="I136" s="1275"/>
      <c r="J136" s="1275"/>
      <c r="K136" s="1275"/>
      <c r="L136" s="1275"/>
      <c r="M136" s="1275"/>
      <c r="N136" s="1275"/>
      <c r="O136" s="1275"/>
      <c r="P136" s="1275"/>
      <c r="Q136" s="1275"/>
      <c r="R136" s="1266"/>
      <c r="S136" s="1266"/>
      <c r="T136" s="1266"/>
      <c r="U136" s="1266"/>
      <c r="V136" s="1268"/>
      <c r="W136" s="1272"/>
      <c r="X136" s="1266"/>
      <c r="Y136" s="1275"/>
      <c r="Z136" s="1275"/>
      <c r="AA136" s="1275"/>
      <c r="AB136" s="1275"/>
      <c r="AC136" s="1275"/>
      <c r="AD136" s="1275"/>
      <c r="AE136" s="1275"/>
      <c r="AF136" s="1275"/>
      <c r="AG136" s="1275"/>
      <c r="AH136" s="1275"/>
      <c r="AI136" s="1275"/>
      <c r="AJ136" s="1275"/>
      <c r="AK136" s="1275"/>
      <c r="AL136" s="1275"/>
      <c r="AM136" s="1266"/>
      <c r="AN136" s="1266"/>
      <c r="AO136" s="1266"/>
      <c r="AP136" s="1266"/>
      <c r="AQ136" s="1268"/>
      <c r="AR136" s="1265"/>
      <c r="AT136" s="1283"/>
      <c r="AU136" s="1284"/>
      <c r="AV136" s="1284"/>
      <c r="AW136" s="1284"/>
      <c r="AX136" s="1284"/>
      <c r="AY136" s="1284"/>
      <c r="AZ136" s="1284"/>
      <c r="BA136" s="1284"/>
      <c r="BB136" s="1284"/>
      <c r="BC136" s="1284"/>
      <c r="BD136" s="1284"/>
      <c r="BE136" s="1284"/>
      <c r="BF136" s="1284"/>
      <c r="BG136" s="1284"/>
      <c r="BH136" s="1284"/>
      <c r="BI136" s="1284"/>
      <c r="BJ136" s="1284"/>
      <c r="BK136" s="1284"/>
      <c r="BL136" s="1284"/>
      <c r="BM136" s="1284"/>
      <c r="BN136" s="1284"/>
      <c r="BO136" s="1284"/>
      <c r="BP136" s="1284"/>
      <c r="BQ136" s="1284"/>
      <c r="BR136" s="1284"/>
      <c r="BS136" s="1284"/>
      <c r="BT136" s="1284"/>
      <c r="BU136" s="1284"/>
      <c r="BV136" s="1284"/>
      <c r="BW136" s="1284"/>
      <c r="BX136" s="1284"/>
      <c r="BY136" s="1284"/>
      <c r="BZ136" s="1284"/>
      <c r="CA136" s="1284"/>
      <c r="CB136" s="1285"/>
    </row>
    <row r="137" spans="1:80" ht="3.95" customHeight="1" x14ac:dyDescent="0.25">
      <c r="A137" s="1264"/>
      <c r="B137" s="1484"/>
      <c r="C137" s="1267"/>
      <c r="D137" s="1276"/>
      <c r="E137" s="1276"/>
      <c r="F137" s="1276"/>
      <c r="G137" s="1276"/>
      <c r="H137" s="1276"/>
      <c r="I137" s="1276"/>
      <c r="J137" s="1276"/>
      <c r="K137" s="1276"/>
      <c r="L137" s="1276"/>
      <c r="M137" s="1276"/>
      <c r="N137" s="1276"/>
      <c r="O137" s="1276"/>
      <c r="P137" s="1276"/>
      <c r="Q137" s="1276"/>
      <c r="R137" s="1267"/>
      <c r="S137" s="1267"/>
      <c r="T137" s="1267"/>
      <c r="U137" s="1267"/>
      <c r="V137" s="1269"/>
      <c r="W137" s="1273"/>
      <c r="X137" s="1267"/>
      <c r="Y137" s="1276"/>
      <c r="Z137" s="1276"/>
      <c r="AA137" s="1276"/>
      <c r="AB137" s="1276"/>
      <c r="AC137" s="1276"/>
      <c r="AD137" s="1276"/>
      <c r="AE137" s="1276"/>
      <c r="AF137" s="1276"/>
      <c r="AG137" s="1276"/>
      <c r="AH137" s="1276"/>
      <c r="AI137" s="1276"/>
      <c r="AJ137" s="1276"/>
      <c r="AK137" s="1276"/>
      <c r="AL137" s="1276"/>
      <c r="AM137" s="1267"/>
      <c r="AN137" s="1267"/>
      <c r="AO137" s="1267"/>
      <c r="AP137" s="1267"/>
      <c r="AQ137" s="1269"/>
      <c r="AR137" s="1265"/>
      <c r="AT137" s="1295"/>
      <c r="AU137" s="1296"/>
      <c r="AV137" s="1296"/>
      <c r="AW137" s="1296"/>
      <c r="AX137" s="1296"/>
      <c r="AY137" s="1296"/>
      <c r="AZ137" s="1296"/>
      <c r="BA137" s="1296"/>
      <c r="BB137" s="1296"/>
      <c r="BC137" s="1296"/>
      <c r="BD137" s="1296"/>
      <c r="BE137" s="1296"/>
      <c r="BF137" s="1296"/>
      <c r="BG137" s="1296"/>
      <c r="BH137" s="1296"/>
      <c r="BI137" s="1296"/>
      <c r="BJ137" s="1296"/>
      <c r="BK137" s="1296"/>
      <c r="BL137" s="1296"/>
      <c r="BM137" s="1296"/>
      <c r="BN137" s="1296"/>
      <c r="BO137" s="1296"/>
      <c r="BP137" s="1296"/>
      <c r="BQ137" s="1296"/>
      <c r="BR137" s="1296"/>
      <c r="BS137" s="1296"/>
      <c r="BT137" s="1296"/>
      <c r="BU137" s="1296"/>
      <c r="BV137" s="1296"/>
      <c r="BW137" s="1296"/>
      <c r="BX137" s="1296"/>
      <c r="BY137" s="1296"/>
      <c r="BZ137" s="1296"/>
      <c r="CA137" s="1296"/>
      <c r="CB137" s="1297"/>
    </row>
    <row r="138" spans="1:80" ht="3.95" customHeight="1" x14ac:dyDescent="0.25">
      <c r="A138" s="231"/>
      <c r="B138" s="1251" t="s">
        <v>571</v>
      </c>
      <c r="C138" s="1252"/>
      <c r="D138" s="1252"/>
      <c r="E138" s="1252"/>
      <c r="F138" s="1252"/>
      <c r="G138" s="1252"/>
      <c r="H138" s="1252"/>
      <c r="I138" s="1252"/>
      <c r="J138" s="1252"/>
      <c r="K138" s="1252"/>
      <c r="L138" s="1252"/>
      <c r="M138" s="1252"/>
      <c r="N138" s="1252"/>
      <c r="O138" s="1252"/>
      <c r="P138" s="1252"/>
      <c r="Q138" s="1252"/>
      <c r="R138" s="1252"/>
      <c r="S138" s="1252"/>
      <c r="T138" s="1252"/>
      <c r="U138" s="1252"/>
      <c r="V138" s="1252"/>
      <c r="W138" s="1252"/>
      <c r="X138" s="1252"/>
      <c r="Y138" s="1252"/>
      <c r="Z138" s="1252"/>
      <c r="AA138" s="1252"/>
      <c r="AB138" s="1252"/>
      <c r="AC138" s="1252"/>
      <c r="AD138" s="1252"/>
      <c r="AE138" s="1252"/>
      <c r="AF138" s="1252"/>
      <c r="AG138" s="1252"/>
      <c r="AH138" s="1252"/>
      <c r="AI138" s="1252"/>
      <c r="AJ138" s="1252"/>
      <c r="AK138" s="1252"/>
      <c r="AL138" s="1252"/>
      <c r="AM138" s="1252"/>
      <c r="AN138" s="1252"/>
      <c r="AO138" s="1252"/>
      <c r="AP138" s="1252"/>
      <c r="AQ138" s="1252"/>
      <c r="AR138" s="1250">
        <f>SUM(A123:A137,AR123:AR137)</f>
        <v>0</v>
      </c>
      <c r="AT138" s="262"/>
      <c r="AU138" s="262"/>
      <c r="AV138" s="262"/>
      <c r="AW138" s="262"/>
      <c r="AX138" s="262"/>
      <c r="AY138" s="262"/>
      <c r="AZ138" s="262"/>
      <c r="BA138" s="262"/>
      <c r="BB138" s="262"/>
      <c r="BC138" s="262"/>
      <c r="BD138" s="262"/>
      <c r="BE138" s="262"/>
      <c r="BF138" s="262"/>
      <c r="BG138" s="262"/>
      <c r="BH138" s="1298" t="s">
        <v>961</v>
      </c>
      <c r="BI138" s="1298"/>
      <c r="BJ138" s="1298"/>
      <c r="BK138" s="1298"/>
      <c r="BL138" s="1298"/>
      <c r="BM138" s="1298"/>
      <c r="BN138" s="1298"/>
      <c r="BO138" s="1298"/>
      <c r="BP138" s="1298"/>
      <c r="BQ138" s="1298"/>
      <c r="BR138" s="1298"/>
      <c r="BS138" s="1298"/>
      <c r="BT138" s="1298"/>
      <c r="BU138" s="1298"/>
      <c r="BV138" s="1298"/>
      <c r="BW138" s="1298"/>
      <c r="BX138" s="1298"/>
      <c r="BY138" s="1298"/>
      <c r="BZ138" s="1298"/>
      <c r="CA138" s="1298"/>
      <c r="CB138" s="1298"/>
    </row>
    <row r="139" spans="1:80" ht="3.95" customHeight="1" x14ac:dyDescent="0.25">
      <c r="A139" s="231"/>
      <c r="B139" s="1253"/>
      <c r="C139" s="1253"/>
      <c r="D139" s="1253"/>
      <c r="E139" s="1253"/>
      <c r="F139" s="1253"/>
      <c r="G139" s="1253"/>
      <c r="H139" s="1253"/>
      <c r="I139" s="1253"/>
      <c r="J139" s="1253"/>
      <c r="K139" s="1253"/>
      <c r="L139" s="1253"/>
      <c r="M139" s="1253"/>
      <c r="N139" s="1253"/>
      <c r="O139" s="1253"/>
      <c r="P139" s="1253"/>
      <c r="Q139" s="1253"/>
      <c r="R139" s="1253"/>
      <c r="S139" s="1253"/>
      <c r="T139" s="1253"/>
      <c r="U139" s="1253"/>
      <c r="V139" s="1253"/>
      <c r="W139" s="1253"/>
      <c r="X139" s="1253"/>
      <c r="Y139" s="1253"/>
      <c r="Z139" s="1253"/>
      <c r="AA139" s="1253"/>
      <c r="AB139" s="1253"/>
      <c r="AC139" s="1253"/>
      <c r="AD139" s="1253"/>
      <c r="AE139" s="1253"/>
      <c r="AF139" s="1253"/>
      <c r="AG139" s="1253"/>
      <c r="AH139" s="1253"/>
      <c r="AI139" s="1253"/>
      <c r="AJ139" s="1253"/>
      <c r="AK139" s="1253"/>
      <c r="AL139" s="1253"/>
      <c r="AM139" s="1253"/>
      <c r="AN139" s="1253"/>
      <c r="AO139" s="1253"/>
      <c r="AP139" s="1253"/>
      <c r="AQ139" s="1253"/>
      <c r="AR139" s="1250"/>
      <c r="AT139" s="263"/>
      <c r="AU139" s="263"/>
      <c r="AV139" s="263"/>
      <c r="AW139" s="263"/>
      <c r="AX139" s="263"/>
      <c r="AY139" s="263"/>
      <c r="AZ139" s="263"/>
      <c r="BA139" s="263"/>
      <c r="BB139" s="263"/>
      <c r="BC139" s="263"/>
      <c r="BD139" s="263"/>
      <c r="BE139" s="263"/>
      <c r="BF139" s="263"/>
      <c r="BG139" s="263"/>
      <c r="BH139" s="1299"/>
      <c r="BI139" s="1299"/>
      <c r="BJ139" s="1299"/>
      <c r="BK139" s="1299"/>
      <c r="BL139" s="1299"/>
      <c r="BM139" s="1299"/>
      <c r="BN139" s="1299"/>
      <c r="BO139" s="1299"/>
      <c r="BP139" s="1299"/>
      <c r="BQ139" s="1299"/>
      <c r="BR139" s="1299"/>
      <c r="BS139" s="1299"/>
      <c r="BT139" s="1299"/>
      <c r="BU139" s="1299"/>
      <c r="BV139" s="1299"/>
      <c r="BW139" s="1299"/>
      <c r="BX139" s="1299"/>
      <c r="BY139" s="1299"/>
      <c r="BZ139" s="1299"/>
      <c r="CA139" s="1299"/>
      <c r="CB139" s="1299"/>
    </row>
    <row r="140" spans="1:80" ht="3.95" customHeight="1" x14ac:dyDescent="0.25">
      <c r="A140" s="231"/>
      <c r="B140" s="1253"/>
      <c r="C140" s="1253"/>
      <c r="D140" s="1253"/>
      <c r="E140" s="1253"/>
      <c r="F140" s="1253"/>
      <c r="G140" s="1253"/>
      <c r="H140" s="1253"/>
      <c r="I140" s="1253"/>
      <c r="J140" s="1253"/>
      <c r="K140" s="1253"/>
      <c r="L140" s="1253"/>
      <c r="M140" s="1253"/>
      <c r="N140" s="1253"/>
      <c r="O140" s="1253"/>
      <c r="P140" s="1253"/>
      <c r="Q140" s="1253"/>
      <c r="R140" s="1253"/>
      <c r="S140" s="1253"/>
      <c r="T140" s="1253"/>
      <c r="U140" s="1253"/>
      <c r="V140" s="1253"/>
      <c r="W140" s="1253"/>
      <c r="X140" s="1253"/>
      <c r="Y140" s="1253"/>
      <c r="Z140" s="1253"/>
      <c r="AA140" s="1253"/>
      <c r="AB140" s="1253"/>
      <c r="AC140" s="1253"/>
      <c r="AD140" s="1253"/>
      <c r="AE140" s="1253"/>
      <c r="AF140" s="1253"/>
      <c r="AG140" s="1253"/>
      <c r="AH140" s="1253"/>
      <c r="AI140" s="1253"/>
      <c r="AJ140" s="1253"/>
      <c r="AK140" s="1253"/>
      <c r="AL140" s="1253"/>
      <c r="AM140" s="1253"/>
      <c r="AN140" s="1253"/>
      <c r="AO140" s="1253"/>
      <c r="AP140" s="1253"/>
      <c r="AQ140" s="1253"/>
      <c r="AR140" s="1250"/>
      <c r="AT140" s="263"/>
      <c r="AU140" s="263"/>
      <c r="AV140" s="263"/>
      <c r="AW140" s="263"/>
      <c r="AX140" s="263"/>
      <c r="AY140" s="263"/>
      <c r="AZ140" s="263"/>
      <c r="BA140" s="263"/>
      <c r="BB140" s="263"/>
      <c r="BC140" s="263"/>
      <c r="BD140" s="263"/>
      <c r="BE140" s="263"/>
      <c r="BF140" s="263"/>
      <c r="BG140" s="263"/>
      <c r="BH140" s="1299"/>
      <c r="BI140" s="1299"/>
      <c r="BJ140" s="1299"/>
      <c r="BK140" s="1299"/>
      <c r="BL140" s="1299"/>
      <c r="BM140" s="1299"/>
      <c r="BN140" s="1299"/>
      <c r="BO140" s="1299"/>
      <c r="BP140" s="1299"/>
      <c r="BQ140" s="1299"/>
      <c r="BR140" s="1299"/>
      <c r="BS140" s="1299"/>
      <c r="BT140" s="1299"/>
      <c r="BU140" s="1299"/>
      <c r="BV140" s="1299"/>
      <c r="BW140" s="1299"/>
      <c r="BX140" s="1299"/>
      <c r="BY140" s="1299"/>
      <c r="BZ140" s="1299"/>
      <c r="CA140" s="1299"/>
      <c r="CB140" s="1299"/>
    </row>
    <row r="141" spans="1:80" ht="3.95" customHeight="1" x14ac:dyDescent="0.25">
      <c r="AT141" s="202"/>
      <c r="AU141" s="202"/>
      <c r="AV141" s="202"/>
      <c r="AW141" s="202"/>
      <c r="AX141" s="202"/>
      <c r="AY141" s="202"/>
      <c r="AZ141" s="202"/>
      <c r="BA141" s="202"/>
      <c r="BB141" s="202"/>
      <c r="BC141" s="202"/>
      <c r="BD141" s="202"/>
      <c r="BE141" s="202"/>
      <c r="BF141" s="202"/>
      <c r="BG141" s="202"/>
      <c r="BH141" s="202"/>
      <c r="BI141" s="202"/>
      <c r="BJ141" s="202"/>
      <c r="BK141" s="202"/>
      <c r="BL141" s="202"/>
      <c r="BM141" s="202"/>
      <c r="BN141" s="202"/>
      <c r="BO141" s="202"/>
      <c r="BP141" s="202"/>
      <c r="BQ141" s="202"/>
      <c r="BR141" s="202"/>
      <c r="BS141" s="202"/>
      <c r="BT141" s="202"/>
      <c r="BU141" s="202"/>
      <c r="BV141" s="202"/>
      <c r="BW141" s="202"/>
      <c r="BX141" s="202"/>
      <c r="BY141" s="202"/>
      <c r="BZ141" s="202"/>
      <c r="CA141" s="202"/>
      <c r="CB141" s="202"/>
    </row>
  </sheetData>
  <sheetProtection sheet="1" formatCells="0" selectLockedCells="1"/>
  <mergeCells count="433">
    <mergeCell ref="AB29:AC31"/>
    <mergeCell ref="B89:M91"/>
    <mergeCell ref="N89:O91"/>
    <mergeCell ref="N92:O94"/>
    <mergeCell ref="B92:M94"/>
    <mergeCell ref="N95:O97"/>
    <mergeCell ref="U129:V131"/>
    <mergeCell ref="U132:V134"/>
    <mergeCell ref="B120:C122"/>
    <mergeCell ref="B107:M109"/>
    <mergeCell ref="N107:O109"/>
    <mergeCell ref="B110:M112"/>
    <mergeCell ref="N110:O112"/>
    <mergeCell ref="B98:M100"/>
    <mergeCell ref="N98:O100"/>
    <mergeCell ref="B101:M103"/>
    <mergeCell ref="N101:O103"/>
    <mergeCell ref="B104:M106"/>
    <mergeCell ref="N104:O106"/>
    <mergeCell ref="P101:AA103"/>
    <mergeCell ref="B113:M115"/>
    <mergeCell ref="N113:O115"/>
    <mergeCell ref="B116:M118"/>
    <mergeCell ref="N116:O118"/>
    <mergeCell ref="AD113:AO115"/>
    <mergeCell ref="AP113:AQ115"/>
    <mergeCell ref="AD116:AO118"/>
    <mergeCell ref="AP116:AQ118"/>
    <mergeCell ref="U126:V128"/>
    <mergeCell ref="AD107:AO109"/>
    <mergeCell ref="AB107:AC109"/>
    <mergeCell ref="P110:AA112"/>
    <mergeCell ref="AB110:AC112"/>
    <mergeCell ref="U123:V125"/>
    <mergeCell ref="D120:Q122"/>
    <mergeCell ref="R120:T122"/>
    <mergeCell ref="U120:V122"/>
    <mergeCell ref="W120:X122"/>
    <mergeCell ref="Y120:AL122"/>
    <mergeCell ref="AM120:AO122"/>
    <mergeCell ref="AP120:AQ122"/>
    <mergeCell ref="AP107:AQ109"/>
    <mergeCell ref="AD110:AO112"/>
    <mergeCell ref="AP110:AQ112"/>
    <mergeCell ref="P116:AA118"/>
    <mergeCell ref="AB116:AC118"/>
    <mergeCell ref="AD101:AO103"/>
    <mergeCell ref="AP101:AQ103"/>
    <mergeCell ref="AD104:AO106"/>
    <mergeCell ref="AP104:AQ106"/>
    <mergeCell ref="AD95:AO97"/>
    <mergeCell ref="AP95:AQ97"/>
    <mergeCell ref="AD98:AO100"/>
    <mergeCell ref="AP98:AQ100"/>
    <mergeCell ref="AB101:AC103"/>
    <mergeCell ref="AB104:AC106"/>
    <mergeCell ref="AD89:AO91"/>
    <mergeCell ref="AP89:AQ91"/>
    <mergeCell ref="AP92:AQ94"/>
    <mergeCell ref="AD83:AO85"/>
    <mergeCell ref="AP83:AQ85"/>
    <mergeCell ref="AD86:AO88"/>
    <mergeCell ref="AP86:AQ88"/>
    <mergeCell ref="AD77:AO79"/>
    <mergeCell ref="AP77:AQ79"/>
    <mergeCell ref="AD80:AO82"/>
    <mergeCell ref="AP80:AQ82"/>
    <mergeCell ref="AD92:AG94"/>
    <mergeCell ref="AH92:AJ94"/>
    <mergeCell ref="AK92:AO94"/>
    <mergeCell ref="AD71:AO73"/>
    <mergeCell ref="AP71:AQ73"/>
    <mergeCell ref="AD74:AO76"/>
    <mergeCell ref="AP74:AQ76"/>
    <mergeCell ref="AP65:AQ67"/>
    <mergeCell ref="AD68:AO70"/>
    <mergeCell ref="AP68:AQ70"/>
    <mergeCell ref="AD59:AO61"/>
    <mergeCell ref="AP59:AQ61"/>
    <mergeCell ref="AD62:AO64"/>
    <mergeCell ref="AP62:AQ64"/>
    <mergeCell ref="AD65:AG67"/>
    <mergeCell ref="AH65:AJ67"/>
    <mergeCell ref="AK65:AO67"/>
    <mergeCell ref="AD53:AO55"/>
    <mergeCell ref="AP53:AQ55"/>
    <mergeCell ref="AD56:AO58"/>
    <mergeCell ref="AP56:AQ58"/>
    <mergeCell ref="AD47:AO49"/>
    <mergeCell ref="AP47:AQ49"/>
    <mergeCell ref="AD50:AO52"/>
    <mergeCell ref="AP50:AQ52"/>
    <mergeCell ref="AD41:AO43"/>
    <mergeCell ref="AP41:AQ43"/>
    <mergeCell ref="AD44:AO46"/>
    <mergeCell ref="AP44:AQ46"/>
    <mergeCell ref="P95:AA97"/>
    <mergeCell ref="AB95:AC97"/>
    <mergeCell ref="P98:AA100"/>
    <mergeCell ref="AB98:AC100"/>
    <mergeCell ref="P89:AA91"/>
    <mergeCell ref="AB89:AC91"/>
    <mergeCell ref="P92:AA94"/>
    <mergeCell ref="AB92:AC94"/>
    <mergeCell ref="AB83:AC85"/>
    <mergeCell ref="P86:AA88"/>
    <mergeCell ref="AB86:AC88"/>
    <mergeCell ref="P44:AA46"/>
    <mergeCell ref="AB44:AC46"/>
    <mergeCell ref="P77:AA79"/>
    <mergeCell ref="AB77:AC79"/>
    <mergeCell ref="AB80:AC82"/>
    <mergeCell ref="P71:AA73"/>
    <mergeCell ref="AB71:AC73"/>
    <mergeCell ref="P74:AA76"/>
    <mergeCell ref="AB74:AC76"/>
    <mergeCell ref="P53:S55"/>
    <mergeCell ref="T53:V55"/>
    <mergeCell ref="W53:AA55"/>
    <mergeCell ref="P80:S82"/>
    <mergeCell ref="T80:V82"/>
    <mergeCell ref="AH14:AI17"/>
    <mergeCell ref="T14:V17"/>
    <mergeCell ref="L10:M13"/>
    <mergeCell ref="P65:AA67"/>
    <mergeCell ref="AB65:AC67"/>
    <mergeCell ref="P68:AA70"/>
    <mergeCell ref="AB68:AC70"/>
    <mergeCell ref="P59:AA61"/>
    <mergeCell ref="AB59:AC61"/>
    <mergeCell ref="P62:AA64"/>
    <mergeCell ref="AB62:AC64"/>
    <mergeCell ref="AB53:AC55"/>
    <mergeCell ref="P56:AA58"/>
    <mergeCell ref="AB56:AC58"/>
    <mergeCell ref="B68:M70"/>
    <mergeCell ref="N68:O70"/>
    <mergeCell ref="B53:M55"/>
    <mergeCell ref="N53:O55"/>
    <mergeCell ref="B56:M58"/>
    <mergeCell ref="N56:O58"/>
    <mergeCell ref="P38:AA40"/>
    <mergeCell ref="AB38:AC40"/>
    <mergeCell ref="P41:AA43"/>
    <mergeCell ref="AB41:AC43"/>
    <mergeCell ref="N65:O67"/>
    <mergeCell ref="N50:O52"/>
    <mergeCell ref="AD5:AQ6"/>
    <mergeCell ref="V5:AC6"/>
    <mergeCell ref="R5:U6"/>
    <mergeCell ref="B5:Q6"/>
    <mergeCell ref="P47:AA49"/>
    <mergeCell ref="AB47:AC49"/>
    <mergeCell ref="P50:AA52"/>
    <mergeCell ref="AB50:AC52"/>
    <mergeCell ref="P32:AA34"/>
    <mergeCell ref="AB32:AC34"/>
    <mergeCell ref="P35:AA37"/>
    <mergeCell ref="W10:Z13"/>
    <mergeCell ref="AK10:AP13"/>
    <mergeCell ref="AE10:AF13"/>
    <mergeCell ref="AA10:AD13"/>
    <mergeCell ref="AG10:AJ13"/>
    <mergeCell ref="AA14:AA17"/>
    <mergeCell ref="AD14:AD17"/>
    <mergeCell ref="AG14:AG17"/>
    <mergeCell ref="W14:Z17"/>
    <mergeCell ref="AB14:AC17"/>
    <mergeCell ref="AE14:AF17"/>
    <mergeCell ref="V7:AC9"/>
    <mergeCell ref="R7:U9"/>
    <mergeCell ref="B7:Q9"/>
    <mergeCell ref="N23:O25"/>
    <mergeCell ref="B26:M28"/>
    <mergeCell ref="N26:O28"/>
    <mergeCell ref="B29:M31"/>
    <mergeCell ref="N29:O31"/>
    <mergeCell ref="AB35:AC37"/>
    <mergeCell ref="P23:AA25"/>
    <mergeCell ref="AB23:AC25"/>
    <mergeCell ref="AB26:AC28"/>
    <mergeCell ref="W26:AA28"/>
    <mergeCell ref="B23:E25"/>
    <mergeCell ref="F23:H25"/>
    <mergeCell ref="I23:M25"/>
    <mergeCell ref="N10:Q13"/>
    <mergeCell ref="C10:H13"/>
    <mergeCell ref="C14:E17"/>
    <mergeCell ref="F14:H17"/>
    <mergeCell ref="I14:K17"/>
    <mergeCell ref="L14:M17"/>
    <mergeCell ref="O14:P17"/>
    <mergeCell ref="N14:N17"/>
    <mergeCell ref="N38:O40"/>
    <mergeCell ref="B86:M88"/>
    <mergeCell ref="N86:O88"/>
    <mergeCell ref="B77:M79"/>
    <mergeCell ref="N77:O79"/>
    <mergeCell ref="B80:M82"/>
    <mergeCell ref="N80:O82"/>
    <mergeCell ref="B83:M85"/>
    <mergeCell ref="N83:O85"/>
    <mergeCell ref="B71:M73"/>
    <mergeCell ref="N71:O73"/>
    <mergeCell ref="B74:M76"/>
    <mergeCell ref="N74:O76"/>
    <mergeCell ref="B41:M43"/>
    <mergeCell ref="N41:O43"/>
    <mergeCell ref="B44:M46"/>
    <mergeCell ref="N44:O46"/>
    <mergeCell ref="B47:M49"/>
    <mergeCell ref="N47:O49"/>
    <mergeCell ref="B59:M61"/>
    <mergeCell ref="N59:O61"/>
    <mergeCell ref="B62:M64"/>
    <mergeCell ref="N62:O64"/>
    <mergeCell ref="B65:M67"/>
    <mergeCell ref="B3:AQ4"/>
    <mergeCell ref="R123:T125"/>
    <mergeCell ref="R126:T128"/>
    <mergeCell ref="R129:T131"/>
    <mergeCell ref="R132:T134"/>
    <mergeCell ref="R135:T137"/>
    <mergeCell ref="B123:C125"/>
    <mergeCell ref="B126:C128"/>
    <mergeCell ref="B129:C131"/>
    <mergeCell ref="B132:C134"/>
    <mergeCell ref="B135:C137"/>
    <mergeCell ref="D123:Q125"/>
    <mergeCell ref="D126:Q128"/>
    <mergeCell ref="D129:Q131"/>
    <mergeCell ref="D132:Q134"/>
    <mergeCell ref="D135:Q137"/>
    <mergeCell ref="Y132:AL134"/>
    <mergeCell ref="B20:M22"/>
    <mergeCell ref="N20:O22"/>
    <mergeCell ref="P20:AA22"/>
    <mergeCell ref="AB20:AC22"/>
    <mergeCell ref="AD20:AO22"/>
    <mergeCell ref="AP20:AQ22"/>
    <mergeCell ref="AD7:AQ9"/>
    <mergeCell ref="AR16:AR17"/>
    <mergeCell ref="AM123:AO125"/>
    <mergeCell ref="AP123:AQ125"/>
    <mergeCell ref="AM126:AO128"/>
    <mergeCell ref="AP126:AQ128"/>
    <mergeCell ref="AM129:AO131"/>
    <mergeCell ref="AP129:AQ131"/>
    <mergeCell ref="AM132:AO134"/>
    <mergeCell ref="AP132:AQ134"/>
    <mergeCell ref="AK14:AP17"/>
    <mergeCell ref="AD35:AO37"/>
    <mergeCell ref="AP35:AQ37"/>
    <mergeCell ref="AP38:AQ40"/>
    <mergeCell ref="AD29:AO31"/>
    <mergeCell ref="AP29:AQ31"/>
    <mergeCell ref="AD32:AO34"/>
    <mergeCell ref="AP32:AQ34"/>
    <mergeCell ref="AD23:AO25"/>
    <mergeCell ref="AP23:AQ25"/>
    <mergeCell ref="AD26:AO28"/>
    <mergeCell ref="AP26:AQ28"/>
    <mergeCell ref="AD38:AG40"/>
    <mergeCell ref="AH38:AJ40"/>
    <mergeCell ref="AK38:AO40"/>
    <mergeCell ref="BL17:CB20"/>
    <mergeCell ref="BL21:CB23"/>
    <mergeCell ref="AT17:BK20"/>
    <mergeCell ref="AX10:CB13"/>
    <mergeCell ref="AX14:CB16"/>
    <mergeCell ref="BV5:CB6"/>
    <mergeCell ref="BL3:BW4"/>
    <mergeCell ref="AT3:BK4"/>
    <mergeCell ref="BV7:CB9"/>
    <mergeCell ref="BO5:BU6"/>
    <mergeCell ref="BO7:BU9"/>
    <mergeCell ref="AT7:BN9"/>
    <mergeCell ref="AT5:BN6"/>
    <mergeCell ref="AT10:AW13"/>
    <mergeCell ref="AT14:AW16"/>
    <mergeCell ref="BE28:BG31"/>
    <mergeCell ref="BH28:BJ31"/>
    <mergeCell ref="BN28:BO31"/>
    <mergeCell ref="BQ28:BR31"/>
    <mergeCell ref="BT28:BU31"/>
    <mergeCell ref="AU25:AW27"/>
    <mergeCell ref="AX25:AZ27"/>
    <mergeCell ref="BA25:BC27"/>
    <mergeCell ref="AU28:AW30"/>
    <mergeCell ref="AX28:AZ30"/>
    <mergeCell ref="BA28:BC30"/>
    <mergeCell ref="AX31:AZ33"/>
    <mergeCell ref="BA31:BC33"/>
    <mergeCell ref="AX34:AZ36"/>
    <mergeCell ref="BA34:BC36"/>
    <mergeCell ref="AX37:AZ39"/>
    <mergeCell ref="BA37:BC39"/>
    <mergeCell ref="AX40:AZ42"/>
    <mergeCell ref="BA40:BC42"/>
    <mergeCell ref="AX43:AZ45"/>
    <mergeCell ref="BA43:BC45"/>
    <mergeCell ref="BW28:BX31"/>
    <mergeCell ref="BO34:BP36"/>
    <mergeCell ref="BQ34:BT36"/>
    <mergeCell ref="BD33:BK36"/>
    <mergeCell ref="BU34:CA39"/>
    <mergeCell ref="BK37:BK39"/>
    <mergeCell ref="BK40:BK42"/>
    <mergeCell ref="BK43:BK45"/>
    <mergeCell ref="BN37:BN39"/>
    <mergeCell ref="BN40:BN42"/>
    <mergeCell ref="BN43:BN45"/>
    <mergeCell ref="BQ37:BQ39"/>
    <mergeCell ref="BQ40:BQ42"/>
    <mergeCell ref="BQ43:BQ45"/>
    <mergeCell ref="BL37:BM39"/>
    <mergeCell ref="BL40:BM42"/>
    <mergeCell ref="BZ28:CA31"/>
    <mergeCell ref="BE37:BG39"/>
    <mergeCell ref="BE40:BG42"/>
    <mergeCell ref="BE43:BG45"/>
    <mergeCell ref="AT21:BK23"/>
    <mergeCell ref="BK28:BM31"/>
    <mergeCell ref="BP28:BP31"/>
    <mergeCell ref="BS28:BS31"/>
    <mergeCell ref="BV28:BV31"/>
    <mergeCell ref="BY28:BY31"/>
    <mergeCell ref="BN25:BO27"/>
    <mergeCell ref="BQ25:BR27"/>
    <mergeCell ref="BT25:BU27"/>
    <mergeCell ref="BW25:BX27"/>
    <mergeCell ref="BY25:CB27"/>
    <mergeCell ref="BH37:BJ39"/>
    <mergeCell ref="BH40:BJ42"/>
    <mergeCell ref="BH43:BJ45"/>
    <mergeCell ref="AU31:AW33"/>
    <mergeCell ref="AU34:AW36"/>
    <mergeCell ref="AU37:AW39"/>
    <mergeCell ref="AU40:AW42"/>
    <mergeCell ref="AU43:AW45"/>
    <mergeCell ref="BL34:BM36"/>
    <mergeCell ref="BL43:BM45"/>
    <mergeCell ref="BO37:BP39"/>
    <mergeCell ref="BO40:BP42"/>
    <mergeCell ref="BO43:BP45"/>
    <mergeCell ref="BR37:BS39"/>
    <mergeCell ref="BR40:BS42"/>
    <mergeCell ref="BR43:BS45"/>
    <mergeCell ref="BU40:BW45"/>
    <mergeCell ref="BY40:CA45"/>
    <mergeCell ref="BU46:BW48"/>
    <mergeCell ref="BY46:CA48"/>
    <mergeCell ref="AT49:BE51"/>
    <mergeCell ref="BF49:BH51"/>
    <mergeCell ref="BI49:BM51"/>
    <mergeCell ref="BN49:BP51"/>
    <mergeCell ref="BQ49:CB51"/>
    <mergeCell ref="AT58:BE60"/>
    <mergeCell ref="BF58:BH60"/>
    <mergeCell ref="BI58:BM60"/>
    <mergeCell ref="BN58:BP60"/>
    <mergeCell ref="BQ58:CB60"/>
    <mergeCell ref="AT52:BE54"/>
    <mergeCell ref="BF52:BH54"/>
    <mergeCell ref="BI52:BM54"/>
    <mergeCell ref="BN52:BP54"/>
    <mergeCell ref="BQ52:CB54"/>
    <mergeCell ref="AT55:BE57"/>
    <mergeCell ref="BF55:BH57"/>
    <mergeCell ref="BI55:BM57"/>
    <mergeCell ref="BN55:BP57"/>
    <mergeCell ref="BQ55:CB57"/>
    <mergeCell ref="AT118:CB120"/>
    <mergeCell ref="AT64:CB69"/>
    <mergeCell ref="AT127:CB129"/>
    <mergeCell ref="AT121:CB126"/>
    <mergeCell ref="AT130:CB137"/>
    <mergeCell ref="BH138:CB140"/>
    <mergeCell ref="AT61:CB63"/>
    <mergeCell ref="AT97:CB105"/>
    <mergeCell ref="AT70:CB72"/>
    <mergeCell ref="AT73:CB81"/>
    <mergeCell ref="AT82:CB84"/>
    <mergeCell ref="AT85:CB93"/>
    <mergeCell ref="AT94:CB96"/>
    <mergeCell ref="AT106:CB108"/>
    <mergeCell ref="AT109:CB117"/>
    <mergeCell ref="A123:A125"/>
    <mergeCell ref="A126:A128"/>
    <mergeCell ref="A129:A131"/>
    <mergeCell ref="A132:A134"/>
    <mergeCell ref="A135:A137"/>
    <mergeCell ref="AR123:AR125"/>
    <mergeCell ref="AR126:AR128"/>
    <mergeCell ref="AR129:AR131"/>
    <mergeCell ref="AR132:AR134"/>
    <mergeCell ref="AR135:AR137"/>
    <mergeCell ref="AM135:AO137"/>
    <mergeCell ref="AP135:AQ137"/>
    <mergeCell ref="W123:X125"/>
    <mergeCell ref="W126:X128"/>
    <mergeCell ref="W129:X131"/>
    <mergeCell ref="W132:X134"/>
    <mergeCell ref="W135:X137"/>
    <mergeCell ref="Y123:AL125"/>
    <mergeCell ref="Y126:AL128"/>
    <mergeCell ref="Y129:AL131"/>
    <mergeCell ref="U135:V137"/>
    <mergeCell ref="Y135:AL137"/>
    <mergeCell ref="B50:E52"/>
    <mergeCell ref="F50:H52"/>
    <mergeCell ref="I50:M52"/>
    <mergeCell ref="B95:E97"/>
    <mergeCell ref="F95:H97"/>
    <mergeCell ref="I95:M97"/>
    <mergeCell ref="P26:S28"/>
    <mergeCell ref="T26:V28"/>
    <mergeCell ref="AR138:AR140"/>
    <mergeCell ref="B138:AQ140"/>
    <mergeCell ref="W80:AA82"/>
    <mergeCell ref="P107:S109"/>
    <mergeCell ref="T107:V109"/>
    <mergeCell ref="P83:AA85"/>
    <mergeCell ref="P29:AA31"/>
    <mergeCell ref="P104:AA106"/>
    <mergeCell ref="W107:AA109"/>
    <mergeCell ref="P113:AA115"/>
    <mergeCell ref="AB113:AC115"/>
    <mergeCell ref="B32:M34"/>
    <mergeCell ref="N32:O34"/>
    <mergeCell ref="B35:M37"/>
    <mergeCell ref="N35:O37"/>
    <mergeCell ref="B38:M40"/>
  </mergeCells>
  <conditionalFormatting sqref="N23 N50 N95 AB107 AB80 AB53 AB26 AP38 AP65 AP92">
    <cfRule type="containsText" dxfId="3" priority="3" operator="containsText" text="û">
      <formula>NOT(ISERROR(SEARCH("û",N23)))</formula>
    </cfRule>
    <cfRule type="containsText" dxfId="2" priority="4" operator="containsText" text="ü">
      <formula>NOT(ISERROR(SEARCH("ü",N23)))</formula>
    </cfRule>
  </conditionalFormatting>
  <conditionalFormatting sqref="V5:AC6">
    <cfRule type="expression" dxfId="1" priority="2">
      <formula>$V$5=0</formula>
    </cfRule>
  </conditionalFormatting>
  <conditionalFormatting sqref="AD5:AQ6">
    <cfRule type="expression" dxfId="0" priority="1">
      <formula>$AD$5=0</formula>
    </cfRule>
  </conditionalFormatting>
  <dataValidations count="4">
    <dataValidation type="list" allowBlank="1" showInputMessage="1" showErrorMessage="1" sqref="BL3:BW4">
      <formula1>LISTA.aliado</formula1>
    </dataValidation>
    <dataValidation type="list" allowBlank="1" showErrorMessage="1" prompt="Selecione uma classe conjuradora que possua._x000a__x000a_" sqref="B5:Q6">
      <formula1>LISTA.conjuradores</formula1>
    </dataValidation>
    <dataValidation type="list" allowBlank="1" showInputMessage="1" showErrorMessage="1" sqref="BV5:CB6">
      <formula1>LISTA.tamanho</formula1>
    </dataValidation>
    <dataValidation type="list" allowBlank="1" showInputMessage="1" showErrorMessage="1" sqref="BO5:BU6">
      <formula1>LISTA.tendência</formula1>
    </dataValidation>
  </dataValidations>
  <pageMargins left="0.39370078740157483" right="0.39370078740157483" top="0.39370078740157483" bottom="0.39370078740157483" header="0" footer="0"/>
  <pageSetup paperSize="9" orientation="landscape" r:id="rId1"/>
  <headerFooter>
    <oddHeader>&amp;CFICHA DE PERSONAGEM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tabColor rgb="FFFFFFCC"/>
  </sheetPr>
  <dimension ref="A1:CB36"/>
  <sheetViews>
    <sheetView showGridLines="0" zoomScaleNormal="100" workbookViewId="0">
      <selection activeCell="B8" sqref="B8:AM14"/>
    </sheetView>
  </sheetViews>
  <sheetFormatPr defaultColWidth="1.7109375" defaultRowHeight="15.95" customHeight="1" x14ac:dyDescent="0.2"/>
  <cols>
    <col min="1" max="16384" width="1.7109375" style="264"/>
  </cols>
  <sheetData>
    <row r="1" spans="1:80" ht="8.1" customHeight="1" x14ac:dyDescent="0.2"/>
    <row r="2" spans="1:80" ht="15.95" customHeight="1" x14ac:dyDescent="0.2">
      <c r="Q2" s="1626" t="str">
        <f>IF(NOME=0,"",NOME)</f>
        <v/>
      </c>
      <c r="R2" s="1626"/>
      <c r="S2" s="1626"/>
      <c r="T2" s="1626"/>
      <c r="U2" s="1626"/>
      <c r="V2" s="1626"/>
      <c r="W2" s="1626"/>
      <c r="X2" s="1626"/>
      <c r="Y2" s="1626"/>
      <c r="Z2" s="1626"/>
      <c r="AA2" s="1626"/>
      <c r="AB2" s="1626"/>
      <c r="AC2" s="1626"/>
      <c r="AD2" s="1626"/>
      <c r="AE2" s="1626"/>
      <c r="AF2" s="1626"/>
      <c r="AG2" s="1626"/>
      <c r="AH2" s="1626"/>
      <c r="AI2" s="1626"/>
      <c r="AJ2" s="1626"/>
      <c r="AL2" s="1627" t="str">
        <f>IF(TENDÊNCIA=0,"",VLOOKUP(TENDÊNCIA,tendência.table,2,FALSE))</f>
        <v/>
      </c>
      <c r="AM2" s="1627"/>
      <c r="AN2" s="1627"/>
      <c r="AO2" s="1627"/>
      <c r="AP2" s="1627"/>
      <c r="AQ2" s="1627"/>
      <c r="AR2" s="1627"/>
      <c r="AS2" s="1627"/>
      <c r="AT2" s="1627"/>
      <c r="AU2" s="1627"/>
      <c r="AV2" s="1627"/>
      <c r="AW2" s="3"/>
      <c r="AX2" s="1623"/>
      <c r="AY2" s="1623"/>
      <c r="AZ2" s="1623"/>
      <c r="BA2" s="1623"/>
      <c r="BB2" s="1623"/>
      <c r="BC2" s="1623"/>
      <c r="BD2" s="1623"/>
      <c r="BE2" s="1623"/>
      <c r="BF2" s="1623"/>
      <c r="BG2" s="1623"/>
      <c r="BH2" s="1623"/>
      <c r="BI2" s="1623"/>
      <c r="BJ2" s="1623"/>
      <c r="BK2" s="1623"/>
      <c r="BL2" s="1623"/>
      <c r="BM2" s="1623"/>
      <c r="BN2" s="1623"/>
      <c r="BO2" s="1623"/>
      <c r="BP2" s="1623"/>
      <c r="BQ2" s="1623"/>
      <c r="BR2" s="1623"/>
      <c r="BS2" s="1623"/>
      <c r="BT2" s="1623"/>
      <c r="BU2" s="1623"/>
      <c r="BV2" s="1623"/>
      <c r="BW2" s="1623"/>
      <c r="BX2" s="1623"/>
      <c r="BY2" s="1623"/>
      <c r="BZ2" s="1623"/>
      <c r="CA2" s="1623"/>
    </row>
    <row r="3" spans="1:80" ht="15.95" customHeight="1" x14ac:dyDescent="0.2">
      <c r="Q3" s="1624" t="s">
        <v>0</v>
      </c>
      <c r="R3" s="1624"/>
      <c r="S3" s="1624"/>
      <c r="T3" s="1624"/>
      <c r="U3" s="1624"/>
      <c r="V3" s="1624"/>
      <c r="W3" s="1624"/>
      <c r="X3" s="1624"/>
      <c r="Y3" s="1624"/>
      <c r="Z3" s="1624"/>
      <c r="AA3" s="1624"/>
      <c r="AB3" s="1624"/>
      <c r="AC3" s="1624"/>
      <c r="AD3" s="1624"/>
      <c r="AE3" s="1624"/>
      <c r="AF3" s="1624"/>
      <c r="AG3" s="1624"/>
      <c r="AH3" s="1624"/>
      <c r="AI3" s="1624"/>
      <c r="AJ3" s="1624"/>
      <c r="AL3" s="963" t="s">
        <v>3</v>
      </c>
      <c r="AM3" s="963"/>
      <c r="AN3" s="963"/>
      <c r="AO3" s="963"/>
      <c r="AP3" s="963"/>
      <c r="AQ3" s="963"/>
      <c r="AR3" s="963"/>
      <c r="AS3" s="963"/>
      <c r="AT3" s="963"/>
      <c r="AU3" s="963"/>
      <c r="AV3" s="963"/>
      <c r="AW3" s="206"/>
      <c r="AX3" s="1628" t="s">
        <v>107</v>
      </c>
      <c r="AY3" s="1628"/>
      <c r="AZ3" s="1628"/>
      <c r="BA3" s="1628"/>
      <c r="BB3" s="1628"/>
      <c r="BC3" s="1628"/>
      <c r="BD3" s="1628"/>
      <c r="BE3" s="1628"/>
      <c r="BF3" s="1628"/>
      <c r="BG3" s="1628"/>
      <c r="BH3" s="1628"/>
      <c r="BI3" s="1628"/>
      <c r="BJ3" s="1628"/>
      <c r="BK3" s="1628"/>
      <c r="BL3" s="1628"/>
      <c r="BM3" s="1628"/>
      <c r="BN3" s="1628"/>
      <c r="BO3" s="1628"/>
      <c r="BP3" s="1628"/>
      <c r="BQ3" s="1628"/>
      <c r="BR3" s="1628"/>
      <c r="BS3" s="1628"/>
      <c r="BT3" s="1628"/>
      <c r="BU3" s="1628"/>
      <c r="BV3" s="1628"/>
      <c r="BW3" s="1628"/>
      <c r="BX3" s="1628"/>
      <c r="BY3" s="1628"/>
      <c r="BZ3" s="1628"/>
      <c r="CA3" s="1628"/>
    </row>
    <row r="4" spans="1:80" ht="15.95" customHeight="1" x14ac:dyDescent="0.25">
      <c r="Q4" s="1623"/>
      <c r="R4" s="1623"/>
      <c r="S4" s="1623"/>
      <c r="T4" s="1623"/>
      <c r="U4" s="1623"/>
      <c r="V4" s="1623"/>
      <c r="W4" s="1623"/>
      <c r="X4" s="1623"/>
      <c r="Y4" s="1623"/>
      <c r="Z4" s="1623"/>
      <c r="AA4" s="1623"/>
      <c r="AB4" s="1623"/>
      <c r="AC4" s="1623"/>
      <c r="AD4" s="1623"/>
      <c r="AE4" s="1623"/>
      <c r="AF4" s="1623"/>
      <c r="AG4" s="1623"/>
      <c r="AH4" s="1623"/>
      <c r="AI4" s="1623"/>
      <c r="AJ4" s="1623"/>
      <c r="AK4" s="1623"/>
      <c r="AL4" s="1623"/>
      <c r="AM4" s="1623"/>
      <c r="AN4" s="1623"/>
      <c r="AO4" s="1623"/>
      <c r="AP4" s="1623"/>
      <c r="AQ4" s="1623"/>
      <c r="AR4" s="1623"/>
      <c r="AS4" s="1623"/>
      <c r="AT4" s="1623"/>
      <c r="AU4" s="1623"/>
      <c r="AV4" s="1623"/>
      <c r="AW4" s="1623"/>
      <c r="AX4" s="265"/>
      <c r="AY4" s="1625" t="str">
        <f>IF(DIVINDADES=0,"",DIVINDADES)</f>
        <v/>
      </c>
      <c r="AZ4" s="1625"/>
      <c r="BA4" s="1625"/>
      <c r="BB4" s="1625"/>
      <c r="BC4" s="1625"/>
      <c r="BD4" s="1625"/>
      <c r="BE4" s="1625"/>
      <c r="BF4" s="1625"/>
      <c r="BG4" s="1625"/>
      <c r="BH4" s="1625"/>
      <c r="BI4" s="1625"/>
      <c r="BJ4" s="1625"/>
      <c r="BK4" s="1625"/>
      <c r="BL4" s="1625"/>
      <c r="BM4" s="1625"/>
      <c r="BN4" s="1625"/>
      <c r="BO4" s="1625"/>
      <c r="BP4" s="1625"/>
      <c r="BQ4" s="1625"/>
      <c r="BR4" s="1625"/>
      <c r="BS4" s="1625"/>
      <c r="BT4" s="1625"/>
      <c r="BU4" s="1625"/>
      <c r="BV4" s="1625"/>
      <c r="BW4" s="1625"/>
      <c r="BX4" s="1625"/>
      <c r="BY4" s="1625"/>
      <c r="BZ4" s="1625"/>
      <c r="CA4" s="1625"/>
    </row>
    <row r="5" spans="1:80" ht="15.95" customHeight="1" x14ac:dyDescent="0.2">
      <c r="Q5" s="1624" t="s">
        <v>848</v>
      </c>
      <c r="R5" s="1624"/>
      <c r="S5" s="1624"/>
      <c r="T5" s="1624"/>
      <c r="U5" s="1624"/>
      <c r="V5" s="1624"/>
      <c r="W5" s="1624"/>
      <c r="X5" s="1624"/>
      <c r="Y5" s="1624"/>
      <c r="Z5" s="1624"/>
      <c r="AA5" s="1624"/>
      <c r="AB5" s="1624"/>
      <c r="AC5" s="1624"/>
      <c r="AD5" s="1624"/>
      <c r="AE5" s="1624"/>
      <c r="AF5" s="1624"/>
      <c r="AG5" s="1624"/>
      <c r="AH5" s="1624"/>
      <c r="AI5" s="1624"/>
      <c r="AJ5" s="1624"/>
      <c r="AK5" s="1624"/>
      <c r="AL5" s="1624"/>
      <c r="AM5" s="1624"/>
      <c r="AN5" s="1624"/>
      <c r="AO5" s="1624"/>
      <c r="AP5" s="1624"/>
      <c r="AQ5" s="1624"/>
      <c r="AR5" s="1624"/>
      <c r="AS5" s="1624"/>
      <c r="AT5" s="1624"/>
      <c r="AU5" s="1624"/>
      <c r="AV5" s="1624"/>
      <c r="AW5" s="1624"/>
      <c r="AY5" s="1624" t="s">
        <v>109</v>
      </c>
      <c r="AZ5" s="1624"/>
      <c r="BA5" s="1624"/>
      <c r="BB5" s="1624"/>
      <c r="BC5" s="1624"/>
      <c r="BD5" s="1624"/>
      <c r="BE5" s="1624"/>
      <c r="BF5" s="1624"/>
      <c r="BG5" s="1624"/>
      <c r="BH5" s="1624"/>
      <c r="BI5" s="1624"/>
      <c r="BJ5" s="1624"/>
      <c r="BK5" s="1624"/>
      <c r="BL5" s="1624"/>
      <c r="BM5" s="1624"/>
      <c r="BN5" s="1624"/>
      <c r="BO5" s="1624"/>
      <c r="BP5" s="1624"/>
      <c r="BQ5" s="1624"/>
      <c r="BR5" s="1624"/>
      <c r="BS5" s="1624"/>
      <c r="BT5" s="1624"/>
      <c r="BU5" s="1624"/>
      <c r="BV5" s="1624"/>
      <c r="BW5" s="1624"/>
      <c r="BX5" s="1624"/>
      <c r="BY5" s="1624"/>
      <c r="BZ5" s="1624"/>
      <c r="CA5" s="1624"/>
    </row>
    <row r="6" spans="1:80" ht="8.1" customHeight="1" x14ac:dyDescent="0.2">
      <c r="A6" s="266"/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66"/>
      <c r="O6" s="266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</row>
    <row r="7" spans="1:80" ht="15.95" customHeight="1" x14ac:dyDescent="0.2">
      <c r="A7" s="267"/>
      <c r="B7" s="1621" t="s">
        <v>111</v>
      </c>
      <c r="C7" s="1621"/>
      <c r="D7" s="1621"/>
      <c r="E7" s="1621"/>
      <c r="F7" s="1621"/>
      <c r="G7" s="1621"/>
      <c r="H7" s="1621"/>
      <c r="I7" s="1621"/>
      <c r="J7" s="1621"/>
      <c r="K7" s="1621"/>
      <c r="L7" s="1621"/>
      <c r="M7" s="1621"/>
      <c r="N7" s="1621"/>
      <c r="O7" s="1621"/>
      <c r="P7" s="1621"/>
      <c r="Q7" s="1621"/>
      <c r="R7" s="1621"/>
      <c r="S7" s="1621"/>
      <c r="T7" s="1621"/>
      <c r="U7" s="1621"/>
      <c r="V7" s="1621"/>
      <c r="W7" s="1621"/>
      <c r="X7" s="1621"/>
      <c r="Y7" s="1621"/>
      <c r="Z7" s="1621"/>
      <c r="AA7" s="1621"/>
      <c r="AB7" s="1621"/>
      <c r="AC7" s="1621"/>
      <c r="AD7" s="1621"/>
      <c r="AE7" s="1621"/>
      <c r="AF7" s="1621"/>
      <c r="AG7" s="1621"/>
      <c r="AH7" s="1621"/>
      <c r="AI7" s="1621"/>
      <c r="AJ7" s="1621"/>
      <c r="AK7" s="1621"/>
      <c r="AL7" s="1621"/>
      <c r="AM7" s="1621"/>
      <c r="AN7" s="267"/>
      <c r="AP7" s="267"/>
      <c r="AQ7" s="268" t="s">
        <v>953</v>
      </c>
      <c r="AR7" s="267"/>
      <c r="AS7" s="267"/>
      <c r="AT7" s="267"/>
      <c r="AU7" s="267"/>
      <c r="AV7" s="267"/>
      <c r="AW7" s="267"/>
      <c r="AX7" s="267"/>
      <c r="AY7" s="267"/>
      <c r="AZ7" s="267"/>
      <c r="BA7" s="267"/>
      <c r="BB7" s="267"/>
      <c r="BC7" s="267"/>
      <c r="BD7" s="267"/>
      <c r="BE7" s="267"/>
      <c r="BF7" s="267"/>
      <c r="BG7" s="267"/>
      <c r="BH7" s="267"/>
      <c r="BI7" s="267"/>
      <c r="BJ7" s="267"/>
      <c r="BK7" s="267"/>
      <c r="BL7" s="267"/>
      <c r="BM7" s="267"/>
      <c r="BN7" s="267"/>
      <c r="BO7" s="267"/>
      <c r="BP7" s="267"/>
      <c r="BQ7" s="267"/>
      <c r="BR7" s="267"/>
      <c r="BS7" s="267"/>
      <c r="BT7" s="267"/>
      <c r="BU7" s="267"/>
      <c r="BV7" s="267"/>
      <c r="BW7" s="267"/>
      <c r="BX7" s="267"/>
      <c r="BY7" s="267"/>
      <c r="BZ7" s="267"/>
      <c r="CA7" s="267"/>
      <c r="CB7" s="267"/>
    </row>
    <row r="8" spans="1:80" ht="15.95" customHeight="1" x14ac:dyDescent="0.2">
      <c r="A8" s="267"/>
      <c r="B8" s="1602"/>
      <c r="C8" s="1603"/>
      <c r="D8" s="1603"/>
      <c r="E8" s="1603"/>
      <c r="F8" s="1603"/>
      <c r="G8" s="1603"/>
      <c r="H8" s="1603"/>
      <c r="I8" s="1603"/>
      <c r="J8" s="1603"/>
      <c r="K8" s="1603"/>
      <c r="L8" s="1603"/>
      <c r="M8" s="1603"/>
      <c r="N8" s="1603"/>
      <c r="O8" s="1603"/>
      <c r="P8" s="1603"/>
      <c r="Q8" s="1603"/>
      <c r="R8" s="1603"/>
      <c r="S8" s="1603"/>
      <c r="T8" s="1603"/>
      <c r="U8" s="1603"/>
      <c r="V8" s="1603"/>
      <c r="W8" s="1603"/>
      <c r="X8" s="1603"/>
      <c r="Y8" s="1603"/>
      <c r="Z8" s="1603"/>
      <c r="AA8" s="1603"/>
      <c r="AB8" s="1603"/>
      <c r="AC8" s="1603"/>
      <c r="AD8" s="1603"/>
      <c r="AE8" s="1603"/>
      <c r="AF8" s="1603"/>
      <c r="AG8" s="1603"/>
      <c r="AH8" s="1603"/>
      <c r="AI8" s="1603"/>
      <c r="AJ8" s="1603"/>
      <c r="AK8" s="1603"/>
      <c r="AL8" s="1603"/>
      <c r="AM8" s="1604"/>
      <c r="AN8" s="267"/>
      <c r="AP8" s="267"/>
      <c r="AQ8" s="1596"/>
      <c r="AR8" s="1597"/>
      <c r="AS8" s="1597"/>
      <c r="AT8" s="1597"/>
      <c r="AU8" s="1597"/>
      <c r="AV8" s="1597"/>
      <c r="AW8" s="1597"/>
      <c r="AX8" s="1597"/>
      <c r="AY8" s="1597"/>
      <c r="AZ8" s="1597"/>
      <c r="BA8" s="1597"/>
      <c r="BB8" s="1597"/>
      <c r="BC8" s="1597"/>
      <c r="BD8" s="1597"/>
      <c r="BE8" s="1597"/>
      <c r="BF8" s="1597"/>
      <c r="BG8" s="1597"/>
      <c r="BH8" s="1597"/>
      <c r="BI8" s="1597"/>
      <c r="BJ8" s="1597"/>
      <c r="BK8" s="1597"/>
      <c r="BL8" s="1597"/>
      <c r="BM8" s="1597"/>
      <c r="BN8" s="1597"/>
      <c r="BO8" s="1597"/>
      <c r="BP8" s="1597"/>
      <c r="BQ8" s="1597"/>
      <c r="BR8" s="1597"/>
      <c r="BS8" s="1597"/>
      <c r="BT8" s="1597"/>
      <c r="BU8" s="1597"/>
      <c r="BV8" s="1597"/>
      <c r="BW8" s="1597"/>
      <c r="BX8" s="1597"/>
      <c r="BY8" s="1597"/>
      <c r="BZ8" s="1597"/>
      <c r="CA8" s="1598"/>
      <c r="CB8" s="267"/>
    </row>
    <row r="9" spans="1:80" ht="15.95" customHeight="1" x14ac:dyDescent="0.2">
      <c r="A9" s="267"/>
      <c r="B9" s="1605"/>
      <c r="C9" s="1606"/>
      <c r="D9" s="1606"/>
      <c r="E9" s="1606"/>
      <c r="F9" s="1606"/>
      <c r="G9" s="1606"/>
      <c r="H9" s="1606"/>
      <c r="I9" s="1606"/>
      <c r="J9" s="1606"/>
      <c r="K9" s="1606"/>
      <c r="L9" s="1606"/>
      <c r="M9" s="1606"/>
      <c r="N9" s="1606"/>
      <c r="O9" s="1606"/>
      <c r="P9" s="1606"/>
      <c r="Q9" s="1606"/>
      <c r="R9" s="1606"/>
      <c r="S9" s="1606"/>
      <c r="T9" s="1606"/>
      <c r="U9" s="1606"/>
      <c r="V9" s="1606"/>
      <c r="W9" s="1606"/>
      <c r="X9" s="1606"/>
      <c r="Y9" s="1606"/>
      <c r="Z9" s="1606"/>
      <c r="AA9" s="1606"/>
      <c r="AB9" s="1606"/>
      <c r="AC9" s="1606"/>
      <c r="AD9" s="1606"/>
      <c r="AE9" s="1606"/>
      <c r="AF9" s="1606"/>
      <c r="AG9" s="1606"/>
      <c r="AH9" s="1606"/>
      <c r="AI9" s="1606"/>
      <c r="AJ9" s="1606"/>
      <c r="AK9" s="1606"/>
      <c r="AL9" s="1606"/>
      <c r="AM9" s="1607"/>
      <c r="AN9" s="267"/>
      <c r="AP9" s="267"/>
      <c r="AQ9" s="1599"/>
      <c r="AR9" s="1600"/>
      <c r="AS9" s="1600"/>
      <c r="AT9" s="1600"/>
      <c r="AU9" s="1600"/>
      <c r="AV9" s="1600"/>
      <c r="AW9" s="1600"/>
      <c r="AX9" s="1600"/>
      <c r="AY9" s="1600"/>
      <c r="AZ9" s="1600"/>
      <c r="BA9" s="1600"/>
      <c r="BB9" s="1600"/>
      <c r="BC9" s="1600"/>
      <c r="BD9" s="1600"/>
      <c r="BE9" s="1600"/>
      <c r="BF9" s="1600"/>
      <c r="BG9" s="1600"/>
      <c r="BH9" s="1600"/>
      <c r="BI9" s="1600"/>
      <c r="BJ9" s="1600"/>
      <c r="BK9" s="1600"/>
      <c r="BL9" s="1600"/>
      <c r="BM9" s="1600"/>
      <c r="BN9" s="1600"/>
      <c r="BO9" s="1600"/>
      <c r="BP9" s="1600"/>
      <c r="BQ9" s="1600"/>
      <c r="BR9" s="1600"/>
      <c r="BS9" s="1600"/>
      <c r="BT9" s="1600"/>
      <c r="BU9" s="1600"/>
      <c r="BV9" s="1600"/>
      <c r="BW9" s="1600"/>
      <c r="BX9" s="1600"/>
      <c r="BY9" s="1600"/>
      <c r="BZ9" s="1600"/>
      <c r="CA9" s="1601"/>
      <c r="CB9" s="267"/>
    </row>
    <row r="10" spans="1:80" ht="15.95" customHeight="1" x14ac:dyDescent="0.2">
      <c r="A10" s="267"/>
      <c r="B10" s="1605"/>
      <c r="C10" s="1606"/>
      <c r="D10" s="1606"/>
      <c r="E10" s="1606"/>
      <c r="F10" s="1606"/>
      <c r="G10" s="1606"/>
      <c r="H10" s="1606"/>
      <c r="I10" s="1606"/>
      <c r="J10" s="1606"/>
      <c r="K10" s="1606"/>
      <c r="L10" s="1606"/>
      <c r="M10" s="1606"/>
      <c r="N10" s="1606"/>
      <c r="O10" s="1606"/>
      <c r="P10" s="1606"/>
      <c r="Q10" s="1606"/>
      <c r="R10" s="1606"/>
      <c r="S10" s="1606"/>
      <c r="T10" s="1606"/>
      <c r="U10" s="1606"/>
      <c r="V10" s="1606"/>
      <c r="W10" s="1606"/>
      <c r="X10" s="1606"/>
      <c r="Y10" s="1606"/>
      <c r="Z10" s="1606"/>
      <c r="AA10" s="1606"/>
      <c r="AB10" s="1606"/>
      <c r="AC10" s="1606"/>
      <c r="AD10" s="1606"/>
      <c r="AE10" s="1606"/>
      <c r="AF10" s="1606"/>
      <c r="AG10" s="1606"/>
      <c r="AH10" s="1606"/>
      <c r="AI10" s="1606"/>
      <c r="AJ10" s="1606"/>
      <c r="AK10" s="1606"/>
      <c r="AL10" s="1606"/>
      <c r="AM10" s="1607"/>
      <c r="AN10" s="267"/>
      <c r="AP10" s="267"/>
      <c r="AQ10" s="268" t="s">
        <v>952</v>
      </c>
      <c r="AR10" s="345"/>
      <c r="AS10" s="345"/>
      <c r="AT10" s="345"/>
      <c r="AU10" s="345"/>
      <c r="AV10" s="345"/>
      <c r="AW10" s="346"/>
      <c r="AX10" s="346"/>
      <c r="AY10" s="346"/>
      <c r="AZ10" s="346"/>
      <c r="BA10" s="346"/>
      <c r="BB10" s="346"/>
      <c r="BC10" s="346"/>
      <c r="BD10" s="346"/>
      <c r="BE10" s="346"/>
      <c r="BF10" s="346"/>
      <c r="BG10" s="346"/>
      <c r="BH10" s="346"/>
      <c r="BI10" s="346"/>
      <c r="BJ10" s="346"/>
      <c r="BK10" s="346"/>
      <c r="BL10" s="346"/>
      <c r="BM10" s="346"/>
      <c r="BN10" s="346"/>
      <c r="BO10" s="346"/>
      <c r="BP10" s="346"/>
      <c r="BQ10" s="346"/>
      <c r="BR10" s="346"/>
      <c r="BS10" s="346"/>
      <c r="BT10" s="346"/>
      <c r="BU10" s="346"/>
      <c r="BV10" s="346"/>
      <c r="BW10" s="346"/>
      <c r="BX10" s="346"/>
      <c r="BY10" s="346"/>
      <c r="BZ10" s="346"/>
      <c r="CA10" s="346"/>
      <c r="CB10" s="267"/>
    </row>
    <row r="11" spans="1:80" ht="15.95" customHeight="1" x14ac:dyDescent="0.2">
      <c r="A11" s="267"/>
      <c r="B11" s="1605"/>
      <c r="C11" s="1606"/>
      <c r="D11" s="1606"/>
      <c r="E11" s="1606"/>
      <c r="F11" s="1606"/>
      <c r="G11" s="1606"/>
      <c r="H11" s="1606"/>
      <c r="I11" s="1606"/>
      <c r="J11" s="1606"/>
      <c r="K11" s="1606"/>
      <c r="L11" s="1606"/>
      <c r="M11" s="1606"/>
      <c r="N11" s="1606"/>
      <c r="O11" s="1606"/>
      <c r="P11" s="1606"/>
      <c r="Q11" s="1606"/>
      <c r="R11" s="1606"/>
      <c r="S11" s="1606"/>
      <c r="T11" s="1606"/>
      <c r="U11" s="1606"/>
      <c r="V11" s="1606"/>
      <c r="W11" s="1606"/>
      <c r="X11" s="1606"/>
      <c r="Y11" s="1606"/>
      <c r="Z11" s="1606"/>
      <c r="AA11" s="1606"/>
      <c r="AB11" s="1606"/>
      <c r="AC11" s="1606"/>
      <c r="AD11" s="1606"/>
      <c r="AE11" s="1606"/>
      <c r="AF11" s="1606"/>
      <c r="AG11" s="1606"/>
      <c r="AH11" s="1606"/>
      <c r="AI11" s="1606"/>
      <c r="AJ11" s="1606"/>
      <c r="AK11" s="1606"/>
      <c r="AL11" s="1606"/>
      <c r="AM11" s="1607"/>
      <c r="AN11" s="267"/>
      <c r="AP11" s="267"/>
      <c r="AQ11" s="1596"/>
      <c r="AR11" s="1597"/>
      <c r="AS11" s="1597"/>
      <c r="AT11" s="1597"/>
      <c r="AU11" s="1597"/>
      <c r="AV11" s="1597"/>
      <c r="AW11" s="1597"/>
      <c r="AX11" s="1597"/>
      <c r="AY11" s="1597"/>
      <c r="AZ11" s="1597"/>
      <c r="BA11" s="1597"/>
      <c r="BB11" s="1597"/>
      <c r="BC11" s="1597"/>
      <c r="BD11" s="1597"/>
      <c r="BE11" s="1597"/>
      <c r="BF11" s="1597"/>
      <c r="BG11" s="1597"/>
      <c r="BH11" s="1597"/>
      <c r="BI11" s="1597"/>
      <c r="BJ11" s="1597"/>
      <c r="BK11" s="1597"/>
      <c r="BL11" s="1597"/>
      <c r="BM11" s="1597"/>
      <c r="BN11" s="1597"/>
      <c r="BO11" s="1597"/>
      <c r="BP11" s="1597"/>
      <c r="BQ11" s="1597"/>
      <c r="BR11" s="1597"/>
      <c r="BS11" s="1597"/>
      <c r="BT11" s="1597"/>
      <c r="BU11" s="1597"/>
      <c r="BV11" s="1597"/>
      <c r="BW11" s="1597"/>
      <c r="BX11" s="1597"/>
      <c r="BY11" s="1597"/>
      <c r="BZ11" s="1597"/>
      <c r="CA11" s="1598"/>
      <c r="CB11" s="267"/>
    </row>
    <row r="12" spans="1:80" ht="15.95" customHeight="1" x14ac:dyDescent="0.2">
      <c r="A12" s="267"/>
      <c r="B12" s="1605"/>
      <c r="C12" s="1606"/>
      <c r="D12" s="1606"/>
      <c r="E12" s="1606"/>
      <c r="F12" s="1606"/>
      <c r="G12" s="1606"/>
      <c r="H12" s="1606"/>
      <c r="I12" s="1606"/>
      <c r="J12" s="1606"/>
      <c r="K12" s="1606"/>
      <c r="L12" s="1606"/>
      <c r="M12" s="1606"/>
      <c r="N12" s="1606"/>
      <c r="O12" s="1606"/>
      <c r="P12" s="1606"/>
      <c r="Q12" s="1606"/>
      <c r="R12" s="1606"/>
      <c r="S12" s="1606"/>
      <c r="T12" s="1606"/>
      <c r="U12" s="1606"/>
      <c r="V12" s="1606"/>
      <c r="W12" s="1606"/>
      <c r="X12" s="1606"/>
      <c r="Y12" s="1606"/>
      <c r="Z12" s="1606"/>
      <c r="AA12" s="1606"/>
      <c r="AB12" s="1606"/>
      <c r="AC12" s="1606"/>
      <c r="AD12" s="1606"/>
      <c r="AE12" s="1606"/>
      <c r="AF12" s="1606"/>
      <c r="AG12" s="1606"/>
      <c r="AH12" s="1606"/>
      <c r="AI12" s="1606"/>
      <c r="AJ12" s="1606"/>
      <c r="AK12" s="1606"/>
      <c r="AL12" s="1606"/>
      <c r="AM12" s="1607"/>
      <c r="AN12" s="267"/>
      <c r="AP12" s="267"/>
      <c r="AQ12" s="1599"/>
      <c r="AR12" s="1600"/>
      <c r="AS12" s="1600"/>
      <c r="AT12" s="1600"/>
      <c r="AU12" s="1600"/>
      <c r="AV12" s="1600"/>
      <c r="AW12" s="1600"/>
      <c r="AX12" s="1600"/>
      <c r="AY12" s="1600"/>
      <c r="AZ12" s="1600"/>
      <c r="BA12" s="1600"/>
      <c r="BB12" s="1600"/>
      <c r="BC12" s="1600"/>
      <c r="BD12" s="1600"/>
      <c r="BE12" s="1600"/>
      <c r="BF12" s="1600"/>
      <c r="BG12" s="1600"/>
      <c r="BH12" s="1600"/>
      <c r="BI12" s="1600"/>
      <c r="BJ12" s="1600"/>
      <c r="BK12" s="1600"/>
      <c r="BL12" s="1600"/>
      <c r="BM12" s="1600"/>
      <c r="BN12" s="1600"/>
      <c r="BO12" s="1600"/>
      <c r="BP12" s="1600"/>
      <c r="BQ12" s="1600"/>
      <c r="BR12" s="1600"/>
      <c r="BS12" s="1600"/>
      <c r="BT12" s="1600"/>
      <c r="BU12" s="1600"/>
      <c r="BV12" s="1600"/>
      <c r="BW12" s="1600"/>
      <c r="BX12" s="1600"/>
      <c r="BY12" s="1600"/>
      <c r="BZ12" s="1600"/>
      <c r="CA12" s="1601"/>
      <c r="CB12" s="267"/>
    </row>
    <row r="13" spans="1:80" ht="15.95" customHeight="1" x14ac:dyDescent="0.2">
      <c r="A13" s="267"/>
      <c r="B13" s="1605"/>
      <c r="C13" s="1606"/>
      <c r="D13" s="1606"/>
      <c r="E13" s="1606"/>
      <c r="F13" s="1606"/>
      <c r="G13" s="1606"/>
      <c r="H13" s="1606"/>
      <c r="I13" s="1606"/>
      <c r="J13" s="1606"/>
      <c r="K13" s="1606"/>
      <c r="L13" s="1606"/>
      <c r="M13" s="1606"/>
      <c r="N13" s="1606"/>
      <c r="O13" s="1606"/>
      <c r="P13" s="1606"/>
      <c r="Q13" s="1606"/>
      <c r="R13" s="1606"/>
      <c r="S13" s="1606"/>
      <c r="T13" s="1606"/>
      <c r="U13" s="1606"/>
      <c r="V13" s="1606"/>
      <c r="W13" s="1606"/>
      <c r="X13" s="1606"/>
      <c r="Y13" s="1606"/>
      <c r="Z13" s="1606"/>
      <c r="AA13" s="1606"/>
      <c r="AB13" s="1606"/>
      <c r="AC13" s="1606"/>
      <c r="AD13" s="1606"/>
      <c r="AE13" s="1606"/>
      <c r="AF13" s="1606"/>
      <c r="AG13" s="1606"/>
      <c r="AH13" s="1606"/>
      <c r="AI13" s="1606"/>
      <c r="AJ13" s="1606"/>
      <c r="AK13" s="1606"/>
      <c r="AL13" s="1606"/>
      <c r="AM13" s="1607"/>
      <c r="AN13" s="267"/>
      <c r="AP13" s="267"/>
      <c r="AQ13" s="268" t="s">
        <v>949</v>
      </c>
      <c r="AR13" s="267"/>
      <c r="AS13" s="267"/>
      <c r="AT13" s="267"/>
      <c r="AU13" s="267"/>
      <c r="AV13" s="267"/>
      <c r="AW13" s="267"/>
      <c r="AX13" s="267"/>
      <c r="AY13" s="267"/>
      <c r="AZ13" s="267"/>
      <c r="BA13" s="267"/>
      <c r="BB13" s="267"/>
      <c r="BC13" s="267"/>
      <c r="BD13" s="267"/>
      <c r="BE13" s="267"/>
      <c r="BF13" s="267"/>
      <c r="BG13" s="267"/>
      <c r="BH13" s="267"/>
      <c r="BI13" s="267"/>
      <c r="BJ13" s="267"/>
      <c r="BK13" s="267"/>
      <c r="BL13" s="267"/>
      <c r="BM13" s="267"/>
      <c r="BN13" s="267"/>
      <c r="BO13" s="267"/>
      <c r="BP13" s="267"/>
      <c r="BQ13" s="267"/>
      <c r="BR13" s="267"/>
      <c r="BS13" s="267"/>
      <c r="BT13" s="267"/>
      <c r="BU13" s="267"/>
      <c r="BV13" s="267"/>
      <c r="BW13" s="267"/>
      <c r="BX13" s="267"/>
      <c r="BY13" s="267"/>
      <c r="BZ13" s="267"/>
      <c r="CA13" s="267"/>
      <c r="CB13" s="267"/>
    </row>
    <row r="14" spans="1:80" ht="15.95" customHeight="1" x14ac:dyDescent="0.2">
      <c r="A14" s="267"/>
      <c r="B14" s="1608"/>
      <c r="C14" s="1609"/>
      <c r="D14" s="1609"/>
      <c r="E14" s="1609"/>
      <c r="F14" s="1609"/>
      <c r="G14" s="1609"/>
      <c r="H14" s="1609"/>
      <c r="I14" s="1609"/>
      <c r="J14" s="1609"/>
      <c r="K14" s="1609"/>
      <c r="L14" s="1609"/>
      <c r="M14" s="1609"/>
      <c r="N14" s="1609"/>
      <c r="O14" s="1609"/>
      <c r="P14" s="1609"/>
      <c r="Q14" s="1609"/>
      <c r="R14" s="1609"/>
      <c r="S14" s="1609"/>
      <c r="T14" s="1609"/>
      <c r="U14" s="1609"/>
      <c r="V14" s="1609"/>
      <c r="W14" s="1609"/>
      <c r="X14" s="1609"/>
      <c r="Y14" s="1609"/>
      <c r="Z14" s="1609"/>
      <c r="AA14" s="1609"/>
      <c r="AB14" s="1609"/>
      <c r="AC14" s="1609"/>
      <c r="AD14" s="1609"/>
      <c r="AE14" s="1609"/>
      <c r="AF14" s="1609"/>
      <c r="AG14" s="1609"/>
      <c r="AH14" s="1609"/>
      <c r="AI14" s="1609"/>
      <c r="AJ14" s="1609"/>
      <c r="AK14" s="1609"/>
      <c r="AL14" s="1609"/>
      <c r="AM14" s="1610"/>
      <c r="AN14" s="267"/>
      <c r="AP14" s="267"/>
      <c r="AQ14" s="1596"/>
      <c r="AR14" s="1597"/>
      <c r="AS14" s="1597"/>
      <c r="AT14" s="1597"/>
      <c r="AU14" s="1597"/>
      <c r="AV14" s="1597"/>
      <c r="AW14" s="1597"/>
      <c r="AX14" s="1597"/>
      <c r="AY14" s="1597"/>
      <c r="AZ14" s="1597"/>
      <c r="BA14" s="1597"/>
      <c r="BB14" s="1597"/>
      <c r="BC14" s="1597"/>
      <c r="BD14" s="1597"/>
      <c r="BE14" s="1597"/>
      <c r="BF14" s="1597"/>
      <c r="BG14" s="1597"/>
      <c r="BH14" s="1597"/>
      <c r="BI14" s="1597"/>
      <c r="BJ14" s="1597"/>
      <c r="BK14" s="1597"/>
      <c r="BL14" s="1597"/>
      <c r="BM14" s="1597"/>
      <c r="BN14" s="1597"/>
      <c r="BO14" s="1597"/>
      <c r="BP14" s="1597"/>
      <c r="BQ14" s="1597"/>
      <c r="BR14" s="1597"/>
      <c r="BS14" s="1597"/>
      <c r="BT14" s="1597"/>
      <c r="BU14" s="1597"/>
      <c r="BV14" s="1597"/>
      <c r="BW14" s="1597"/>
      <c r="BX14" s="1597"/>
      <c r="BY14" s="1597"/>
      <c r="BZ14" s="1597"/>
      <c r="CA14" s="1598"/>
      <c r="CB14" s="267"/>
    </row>
    <row r="15" spans="1:80" ht="15.95" customHeight="1" x14ac:dyDescent="0.2">
      <c r="A15" s="267"/>
      <c r="B15" s="1621" t="s">
        <v>112</v>
      </c>
      <c r="C15" s="1621"/>
      <c r="D15" s="1621"/>
      <c r="E15" s="1621"/>
      <c r="F15" s="1621"/>
      <c r="G15" s="1621"/>
      <c r="H15" s="1621"/>
      <c r="I15" s="1621"/>
      <c r="J15" s="1621"/>
      <c r="K15" s="1621"/>
      <c r="L15" s="1621"/>
      <c r="M15" s="1621"/>
      <c r="N15" s="1621"/>
      <c r="O15" s="1621"/>
      <c r="P15" s="1621"/>
      <c r="Q15" s="1621"/>
      <c r="R15" s="1621"/>
      <c r="S15" s="1621"/>
      <c r="T15" s="1621"/>
      <c r="U15" s="1621"/>
      <c r="V15" s="1621"/>
      <c r="W15" s="1621"/>
      <c r="X15" s="1621"/>
      <c r="Y15" s="1621"/>
      <c r="Z15" s="1621"/>
      <c r="AA15" s="1621"/>
      <c r="AB15" s="1621"/>
      <c r="AC15" s="1621"/>
      <c r="AD15" s="1621"/>
      <c r="AE15" s="1621"/>
      <c r="AF15" s="1621"/>
      <c r="AG15" s="1621"/>
      <c r="AH15" s="1621"/>
      <c r="AI15" s="1621"/>
      <c r="AJ15" s="1621"/>
      <c r="AK15" s="1621"/>
      <c r="AL15" s="1621"/>
      <c r="AM15" s="1621"/>
      <c r="AN15" s="267"/>
      <c r="AP15" s="267"/>
      <c r="AQ15" s="1599"/>
      <c r="AR15" s="1600"/>
      <c r="AS15" s="1600"/>
      <c r="AT15" s="1600"/>
      <c r="AU15" s="1600"/>
      <c r="AV15" s="1600"/>
      <c r="AW15" s="1600"/>
      <c r="AX15" s="1600"/>
      <c r="AY15" s="1600"/>
      <c r="AZ15" s="1600"/>
      <c r="BA15" s="1600"/>
      <c r="BB15" s="1600"/>
      <c r="BC15" s="1600"/>
      <c r="BD15" s="1600"/>
      <c r="BE15" s="1600"/>
      <c r="BF15" s="1600"/>
      <c r="BG15" s="1600"/>
      <c r="BH15" s="1600"/>
      <c r="BI15" s="1600"/>
      <c r="BJ15" s="1600"/>
      <c r="BK15" s="1600"/>
      <c r="BL15" s="1600"/>
      <c r="BM15" s="1600"/>
      <c r="BN15" s="1600"/>
      <c r="BO15" s="1600"/>
      <c r="BP15" s="1600"/>
      <c r="BQ15" s="1600"/>
      <c r="BR15" s="1600"/>
      <c r="BS15" s="1600"/>
      <c r="BT15" s="1600"/>
      <c r="BU15" s="1600"/>
      <c r="BV15" s="1600"/>
      <c r="BW15" s="1600"/>
      <c r="BX15" s="1600"/>
      <c r="BY15" s="1600"/>
      <c r="BZ15" s="1600"/>
      <c r="CA15" s="1601"/>
      <c r="CB15" s="267"/>
    </row>
    <row r="16" spans="1:80" ht="15.95" customHeight="1" x14ac:dyDescent="0.2">
      <c r="A16" s="267"/>
      <c r="B16" s="1602"/>
      <c r="C16" s="1603"/>
      <c r="D16" s="1603"/>
      <c r="E16" s="1603"/>
      <c r="F16" s="1603"/>
      <c r="G16" s="1603"/>
      <c r="H16" s="1603"/>
      <c r="I16" s="1603"/>
      <c r="J16" s="1603"/>
      <c r="K16" s="1603"/>
      <c r="L16" s="1603"/>
      <c r="M16" s="1603"/>
      <c r="N16" s="1603"/>
      <c r="O16" s="1603"/>
      <c r="P16" s="1603"/>
      <c r="Q16" s="1603"/>
      <c r="R16" s="1603"/>
      <c r="S16" s="1603"/>
      <c r="T16" s="1603"/>
      <c r="U16" s="1603"/>
      <c r="V16" s="1603"/>
      <c r="W16" s="1603"/>
      <c r="X16" s="1603"/>
      <c r="Y16" s="1603"/>
      <c r="Z16" s="1603"/>
      <c r="AA16" s="1603"/>
      <c r="AB16" s="1603"/>
      <c r="AC16" s="1603"/>
      <c r="AD16" s="1603"/>
      <c r="AE16" s="1603"/>
      <c r="AF16" s="1603"/>
      <c r="AG16" s="1603"/>
      <c r="AH16" s="1603"/>
      <c r="AI16" s="1603"/>
      <c r="AJ16" s="1603"/>
      <c r="AK16" s="1603"/>
      <c r="AL16" s="1603"/>
      <c r="AM16" s="1604"/>
      <c r="AN16" s="267"/>
      <c r="AP16" s="267"/>
      <c r="AQ16" s="268" t="s">
        <v>950</v>
      </c>
      <c r="AR16" s="345"/>
      <c r="AS16" s="345"/>
      <c r="AT16" s="345"/>
      <c r="AU16" s="345"/>
      <c r="AV16" s="345"/>
      <c r="AW16" s="346"/>
      <c r="AX16" s="346"/>
      <c r="AY16" s="346"/>
      <c r="AZ16" s="346"/>
      <c r="BA16" s="346"/>
      <c r="BB16" s="346"/>
      <c r="BC16" s="346"/>
      <c r="BD16" s="346"/>
      <c r="BE16" s="346"/>
      <c r="BF16" s="346"/>
      <c r="BG16" s="346"/>
      <c r="BH16" s="346"/>
      <c r="BI16" s="346"/>
      <c r="BJ16" s="346"/>
      <c r="BK16" s="346"/>
      <c r="BL16" s="346"/>
      <c r="BM16" s="346"/>
      <c r="BN16" s="346"/>
      <c r="BO16" s="346"/>
      <c r="BP16" s="346"/>
      <c r="BQ16" s="346"/>
      <c r="BR16" s="346"/>
      <c r="BS16" s="346"/>
      <c r="BT16" s="346"/>
      <c r="BU16" s="346"/>
      <c r="BV16" s="346"/>
      <c r="BW16" s="346"/>
      <c r="BX16" s="346"/>
      <c r="BY16" s="346"/>
      <c r="BZ16" s="346"/>
      <c r="CA16" s="346"/>
      <c r="CB16" s="267"/>
    </row>
    <row r="17" spans="1:80" ht="15.95" customHeight="1" x14ac:dyDescent="0.2">
      <c r="A17" s="267"/>
      <c r="B17" s="1605"/>
      <c r="C17" s="1606"/>
      <c r="D17" s="1606"/>
      <c r="E17" s="1606"/>
      <c r="F17" s="1606"/>
      <c r="G17" s="1606"/>
      <c r="H17" s="1606"/>
      <c r="I17" s="1606"/>
      <c r="J17" s="1606"/>
      <c r="K17" s="1606"/>
      <c r="L17" s="1606"/>
      <c r="M17" s="1606"/>
      <c r="N17" s="1606"/>
      <c r="O17" s="1606"/>
      <c r="P17" s="1606"/>
      <c r="Q17" s="1606"/>
      <c r="R17" s="1606"/>
      <c r="S17" s="1606"/>
      <c r="T17" s="1606"/>
      <c r="U17" s="1606"/>
      <c r="V17" s="1606"/>
      <c r="W17" s="1606"/>
      <c r="X17" s="1606"/>
      <c r="Y17" s="1606"/>
      <c r="Z17" s="1606"/>
      <c r="AA17" s="1606"/>
      <c r="AB17" s="1606"/>
      <c r="AC17" s="1606"/>
      <c r="AD17" s="1606"/>
      <c r="AE17" s="1606"/>
      <c r="AF17" s="1606"/>
      <c r="AG17" s="1606"/>
      <c r="AH17" s="1606"/>
      <c r="AI17" s="1606"/>
      <c r="AJ17" s="1606"/>
      <c r="AK17" s="1606"/>
      <c r="AL17" s="1606"/>
      <c r="AM17" s="1607"/>
      <c r="AN17" s="267"/>
      <c r="AP17" s="267"/>
      <c r="AQ17" s="1596"/>
      <c r="AR17" s="1597"/>
      <c r="AS17" s="1597"/>
      <c r="AT17" s="1597"/>
      <c r="AU17" s="1597"/>
      <c r="AV17" s="1597"/>
      <c r="AW17" s="1597"/>
      <c r="AX17" s="1597"/>
      <c r="AY17" s="1597"/>
      <c r="AZ17" s="1597"/>
      <c r="BA17" s="1597"/>
      <c r="BB17" s="1597"/>
      <c r="BC17" s="1597"/>
      <c r="BD17" s="1597"/>
      <c r="BE17" s="1597"/>
      <c r="BF17" s="1597"/>
      <c r="BG17" s="1597"/>
      <c r="BH17" s="1597"/>
      <c r="BI17" s="1597"/>
      <c r="BJ17" s="1597"/>
      <c r="BK17" s="1597"/>
      <c r="BL17" s="1597"/>
      <c r="BM17" s="1597"/>
      <c r="BN17" s="1597"/>
      <c r="BO17" s="1597"/>
      <c r="BP17" s="1597"/>
      <c r="BQ17" s="1597"/>
      <c r="BR17" s="1597"/>
      <c r="BS17" s="1597"/>
      <c r="BT17" s="1597"/>
      <c r="BU17" s="1597"/>
      <c r="BV17" s="1597"/>
      <c r="BW17" s="1597"/>
      <c r="BX17" s="1597"/>
      <c r="BY17" s="1597"/>
      <c r="BZ17" s="1597"/>
      <c r="CA17" s="1598"/>
      <c r="CB17" s="267"/>
    </row>
    <row r="18" spans="1:80" ht="15.95" customHeight="1" x14ac:dyDescent="0.2">
      <c r="A18" s="267"/>
      <c r="B18" s="1608"/>
      <c r="C18" s="1609"/>
      <c r="D18" s="1609"/>
      <c r="E18" s="1609"/>
      <c r="F18" s="1609"/>
      <c r="G18" s="1609"/>
      <c r="H18" s="1609"/>
      <c r="I18" s="1609"/>
      <c r="J18" s="1609"/>
      <c r="K18" s="1609"/>
      <c r="L18" s="1609"/>
      <c r="M18" s="1609"/>
      <c r="N18" s="1609"/>
      <c r="O18" s="1609"/>
      <c r="P18" s="1609"/>
      <c r="Q18" s="1609"/>
      <c r="R18" s="1609"/>
      <c r="S18" s="1609"/>
      <c r="T18" s="1609"/>
      <c r="U18" s="1609"/>
      <c r="V18" s="1609"/>
      <c r="W18" s="1609"/>
      <c r="X18" s="1609"/>
      <c r="Y18" s="1609"/>
      <c r="Z18" s="1609"/>
      <c r="AA18" s="1609"/>
      <c r="AB18" s="1609"/>
      <c r="AC18" s="1609"/>
      <c r="AD18" s="1609"/>
      <c r="AE18" s="1609"/>
      <c r="AF18" s="1609"/>
      <c r="AG18" s="1609"/>
      <c r="AH18" s="1609"/>
      <c r="AI18" s="1609"/>
      <c r="AJ18" s="1609"/>
      <c r="AK18" s="1609"/>
      <c r="AL18" s="1609"/>
      <c r="AM18" s="1610"/>
      <c r="AN18" s="267"/>
      <c r="AP18" s="267"/>
      <c r="AQ18" s="1599"/>
      <c r="AR18" s="1600"/>
      <c r="AS18" s="1600"/>
      <c r="AT18" s="1600"/>
      <c r="AU18" s="1600"/>
      <c r="AV18" s="1600"/>
      <c r="AW18" s="1600"/>
      <c r="AX18" s="1600"/>
      <c r="AY18" s="1600"/>
      <c r="AZ18" s="1600"/>
      <c r="BA18" s="1600"/>
      <c r="BB18" s="1600"/>
      <c r="BC18" s="1600"/>
      <c r="BD18" s="1600"/>
      <c r="BE18" s="1600"/>
      <c r="BF18" s="1600"/>
      <c r="BG18" s="1600"/>
      <c r="BH18" s="1600"/>
      <c r="BI18" s="1600"/>
      <c r="BJ18" s="1600"/>
      <c r="BK18" s="1600"/>
      <c r="BL18" s="1600"/>
      <c r="BM18" s="1600"/>
      <c r="BN18" s="1600"/>
      <c r="BO18" s="1600"/>
      <c r="BP18" s="1600"/>
      <c r="BQ18" s="1600"/>
      <c r="BR18" s="1600"/>
      <c r="BS18" s="1600"/>
      <c r="BT18" s="1600"/>
      <c r="BU18" s="1600"/>
      <c r="BV18" s="1600"/>
      <c r="BW18" s="1600"/>
      <c r="BX18" s="1600"/>
      <c r="BY18" s="1600"/>
      <c r="BZ18" s="1600"/>
      <c r="CA18" s="1601"/>
      <c r="CB18" s="267"/>
    </row>
    <row r="19" spans="1:80" ht="15.95" customHeight="1" x14ac:dyDescent="0.2">
      <c r="A19" s="267"/>
      <c r="B19" s="1621" t="s">
        <v>113</v>
      </c>
      <c r="C19" s="1621"/>
      <c r="D19" s="1621"/>
      <c r="E19" s="1621"/>
      <c r="F19" s="1621"/>
      <c r="G19" s="1621"/>
      <c r="H19" s="1621"/>
      <c r="I19" s="1621"/>
      <c r="J19" s="1621"/>
      <c r="K19" s="1621"/>
      <c r="L19" s="1621"/>
      <c r="M19" s="1621"/>
      <c r="N19" s="1621"/>
      <c r="O19" s="1621"/>
      <c r="P19" s="1621"/>
      <c r="Q19" s="1621"/>
      <c r="R19" s="1621"/>
      <c r="S19" s="1621"/>
      <c r="T19" s="1621"/>
      <c r="U19" s="1621"/>
      <c r="V19" s="1621"/>
      <c r="W19" s="1621"/>
      <c r="X19" s="1621"/>
      <c r="Y19" s="1621"/>
      <c r="Z19" s="1621"/>
      <c r="AA19" s="1621"/>
      <c r="AB19" s="1621"/>
      <c r="AC19" s="1621"/>
      <c r="AD19" s="1621"/>
      <c r="AE19" s="1621"/>
      <c r="AF19" s="1621"/>
      <c r="AG19" s="1621"/>
      <c r="AH19" s="1621"/>
      <c r="AI19" s="1621"/>
      <c r="AJ19" s="1621"/>
      <c r="AK19" s="1621"/>
      <c r="AL19" s="1621"/>
      <c r="AM19" s="1621"/>
      <c r="AN19" s="267"/>
      <c r="AP19" s="267"/>
      <c r="AQ19" s="268" t="s">
        <v>954</v>
      </c>
      <c r="AR19" s="267"/>
      <c r="AS19" s="267"/>
      <c r="AT19" s="267"/>
      <c r="AU19" s="267"/>
      <c r="AV19" s="267"/>
      <c r="AW19" s="267"/>
      <c r="AX19" s="267"/>
      <c r="AY19" s="267"/>
      <c r="AZ19" s="267"/>
      <c r="BA19" s="267"/>
      <c r="BB19" s="267"/>
      <c r="BC19" s="267"/>
      <c r="BD19" s="267"/>
      <c r="BE19" s="267"/>
      <c r="BF19" s="267"/>
      <c r="BG19" s="267"/>
      <c r="BH19" s="267"/>
      <c r="BI19" s="267"/>
      <c r="BJ19" s="267"/>
      <c r="BK19" s="267"/>
      <c r="BL19" s="267"/>
      <c r="BM19" s="267"/>
      <c r="BN19" s="267"/>
      <c r="BO19" s="267"/>
      <c r="BP19" s="267"/>
      <c r="BQ19" s="267"/>
      <c r="BR19" s="267"/>
      <c r="BS19" s="267"/>
      <c r="BT19" s="267"/>
      <c r="BU19" s="267"/>
      <c r="BV19" s="267"/>
      <c r="BW19" s="267"/>
      <c r="BX19" s="267"/>
      <c r="BY19" s="267"/>
      <c r="BZ19" s="267"/>
      <c r="CA19" s="267"/>
      <c r="CB19" s="267"/>
    </row>
    <row r="20" spans="1:80" ht="15.95" customHeight="1" x14ac:dyDescent="0.2">
      <c r="A20" s="267"/>
      <c r="B20" s="1602"/>
      <c r="C20" s="1603"/>
      <c r="D20" s="1603"/>
      <c r="E20" s="1603"/>
      <c r="F20" s="1603"/>
      <c r="G20" s="1603"/>
      <c r="H20" s="1603"/>
      <c r="I20" s="1603"/>
      <c r="J20" s="1603"/>
      <c r="K20" s="1603"/>
      <c r="L20" s="1603"/>
      <c r="M20" s="1603"/>
      <c r="N20" s="1603"/>
      <c r="O20" s="1603"/>
      <c r="P20" s="1603"/>
      <c r="Q20" s="1603"/>
      <c r="R20" s="1603"/>
      <c r="S20" s="1603"/>
      <c r="T20" s="1603"/>
      <c r="U20" s="1603"/>
      <c r="V20" s="1603"/>
      <c r="W20" s="1603"/>
      <c r="X20" s="1603"/>
      <c r="Y20" s="1603"/>
      <c r="Z20" s="1603"/>
      <c r="AA20" s="1603"/>
      <c r="AB20" s="1603"/>
      <c r="AC20" s="1603"/>
      <c r="AD20" s="1603"/>
      <c r="AE20" s="1603"/>
      <c r="AF20" s="1603"/>
      <c r="AG20" s="1603"/>
      <c r="AH20" s="1603"/>
      <c r="AI20" s="1603"/>
      <c r="AJ20" s="1603"/>
      <c r="AK20" s="1603"/>
      <c r="AL20" s="1603"/>
      <c r="AM20" s="1604"/>
      <c r="AN20" s="267"/>
      <c r="AP20" s="267"/>
      <c r="AQ20" s="1593"/>
      <c r="AR20" s="1594"/>
      <c r="AS20" s="1594"/>
      <c r="AT20" s="1594"/>
      <c r="AU20" s="1594"/>
      <c r="AV20" s="1594"/>
      <c r="AW20" s="1594"/>
      <c r="AX20" s="1594"/>
      <c r="AY20" s="1594"/>
      <c r="AZ20" s="1594"/>
      <c r="BA20" s="1594"/>
      <c r="BB20" s="1594"/>
      <c r="BC20" s="1594"/>
      <c r="BD20" s="1594"/>
      <c r="BE20" s="1594"/>
      <c r="BF20" s="1594"/>
      <c r="BG20" s="1594"/>
      <c r="BH20" s="1594"/>
      <c r="BI20" s="1594"/>
      <c r="BJ20" s="1594"/>
      <c r="BK20" s="1594"/>
      <c r="BL20" s="1594"/>
      <c r="BM20" s="1594"/>
      <c r="BN20" s="1594"/>
      <c r="BO20" s="1594"/>
      <c r="BP20" s="1594"/>
      <c r="BQ20" s="1594"/>
      <c r="BR20" s="1594"/>
      <c r="BS20" s="1594"/>
      <c r="BT20" s="1594"/>
      <c r="BU20" s="1594"/>
      <c r="BV20" s="1594"/>
      <c r="BW20" s="1594"/>
      <c r="BX20" s="1594"/>
      <c r="BY20" s="1594"/>
      <c r="BZ20" s="1594"/>
      <c r="CA20" s="1595"/>
      <c r="CB20" s="267"/>
    </row>
    <row r="21" spans="1:80" ht="15.95" customHeight="1" x14ac:dyDescent="0.2">
      <c r="A21" s="267"/>
      <c r="B21" s="1605"/>
      <c r="C21" s="1606"/>
      <c r="D21" s="1606"/>
      <c r="E21" s="1606"/>
      <c r="F21" s="1606"/>
      <c r="G21" s="1606"/>
      <c r="H21" s="1606"/>
      <c r="I21" s="1606"/>
      <c r="J21" s="1606"/>
      <c r="K21" s="1606"/>
      <c r="L21" s="1606"/>
      <c r="M21" s="1606"/>
      <c r="N21" s="1606"/>
      <c r="O21" s="1606"/>
      <c r="P21" s="1606"/>
      <c r="Q21" s="1606"/>
      <c r="R21" s="1606"/>
      <c r="S21" s="1606"/>
      <c r="T21" s="1606"/>
      <c r="U21" s="1606"/>
      <c r="V21" s="1606"/>
      <c r="W21" s="1606"/>
      <c r="X21" s="1606"/>
      <c r="Y21" s="1606"/>
      <c r="Z21" s="1606"/>
      <c r="AA21" s="1606"/>
      <c r="AB21" s="1606"/>
      <c r="AC21" s="1606"/>
      <c r="AD21" s="1606"/>
      <c r="AE21" s="1606"/>
      <c r="AF21" s="1606"/>
      <c r="AG21" s="1606"/>
      <c r="AH21" s="1606"/>
      <c r="AI21" s="1606"/>
      <c r="AJ21" s="1606"/>
      <c r="AK21" s="1606"/>
      <c r="AL21" s="1606"/>
      <c r="AM21" s="1607"/>
      <c r="AN21" s="267"/>
      <c r="AP21" s="267"/>
      <c r="AQ21" s="268" t="s">
        <v>110</v>
      </c>
      <c r="AR21" s="267"/>
      <c r="AS21" s="267"/>
      <c r="AT21" s="267"/>
      <c r="AU21" s="267"/>
      <c r="AV21" s="267"/>
      <c r="AW21" s="267"/>
      <c r="AX21" s="267"/>
      <c r="AY21" s="267"/>
      <c r="AZ21" s="267"/>
      <c r="BA21" s="267"/>
      <c r="BB21" s="267"/>
      <c r="BC21" s="267"/>
      <c r="BD21" s="267"/>
      <c r="BE21" s="267"/>
      <c r="BF21" s="267"/>
      <c r="BG21" s="267"/>
      <c r="BH21" s="267"/>
      <c r="BI21" s="267"/>
      <c r="BJ21" s="267"/>
      <c r="BK21" s="267"/>
      <c r="BL21" s="267"/>
      <c r="BM21" s="267"/>
      <c r="BN21" s="267"/>
      <c r="BO21" s="267"/>
      <c r="BP21" s="267"/>
      <c r="BQ21" s="267"/>
      <c r="BR21" s="267"/>
      <c r="BS21" s="267"/>
      <c r="BT21" s="267"/>
      <c r="BU21" s="267"/>
      <c r="BV21" s="267"/>
      <c r="BW21" s="267"/>
      <c r="BX21" s="267"/>
      <c r="BY21" s="267"/>
      <c r="BZ21" s="267"/>
      <c r="CA21" s="267"/>
      <c r="CB21" s="267"/>
    </row>
    <row r="22" spans="1:80" ht="15.95" customHeight="1" x14ac:dyDescent="0.2">
      <c r="A22" s="267"/>
      <c r="B22" s="1605"/>
      <c r="C22" s="1606"/>
      <c r="D22" s="1606"/>
      <c r="E22" s="1606"/>
      <c r="F22" s="1606"/>
      <c r="G22" s="1606"/>
      <c r="H22" s="1606"/>
      <c r="I22" s="1606"/>
      <c r="J22" s="1606"/>
      <c r="K22" s="1606"/>
      <c r="L22" s="1606"/>
      <c r="M22" s="1606"/>
      <c r="N22" s="1606"/>
      <c r="O22" s="1606"/>
      <c r="P22" s="1606"/>
      <c r="Q22" s="1606"/>
      <c r="R22" s="1606"/>
      <c r="S22" s="1606"/>
      <c r="T22" s="1606"/>
      <c r="U22" s="1606"/>
      <c r="V22" s="1606"/>
      <c r="W22" s="1606"/>
      <c r="X22" s="1606"/>
      <c r="Y22" s="1606"/>
      <c r="Z22" s="1606"/>
      <c r="AA22" s="1606"/>
      <c r="AB22" s="1606"/>
      <c r="AC22" s="1606"/>
      <c r="AD22" s="1606"/>
      <c r="AE22" s="1606"/>
      <c r="AF22" s="1606"/>
      <c r="AG22" s="1606"/>
      <c r="AH22" s="1606"/>
      <c r="AI22" s="1606"/>
      <c r="AJ22" s="1606"/>
      <c r="AK22" s="1606"/>
      <c r="AL22" s="1606"/>
      <c r="AM22" s="1607"/>
      <c r="AN22" s="267"/>
      <c r="AP22" s="267"/>
      <c r="AQ22" s="1616" t="s">
        <v>951</v>
      </c>
      <c r="AR22" s="1617"/>
      <c r="AS22" s="1618"/>
      <c r="AT22" s="1585"/>
      <c r="AU22" s="1585"/>
      <c r="AV22" s="1585"/>
      <c r="AW22" s="1585"/>
      <c r="AX22" s="1585"/>
      <c r="AY22" s="1585"/>
      <c r="AZ22" s="1585"/>
      <c r="BA22" s="1585"/>
      <c r="BB22" s="1585"/>
      <c r="BC22" s="1585"/>
      <c r="BD22" s="1585"/>
      <c r="BE22" s="1585"/>
      <c r="BF22" s="1585"/>
      <c r="BG22" s="1585"/>
      <c r="BH22" s="1585"/>
      <c r="BI22" s="1585"/>
      <c r="BJ22" s="1585"/>
      <c r="BK22" s="1585"/>
      <c r="BL22" s="1585"/>
      <c r="BM22" s="1585"/>
      <c r="BN22" s="1585"/>
      <c r="BO22" s="1585"/>
      <c r="BP22" s="1585"/>
      <c r="BQ22" s="1585"/>
      <c r="BR22" s="1585"/>
      <c r="BS22" s="1585"/>
      <c r="BT22" s="1585"/>
      <c r="BU22" s="1585"/>
      <c r="BV22" s="1585"/>
      <c r="BW22" s="1585"/>
      <c r="BX22" s="1585"/>
      <c r="BY22" s="1585"/>
      <c r="BZ22" s="1585"/>
      <c r="CA22" s="1586"/>
      <c r="CB22" s="267"/>
    </row>
    <row r="23" spans="1:80" ht="15.95" customHeight="1" x14ac:dyDescent="0.2">
      <c r="A23" s="267"/>
      <c r="B23" s="1608"/>
      <c r="C23" s="1609"/>
      <c r="D23" s="1609"/>
      <c r="E23" s="1609"/>
      <c r="F23" s="1609"/>
      <c r="G23" s="1609"/>
      <c r="H23" s="1609"/>
      <c r="I23" s="1609"/>
      <c r="J23" s="1609"/>
      <c r="K23" s="1609"/>
      <c r="L23" s="1609"/>
      <c r="M23" s="1609"/>
      <c r="N23" s="1609"/>
      <c r="O23" s="1609"/>
      <c r="P23" s="1609"/>
      <c r="Q23" s="1609"/>
      <c r="R23" s="1609"/>
      <c r="S23" s="1609"/>
      <c r="T23" s="1609"/>
      <c r="U23" s="1609"/>
      <c r="V23" s="1609"/>
      <c r="W23" s="1609"/>
      <c r="X23" s="1609"/>
      <c r="Y23" s="1609"/>
      <c r="Z23" s="1609"/>
      <c r="AA23" s="1609"/>
      <c r="AB23" s="1609"/>
      <c r="AC23" s="1609"/>
      <c r="AD23" s="1609"/>
      <c r="AE23" s="1609"/>
      <c r="AF23" s="1609"/>
      <c r="AG23" s="1609"/>
      <c r="AH23" s="1609"/>
      <c r="AI23" s="1609"/>
      <c r="AJ23" s="1609"/>
      <c r="AK23" s="1609"/>
      <c r="AL23" s="1609"/>
      <c r="AM23" s="1610"/>
      <c r="AN23" s="267"/>
      <c r="AP23" s="267"/>
      <c r="AQ23" s="1619" t="s">
        <v>20</v>
      </c>
      <c r="AR23" s="1620"/>
      <c r="AS23" s="1622"/>
      <c r="AT23" s="1591"/>
      <c r="AU23" s="1591"/>
      <c r="AV23" s="1591"/>
      <c r="AW23" s="1591"/>
      <c r="AX23" s="1591"/>
      <c r="AY23" s="1591"/>
      <c r="AZ23" s="1591"/>
      <c r="BA23" s="1591"/>
      <c r="BB23" s="1591"/>
      <c r="BC23" s="1591"/>
      <c r="BD23" s="1591"/>
      <c r="BE23" s="1591"/>
      <c r="BF23" s="1591"/>
      <c r="BG23" s="1591"/>
      <c r="BH23" s="1591"/>
      <c r="BI23" s="1591"/>
      <c r="BJ23" s="1591"/>
      <c r="BK23" s="1591"/>
      <c r="BL23" s="1591"/>
      <c r="BM23" s="1591"/>
      <c r="BN23" s="1591"/>
      <c r="BO23" s="1591"/>
      <c r="BP23" s="1591"/>
      <c r="BQ23" s="1591"/>
      <c r="BR23" s="1591"/>
      <c r="BS23" s="1591"/>
      <c r="BT23" s="1591"/>
      <c r="BU23" s="1591"/>
      <c r="BV23" s="1591"/>
      <c r="BW23" s="1591"/>
      <c r="BX23" s="1591"/>
      <c r="BY23" s="1591"/>
      <c r="BZ23" s="1591"/>
      <c r="CA23" s="1592"/>
      <c r="CB23" s="267"/>
    </row>
    <row r="24" spans="1:80" ht="15.95" customHeight="1" x14ac:dyDescent="0.2">
      <c r="A24" s="267"/>
      <c r="B24" s="267"/>
      <c r="C24" s="267"/>
      <c r="D24" s="267"/>
      <c r="E24" s="267"/>
      <c r="F24" s="267"/>
      <c r="G24" s="267"/>
      <c r="H24" s="267"/>
      <c r="I24" s="267"/>
      <c r="J24" s="267"/>
      <c r="K24" s="267"/>
      <c r="L24" s="267"/>
      <c r="M24" s="267"/>
      <c r="N24" s="267"/>
      <c r="O24" s="267"/>
      <c r="P24" s="267"/>
      <c r="Q24" s="267"/>
      <c r="R24" s="267"/>
      <c r="S24" s="267"/>
      <c r="T24" s="267"/>
      <c r="U24" s="267"/>
      <c r="V24" s="267"/>
      <c r="W24" s="267"/>
      <c r="X24" s="267"/>
      <c r="Y24" s="267"/>
      <c r="Z24" s="267"/>
      <c r="AA24" s="267"/>
      <c r="AB24" s="267"/>
      <c r="AC24" s="267"/>
      <c r="AD24" s="267"/>
      <c r="AE24" s="267"/>
      <c r="AF24" s="267"/>
      <c r="AG24" s="267"/>
      <c r="AH24" s="267"/>
      <c r="AI24" s="267"/>
      <c r="AJ24" s="267"/>
      <c r="AK24" s="267"/>
      <c r="AL24" s="267"/>
      <c r="AM24" s="267"/>
      <c r="AN24" s="267"/>
      <c r="AP24" s="267"/>
      <c r="AQ24" s="267"/>
      <c r="AR24" s="267"/>
      <c r="AS24" s="267"/>
      <c r="AT24" s="267"/>
      <c r="AU24" s="267"/>
      <c r="AV24" s="267"/>
      <c r="AW24" s="267"/>
      <c r="AX24" s="267"/>
      <c r="AY24" s="267"/>
      <c r="AZ24" s="267"/>
      <c r="BA24" s="267"/>
      <c r="BB24" s="267"/>
      <c r="BC24" s="267"/>
      <c r="BD24" s="267"/>
      <c r="BE24" s="267"/>
      <c r="BF24" s="267"/>
      <c r="BG24" s="267"/>
      <c r="BH24" s="267"/>
      <c r="BI24" s="267"/>
      <c r="BJ24" s="267"/>
      <c r="BK24" s="267"/>
      <c r="BL24" s="267"/>
      <c r="BM24" s="267"/>
      <c r="BN24" s="267"/>
      <c r="BO24" s="267"/>
      <c r="BP24" s="267"/>
      <c r="BQ24" s="267"/>
      <c r="BR24" s="267"/>
      <c r="BS24" s="267"/>
      <c r="BT24" s="267"/>
      <c r="BU24" s="267"/>
      <c r="BV24" s="267"/>
      <c r="BW24" s="267"/>
      <c r="BX24" s="267"/>
      <c r="BY24" s="267"/>
      <c r="BZ24" s="267"/>
      <c r="CA24" s="267"/>
      <c r="CB24" s="267"/>
    </row>
    <row r="25" spans="1:80" ht="15.95" customHeight="1" thickBot="1" x14ac:dyDescent="0.25">
      <c r="A25" s="266"/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  <c r="AA25" s="269"/>
      <c r="AB25" s="269"/>
      <c r="AC25" s="269"/>
      <c r="AD25" s="269"/>
      <c r="AE25" s="269"/>
      <c r="AF25" s="269"/>
      <c r="AG25" s="269"/>
      <c r="AH25" s="269"/>
      <c r="AI25" s="269"/>
      <c r="AJ25" s="269"/>
      <c r="AK25" s="269"/>
      <c r="AL25" s="269"/>
      <c r="AM25" s="269"/>
      <c r="AN25" s="266"/>
      <c r="AP25" s="347"/>
      <c r="AQ25" s="347"/>
      <c r="AR25" s="347"/>
      <c r="AS25" s="347"/>
      <c r="AT25" s="347"/>
      <c r="AU25" s="347"/>
      <c r="AV25" s="347"/>
      <c r="AW25" s="347"/>
      <c r="AX25" s="347"/>
      <c r="AY25" s="347"/>
      <c r="AZ25" s="347"/>
      <c r="BA25" s="347"/>
      <c r="BB25" s="347"/>
      <c r="BC25" s="347"/>
      <c r="BD25" s="347"/>
      <c r="BE25" s="347"/>
      <c r="BF25" s="347"/>
      <c r="BG25" s="347"/>
      <c r="BH25" s="347"/>
      <c r="BI25" s="347"/>
      <c r="BJ25" s="347"/>
      <c r="BK25" s="347"/>
      <c r="BL25" s="347"/>
      <c r="BM25" s="347"/>
      <c r="BN25" s="347"/>
      <c r="BO25" s="347"/>
      <c r="BP25" s="347"/>
      <c r="BQ25" s="347"/>
      <c r="BR25" s="347"/>
      <c r="BS25" s="347"/>
      <c r="BT25" s="347"/>
      <c r="BU25" s="347"/>
      <c r="BV25" s="347"/>
      <c r="BW25" s="347"/>
      <c r="BX25" s="347"/>
      <c r="BY25" s="347"/>
      <c r="BZ25" s="347"/>
      <c r="CA25" s="347"/>
      <c r="CB25" s="347"/>
    </row>
    <row r="26" spans="1:80" ht="15.95" customHeight="1" thickTop="1" x14ac:dyDescent="0.25">
      <c r="A26" s="266"/>
      <c r="B26" s="1611"/>
      <c r="C26" s="1612"/>
      <c r="D26" s="1612"/>
      <c r="E26" s="1612"/>
      <c r="F26" s="1612"/>
      <c r="G26" s="1612"/>
      <c r="H26" s="1612"/>
      <c r="I26" s="1612"/>
      <c r="J26" s="1612"/>
      <c r="K26" s="1612"/>
      <c r="L26" s="1612"/>
      <c r="M26" s="1612"/>
      <c r="N26" s="1612"/>
      <c r="O26" s="1612"/>
      <c r="P26" s="1612"/>
      <c r="Q26" s="1612"/>
      <c r="R26" s="1613"/>
      <c r="S26" s="266"/>
      <c r="T26" s="267"/>
      <c r="U26" s="268" t="s">
        <v>181</v>
      </c>
      <c r="V26" s="348"/>
      <c r="W26" s="348"/>
      <c r="X26" s="348"/>
      <c r="Y26" s="348"/>
      <c r="Z26" s="348"/>
      <c r="AA26" s="348"/>
      <c r="AB26" s="348"/>
      <c r="AC26" s="348"/>
      <c r="AD26" s="348"/>
      <c r="AE26" s="348"/>
      <c r="AF26" s="348"/>
      <c r="AG26" s="348"/>
      <c r="AH26" s="348"/>
      <c r="AI26" s="348"/>
      <c r="AJ26" s="348"/>
      <c r="AK26" s="348"/>
      <c r="AL26" s="348"/>
      <c r="AM26" s="348"/>
      <c r="AN26" s="267"/>
      <c r="AO26" s="267"/>
      <c r="AP26" s="267"/>
      <c r="AQ26" s="267"/>
      <c r="AR26" s="267"/>
      <c r="AS26" s="267"/>
      <c r="AT26" s="267"/>
      <c r="AU26" s="267"/>
      <c r="AV26" s="267"/>
      <c r="AW26" s="267"/>
      <c r="AX26" s="267"/>
      <c r="AY26" s="267"/>
      <c r="AZ26" s="267"/>
      <c r="BA26" s="267"/>
      <c r="BB26" s="267"/>
      <c r="BC26" s="267"/>
      <c r="BD26" s="267"/>
      <c r="BE26" s="267"/>
      <c r="BF26" s="267"/>
      <c r="BG26" s="267"/>
      <c r="BH26" s="267"/>
      <c r="BI26" s="267"/>
      <c r="BJ26" s="267"/>
      <c r="BK26" s="267"/>
      <c r="BL26" s="267"/>
      <c r="BM26" s="267"/>
      <c r="BN26" s="267"/>
      <c r="BO26" s="267"/>
      <c r="BP26" s="267"/>
      <c r="BQ26" s="267"/>
      <c r="BR26" s="267"/>
      <c r="BS26" s="267"/>
      <c r="BT26" s="267"/>
      <c r="BU26" s="267"/>
      <c r="BV26" s="267"/>
      <c r="BW26" s="267"/>
      <c r="BX26" s="267"/>
      <c r="BY26" s="267"/>
      <c r="BZ26" s="267"/>
      <c r="CA26" s="267"/>
      <c r="CB26" s="267"/>
    </row>
    <row r="27" spans="1:80" ht="15.95" customHeight="1" x14ac:dyDescent="0.25">
      <c r="B27" s="1614"/>
      <c r="C27" s="270"/>
      <c r="D27" s="271"/>
      <c r="E27" s="272"/>
      <c r="F27" s="272"/>
      <c r="G27" s="272"/>
      <c r="H27" s="272"/>
      <c r="I27" s="272"/>
      <c r="J27" s="272"/>
      <c r="K27" s="272"/>
      <c r="L27" s="272"/>
      <c r="M27" s="272"/>
      <c r="N27" s="272"/>
      <c r="O27" s="272"/>
      <c r="P27" s="272"/>
      <c r="Q27" s="272"/>
      <c r="R27" s="1615"/>
      <c r="T27" s="267"/>
      <c r="U27" s="1584"/>
      <c r="V27" s="1585"/>
      <c r="W27" s="1585"/>
      <c r="X27" s="1585"/>
      <c r="Y27" s="1585"/>
      <c r="Z27" s="1585"/>
      <c r="AA27" s="1585"/>
      <c r="AB27" s="1585"/>
      <c r="AC27" s="1585"/>
      <c r="AD27" s="1585"/>
      <c r="AE27" s="1585"/>
      <c r="AF27" s="1585"/>
      <c r="AG27" s="1585"/>
      <c r="AH27" s="1585"/>
      <c r="AI27" s="1585"/>
      <c r="AJ27" s="1585"/>
      <c r="AK27" s="1585"/>
      <c r="AL27" s="1585"/>
      <c r="AM27" s="1585"/>
      <c r="AN27" s="1585"/>
      <c r="AO27" s="1585"/>
      <c r="AP27" s="1585"/>
      <c r="AQ27" s="1585"/>
      <c r="AR27" s="1585"/>
      <c r="AS27" s="1585"/>
      <c r="AT27" s="1585"/>
      <c r="AU27" s="1585"/>
      <c r="AV27" s="1585"/>
      <c r="AW27" s="1585"/>
      <c r="AX27" s="1585"/>
      <c r="AY27" s="1585"/>
      <c r="AZ27" s="1585"/>
      <c r="BA27" s="1585"/>
      <c r="BB27" s="1585"/>
      <c r="BC27" s="1585"/>
      <c r="BD27" s="1585"/>
      <c r="BE27" s="1585"/>
      <c r="BF27" s="1585"/>
      <c r="BG27" s="1585"/>
      <c r="BH27" s="1585"/>
      <c r="BI27" s="1585"/>
      <c r="BJ27" s="1585"/>
      <c r="BK27" s="1585"/>
      <c r="BL27" s="1585"/>
      <c r="BM27" s="1585"/>
      <c r="BN27" s="1585"/>
      <c r="BO27" s="1585"/>
      <c r="BP27" s="1585"/>
      <c r="BQ27" s="1585"/>
      <c r="BR27" s="1585"/>
      <c r="BS27" s="1585"/>
      <c r="BT27" s="1585"/>
      <c r="BU27" s="1585"/>
      <c r="BV27" s="1585"/>
      <c r="BW27" s="1585"/>
      <c r="BX27" s="1585"/>
      <c r="BY27" s="1585"/>
      <c r="BZ27" s="1585"/>
      <c r="CA27" s="1586"/>
      <c r="CB27" s="267"/>
    </row>
    <row r="28" spans="1:80" ht="15.95" customHeight="1" x14ac:dyDescent="0.25">
      <c r="B28" s="1614"/>
      <c r="C28" s="272"/>
      <c r="D28" s="272"/>
      <c r="E28" s="272"/>
      <c r="F28" s="272"/>
      <c r="G28" s="272"/>
      <c r="H28" s="272"/>
      <c r="I28" s="272"/>
      <c r="J28" s="272"/>
      <c r="K28" s="272"/>
      <c r="L28" s="272"/>
      <c r="M28" s="272"/>
      <c r="N28" s="272"/>
      <c r="O28" s="272"/>
      <c r="P28" s="272"/>
      <c r="Q28" s="272"/>
      <c r="R28" s="1615"/>
      <c r="T28" s="267"/>
      <c r="U28" s="1587"/>
      <c r="V28" s="1588"/>
      <c r="W28" s="1588"/>
      <c r="X28" s="1588"/>
      <c r="Y28" s="1588"/>
      <c r="Z28" s="1588"/>
      <c r="AA28" s="1588"/>
      <c r="AB28" s="1588"/>
      <c r="AC28" s="1588"/>
      <c r="AD28" s="1588"/>
      <c r="AE28" s="1588"/>
      <c r="AF28" s="1588"/>
      <c r="AG28" s="1588"/>
      <c r="AH28" s="1588"/>
      <c r="AI28" s="1588"/>
      <c r="AJ28" s="1588"/>
      <c r="AK28" s="1588"/>
      <c r="AL28" s="1588"/>
      <c r="AM28" s="1588"/>
      <c r="AN28" s="1588"/>
      <c r="AO28" s="1588"/>
      <c r="AP28" s="1588"/>
      <c r="AQ28" s="1588"/>
      <c r="AR28" s="1588"/>
      <c r="AS28" s="1588"/>
      <c r="AT28" s="1588"/>
      <c r="AU28" s="1588"/>
      <c r="AV28" s="1588"/>
      <c r="AW28" s="1588"/>
      <c r="AX28" s="1588"/>
      <c r="AY28" s="1588"/>
      <c r="AZ28" s="1588"/>
      <c r="BA28" s="1588"/>
      <c r="BB28" s="1588"/>
      <c r="BC28" s="1588"/>
      <c r="BD28" s="1588"/>
      <c r="BE28" s="1588"/>
      <c r="BF28" s="1588"/>
      <c r="BG28" s="1588"/>
      <c r="BH28" s="1588"/>
      <c r="BI28" s="1588"/>
      <c r="BJ28" s="1588"/>
      <c r="BK28" s="1588"/>
      <c r="BL28" s="1588"/>
      <c r="BM28" s="1588"/>
      <c r="BN28" s="1588"/>
      <c r="BO28" s="1588"/>
      <c r="BP28" s="1588"/>
      <c r="BQ28" s="1588"/>
      <c r="BR28" s="1588"/>
      <c r="BS28" s="1588"/>
      <c r="BT28" s="1588"/>
      <c r="BU28" s="1588"/>
      <c r="BV28" s="1588"/>
      <c r="BW28" s="1588"/>
      <c r="BX28" s="1588"/>
      <c r="BY28" s="1588"/>
      <c r="BZ28" s="1588"/>
      <c r="CA28" s="1589"/>
      <c r="CB28" s="267"/>
    </row>
    <row r="29" spans="1:80" ht="15.95" customHeight="1" x14ac:dyDescent="0.25">
      <c r="B29" s="1614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1615"/>
      <c r="T29" s="267"/>
      <c r="U29" s="1587"/>
      <c r="V29" s="1588"/>
      <c r="W29" s="1588"/>
      <c r="X29" s="1588"/>
      <c r="Y29" s="1588"/>
      <c r="Z29" s="1588"/>
      <c r="AA29" s="1588"/>
      <c r="AB29" s="1588"/>
      <c r="AC29" s="1588"/>
      <c r="AD29" s="1588"/>
      <c r="AE29" s="1588"/>
      <c r="AF29" s="1588"/>
      <c r="AG29" s="1588"/>
      <c r="AH29" s="1588"/>
      <c r="AI29" s="1588"/>
      <c r="AJ29" s="1588"/>
      <c r="AK29" s="1588"/>
      <c r="AL29" s="1588"/>
      <c r="AM29" s="1588"/>
      <c r="AN29" s="1588"/>
      <c r="AO29" s="1588"/>
      <c r="AP29" s="1588"/>
      <c r="AQ29" s="1588"/>
      <c r="AR29" s="1588"/>
      <c r="AS29" s="1588"/>
      <c r="AT29" s="1588"/>
      <c r="AU29" s="1588"/>
      <c r="AV29" s="1588"/>
      <c r="AW29" s="1588"/>
      <c r="AX29" s="1588"/>
      <c r="AY29" s="1588"/>
      <c r="AZ29" s="1588"/>
      <c r="BA29" s="1588"/>
      <c r="BB29" s="1588"/>
      <c r="BC29" s="1588"/>
      <c r="BD29" s="1588"/>
      <c r="BE29" s="1588"/>
      <c r="BF29" s="1588"/>
      <c r="BG29" s="1588"/>
      <c r="BH29" s="1588"/>
      <c r="BI29" s="1588"/>
      <c r="BJ29" s="1588"/>
      <c r="BK29" s="1588"/>
      <c r="BL29" s="1588"/>
      <c r="BM29" s="1588"/>
      <c r="BN29" s="1588"/>
      <c r="BO29" s="1588"/>
      <c r="BP29" s="1588"/>
      <c r="BQ29" s="1588"/>
      <c r="BR29" s="1588"/>
      <c r="BS29" s="1588"/>
      <c r="BT29" s="1588"/>
      <c r="BU29" s="1588"/>
      <c r="BV29" s="1588"/>
      <c r="BW29" s="1588"/>
      <c r="BX29" s="1588"/>
      <c r="BY29" s="1588"/>
      <c r="BZ29" s="1588"/>
      <c r="CA29" s="1589"/>
      <c r="CB29" s="267"/>
    </row>
    <row r="30" spans="1:80" ht="15.95" customHeight="1" x14ac:dyDescent="0.25">
      <c r="B30" s="1614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1615"/>
      <c r="T30" s="267"/>
      <c r="U30" s="1587"/>
      <c r="V30" s="1588"/>
      <c r="W30" s="1588"/>
      <c r="X30" s="1588"/>
      <c r="Y30" s="1588"/>
      <c r="Z30" s="1588"/>
      <c r="AA30" s="1588"/>
      <c r="AB30" s="1588"/>
      <c r="AC30" s="1588"/>
      <c r="AD30" s="1588"/>
      <c r="AE30" s="1588"/>
      <c r="AF30" s="1588"/>
      <c r="AG30" s="1588"/>
      <c r="AH30" s="1588"/>
      <c r="AI30" s="1588"/>
      <c r="AJ30" s="1588"/>
      <c r="AK30" s="1588"/>
      <c r="AL30" s="1588"/>
      <c r="AM30" s="1588"/>
      <c r="AN30" s="1588"/>
      <c r="AO30" s="1588"/>
      <c r="AP30" s="1588"/>
      <c r="AQ30" s="1588"/>
      <c r="AR30" s="1588"/>
      <c r="AS30" s="1588"/>
      <c r="AT30" s="1588"/>
      <c r="AU30" s="1588"/>
      <c r="AV30" s="1588"/>
      <c r="AW30" s="1588"/>
      <c r="AX30" s="1588"/>
      <c r="AY30" s="1588"/>
      <c r="AZ30" s="1588"/>
      <c r="BA30" s="1588"/>
      <c r="BB30" s="1588"/>
      <c r="BC30" s="1588"/>
      <c r="BD30" s="1588"/>
      <c r="BE30" s="1588"/>
      <c r="BF30" s="1588"/>
      <c r="BG30" s="1588"/>
      <c r="BH30" s="1588"/>
      <c r="BI30" s="1588"/>
      <c r="BJ30" s="1588"/>
      <c r="BK30" s="1588"/>
      <c r="BL30" s="1588"/>
      <c r="BM30" s="1588"/>
      <c r="BN30" s="1588"/>
      <c r="BO30" s="1588"/>
      <c r="BP30" s="1588"/>
      <c r="BQ30" s="1588"/>
      <c r="BR30" s="1588"/>
      <c r="BS30" s="1588"/>
      <c r="BT30" s="1588"/>
      <c r="BU30" s="1588"/>
      <c r="BV30" s="1588"/>
      <c r="BW30" s="1588"/>
      <c r="BX30" s="1588"/>
      <c r="BY30" s="1588"/>
      <c r="BZ30" s="1588"/>
      <c r="CA30" s="1589"/>
      <c r="CB30" s="267"/>
    </row>
    <row r="31" spans="1:80" ht="15.95" customHeight="1" x14ac:dyDescent="0.25">
      <c r="B31" s="1614"/>
      <c r="C31" s="272"/>
      <c r="D31" s="272"/>
      <c r="E31" s="272"/>
      <c r="F31" s="272"/>
      <c r="G31" s="272"/>
      <c r="H31" s="272"/>
      <c r="I31" s="272"/>
      <c r="J31" s="272"/>
      <c r="K31" s="272"/>
      <c r="L31" s="272"/>
      <c r="M31" s="272"/>
      <c r="N31" s="272"/>
      <c r="O31" s="272"/>
      <c r="P31" s="272"/>
      <c r="Q31" s="272"/>
      <c r="R31" s="1615"/>
      <c r="T31" s="267"/>
      <c r="U31" s="1587"/>
      <c r="V31" s="1588"/>
      <c r="W31" s="1588"/>
      <c r="X31" s="1588"/>
      <c r="Y31" s="1588"/>
      <c r="Z31" s="1588"/>
      <c r="AA31" s="1588"/>
      <c r="AB31" s="1588"/>
      <c r="AC31" s="1588"/>
      <c r="AD31" s="1588"/>
      <c r="AE31" s="1588"/>
      <c r="AF31" s="1588"/>
      <c r="AG31" s="1588"/>
      <c r="AH31" s="1588"/>
      <c r="AI31" s="1588"/>
      <c r="AJ31" s="1588"/>
      <c r="AK31" s="1588"/>
      <c r="AL31" s="1588"/>
      <c r="AM31" s="1588"/>
      <c r="AN31" s="1588"/>
      <c r="AO31" s="1588"/>
      <c r="AP31" s="1588"/>
      <c r="AQ31" s="1588"/>
      <c r="AR31" s="1588"/>
      <c r="AS31" s="1588"/>
      <c r="AT31" s="1588"/>
      <c r="AU31" s="1588"/>
      <c r="AV31" s="1588"/>
      <c r="AW31" s="1588"/>
      <c r="AX31" s="1588"/>
      <c r="AY31" s="1588"/>
      <c r="AZ31" s="1588"/>
      <c r="BA31" s="1588"/>
      <c r="BB31" s="1588"/>
      <c r="BC31" s="1588"/>
      <c r="BD31" s="1588"/>
      <c r="BE31" s="1588"/>
      <c r="BF31" s="1588"/>
      <c r="BG31" s="1588"/>
      <c r="BH31" s="1588"/>
      <c r="BI31" s="1588"/>
      <c r="BJ31" s="1588"/>
      <c r="BK31" s="1588"/>
      <c r="BL31" s="1588"/>
      <c r="BM31" s="1588"/>
      <c r="BN31" s="1588"/>
      <c r="BO31" s="1588"/>
      <c r="BP31" s="1588"/>
      <c r="BQ31" s="1588"/>
      <c r="BR31" s="1588"/>
      <c r="BS31" s="1588"/>
      <c r="BT31" s="1588"/>
      <c r="BU31" s="1588"/>
      <c r="BV31" s="1588"/>
      <c r="BW31" s="1588"/>
      <c r="BX31" s="1588"/>
      <c r="BY31" s="1588"/>
      <c r="BZ31" s="1588"/>
      <c r="CA31" s="1589"/>
      <c r="CB31" s="267"/>
    </row>
    <row r="32" spans="1:80" ht="15.95" customHeight="1" x14ac:dyDescent="0.25">
      <c r="B32" s="1614"/>
      <c r="C32" s="272"/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2"/>
      <c r="O32" s="272"/>
      <c r="P32" s="272"/>
      <c r="Q32" s="272"/>
      <c r="R32" s="1615"/>
      <c r="T32" s="267"/>
      <c r="U32" s="1587"/>
      <c r="V32" s="1588"/>
      <c r="W32" s="1588"/>
      <c r="X32" s="1588"/>
      <c r="Y32" s="1588"/>
      <c r="Z32" s="1588"/>
      <c r="AA32" s="1588"/>
      <c r="AB32" s="1588"/>
      <c r="AC32" s="1588"/>
      <c r="AD32" s="1588"/>
      <c r="AE32" s="1588"/>
      <c r="AF32" s="1588"/>
      <c r="AG32" s="1588"/>
      <c r="AH32" s="1588"/>
      <c r="AI32" s="1588"/>
      <c r="AJ32" s="1588"/>
      <c r="AK32" s="1588"/>
      <c r="AL32" s="1588"/>
      <c r="AM32" s="1588"/>
      <c r="AN32" s="1588"/>
      <c r="AO32" s="1588"/>
      <c r="AP32" s="1588"/>
      <c r="AQ32" s="1588"/>
      <c r="AR32" s="1588"/>
      <c r="AS32" s="1588"/>
      <c r="AT32" s="1588"/>
      <c r="AU32" s="1588"/>
      <c r="AV32" s="1588"/>
      <c r="AW32" s="1588"/>
      <c r="AX32" s="1588"/>
      <c r="AY32" s="1588"/>
      <c r="AZ32" s="1588"/>
      <c r="BA32" s="1588"/>
      <c r="BB32" s="1588"/>
      <c r="BC32" s="1588"/>
      <c r="BD32" s="1588"/>
      <c r="BE32" s="1588"/>
      <c r="BF32" s="1588"/>
      <c r="BG32" s="1588"/>
      <c r="BH32" s="1588"/>
      <c r="BI32" s="1588"/>
      <c r="BJ32" s="1588"/>
      <c r="BK32" s="1588"/>
      <c r="BL32" s="1588"/>
      <c r="BM32" s="1588"/>
      <c r="BN32" s="1588"/>
      <c r="BO32" s="1588"/>
      <c r="BP32" s="1588"/>
      <c r="BQ32" s="1588"/>
      <c r="BR32" s="1588"/>
      <c r="BS32" s="1588"/>
      <c r="BT32" s="1588"/>
      <c r="BU32" s="1588"/>
      <c r="BV32" s="1588"/>
      <c r="BW32" s="1588"/>
      <c r="BX32" s="1588"/>
      <c r="BY32" s="1588"/>
      <c r="BZ32" s="1588"/>
      <c r="CA32" s="1589"/>
      <c r="CB32" s="267"/>
    </row>
    <row r="33" spans="2:80" ht="15.95" customHeight="1" x14ac:dyDescent="0.25">
      <c r="B33" s="1614"/>
      <c r="C33" s="272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272"/>
      <c r="R33" s="1615"/>
      <c r="T33" s="267"/>
      <c r="U33" s="1587"/>
      <c r="V33" s="1588"/>
      <c r="W33" s="1588"/>
      <c r="X33" s="1588"/>
      <c r="Y33" s="1588"/>
      <c r="Z33" s="1588"/>
      <c r="AA33" s="1588"/>
      <c r="AB33" s="1588"/>
      <c r="AC33" s="1588"/>
      <c r="AD33" s="1588"/>
      <c r="AE33" s="1588"/>
      <c r="AF33" s="1588"/>
      <c r="AG33" s="1588"/>
      <c r="AH33" s="1588"/>
      <c r="AI33" s="1588"/>
      <c r="AJ33" s="1588"/>
      <c r="AK33" s="1588"/>
      <c r="AL33" s="1588"/>
      <c r="AM33" s="1588"/>
      <c r="AN33" s="1588"/>
      <c r="AO33" s="1588"/>
      <c r="AP33" s="1588"/>
      <c r="AQ33" s="1588"/>
      <c r="AR33" s="1588"/>
      <c r="AS33" s="1588"/>
      <c r="AT33" s="1588"/>
      <c r="AU33" s="1588"/>
      <c r="AV33" s="1588"/>
      <c r="AW33" s="1588"/>
      <c r="AX33" s="1588"/>
      <c r="AY33" s="1588"/>
      <c r="AZ33" s="1588"/>
      <c r="BA33" s="1588"/>
      <c r="BB33" s="1588"/>
      <c r="BC33" s="1588"/>
      <c r="BD33" s="1588"/>
      <c r="BE33" s="1588"/>
      <c r="BF33" s="1588"/>
      <c r="BG33" s="1588"/>
      <c r="BH33" s="1588"/>
      <c r="BI33" s="1588"/>
      <c r="BJ33" s="1588"/>
      <c r="BK33" s="1588"/>
      <c r="BL33" s="1588"/>
      <c r="BM33" s="1588"/>
      <c r="BN33" s="1588"/>
      <c r="BO33" s="1588"/>
      <c r="BP33" s="1588"/>
      <c r="BQ33" s="1588"/>
      <c r="BR33" s="1588"/>
      <c r="BS33" s="1588"/>
      <c r="BT33" s="1588"/>
      <c r="BU33" s="1588"/>
      <c r="BV33" s="1588"/>
      <c r="BW33" s="1588"/>
      <c r="BX33" s="1588"/>
      <c r="BY33" s="1588"/>
      <c r="BZ33" s="1588"/>
      <c r="CA33" s="1589"/>
      <c r="CB33" s="267"/>
    </row>
    <row r="34" spans="2:80" ht="15.95" customHeight="1" x14ac:dyDescent="0.25">
      <c r="B34" s="1614"/>
      <c r="C34" s="272"/>
      <c r="D34" s="272"/>
      <c r="E34" s="272"/>
      <c r="F34" s="272"/>
      <c r="G34" s="272"/>
      <c r="H34" s="272"/>
      <c r="I34" s="272"/>
      <c r="J34" s="272"/>
      <c r="K34" s="272"/>
      <c r="L34" s="272"/>
      <c r="M34" s="272"/>
      <c r="N34" s="272"/>
      <c r="O34" s="272"/>
      <c r="P34" s="272"/>
      <c r="Q34" s="272"/>
      <c r="R34" s="1615"/>
      <c r="T34" s="267"/>
      <c r="U34" s="1587"/>
      <c r="V34" s="1588"/>
      <c r="W34" s="1588"/>
      <c r="X34" s="1588"/>
      <c r="Y34" s="1588"/>
      <c r="Z34" s="1588"/>
      <c r="AA34" s="1588"/>
      <c r="AB34" s="1588"/>
      <c r="AC34" s="1588"/>
      <c r="AD34" s="1588"/>
      <c r="AE34" s="1588"/>
      <c r="AF34" s="1588"/>
      <c r="AG34" s="1588"/>
      <c r="AH34" s="1588"/>
      <c r="AI34" s="1588"/>
      <c r="AJ34" s="1588"/>
      <c r="AK34" s="1588"/>
      <c r="AL34" s="1588"/>
      <c r="AM34" s="1588"/>
      <c r="AN34" s="1588"/>
      <c r="AO34" s="1588"/>
      <c r="AP34" s="1588"/>
      <c r="AQ34" s="1588"/>
      <c r="AR34" s="1588"/>
      <c r="AS34" s="1588"/>
      <c r="AT34" s="1588"/>
      <c r="AU34" s="1588"/>
      <c r="AV34" s="1588"/>
      <c r="AW34" s="1588"/>
      <c r="AX34" s="1588"/>
      <c r="AY34" s="1588"/>
      <c r="AZ34" s="1588"/>
      <c r="BA34" s="1588"/>
      <c r="BB34" s="1588"/>
      <c r="BC34" s="1588"/>
      <c r="BD34" s="1588"/>
      <c r="BE34" s="1588"/>
      <c r="BF34" s="1588"/>
      <c r="BG34" s="1588"/>
      <c r="BH34" s="1588"/>
      <c r="BI34" s="1588"/>
      <c r="BJ34" s="1588"/>
      <c r="BK34" s="1588"/>
      <c r="BL34" s="1588"/>
      <c r="BM34" s="1588"/>
      <c r="BN34" s="1588"/>
      <c r="BO34" s="1588"/>
      <c r="BP34" s="1588"/>
      <c r="BQ34" s="1588"/>
      <c r="BR34" s="1588"/>
      <c r="BS34" s="1588"/>
      <c r="BT34" s="1588"/>
      <c r="BU34" s="1588"/>
      <c r="BV34" s="1588"/>
      <c r="BW34" s="1588"/>
      <c r="BX34" s="1588"/>
      <c r="BY34" s="1588"/>
      <c r="BZ34" s="1588"/>
      <c r="CA34" s="1589"/>
      <c r="CB34" s="267"/>
    </row>
    <row r="35" spans="2:80" ht="15.95" customHeight="1" thickBot="1" x14ac:dyDescent="0.25">
      <c r="B35" s="1579" t="s">
        <v>184</v>
      </c>
      <c r="C35" s="1580"/>
      <c r="D35" s="1580"/>
      <c r="E35" s="1580"/>
      <c r="F35" s="1580"/>
      <c r="G35" s="1580"/>
      <c r="H35" s="1580"/>
      <c r="I35" s="1580"/>
      <c r="J35" s="1580"/>
      <c r="K35" s="1580"/>
      <c r="L35" s="1580"/>
      <c r="M35" s="1580"/>
      <c r="N35" s="1580"/>
      <c r="O35" s="1580"/>
      <c r="P35" s="1580"/>
      <c r="Q35" s="1580"/>
      <c r="R35" s="1581"/>
      <c r="T35" s="267"/>
      <c r="U35" s="1590"/>
      <c r="V35" s="1591"/>
      <c r="W35" s="1591"/>
      <c r="X35" s="1591"/>
      <c r="Y35" s="1591"/>
      <c r="Z35" s="1591"/>
      <c r="AA35" s="1591"/>
      <c r="AB35" s="1591"/>
      <c r="AC35" s="1591"/>
      <c r="AD35" s="1591"/>
      <c r="AE35" s="1591"/>
      <c r="AF35" s="1591"/>
      <c r="AG35" s="1591"/>
      <c r="AH35" s="1591"/>
      <c r="AI35" s="1591"/>
      <c r="AJ35" s="1591"/>
      <c r="AK35" s="1591"/>
      <c r="AL35" s="1591"/>
      <c r="AM35" s="1591"/>
      <c r="AN35" s="1591"/>
      <c r="AO35" s="1591"/>
      <c r="AP35" s="1591"/>
      <c r="AQ35" s="1591"/>
      <c r="AR35" s="1591"/>
      <c r="AS35" s="1591"/>
      <c r="AT35" s="1591"/>
      <c r="AU35" s="1591"/>
      <c r="AV35" s="1591"/>
      <c r="AW35" s="1591"/>
      <c r="AX35" s="1591"/>
      <c r="AY35" s="1591"/>
      <c r="AZ35" s="1591"/>
      <c r="BA35" s="1591"/>
      <c r="BB35" s="1591"/>
      <c r="BC35" s="1591"/>
      <c r="BD35" s="1591"/>
      <c r="BE35" s="1591"/>
      <c r="BF35" s="1591"/>
      <c r="BG35" s="1591"/>
      <c r="BH35" s="1591"/>
      <c r="BI35" s="1591"/>
      <c r="BJ35" s="1591"/>
      <c r="BK35" s="1591"/>
      <c r="BL35" s="1591"/>
      <c r="BM35" s="1591"/>
      <c r="BN35" s="1591"/>
      <c r="BO35" s="1591"/>
      <c r="BP35" s="1591"/>
      <c r="BQ35" s="1591"/>
      <c r="BR35" s="1591"/>
      <c r="BS35" s="1591"/>
      <c r="BT35" s="1591"/>
      <c r="BU35" s="1591"/>
      <c r="BV35" s="1591"/>
      <c r="BW35" s="1591"/>
      <c r="BX35" s="1591"/>
      <c r="BY35" s="1591"/>
      <c r="BZ35" s="1591"/>
      <c r="CA35" s="1592"/>
      <c r="CB35" s="267"/>
    </row>
    <row r="36" spans="2:80" ht="12" customHeight="1" thickTop="1" x14ac:dyDescent="0.2">
      <c r="T36" s="267"/>
      <c r="U36" s="1583" t="s">
        <v>962</v>
      </c>
      <c r="V36" s="1583"/>
      <c r="W36" s="1583"/>
      <c r="X36" s="1583"/>
      <c r="Y36" s="1583"/>
      <c r="Z36" s="1583"/>
      <c r="AA36" s="1583"/>
      <c r="AB36" s="1583"/>
      <c r="AC36" s="1583"/>
      <c r="AD36" s="349"/>
      <c r="AE36" s="349"/>
      <c r="AF36" s="349"/>
      <c r="AG36" s="349"/>
      <c r="AH36" s="349"/>
      <c r="AI36" s="349"/>
      <c r="AJ36" s="349"/>
      <c r="AK36" s="349"/>
      <c r="AL36" s="349"/>
      <c r="AM36" s="349"/>
      <c r="AN36" s="267"/>
      <c r="AO36" s="267"/>
      <c r="AP36" s="267"/>
      <c r="AQ36" s="267"/>
      <c r="AR36" s="267"/>
      <c r="AS36" s="267"/>
      <c r="AT36" s="267"/>
      <c r="AU36" s="267"/>
      <c r="AV36" s="267"/>
      <c r="AW36" s="267"/>
      <c r="AX36" s="267"/>
      <c r="AY36" s="267"/>
      <c r="AZ36" s="267"/>
      <c r="BA36" s="267"/>
      <c r="BB36" s="267"/>
      <c r="BC36" s="267"/>
      <c r="BD36" s="267"/>
      <c r="BE36" s="267"/>
      <c r="BF36" s="267"/>
      <c r="BG36" s="267"/>
      <c r="BH36" s="267"/>
      <c r="BI36" s="267"/>
      <c r="BJ36" s="267"/>
      <c r="BK36" s="267"/>
      <c r="BL36" s="1582" t="s">
        <v>85</v>
      </c>
      <c r="BM36" s="1582"/>
      <c r="BN36" s="1582"/>
      <c r="BO36" s="1582"/>
      <c r="BP36" s="1582"/>
      <c r="BQ36" s="1582"/>
      <c r="BR36" s="1582"/>
      <c r="BS36" s="1582"/>
      <c r="BT36" s="1582"/>
      <c r="BU36" s="1582"/>
      <c r="BV36" s="1582"/>
      <c r="BW36" s="1582"/>
      <c r="BX36" s="1582"/>
      <c r="BY36" s="1582"/>
      <c r="BZ36" s="1582"/>
      <c r="CA36" s="1582"/>
      <c r="CB36" s="267"/>
    </row>
  </sheetData>
  <sheetProtection sheet="1" objects="1" scenarios="1" formatCells="0" selectLockedCells="1"/>
  <customSheetViews>
    <customSheetView guid="{3ACA014C-A832-4751-B219-867B152CCF6B}" showGridLines="0" topLeftCell="A13">
      <selection activeCell="AQ31" sqref="AQ31:CA31"/>
      <pageMargins left="0.39370078740157483" right="0.39370078740157483" top="0.39370078740157483" bottom="0.39370078740157483" header="0" footer="0"/>
      <pageSetup paperSize="9" orientation="landscape" r:id="rId1"/>
    </customSheetView>
    <customSheetView guid="{84F5B866-ED6A-4540-94B2-D474D840083E}" showGridLines="0" topLeftCell="A13">
      <selection activeCell="AQ31" sqref="AQ31:CA31"/>
      <pageMargins left="0.39370078740157483" right="0.39370078740157483" top="0.39370078740157483" bottom="0.39370078740157483" header="0" footer="0"/>
      <pageSetup paperSize="9" orientation="landscape" r:id="rId2"/>
    </customSheetView>
  </customSheetViews>
  <mergeCells count="40">
    <mergeCell ref="Q4:AW4"/>
    <mergeCell ref="Q5:AW5"/>
    <mergeCell ref="AY4:CA4"/>
    <mergeCell ref="AY5:CA5"/>
    <mergeCell ref="Q2:AJ2"/>
    <mergeCell ref="Q3:AJ3"/>
    <mergeCell ref="AL2:AV2"/>
    <mergeCell ref="AL3:AV3"/>
    <mergeCell ref="AX3:CA3"/>
    <mergeCell ref="AX2:CA2"/>
    <mergeCell ref="B7:AM7"/>
    <mergeCell ref="B15:AM15"/>
    <mergeCell ref="AQ8:CA9"/>
    <mergeCell ref="AQ11:CA12"/>
    <mergeCell ref="AQ14:CA15"/>
    <mergeCell ref="B8:AM14"/>
    <mergeCell ref="AQ20:CA20"/>
    <mergeCell ref="AQ17:CA18"/>
    <mergeCell ref="B20:AM23"/>
    <mergeCell ref="B26:R26"/>
    <mergeCell ref="B27:B34"/>
    <mergeCell ref="R27:R34"/>
    <mergeCell ref="AQ22:AR22"/>
    <mergeCell ref="AS22:CA22"/>
    <mergeCell ref="AQ23:AR23"/>
    <mergeCell ref="U30:CA30"/>
    <mergeCell ref="U31:CA31"/>
    <mergeCell ref="B19:AM19"/>
    <mergeCell ref="B16:AM18"/>
    <mergeCell ref="AS23:CA23"/>
    <mergeCell ref="B35:R35"/>
    <mergeCell ref="BL36:CA36"/>
    <mergeCell ref="U36:AC36"/>
    <mergeCell ref="U27:CA27"/>
    <mergeCell ref="U28:CA28"/>
    <mergeCell ref="U29:CA29"/>
    <mergeCell ref="U32:CA32"/>
    <mergeCell ref="U33:CA33"/>
    <mergeCell ref="U34:CA34"/>
    <mergeCell ref="U35:CA35"/>
  </mergeCells>
  <hyperlinks>
    <hyperlink ref="BL36" r:id="rId3"/>
  </hyperlinks>
  <pageMargins left="0.39370078740157483" right="0.39370078740157483" top="0.39370078740157483" bottom="0.39370078740157483" header="0" footer="0"/>
  <pageSetup paperSize="9" orientation="landscape" r:id="rId4"/>
  <headerFooter>
    <oddHeader>&amp;CFICHA DE PERSONAGEM</oddHeader>
  </headerFooter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theme="1" tint="4.9989318521683403E-2"/>
  </sheetPr>
  <dimension ref="B2:DB93"/>
  <sheetViews>
    <sheetView showGridLines="0" workbookViewId="0">
      <selection activeCell="BG17" sqref="BG17"/>
    </sheetView>
  </sheetViews>
  <sheetFormatPr defaultColWidth="1.7109375" defaultRowHeight="15.95" customHeight="1" x14ac:dyDescent="0.25"/>
  <cols>
    <col min="2" max="2" width="8.42578125" bestFit="1" customWidth="1"/>
  </cols>
  <sheetData>
    <row r="2" spans="2:19" ht="15.95" customHeight="1" x14ac:dyDescent="0.3">
      <c r="B2" s="1630" t="s">
        <v>956</v>
      </c>
      <c r="C2" s="1630"/>
      <c r="D2" s="1630"/>
      <c r="E2" s="1630"/>
      <c r="F2" s="1630"/>
      <c r="G2" s="1630"/>
      <c r="H2" s="1630"/>
      <c r="I2" s="1630"/>
      <c r="J2" s="1630"/>
      <c r="K2" s="1630"/>
      <c r="L2" s="1630"/>
      <c r="M2" s="1630"/>
      <c r="N2" s="1630"/>
      <c r="O2" s="1630"/>
      <c r="P2" s="1630"/>
      <c r="Q2" s="1630"/>
      <c r="R2" s="1630"/>
      <c r="S2" s="1630"/>
    </row>
    <row r="3" spans="2:19" s="98" customFormat="1" ht="15.95" customHeight="1" x14ac:dyDescent="0.3"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</row>
    <row r="4" spans="2:19" ht="15.95" customHeight="1" x14ac:dyDescent="0.25">
      <c r="B4" s="2" t="s">
        <v>182</v>
      </c>
    </row>
    <row r="5" spans="2:19" ht="15.95" customHeight="1" x14ac:dyDescent="0.25">
      <c r="B5" t="s">
        <v>948</v>
      </c>
    </row>
    <row r="6" spans="2:19" ht="15.95" customHeight="1" x14ac:dyDescent="0.25">
      <c r="B6" t="s">
        <v>866</v>
      </c>
    </row>
    <row r="7" spans="2:19" s="98" customFormat="1" ht="15.95" customHeight="1" x14ac:dyDescent="0.25">
      <c r="B7" s="98" t="s">
        <v>903</v>
      </c>
    </row>
    <row r="8" spans="2:19" s="98" customFormat="1" ht="15.95" customHeight="1" x14ac:dyDescent="0.25">
      <c r="B8" s="98" t="s">
        <v>916</v>
      </c>
    </row>
    <row r="10" spans="2:19" ht="15.95" customHeight="1" x14ac:dyDescent="0.25">
      <c r="B10" t="s">
        <v>945</v>
      </c>
    </row>
    <row r="11" spans="2:19" s="98" customFormat="1" ht="15.95" customHeight="1" x14ac:dyDescent="0.25">
      <c r="B11" s="285" t="s">
        <v>947</v>
      </c>
    </row>
    <row r="12" spans="2:19" s="98" customFormat="1" ht="15.95" customHeight="1" x14ac:dyDescent="0.25">
      <c r="B12" s="285"/>
    </row>
    <row r="13" spans="2:19" s="98" customFormat="1" ht="15.95" customHeight="1" x14ac:dyDescent="0.25">
      <c r="B13" s="294" t="s">
        <v>885</v>
      </c>
    </row>
    <row r="14" spans="2:19" s="98" customFormat="1" ht="15.95" customHeight="1" x14ac:dyDescent="0.25">
      <c r="B14" s="295" t="s">
        <v>893</v>
      </c>
    </row>
    <row r="15" spans="2:19" s="98" customFormat="1" ht="15.95" customHeight="1" x14ac:dyDescent="0.25">
      <c r="B15" s="296" t="s">
        <v>886</v>
      </c>
    </row>
    <row r="16" spans="2:19" s="98" customFormat="1" ht="15.95" customHeight="1" x14ac:dyDescent="0.25">
      <c r="B16" s="296" t="s">
        <v>892</v>
      </c>
    </row>
    <row r="17" spans="2:2" s="98" customFormat="1" ht="15.95" customHeight="1" x14ac:dyDescent="0.25">
      <c r="B17" s="296" t="s">
        <v>906</v>
      </c>
    </row>
    <row r="18" spans="2:2" s="98" customFormat="1" ht="15.95" customHeight="1" x14ac:dyDescent="0.25">
      <c r="B18" s="296" t="s">
        <v>887</v>
      </c>
    </row>
    <row r="19" spans="2:2" s="98" customFormat="1" ht="15.95" customHeight="1" x14ac:dyDescent="0.25">
      <c r="B19" s="296" t="s">
        <v>888</v>
      </c>
    </row>
    <row r="20" spans="2:2" s="98" customFormat="1" ht="15.95" customHeight="1" x14ac:dyDescent="0.25">
      <c r="B20" s="296" t="s">
        <v>889</v>
      </c>
    </row>
    <row r="21" spans="2:2" ht="15.95" customHeight="1" x14ac:dyDescent="0.25">
      <c r="B21" s="296" t="s">
        <v>890</v>
      </c>
    </row>
    <row r="22" spans="2:2" s="98" customFormat="1" ht="15.95" customHeight="1" x14ac:dyDescent="0.25">
      <c r="B22" s="296" t="s">
        <v>891</v>
      </c>
    </row>
    <row r="23" spans="2:2" s="98" customFormat="1" ht="15.95" customHeight="1" x14ac:dyDescent="0.25">
      <c r="B23" s="296" t="s">
        <v>894</v>
      </c>
    </row>
    <row r="24" spans="2:2" s="98" customFormat="1" ht="15.95" customHeight="1" x14ac:dyDescent="0.25">
      <c r="B24" s="294" t="s">
        <v>911</v>
      </c>
    </row>
    <row r="25" spans="2:2" s="98" customFormat="1" ht="15.95" customHeight="1" x14ac:dyDescent="0.25">
      <c r="B25" s="296" t="s">
        <v>914</v>
      </c>
    </row>
    <row r="26" spans="2:2" s="98" customFormat="1" ht="15.95" customHeight="1" x14ac:dyDescent="0.25">
      <c r="B26" s="296" t="s">
        <v>915</v>
      </c>
    </row>
    <row r="27" spans="2:2" s="98" customFormat="1" ht="15.95" customHeight="1" x14ac:dyDescent="0.25">
      <c r="B27" s="296" t="s">
        <v>912</v>
      </c>
    </row>
    <row r="28" spans="2:2" s="98" customFormat="1" ht="15.95" customHeight="1" x14ac:dyDescent="0.25">
      <c r="B28" s="296" t="s">
        <v>957</v>
      </c>
    </row>
    <row r="29" spans="2:2" s="98" customFormat="1" ht="15.95" customHeight="1" x14ac:dyDescent="0.25">
      <c r="B29" s="296" t="s">
        <v>913</v>
      </c>
    </row>
    <row r="30" spans="2:2" s="98" customFormat="1" ht="15.95" customHeight="1" x14ac:dyDescent="0.25">
      <c r="B30" s="296" t="s">
        <v>937</v>
      </c>
    </row>
    <row r="31" spans="2:2" s="98" customFormat="1" ht="15.95" customHeight="1" x14ac:dyDescent="0.25">
      <c r="B31" s="296" t="s">
        <v>935</v>
      </c>
    </row>
    <row r="32" spans="2:2" s="98" customFormat="1" ht="15.95" customHeight="1" x14ac:dyDescent="0.25">
      <c r="B32" s="310" t="s">
        <v>934</v>
      </c>
    </row>
    <row r="33" spans="2:99" s="98" customFormat="1" ht="15.95" customHeight="1" x14ac:dyDescent="0.25">
      <c r="B33" s="296" t="s">
        <v>958</v>
      </c>
    </row>
    <row r="34" spans="2:99" s="98" customFormat="1" ht="15.95" customHeight="1" x14ac:dyDescent="0.25"/>
    <row r="35" spans="2:99" ht="15.95" customHeight="1" x14ac:dyDescent="0.3">
      <c r="B35" s="284" t="s">
        <v>867</v>
      </c>
    </row>
    <row r="36" spans="2:99" s="98" customFormat="1" ht="15.95" customHeight="1" x14ac:dyDescent="0.25">
      <c r="B36" s="278" t="s">
        <v>851</v>
      </c>
    </row>
    <row r="37" spans="2:99" s="281" customFormat="1" ht="15.95" customHeight="1" x14ac:dyDescent="0.25">
      <c r="B37" s="280" t="s">
        <v>853</v>
      </c>
      <c r="C37" s="279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79"/>
      <c r="S37" s="279"/>
      <c r="T37" s="344"/>
      <c r="U37" s="344"/>
      <c r="V37" s="344"/>
      <c r="W37" s="344"/>
      <c r="X37" s="344"/>
      <c r="Y37" s="344"/>
      <c r="Z37" s="344"/>
      <c r="AA37" s="344"/>
      <c r="AB37" s="344"/>
      <c r="AC37" s="344"/>
      <c r="AD37" s="344"/>
      <c r="AE37" s="344"/>
      <c r="AF37" s="344"/>
      <c r="AG37" s="344"/>
      <c r="AH37" s="344"/>
      <c r="AI37" s="344"/>
      <c r="AJ37" s="344"/>
      <c r="AK37" s="344"/>
      <c r="AL37" s="344"/>
      <c r="AM37" s="344"/>
      <c r="AN37" s="344"/>
      <c r="AO37" s="344"/>
      <c r="AP37" s="344"/>
      <c r="AQ37" s="344"/>
      <c r="AR37" s="344"/>
      <c r="AS37" s="344"/>
      <c r="AT37" s="344"/>
      <c r="AU37" s="344"/>
      <c r="AV37" s="344"/>
      <c r="AW37" s="344"/>
      <c r="AX37" s="344"/>
      <c r="AY37" s="344"/>
      <c r="AZ37" s="344"/>
      <c r="BA37" s="344"/>
      <c r="BB37" s="344"/>
      <c r="BC37" s="344"/>
      <c r="BD37" s="344"/>
      <c r="BE37" s="344"/>
      <c r="BF37" s="344"/>
      <c r="BG37" s="344"/>
      <c r="BH37" s="344"/>
      <c r="BI37" s="344"/>
      <c r="BJ37" s="344"/>
      <c r="BK37" s="344"/>
      <c r="BL37" s="344"/>
      <c r="BM37" s="344"/>
      <c r="BN37" s="344"/>
      <c r="BO37" s="344"/>
      <c r="BP37" s="344"/>
      <c r="BQ37" s="344"/>
      <c r="BR37" s="344"/>
      <c r="BS37" s="344"/>
      <c r="BT37" s="344"/>
      <c r="BU37" s="344"/>
      <c r="BV37" s="344"/>
      <c r="BW37" s="344"/>
      <c r="BX37" s="344"/>
      <c r="BY37" s="344"/>
      <c r="BZ37" s="344"/>
      <c r="CA37" s="344"/>
      <c r="CB37" s="344"/>
      <c r="CC37" s="344"/>
      <c r="CD37" s="344"/>
      <c r="CE37" s="344"/>
      <c r="CF37" s="344"/>
      <c r="CG37" s="344"/>
      <c r="CH37" s="344"/>
      <c r="CI37" s="344"/>
      <c r="CJ37" s="344"/>
      <c r="CK37" s="344"/>
      <c r="CL37" s="344"/>
      <c r="CM37" s="344"/>
      <c r="CN37" s="344"/>
      <c r="CO37" s="344"/>
      <c r="CP37" s="344"/>
      <c r="CQ37" s="344"/>
      <c r="CR37" s="344"/>
      <c r="CS37" s="344"/>
      <c r="CT37" s="344"/>
      <c r="CU37" s="344"/>
    </row>
    <row r="38" spans="2:99" s="281" customFormat="1" ht="15.95" customHeight="1" x14ac:dyDescent="0.25">
      <c r="B38" s="281" t="s">
        <v>899</v>
      </c>
    </row>
    <row r="39" spans="2:99" s="281" customFormat="1" ht="15.95" customHeight="1" x14ac:dyDescent="0.25">
      <c r="B39" s="281" t="s">
        <v>898</v>
      </c>
    </row>
    <row r="40" spans="2:99" s="277" customFormat="1" ht="15.95" customHeight="1" x14ac:dyDescent="0.25">
      <c r="B40" s="283" t="s">
        <v>854</v>
      </c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2"/>
      <c r="N40" s="282"/>
      <c r="O40" s="28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82"/>
      <c r="AB40" s="282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82"/>
      <c r="AO40" s="282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82"/>
      <c r="BB40" s="282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82"/>
      <c r="BO40" s="282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82"/>
      <c r="CB40" s="282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82"/>
      <c r="CO40" s="282"/>
      <c r="CP40" s="282"/>
      <c r="CQ40" s="282"/>
      <c r="CR40" s="282"/>
      <c r="CS40" s="282"/>
      <c r="CT40" s="282"/>
      <c r="CU40" s="282"/>
    </row>
    <row r="41" spans="2:99" s="277" customFormat="1" ht="15.95" customHeight="1" x14ac:dyDescent="0.25">
      <c r="B41" s="277" t="s">
        <v>849</v>
      </c>
    </row>
    <row r="42" spans="2:99" s="277" customFormat="1" ht="15.95" customHeight="1" x14ac:dyDescent="0.25">
      <c r="B42" s="277" t="s">
        <v>850</v>
      </c>
    </row>
    <row r="43" spans="2:99" s="277" customFormat="1" ht="15.95" customHeight="1" x14ac:dyDescent="0.25">
      <c r="B43" s="277" t="s">
        <v>852</v>
      </c>
    </row>
    <row r="44" spans="2:99" s="277" customFormat="1" ht="15.95" customHeight="1" x14ac:dyDescent="0.25">
      <c r="B44" s="277" t="s">
        <v>955</v>
      </c>
    </row>
    <row r="45" spans="2:99" s="281" customFormat="1" ht="15.95" customHeight="1" x14ac:dyDescent="0.25">
      <c r="B45" s="287" t="s">
        <v>855</v>
      </c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286"/>
      <c r="P45" s="286"/>
      <c r="Q45" s="286"/>
      <c r="R45" s="286"/>
      <c r="S45" s="286"/>
      <c r="T45" s="286"/>
      <c r="U45" s="286"/>
      <c r="V45" s="286"/>
      <c r="W45" s="286"/>
      <c r="X45" s="286"/>
      <c r="Y45" s="286"/>
      <c r="Z45" s="286"/>
      <c r="AA45" s="286"/>
      <c r="AB45" s="286"/>
      <c r="AC45" s="286"/>
      <c r="AD45" s="286"/>
      <c r="AE45" s="286"/>
      <c r="AF45" s="286"/>
      <c r="AG45" s="286"/>
      <c r="AH45" s="286"/>
      <c r="AI45" s="286"/>
      <c r="AJ45" s="286"/>
      <c r="AK45" s="286"/>
      <c r="AL45" s="286"/>
      <c r="AM45" s="286"/>
      <c r="AN45" s="286"/>
      <c r="AO45" s="286"/>
      <c r="AP45" s="286"/>
      <c r="AQ45" s="286"/>
      <c r="AR45" s="286"/>
      <c r="AS45" s="286"/>
      <c r="AT45" s="286"/>
      <c r="AU45" s="286"/>
      <c r="AV45" s="286"/>
      <c r="AW45" s="286"/>
      <c r="AX45" s="286"/>
      <c r="AY45" s="286"/>
      <c r="AZ45" s="286"/>
      <c r="BA45" s="286"/>
      <c r="BB45" s="286"/>
      <c r="BC45" s="286"/>
      <c r="BD45" s="286"/>
      <c r="BE45" s="286"/>
      <c r="BF45" s="286"/>
      <c r="BG45" s="286"/>
      <c r="BH45" s="286"/>
      <c r="BI45" s="286"/>
      <c r="BJ45" s="286"/>
      <c r="BK45" s="286"/>
      <c r="BL45" s="286"/>
      <c r="BM45" s="286"/>
      <c r="BN45" s="286"/>
      <c r="BO45" s="286"/>
      <c r="BP45" s="286"/>
      <c r="BQ45" s="286"/>
      <c r="BR45" s="286"/>
      <c r="BS45" s="286"/>
      <c r="BT45" s="286"/>
      <c r="BU45" s="286"/>
      <c r="BV45" s="286"/>
      <c r="BW45" s="286"/>
      <c r="BX45" s="286"/>
      <c r="BY45" s="286"/>
      <c r="BZ45" s="286"/>
      <c r="CA45" s="286"/>
      <c r="CB45" s="286"/>
      <c r="CC45" s="286"/>
      <c r="CD45" s="286"/>
      <c r="CE45" s="286"/>
      <c r="CF45" s="286"/>
      <c r="CG45" s="286"/>
      <c r="CH45" s="286"/>
      <c r="CI45" s="286"/>
      <c r="CJ45" s="286"/>
      <c r="CK45" s="286"/>
      <c r="CL45" s="286"/>
      <c r="CM45" s="286"/>
      <c r="CN45" s="286"/>
      <c r="CO45" s="286"/>
      <c r="CP45" s="286"/>
      <c r="CQ45" s="286"/>
      <c r="CR45" s="286"/>
      <c r="CS45" s="286"/>
      <c r="CT45" s="286"/>
      <c r="CU45" s="286"/>
    </row>
    <row r="46" spans="2:99" ht="15.95" customHeight="1" x14ac:dyDescent="0.25">
      <c r="B46" s="297" t="s">
        <v>895</v>
      </c>
    </row>
    <row r="47" spans="2:99" ht="15.95" customHeight="1" x14ac:dyDescent="0.25">
      <c r="B47" s="277" t="s">
        <v>939</v>
      </c>
    </row>
    <row r="48" spans="2:99" ht="15.95" customHeight="1" x14ac:dyDescent="0.25">
      <c r="B48" s="277" t="s">
        <v>938</v>
      </c>
    </row>
    <row r="49" spans="2:106" s="98" customFormat="1" ht="15.95" customHeight="1" x14ac:dyDescent="0.25">
      <c r="B49" s="277" t="s">
        <v>900</v>
      </c>
    </row>
    <row r="50" spans="2:106" ht="15.95" customHeight="1" x14ac:dyDescent="0.25">
      <c r="B50" s="277" t="s">
        <v>901</v>
      </c>
    </row>
    <row r="51" spans="2:106" s="277" customFormat="1" ht="15.95" customHeight="1" x14ac:dyDescent="0.25">
      <c r="B51" s="298" t="s">
        <v>896</v>
      </c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/>
      <c r="BL51" s="101"/>
      <c r="BM51" s="101"/>
      <c r="BN51" s="101"/>
      <c r="BO51" s="101"/>
      <c r="BP51" s="101"/>
      <c r="BQ51" s="101"/>
      <c r="BR51" s="101"/>
      <c r="BS51" s="101"/>
      <c r="BT51" s="101"/>
      <c r="BU51" s="101"/>
      <c r="BV51" s="101"/>
      <c r="BW51" s="101"/>
      <c r="BX51" s="101"/>
      <c r="BY51" s="101"/>
      <c r="BZ51" s="101"/>
      <c r="CA51" s="101"/>
      <c r="CB51" s="101"/>
      <c r="CC51" s="101"/>
      <c r="CD51" s="101"/>
      <c r="CE51" s="101"/>
      <c r="CF51" s="101"/>
      <c r="CG51" s="101"/>
      <c r="CH51" s="101"/>
      <c r="CI51" s="101"/>
      <c r="CJ51" s="101"/>
      <c r="CK51" s="101"/>
      <c r="CL51" s="101"/>
      <c r="CM51" s="101"/>
      <c r="CN51" s="101"/>
      <c r="CO51" s="101"/>
      <c r="CP51" s="101"/>
      <c r="CQ51" s="101"/>
      <c r="CR51" s="101"/>
      <c r="CS51" s="101"/>
      <c r="CT51" s="101"/>
      <c r="CU51" s="101"/>
    </row>
    <row r="52" spans="2:106" ht="15.95" customHeight="1" x14ac:dyDescent="0.25">
      <c r="B52" s="277" t="s">
        <v>897</v>
      </c>
    </row>
    <row r="54" spans="2:106" ht="15.95" customHeight="1" x14ac:dyDescent="0.3">
      <c r="B54" s="284" t="s">
        <v>868</v>
      </c>
    </row>
    <row r="55" spans="2:106" s="98" customFormat="1" ht="15.95" customHeight="1" x14ac:dyDescent="0.25">
      <c r="B55" s="1632" t="s">
        <v>963</v>
      </c>
      <c r="C55" s="1632"/>
      <c r="D55" s="1632"/>
      <c r="E55" s="1632"/>
      <c r="F55" s="1632"/>
      <c r="G55" s="1632"/>
      <c r="H55" s="1632"/>
      <c r="I55" s="1632"/>
      <c r="J55" s="1632"/>
      <c r="K55" s="1632"/>
      <c r="L55" s="1632"/>
      <c r="M55" s="1632"/>
      <c r="N55" s="1632"/>
      <c r="O55" s="1632"/>
      <c r="P55" s="1632"/>
      <c r="Q55" s="1632"/>
      <c r="R55" s="1632"/>
      <c r="S55" s="1632"/>
      <c r="T55" s="1632"/>
      <c r="U55" s="1632"/>
      <c r="V55" s="1632"/>
      <c r="W55" s="1632"/>
      <c r="X55" s="1632"/>
      <c r="Y55" s="1632"/>
      <c r="Z55" s="1632"/>
      <c r="AA55" s="1632"/>
      <c r="AB55" s="1632"/>
      <c r="AC55" s="1632"/>
      <c r="AD55" s="1632"/>
      <c r="AE55" s="1632"/>
      <c r="AF55" s="1632"/>
      <c r="AG55" s="1632"/>
      <c r="AH55" s="1632"/>
      <c r="AI55" s="1632"/>
      <c r="AJ55" s="1632"/>
      <c r="AK55" s="1632"/>
      <c r="AL55" s="1632"/>
      <c r="AM55" s="1632"/>
      <c r="AN55" s="1632"/>
      <c r="AO55" s="1632"/>
      <c r="AP55" s="1632"/>
      <c r="AQ55" s="1632"/>
      <c r="AR55" s="1632"/>
      <c r="AS55" s="1632"/>
      <c r="AT55" s="1632"/>
      <c r="AU55" s="1632"/>
      <c r="AV55" s="1632"/>
      <c r="AW55" s="1632"/>
      <c r="AX55" s="1632"/>
      <c r="AY55" s="1632"/>
      <c r="AZ55" s="1632"/>
      <c r="BA55" s="1632"/>
      <c r="BB55" s="1632"/>
      <c r="BC55" s="1632"/>
      <c r="BD55" s="1632"/>
      <c r="BE55" s="1632"/>
      <c r="BF55" s="1632"/>
      <c r="BG55" s="1632"/>
      <c r="BH55" s="1632"/>
      <c r="BI55" s="1632"/>
      <c r="BJ55" s="1632"/>
      <c r="BK55" s="1632"/>
      <c r="BL55" s="1632"/>
      <c r="BM55" s="1632"/>
      <c r="BN55" s="1632"/>
      <c r="BO55" s="1632"/>
      <c r="BP55" s="1632"/>
      <c r="BQ55" s="1632"/>
      <c r="BR55" s="1632"/>
      <c r="BS55" s="1632"/>
      <c r="BT55" s="1632"/>
      <c r="BU55" s="1632"/>
      <c r="BV55" s="1632"/>
      <c r="BW55" s="1632"/>
      <c r="BX55" s="1632"/>
      <c r="BY55" s="1632"/>
      <c r="BZ55" s="1632"/>
      <c r="CA55" s="1632"/>
      <c r="CB55" s="1632"/>
      <c r="CC55" s="1632"/>
      <c r="CD55" s="1632"/>
      <c r="CE55" s="1632"/>
      <c r="CF55" s="1632"/>
      <c r="CG55" s="1632"/>
      <c r="CH55" s="1632"/>
      <c r="CI55" s="1632"/>
      <c r="CJ55" s="1632"/>
      <c r="CK55" s="1632"/>
      <c r="CL55" s="1632"/>
      <c r="CM55" s="1632"/>
      <c r="CN55" s="1632"/>
      <c r="CO55" s="1632"/>
      <c r="CP55" s="1632"/>
      <c r="CQ55" s="1632"/>
      <c r="CR55" s="1632"/>
      <c r="CS55" s="1632"/>
      <c r="CT55" s="1632"/>
      <c r="CU55" s="1632"/>
      <c r="CV55" s="1632"/>
      <c r="CW55" s="1632"/>
      <c r="CX55" s="1632"/>
      <c r="CY55" s="1632"/>
      <c r="CZ55" s="1632"/>
      <c r="DA55" s="1632"/>
      <c r="DB55" s="1632"/>
    </row>
    <row r="56" spans="2:106" s="98" customFormat="1" ht="15.95" customHeight="1" x14ac:dyDescent="0.25">
      <c r="B56" s="1632"/>
      <c r="C56" s="1632"/>
      <c r="D56" s="1632"/>
      <c r="E56" s="1632"/>
      <c r="F56" s="1632"/>
      <c r="G56" s="1632"/>
      <c r="H56" s="1632"/>
      <c r="I56" s="1632"/>
      <c r="J56" s="1632"/>
      <c r="K56" s="1632"/>
      <c r="L56" s="1632"/>
      <c r="M56" s="1632"/>
      <c r="N56" s="1632"/>
      <c r="O56" s="1632"/>
      <c r="P56" s="1632"/>
      <c r="Q56" s="1632"/>
      <c r="R56" s="1632"/>
      <c r="S56" s="1632"/>
      <c r="T56" s="1632"/>
      <c r="U56" s="1632"/>
      <c r="V56" s="1632"/>
      <c r="W56" s="1632"/>
      <c r="X56" s="1632"/>
      <c r="Y56" s="1632"/>
      <c r="Z56" s="1632"/>
      <c r="AA56" s="1632"/>
      <c r="AB56" s="1632"/>
      <c r="AC56" s="1632"/>
      <c r="AD56" s="1632"/>
      <c r="AE56" s="1632"/>
      <c r="AF56" s="1632"/>
      <c r="AG56" s="1632"/>
      <c r="AH56" s="1632"/>
      <c r="AI56" s="1632"/>
      <c r="AJ56" s="1632"/>
      <c r="AK56" s="1632"/>
      <c r="AL56" s="1632"/>
      <c r="AM56" s="1632"/>
      <c r="AN56" s="1632"/>
      <c r="AO56" s="1632"/>
      <c r="AP56" s="1632"/>
      <c r="AQ56" s="1632"/>
      <c r="AR56" s="1632"/>
      <c r="AS56" s="1632"/>
      <c r="AT56" s="1632"/>
      <c r="AU56" s="1632"/>
      <c r="AV56" s="1632"/>
      <c r="AW56" s="1632"/>
      <c r="AX56" s="1632"/>
      <c r="AY56" s="1632"/>
      <c r="AZ56" s="1632"/>
      <c r="BA56" s="1632"/>
      <c r="BB56" s="1632"/>
      <c r="BC56" s="1632"/>
      <c r="BD56" s="1632"/>
      <c r="BE56" s="1632"/>
      <c r="BF56" s="1632"/>
      <c r="BG56" s="1632"/>
      <c r="BH56" s="1632"/>
      <c r="BI56" s="1632"/>
      <c r="BJ56" s="1632"/>
      <c r="BK56" s="1632"/>
      <c r="BL56" s="1632"/>
      <c r="BM56" s="1632"/>
      <c r="BN56" s="1632"/>
      <c r="BO56" s="1632"/>
      <c r="BP56" s="1632"/>
      <c r="BQ56" s="1632"/>
      <c r="BR56" s="1632"/>
      <c r="BS56" s="1632"/>
      <c r="BT56" s="1632"/>
      <c r="BU56" s="1632"/>
      <c r="BV56" s="1632"/>
      <c r="BW56" s="1632"/>
      <c r="BX56" s="1632"/>
      <c r="BY56" s="1632"/>
      <c r="BZ56" s="1632"/>
      <c r="CA56" s="1632"/>
      <c r="CB56" s="1632"/>
      <c r="CC56" s="1632"/>
      <c r="CD56" s="1632"/>
      <c r="CE56" s="1632"/>
      <c r="CF56" s="1632"/>
      <c r="CG56" s="1632"/>
      <c r="CH56" s="1632"/>
      <c r="CI56" s="1632"/>
      <c r="CJ56" s="1632"/>
      <c r="CK56" s="1632"/>
      <c r="CL56" s="1632"/>
      <c r="CM56" s="1632"/>
      <c r="CN56" s="1632"/>
      <c r="CO56" s="1632"/>
      <c r="CP56" s="1632"/>
      <c r="CQ56" s="1632"/>
      <c r="CR56" s="1632"/>
      <c r="CS56" s="1632"/>
      <c r="CT56" s="1632"/>
      <c r="CU56" s="1632"/>
      <c r="CV56" s="1632"/>
      <c r="CW56" s="1632"/>
      <c r="CX56" s="1632"/>
      <c r="CY56" s="1632"/>
      <c r="CZ56" s="1632"/>
      <c r="DA56" s="1632"/>
      <c r="DB56" s="1632"/>
    </row>
    <row r="57" spans="2:106" s="98" customFormat="1" ht="15.95" customHeight="1" x14ac:dyDescent="0.25">
      <c r="B57" s="1632"/>
      <c r="C57" s="1632"/>
      <c r="D57" s="1632"/>
      <c r="E57" s="1632"/>
      <c r="F57" s="1632"/>
      <c r="G57" s="1632"/>
      <c r="H57" s="1632"/>
      <c r="I57" s="1632"/>
      <c r="J57" s="1632"/>
      <c r="K57" s="1632"/>
      <c r="L57" s="1632"/>
      <c r="M57" s="1632"/>
      <c r="N57" s="1632"/>
      <c r="O57" s="1632"/>
      <c r="P57" s="1632"/>
      <c r="Q57" s="1632"/>
      <c r="R57" s="1632"/>
      <c r="S57" s="1632"/>
      <c r="T57" s="1632"/>
      <c r="U57" s="1632"/>
      <c r="V57" s="1632"/>
      <c r="W57" s="1632"/>
      <c r="X57" s="1632"/>
      <c r="Y57" s="1632"/>
      <c r="Z57" s="1632"/>
      <c r="AA57" s="1632"/>
      <c r="AB57" s="1632"/>
      <c r="AC57" s="1632"/>
      <c r="AD57" s="1632"/>
      <c r="AE57" s="1632"/>
      <c r="AF57" s="1632"/>
      <c r="AG57" s="1632"/>
      <c r="AH57" s="1632"/>
      <c r="AI57" s="1632"/>
      <c r="AJ57" s="1632"/>
      <c r="AK57" s="1632"/>
      <c r="AL57" s="1632"/>
      <c r="AM57" s="1632"/>
      <c r="AN57" s="1632"/>
      <c r="AO57" s="1632"/>
      <c r="AP57" s="1632"/>
      <c r="AQ57" s="1632"/>
      <c r="AR57" s="1632"/>
      <c r="AS57" s="1632"/>
      <c r="AT57" s="1632"/>
      <c r="AU57" s="1632"/>
      <c r="AV57" s="1632"/>
      <c r="AW57" s="1632"/>
      <c r="AX57" s="1632"/>
      <c r="AY57" s="1632"/>
      <c r="AZ57" s="1632"/>
      <c r="BA57" s="1632"/>
      <c r="BB57" s="1632"/>
      <c r="BC57" s="1632"/>
      <c r="BD57" s="1632"/>
      <c r="BE57" s="1632"/>
      <c r="BF57" s="1632"/>
      <c r="BG57" s="1632"/>
      <c r="BH57" s="1632"/>
      <c r="BI57" s="1632"/>
      <c r="BJ57" s="1632"/>
      <c r="BK57" s="1632"/>
      <c r="BL57" s="1632"/>
      <c r="BM57" s="1632"/>
      <c r="BN57" s="1632"/>
      <c r="BO57" s="1632"/>
      <c r="BP57" s="1632"/>
      <c r="BQ57" s="1632"/>
      <c r="BR57" s="1632"/>
      <c r="BS57" s="1632"/>
      <c r="BT57" s="1632"/>
      <c r="BU57" s="1632"/>
      <c r="BV57" s="1632"/>
      <c r="BW57" s="1632"/>
      <c r="BX57" s="1632"/>
      <c r="BY57" s="1632"/>
      <c r="BZ57" s="1632"/>
      <c r="CA57" s="1632"/>
      <c r="CB57" s="1632"/>
      <c r="CC57" s="1632"/>
      <c r="CD57" s="1632"/>
      <c r="CE57" s="1632"/>
      <c r="CF57" s="1632"/>
      <c r="CG57" s="1632"/>
      <c r="CH57" s="1632"/>
      <c r="CI57" s="1632"/>
      <c r="CJ57" s="1632"/>
      <c r="CK57" s="1632"/>
      <c r="CL57" s="1632"/>
      <c r="CM57" s="1632"/>
      <c r="CN57" s="1632"/>
      <c r="CO57" s="1632"/>
      <c r="CP57" s="1632"/>
      <c r="CQ57" s="1632"/>
      <c r="CR57" s="1632"/>
      <c r="CS57" s="1632"/>
      <c r="CT57" s="1632"/>
      <c r="CU57" s="1632"/>
      <c r="CV57" s="1632"/>
      <c r="CW57" s="1632"/>
      <c r="CX57" s="1632"/>
      <c r="CY57" s="1632"/>
      <c r="CZ57" s="1632"/>
      <c r="DA57" s="1632"/>
      <c r="DB57" s="1632"/>
    </row>
    <row r="58" spans="2:106" s="98" customFormat="1" ht="15.95" customHeight="1" x14ac:dyDescent="0.3">
      <c r="B58" s="284"/>
    </row>
    <row r="59" spans="2:106" ht="15.95" customHeight="1" x14ac:dyDescent="0.25">
      <c r="B59" s="275" t="s">
        <v>902</v>
      </c>
    </row>
    <row r="60" spans="2:106" ht="15.95" customHeight="1" x14ac:dyDescent="0.25">
      <c r="B60" s="288" t="s">
        <v>856</v>
      </c>
    </row>
    <row r="62" spans="2:106" s="98" customFormat="1" ht="15.95" customHeight="1" x14ac:dyDescent="0.25">
      <c r="B62" s="275" t="s">
        <v>861</v>
      </c>
    </row>
    <row r="63" spans="2:106" s="98" customFormat="1" ht="15.95" customHeight="1" x14ac:dyDescent="0.25">
      <c r="B63" s="1631" t="s">
        <v>857</v>
      </c>
      <c r="C63" s="1631"/>
      <c r="D63" s="1631"/>
      <c r="E63" s="1631"/>
      <c r="F63" s="1631"/>
      <c r="G63" s="1631"/>
      <c r="H63" s="1631"/>
      <c r="I63" s="1631"/>
      <c r="J63" s="1631"/>
      <c r="K63" s="1631"/>
      <c r="L63" s="1631"/>
      <c r="M63" s="1631"/>
      <c r="N63" s="1631"/>
      <c r="O63" s="1631"/>
      <c r="P63" s="1631"/>
      <c r="Q63" s="1631"/>
      <c r="R63" s="1631"/>
      <c r="S63" s="1631"/>
      <c r="T63" s="1631"/>
      <c r="U63" s="1631"/>
      <c r="V63" s="1631"/>
      <c r="W63" s="1631"/>
      <c r="X63" s="1631"/>
      <c r="Y63" s="1631"/>
      <c r="Z63" s="1631"/>
      <c r="AA63" s="1631"/>
      <c r="AB63" s="1631"/>
      <c r="AC63" s="1631"/>
      <c r="AD63" s="1631"/>
      <c r="AE63" s="1631"/>
      <c r="AF63" s="1631"/>
      <c r="AG63" s="1631"/>
      <c r="AH63" s="1631"/>
      <c r="AI63" s="1631"/>
      <c r="AJ63" s="1631"/>
      <c r="AK63" s="1631"/>
      <c r="AL63" s="1631"/>
      <c r="AM63" s="1631"/>
      <c r="AN63" s="1631"/>
      <c r="AO63" s="1631"/>
      <c r="AP63" s="1631"/>
      <c r="AQ63" s="1631"/>
      <c r="AR63" s="1631"/>
      <c r="AS63" s="1631"/>
      <c r="AT63" s="1631"/>
      <c r="AU63" s="1631"/>
      <c r="AV63" s="1631"/>
      <c r="AW63" s="1631"/>
      <c r="AX63" s="1631"/>
      <c r="AY63" s="1631"/>
      <c r="AZ63" s="1631"/>
      <c r="BA63" s="1631"/>
      <c r="BB63" s="1631"/>
      <c r="BC63" s="1631"/>
      <c r="BD63" s="1631"/>
      <c r="BE63" s="1631"/>
      <c r="BF63" s="1631"/>
      <c r="BG63" s="1631"/>
      <c r="BH63" s="1631"/>
      <c r="BI63" s="1631"/>
      <c r="BJ63" s="1631"/>
      <c r="BK63" s="1631"/>
      <c r="BL63" s="1631"/>
      <c r="BM63" s="1631"/>
      <c r="BN63" s="1631"/>
      <c r="BO63" s="1631"/>
      <c r="BP63" s="1631"/>
      <c r="BQ63" s="1631"/>
      <c r="BR63" s="1631"/>
      <c r="BS63" s="1631"/>
      <c r="BT63" s="1631"/>
      <c r="BU63" s="1631"/>
      <c r="BV63" s="1631"/>
      <c r="BW63" s="1631"/>
      <c r="BX63" s="1631"/>
      <c r="BY63" s="1631"/>
      <c r="BZ63" s="1631"/>
      <c r="CA63" s="1631"/>
      <c r="CB63" s="1631"/>
      <c r="CC63" s="1631"/>
      <c r="CD63" s="1631"/>
      <c r="CE63" s="1631"/>
      <c r="CF63" s="1631"/>
      <c r="CG63" s="1631"/>
      <c r="CH63" s="1631"/>
      <c r="CI63" s="1631"/>
      <c r="CJ63" s="1631"/>
      <c r="CK63" s="1631"/>
      <c r="CL63" s="1631"/>
      <c r="CM63" s="1631"/>
      <c r="CN63" s="1631"/>
      <c r="CO63" s="1631"/>
      <c r="CP63" s="1631"/>
      <c r="CQ63" s="1631"/>
      <c r="CR63" s="1631"/>
      <c r="CS63" s="1631"/>
      <c r="CT63" s="1631"/>
      <c r="CU63" s="1631"/>
      <c r="CV63" s="1631"/>
      <c r="CW63" s="1631"/>
      <c r="CX63" s="1631"/>
      <c r="CY63" s="1631"/>
      <c r="CZ63" s="1631"/>
      <c r="DA63" s="1631"/>
      <c r="DB63" s="1631"/>
    </row>
    <row r="64" spans="2:106" ht="15.95" customHeight="1" x14ac:dyDescent="0.25">
      <c r="B64" s="1631"/>
      <c r="C64" s="1631"/>
      <c r="D64" s="1631"/>
      <c r="E64" s="1631"/>
      <c r="F64" s="1631"/>
      <c r="G64" s="1631"/>
      <c r="H64" s="1631"/>
      <c r="I64" s="1631"/>
      <c r="J64" s="1631"/>
      <c r="K64" s="1631"/>
      <c r="L64" s="1631"/>
      <c r="M64" s="1631"/>
      <c r="N64" s="1631"/>
      <c r="O64" s="1631"/>
      <c r="P64" s="1631"/>
      <c r="Q64" s="1631"/>
      <c r="R64" s="1631"/>
      <c r="S64" s="1631"/>
      <c r="T64" s="1631"/>
      <c r="U64" s="1631"/>
      <c r="V64" s="1631"/>
      <c r="W64" s="1631"/>
      <c r="X64" s="1631"/>
      <c r="Y64" s="1631"/>
      <c r="Z64" s="1631"/>
      <c r="AA64" s="1631"/>
      <c r="AB64" s="1631"/>
      <c r="AC64" s="1631"/>
      <c r="AD64" s="1631"/>
      <c r="AE64" s="1631"/>
      <c r="AF64" s="1631"/>
      <c r="AG64" s="1631"/>
      <c r="AH64" s="1631"/>
      <c r="AI64" s="1631"/>
      <c r="AJ64" s="1631"/>
      <c r="AK64" s="1631"/>
      <c r="AL64" s="1631"/>
      <c r="AM64" s="1631"/>
      <c r="AN64" s="1631"/>
      <c r="AO64" s="1631"/>
      <c r="AP64" s="1631"/>
      <c r="AQ64" s="1631"/>
      <c r="AR64" s="1631"/>
      <c r="AS64" s="1631"/>
      <c r="AT64" s="1631"/>
      <c r="AU64" s="1631"/>
      <c r="AV64" s="1631"/>
      <c r="AW64" s="1631"/>
      <c r="AX64" s="1631"/>
      <c r="AY64" s="1631"/>
      <c r="AZ64" s="1631"/>
      <c r="BA64" s="1631"/>
      <c r="BB64" s="1631"/>
      <c r="BC64" s="1631"/>
      <c r="BD64" s="1631"/>
      <c r="BE64" s="1631"/>
      <c r="BF64" s="1631"/>
      <c r="BG64" s="1631"/>
      <c r="BH64" s="1631"/>
      <c r="BI64" s="1631"/>
      <c r="BJ64" s="1631"/>
      <c r="BK64" s="1631"/>
      <c r="BL64" s="1631"/>
      <c r="BM64" s="1631"/>
      <c r="BN64" s="1631"/>
      <c r="BO64" s="1631"/>
      <c r="BP64" s="1631"/>
      <c r="BQ64" s="1631"/>
      <c r="BR64" s="1631"/>
      <c r="BS64" s="1631"/>
      <c r="BT64" s="1631"/>
      <c r="BU64" s="1631"/>
      <c r="BV64" s="1631"/>
      <c r="BW64" s="1631"/>
      <c r="BX64" s="1631"/>
      <c r="BY64" s="1631"/>
      <c r="BZ64" s="1631"/>
      <c r="CA64" s="1631"/>
      <c r="CB64" s="1631"/>
      <c r="CC64" s="1631"/>
      <c r="CD64" s="1631"/>
      <c r="CE64" s="1631"/>
      <c r="CF64" s="1631"/>
      <c r="CG64" s="1631"/>
      <c r="CH64" s="1631"/>
      <c r="CI64" s="1631"/>
      <c r="CJ64" s="1631"/>
      <c r="CK64" s="1631"/>
      <c r="CL64" s="1631"/>
      <c r="CM64" s="1631"/>
      <c r="CN64" s="1631"/>
      <c r="CO64" s="1631"/>
      <c r="CP64" s="1631"/>
      <c r="CQ64" s="1631"/>
      <c r="CR64" s="1631"/>
      <c r="CS64" s="1631"/>
      <c r="CT64" s="1631"/>
      <c r="CU64" s="1631"/>
      <c r="CV64" s="1631"/>
      <c r="CW64" s="1631"/>
      <c r="CX64" s="1631"/>
      <c r="CY64" s="1631"/>
      <c r="CZ64" s="1631"/>
      <c r="DA64" s="1631"/>
      <c r="DB64" s="1631"/>
    </row>
    <row r="65" spans="2:106" s="98" customFormat="1" ht="15.95" customHeight="1" x14ac:dyDescent="0.25"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  <c r="AI65" s="293"/>
      <c r="AJ65" s="293"/>
      <c r="AK65" s="293"/>
      <c r="AL65" s="293"/>
      <c r="AM65" s="293"/>
      <c r="AN65" s="293"/>
      <c r="AO65" s="293"/>
      <c r="AP65" s="293"/>
      <c r="AQ65" s="293"/>
      <c r="AR65" s="293"/>
      <c r="AS65" s="293"/>
      <c r="AT65" s="293"/>
      <c r="AU65" s="293"/>
      <c r="AV65" s="293"/>
      <c r="AW65" s="293"/>
      <c r="AX65" s="293"/>
      <c r="AY65" s="293"/>
      <c r="AZ65" s="293"/>
      <c r="BA65" s="293"/>
      <c r="BB65" s="293"/>
      <c r="BC65" s="293"/>
      <c r="BD65" s="293"/>
      <c r="BE65" s="293"/>
      <c r="BF65" s="293"/>
      <c r="BG65" s="293"/>
      <c r="BH65" s="293"/>
      <c r="BI65" s="293"/>
      <c r="BJ65" s="293"/>
      <c r="BK65" s="293"/>
      <c r="BL65" s="293"/>
      <c r="BM65" s="293"/>
      <c r="BN65" s="293"/>
      <c r="BO65" s="293"/>
      <c r="BP65" s="293"/>
      <c r="BQ65" s="293"/>
      <c r="BR65" s="293"/>
      <c r="BS65" s="293"/>
      <c r="BT65" s="293"/>
      <c r="BU65" s="293"/>
      <c r="BV65" s="293"/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/>
      <c r="CJ65" s="293"/>
      <c r="CK65" s="293"/>
      <c r="CL65" s="293"/>
      <c r="CM65" s="293"/>
      <c r="CN65" s="293"/>
      <c r="CO65" s="293"/>
      <c r="CP65" s="293"/>
      <c r="CQ65" s="293"/>
      <c r="CR65" s="293"/>
      <c r="CS65" s="293"/>
      <c r="CT65" s="293"/>
      <c r="CU65" s="293"/>
      <c r="CV65" s="293"/>
      <c r="CW65" s="293"/>
      <c r="CX65" s="293"/>
      <c r="CY65" s="293"/>
      <c r="CZ65" s="293"/>
      <c r="DA65" s="293"/>
      <c r="DB65" s="293"/>
    </row>
    <row r="66" spans="2:106" s="98" customFormat="1" ht="15.95" customHeight="1" x14ac:dyDescent="0.25">
      <c r="B66" s="275" t="s">
        <v>904</v>
      </c>
      <c r="C66" s="293"/>
      <c r="D66" s="293"/>
      <c r="E66" s="293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3"/>
      <c r="AO66" s="293"/>
      <c r="AP66" s="293"/>
      <c r="AQ66" s="293"/>
      <c r="AR66" s="293"/>
      <c r="AS66" s="293"/>
      <c r="AT66" s="293"/>
      <c r="AU66" s="293"/>
      <c r="AV66" s="293"/>
      <c r="AW66" s="293"/>
      <c r="AX66" s="293"/>
      <c r="AY66" s="293"/>
      <c r="AZ66" s="293"/>
      <c r="BA66" s="293"/>
      <c r="BB66" s="293"/>
      <c r="BC66" s="293"/>
      <c r="BD66" s="293"/>
      <c r="BE66" s="293"/>
      <c r="BF66" s="293"/>
      <c r="BG66" s="293"/>
      <c r="BH66" s="293"/>
      <c r="BI66" s="293"/>
      <c r="BJ66" s="293"/>
      <c r="BK66" s="293"/>
      <c r="BL66" s="293"/>
      <c r="BM66" s="293"/>
      <c r="BN66" s="293"/>
      <c r="BO66" s="293"/>
      <c r="BP66" s="293"/>
      <c r="BQ66" s="293"/>
      <c r="BR66" s="293"/>
      <c r="BS66" s="293"/>
      <c r="BT66" s="293"/>
      <c r="BU66" s="293"/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3"/>
      <c r="CK66" s="293"/>
      <c r="CL66" s="293"/>
      <c r="CM66" s="293"/>
      <c r="CN66" s="293"/>
      <c r="CO66" s="293"/>
      <c r="CP66" s="293"/>
      <c r="CQ66" s="293"/>
      <c r="CR66" s="293"/>
      <c r="CS66" s="293"/>
      <c r="CT66" s="293"/>
      <c r="CU66" s="293"/>
      <c r="CV66" s="293"/>
      <c r="CW66" s="293"/>
      <c r="CX66" s="293"/>
      <c r="CY66" s="293"/>
      <c r="CZ66" s="293"/>
      <c r="DA66" s="293"/>
      <c r="DB66" s="293"/>
    </row>
    <row r="67" spans="2:106" s="98" customFormat="1" ht="15.95" customHeight="1" x14ac:dyDescent="0.25">
      <c r="B67" s="288" t="s">
        <v>905</v>
      </c>
      <c r="C67" s="293"/>
      <c r="D67" s="293"/>
      <c r="E67" s="293"/>
      <c r="F67" s="293"/>
      <c r="G67" s="293"/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  <c r="AI67" s="293"/>
      <c r="AJ67" s="293"/>
      <c r="AK67" s="293"/>
      <c r="AL67" s="293"/>
      <c r="AM67" s="293"/>
      <c r="AN67" s="293"/>
      <c r="AO67" s="293"/>
      <c r="AP67" s="293"/>
      <c r="AQ67" s="293"/>
      <c r="AR67" s="293"/>
      <c r="AS67" s="293"/>
      <c r="AT67" s="293"/>
      <c r="AU67" s="293"/>
      <c r="AV67" s="293"/>
      <c r="AW67" s="293"/>
      <c r="AX67" s="293"/>
      <c r="AY67" s="293"/>
      <c r="AZ67" s="293"/>
      <c r="BA67" s="293"/>
      <c r="BB67" s="293"/>
      <c r="BC67" s="293"/>
      <c r="BD67" s="293"/>
      <c r="BE67" s="293"/>
      <c r="BF67" s="293"/>
      <c r="BG67" s="293"/>
      <c r="BH67" s="293"/>
      <c r="BI67" s="293"/>
      <c r="BJ67" s="293"/>
      <c r="BK67" s="293"/>
      <c r="BL67" s="293"/>
      <c r="BM67" s="293"/>
      <c r="BN67" s="293"/>
      <c r="BO67" s="293"/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/>
      <c r="CB67" s="293"/>
      <c r="CC67" s="293"/>
      <c r="CD67" s="293"/>
      <c r="CE67" s="293"/>
      <c r="CF67" s="293"/>
      <c r="CG67" s="293"/>
      <c r="CH67" s="293"/>
      <c r="CI67" s="293"/>
      <c r="CJ67" s="293"/>
      <c r="CK67" s="293"/>
      <c r="CL67" s="293"/>
      <c r="CM67" s="293"/>
      <c r="CN67" s="293"/>
      <c r="CO67" s="293"/>
      <c r="CP67" s="293"/>
      <c r="CQ67" s="293"/>
      <c r="CR67" s="293"/>
      <c r="CS67" s="293"/>
      <c r="CT67" s="293"/>
      <c r="CU67" s="293"/>
      <c r="CV67" s="293"/>
      <c r="CW67" s="293"/>
      <c r="CX67" s="293"/>
      <c r="CY67" s="293"/>
      <c r="CZ67" s="293"/>
      <c r="DA67" s="293"/>
      <c r="DB67" s="293"/>
    </row>
    <row r="68" spans="2:106" s="98" customFormat="1" ht="15.95" customHeight="1" x14ac:dyDescent="0.25">
      <c r="B68" s="288"/>
      <c r="C68" s="299"/>
      <c r="D68" s="299"/>
      <c r="E68" s="299"/>
      <c r="F68" s="299"/>
      <c r="G68" s="299"/>
      <c r="H68" s="299"/>
      <c r="I68" s="299"/>
      <c r="J68" s="299"/>
      <c r="K68" s="299"/>
      <c r="L68" s="299"/>
      <c r="M68" s="299"/>
      <c r="N68" s="299"/>
      <c r="O68" s="299"/>
      <c r="P68" s="299"/>
      <c r="Q68" s="299"/>
      <c r="R68" s="299"/>
      <c r="S68" s="299"/>
      <c r="T68" s="299"/>
      <c r="U68" s="299"/>
      <c r="V68" s="299"/>
      <c r="W68" s="299"/>
      <c r="X68" s="299"/>
      <c r="Y68" s="299"/>
      <c r="Z68" s="299"/>
      <c r="AA68" s="299"/>
      <c r="AB68" s="299"/>
      <c r="AC68" s="299"/>
      <c r="AD68" s="299"/>
      <c r="AE68" s="299"/>
      <c r="AF68" s="299"/>
      <c r="AG68" s="299"/>
      <c r="AH68" s="299"/>
      <c r="AI68" s="299"/>
      <c r="AJ68" s="299"/>
      <c r="AK68" s="299"/>
      <c r="AL68" s="299"/>
      <c r="AM68" s="299"/>
      <c r="AN68" s="299"/>
      <c r="AO68" s="299"/>
      <c r="AP68" s="299"/>
      <c r="AQ68" s="299"/>
      <c r="AR68" s="299"/>
      <c r="AS68" s="299"/>
      <c r="AT68" s="299"/>
      <c r="AU68" s="299"/>
      <c r="AV68" s="299"/>
      <c r="AW68" s="299"/>
      <c r="AX68" s="299"/>
      <c r="AY68" s="299"/>
      <c r="AZ68" s="299"/>
      <c r="BA68" s="299"/>
      <c r="BB68" s="299"/>
      <c r="BC68" s="299"/>
      <c r="BD68" s="299"/>
      <c r="BE68" s="299"/>
      <c r="BF68" s="299"/>
      <c r="BG68" s="299"/>
      <c r="BH68" s="299"/>
      <c r="BI68" s="299"/>
      <c r="BJ68" s="299"/>
      <c r="BK68" s="299"/>
      <c r="BL68" s="299"/>
      <c r="BM68" s="299"/>
      <c r="BN68" s="299"/>
      <c r="BO68" s="299"/>
      <c r="BP68" s="299"/>
      <c r="BQ68" s="299"/>
      <c r="BR68" s="299"/>
      <c r="BS68" s="299"/>
      <c r="BT68" s="299"/>
      <c r="BU68" s="299"/>
      <c r="BV68" s="299"/>
      <c r="BW68" s="299"/>
      <c r="BX68" s="299"/>
      <c r="BY68" s="299"/>
      <c r="BZ68" s="299"/>
      <c r="CA68" s="299"/>
      <c r="CB68" s="299"/>
      <c r="CC68" s="299"/>
      <c r="CD68" s="299"/>
      <c r="CE68" s="299"/>
      <c r="CF68" s="299"/>
      <c r="CG68" s="299"/>
      <c r="CH68" s="299"/>
      <c r="CI68" s="299"/>
      <c r="CJ68" s="299"/>
      <c r="CK68" s="299"/>
      <c r="CL68" s="299"/>
      <c r="CM68" s="299"/>
      <c r="CN68" s="299"/>
      <c r="CO68" s="299"/>
      <c r="CP68" s="299"/>
      <c r="CQ68" s="299"/>
      <c r="CR68" s="299"/>
      <c r="CS68" s="299"/>
      <c r="CT68" s="299"/>
      <c r="CU68" s="299"/>
      <c r="CV68" s="299"/>
      <c r="CW68" s="299"/>
      <c r="CX68" s="299"/>
      <c r="CY68" s="299"/>
      <c r="CZ68" s="299"/>
      <c r="DA68" s="299"/>
      <c r="DB68" s="299"/>
    </row>
    <row r="69" spans="2:106" s="98" customFormat="1" ht="15.95" customHeight="1" x14ac:dyDescent="0.25">
      <c r="B69" s="275" t="s">
        <v>907</v>
      </c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299"/>
      <c r="P69" s="299"/>
      <c r="Q69" s="299"/>
      <c r="R69" s="299"/>
      <c r="S69" s="299"/>
      <c r="T69" s="299"/>
      <c r="U69" s="299"/>
      <c r="V69" s="299"/>
      <c r="W69" s="299"/>
      <c r="X69" s="299"/>
      <c r="Y69" s="299"/>
      <c r="Z69" s="299"/>
      <c r="AA69" s="299"/>
      <c r="AB69" s="299"/>
      <c r="AC69" s="299"/>
      <c r="AD69" s="299"/>
      <c r="AE69" s="299"/>
      <c r="AF69" s="299"/>
      <c r="AG69" s="299"/>
      <c r="AH69" s="299"/>
      <c r="AI69" s="299"/>
      <c r="AJ69" s="299"/>
      <c r="AK69" s="299"/>
      <c r="AL69" s="299"/>
      <c r="AM69" s="299"/>
      <c r="AN69" s="299"/>
      <c r="AO69" s="299"/>
      <c r="AP69" s="299"/>
      <c r="AQ69" s="299"/>
      <c r="AR69" s="299"/>
      <c r="AS69" s="299"/>
      <c r="AT69" s="299"/>
      <c r="AU69" s="299"/>
      <c r="AV69" s="299"/>
      <c r="AW69" s="299"/>
      <c r="AX69" s="299"/>
      <c r="AY69" s="299"/>
      <c r="AZ69" s="299"/>
      <c r="BA69" s="299"/>
      <c r="BB69" s="299"/>
      <c r="BC69" s="299"/>
      <c r="BD69" s="299"/>
      <c r="BE69" s="299"/>
      <c r="BF69" s="299"/>
      <c r="BG69" s="299"/>
      <c r="BH69" s="299"/>
      <c r="BI69" s="299"/>
      <c r="BJ69" s="299"/>
      <c r="BK69" s="299"/>
      <c r="BL69" s="299"/>
      <c r="BM69" s="299"/>
      <c r="BN69" s="299"/>
      <c r="BO69" s="299"/>
      <c r="BP69" s="299"/>
      <c r="BQ69" s="299"/>
      <c r="BR69" s="299"/>
      <c r="BS69" s="299"/>
      <c r="BT69" s="299"/>
      <c r="BU69" s="299"/>
      <c r="BV69" s="299"/>
      <c r="BW69" s="299"/>
      <c r="BX69" s="299"/>
      <c r="BY69" s="299"/>
      <c r="BZ69" s="299"/>
      <c r="CA69" s="299"/>
      <c r="CB69" s="299"/>
      <c r="CC69" s="299"/>
      <c r="CD69" s="299"/>
      <c r="CE69" s="299"/>
      <c r="CF69" s="299"/>
      <c r="CG69" s="299"/>
      <c r="CH69" s="299"/>
      <c r="CI69" s="299"/>
      <c r="CJ69" s="299"/>
      <c r="CK69" s="299"/>
      <c r="CL69" s="299"/>
      <c r="CM69" s="299"/>
      <c r="CN69" s="299"/>
      <c r="CO69" s="299"/>
      <c r="CP69" s="299"/>
      <c r="CQ69" s="299"/>
      <c r="CR69" s="299"/>
      <c r="CS69" s="299"/>
      <c r="CT69" s="299"/>
      <c r="CU69" s="299"/>
      <c r="CV69" s="299"/>
      <c r="CW69" s="299"/>
      <c r="CX69" s="299"/>
      <c r="CY69" s="299"/>
      <c r="CZ69" s="299"/>
      <c r="DA69" s="299"/>
      <c r="DB69" s="299"/>
    </row>
    <row r="70" spans="2:106" s="98" customFormat="1" ht="15.95" customHeight="1" x14ac:dyDescent="0.25">
      <c r="B70" s="288" t="s">
        <v>908</v>
      </c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299"/>
      <c r="P70" s="299"/>
      <c r="Q70" s="299"/>
      <c r="R70" s="299"/>
      <c r="S70" s="299"/>
      <c r="T70" s="299"/>
      <c r="U70" s="299"/>
      <c r="V70" s="299"/>
      <c r="W70" s="299"/>
      <c r="X70" s="299"/>
      <c r="Y70" s="299"/>
      <c r="Z70" s="299"/>
      <c r="AA70" s="299"/>
      <c r="AB70" s="299"/>
      <c r="AC70" s="299"/>
      <c r="AD70" s="299"/>
      <c r="AE70" s="299"/>
      <c r="AF70" s="299"/>
      <c r="AG70" s="299"/>
      <c r="AH70" s="299"/>
      <c r="AI70" s="299"/>
      <c r="AJ70" s="299"/>
      <c r="AK70" s="299"/>
      <c r="AL70" s="299"/>
      <c r="AM70" s="299"/>
      <c r="AN70" s="299"/>
      <c r="AO70" s="299"/>
      <c r="AP70" s="299"/>
      <c r="AQ70" s="299"/>
      <c r="AR70" s="299"/>
      <c r="AS70" s="299"/>
      <c r="AT70" s="299"/>
      <c r="AU70" s="299"/>
      <c r="AV70" s="299"/>
      <c r="AW70" s="299"/>
      <c r="AX70" s="299"/>
      <c r="AY70" s="299"/>
      <c r="AZ70" s="299"/>
      <c r="BA70" s="299"/>
      <c r="BB70" s="299"/>
      <c r="BC70" s="299"/>
      <c r="BD70" s="299"/>
      <c r="BE70" s="299"/>
      <c r="BF70" s="299"/>
      <c r="BG70" s="299"/>
      <c r="BH70" s="299"/>
      <c r="BI70" s="299"/>
      <c r="BJ70" s="299"/>
      <c r="BK70" s="299"/>
      <c r="BL70" s="299"/>
      <c r="BM70" s="299"/>
      <c r="BN70" s="299"/>
      <c r="BO70" s="299"/>
      <c r="BP70" s="299"/>
      <c r="BQ70" s="299"/>
      <c r="BR70" s="299"/>
      <c r="BS70" s="299"/>
      <c r="BT70" s="299"/>
      <c r="BU70" s="299"/>
      <c r="BV70" s="299"/>
      <c r="BW70" s="299"/>
      <c r="BX70" s="299"/>
      <c r="BY70" s="299"/>
      <c r="BZ70" s="299"/>
      <c r="CA70" s="299"/>
      <c r="CB70" s="299"/>
      <c r="CC70" s="299"/>
      <c r="CD70" s="299"/>
      <c r="CE70" s="299"/>
      <c r="CF70" s="299"/>
      <c r="CG70" s="299"/>
      <c r="CH70" s="299"/>
      <c r="CI70" s="299"/>
      <c r="CJ70" s="299"/>
      <c r="CK70" s="299"/>
      <c r="CL70" s="299"/>
      <c r="CM70" s="299"/>
      <c r="CN70" s="299"/>
      <c r="CO70" s="299"/>
      <c r="CP70" s="299"/>
      <c r="CQ70" s="299"/>
      <c r="CR70" s="299"/>
      <c r="CS70" s="299"/>
      <c r="CT70" s="299"/>
      <c r="CU70" s="299"/>
      <c r="CV70" s="299"/>
      <c r="CW70" s="299"/>
      <c r="CX70" s="299"/>
      <c r="CY70" s="299"/>
      <c r="CZ70" s="299"/>
      <c r="DA70" s="299"/>
      <c r="DB70" s="299"/>
    </row>
    <row r="71" spans="2:106" s="98" customFormat="1" ht="15.95" customHeight="1" x14ac:dyDescent="0.25">
      <c r="B71" s="288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304"/>
      <c r="AB71" s="304"/>
      <c r="AC71" s="304"/>
      <c r="AD71" s="304"/>
      <c r="AE71" s="304"/>
      <c r="AF71" s="304"/>
      <c r="AG71" s="304"/>
      <c r="AH71" s="304"/>
      <c r="AI71" s="304"/>
      <c r="AJ71" s="304"/>
      <c r="AK71" s="304"/>
      <c r="AL71" s="304"/>
      <c r="AM71" s="304"/>
      <c r="AN71" s="304"/>
      <c r="AO71" s="304"/>
      <c r="AP71" s="304"/>
      <c r="AQ71" s="304"/>
      <c r="AR71" s="304"/>
      <c r="AS71" s="304"/>
      <c r="AT71" s="304"/>
      <c r="AU71" s="304"/>
      <c r="AV71" s="304"/>
      <c r="AW71" s="304"/>
      <c r="AX71" s="304"/>
      <c r="AY71" s="304"/>
      <c r="AZ71" s="304"/>
      <c r="BA71" s="304"/>
      <c r="BB71" s="304"/>
      <c r="BC71" s="304"/>
      <c r="BD71" s="304"/>
      <c r="BE71" s="304"/>
      <c r="BF71" s="304"/>
      <c r="BG71" s="304"/>
      <c r="BH71" s="304"/>
      <c r="BI71" s="304"/>
      <c r="BJ71" s="304"/>
      <c r="BK71" s="304"/>
      <c r="BL71" s="304"/>
      <c r="BM71" s="304"/>
      <c r="BN71" s="304"/>
      <c r="BO71" s="304"/>
      <c r="BP71" s="304"/>
      <c r="BQ71" s="304"/>
      <c r="BR71" s="304"/>
      <c r="BS71" s="304"/>
      <c r="BT71" s="304"/>
      <c r="BU71" s="304"/>
      <c r="BV71" s="304"/>
      <c r="BW71" s="304"/>
      <c r="BX71" s="304"/>
      <c r="BY71" s="304"/>
      <c r="BZ71" s="304"/>
      <c r="CA71" s="304"/>
      <c r="CB71" s="304"/>
      <c r="CC71" s="304"/>
      <c r="CD71" s="304"/>
      <c r="CE71" s="304"/>
      <c r="CF71" s="304"/>
      <c r="CG71" s="304"/>
      <c r="CH71" s="304"/>
      <c r="CI71" s="304"/>
      <c r="CJ71" s="304"/>
      <c r="CK71" s="304"/>
      <c r="CL71" s="304"/>
      <c r="CM71" s="304"/>
      <c r="CN71" s="304"/>
      <c r="CO71" s="304"/>
      <c r="CP71" s="304"/>
      <c r="CQ71" s="304"/>
      <c r="CR71" s="304"/>
      <c r="CS71" s="304"/>
      <c r="CT71" s="304"/>
      <c r="CU71" s="304"/>
      <c r="CV71" s="304"/>
      <c r="CW71" s="304"/>
      <c r="CX71" s="304"/>
      <c r="CY71" s="304"/>
      <c r="CZ71" s="304"/>
      <c r="DA71" s="304"/>
      <c r="DB71" s="304"/>
    </row>
    <row r="72" spans="2:106" s="98" customFormat="1" ht="15.95" customHeight="1" x14ac:dyDescent="0.25">
      <c r="B72" s="275" t="s">
        <v>941</v>
      </c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304"/>
      <c r="AB72" s="304"/>
      <c r="AC72" s="304"/>
      <c r="AD72" s="304"/>
      <c r="AE72" s="304"/>
      <c r="AF72" s="304"/>
      <c r="AG72" s="304"/>
      <c r="AH72" s="304"/>
      <c r="AI72" s="304"/>
      <c r="AJ72" s="304"/>
      <c r="AK72" s="304"/>
      <c r="AL72" s="304"/>
      <c r="AM72" s="304"/>
      <c r="AN72" s="304"/>
      <c r="AO72" s="304"/>
      <c r="AP72" s="304"/>
      <c r="AQ72" s="304"/>
      <c r="AR72" s="304"/>
      <c r="AS72" s="304"/>
      <c r="AT72" s="304"/>
      <c r="AU72" s="304"/>
      <c r="AV72" s="304"/>
      <c r="AW72" s="304"/>
      <c r="AX72" s="304"/>
      <c r="AY72" s="304"/>
      <c r="AZ72" s="304"/>
      <c r="BA72" s="304"/>
      <c r="BB72" s="304"/>
      <c r="BC72" s="304"/>
      <c r="BD72" s="304"/>
      <c r="BE72" s="304"/>
      <c r="BF72" s="304"/>
      <c r="BG72" s="304"/>
      <c r="BH72" s="304"/>
      <c r="BI72" s="304"/>
      <c r="BJ72" s="304"/>
      <c r="BK72" s="304"/>
      <c r="BL72" s="304"/>
      <c r="BM72" s="304"/>
      <c r="BN72" s="304"/>
      <c r="BO72" s="304"/>
      <c r="BP72" s="304"/>
      <c r="BQ72" s="304"/>
      <c r="BR72" s="304"/>
      <c r="BS72" s="304"/>
      <c r="BT72" s="304"/>
      <c r="BU72" s="304"/>
      <c r="BV72" s="304"/>
      <c r="BW72" s="304"/>
      <c r="BX72" s="304"/>
      <c r="BY72" s="304"/>
      <c r="BZ72" s="304"/>
      <c r="CA72" s="304"/>
      <c r="CB72" s="304"/>
      <c r="CC72" s="304"/>
      <c r="CD72" s="304"/>
      <c r="CE72" s="304"/>
      <c r="CF72" s="304"/>
      <c r="CG72" s="304"/>
      <c r="CH72" s="304"/>
      <c r="CI72" s="304"/>
      <c r="CJ72" s="304"/>
      <c r="CK72" s="304"/>
      <c r="CL72" s="304"/>
      <c r="CM72" s="304"/>
      <c r="CN72" s="304"/>
      <c r="CO72" s="304"/>
      <c r="CP72" s="304"/>
      <c r="CQ72" s="304"/>
      <c r="CR72" s="304"/>
      <c r="CS72" s="304"/>
      <c r="CT72" s="304"/>
      <c r="CU72" s="304"/>
      <c r="CV72" s="304"/>
      <c r="CW72" s="304"/>
      <c r="CX72" s="304"/>
      <c r="CY72" s="304"/>
      <c r="CZ72" s="304"/>
      <c r="DA72" s="304"/>
      <c r="DB72" s="304"/>
    </row>
    <row r="73" spans="2:106" ht="15.95" customHeight="1" x14ac:dyDescent="0.25">
      <c r="B73" s="288" t="s">
        <v>944</v>
      </c>
    </row>
    <row r="74" spans="2:106" s="98" customFormat="1" ht="15.95" customHeight="1" x14ac:dyDescent="0.25">
      <c r="B74" s="288"/>
    </row>
    <row r="75" spans="2:106" s="98" customFormat="1" ht="15.95" customHeight="1" x14ac:dyDescent="0.25">
      <c r="B75" s="275" t="s">
        <v>862</v>
      </c>
    </row>
    <row r="76" spans="2:106" s="98" customFormat="1" ht="15.95" customHeight="1" x14ac:dyDescent="0.25">
      <c r="B76" s="1631" t="s">
        <v>858</v>
      </c>
      <c r="C76" s="1631"/>
      <c r="D76" s="1631"/>
      <c r="E76" s="1631"/>
      <c r="F76" s="1631"/>
      <c r="G76" s="1631"/>
      <c r="H76" s="1631"/>
      <c r="I76" s="1631"/>
      <c r="J76" s="1631"/>
      <c r="K76" s="1631"/>
      <c r="L76" s="1631"/>
      <c r="M76" s="1631"/>
      <c r="N76" s="1631"/>
      <c r="O76" s="1631"/>
      <c r="P76" s="1631"/>
      <c r="Q76" s="1631"/>
      <c r="R76" s="1631"/>
      <c r="S76" s="1631"/>
      <c r="T76" s="1631"/>
      <c r="U76" s="1631"/>
      <c r="V76" s="1631"/>
      <c r="W76" s="1631"/>
      <c r="X76" s="1631"/>
      <c r="Y76" s="1631"/>
      <c r="Z76" s="1631"/>
      <c r="AA76" s="1631"/>
      <c r="AB76" s="1631"/>
      <c r="AC76" s="1631"/>
      <c r="AD76" s="1631"/>
      <c r="AE76" s="1631"/>
      <c r="AF76" s="1631"/>
      <c r="AG76" s="1631"/>
      <c r="AH76" s="1631"/>
      <c r="AI76" s="1631"/>
      <c r="AJ76" s="1631"/>
      <c r="AK76" s="1631"/>
      <c r="AL76" s="1631"/>
      <c r="AM76" s="1631"/>
      <c r="AN76" s="1631"/>
      <c r="AO76" s="1631"/>
      <c r="AP76" s="1631"/>
      <c r="AQ76" s="1631"/>
      <c r="AR76" s="1631"/>
      <c r="AS76" s="1631"/>
      <c r="AT76" s="1631"/>
      <c r="AU76" s="1631"/>
      <c r="AV76" s="1631"/>
      <c r="AW76" s="1631"/>
      <c r="AX76" s="1631"/>
      <c r="AY76" s="1631"/>
      <c r="AZ76" s="1631"/>
      <c r="BA76" s="1631"/>
      <c r="BB76" s="1631"/>
      <c r="BC76" s="1631"/>
      <c r="BD76" s="1631"/>
      <c r="BE76" s="1631"/>
      <c r="BF76" s="1631"/>
      <c r="BG76" s="1631"/>
      <c r="BH76" s="1631"/>
      <c r="BI76" s="1631"/>
      <c r="BJ76" s="1631"/>
      <c r="BK76" s="1631"/>
      <c r="BL76" s="1631"/>
      <c r="BM76" s="1631"/>
      <c r="BN76" s="1631"/>
      <c r="BO76" s="1631"/>
      <c r="BP76" s="1631"/>
      <c r="BQ76" s="1631"/>
      <c r="BR76" s="1631"/>
      <c r="BS76" s="1631"/>
      <c r="BT76" s="1631"/>
      <c r="BU76" s="1631"/>
      <c r="BV76" s="1631"/>
      <c r="BW76" s="1631"/>
      <c r="BX76" s="1631"/>
      <c r="BY76" s="1631"/>
      <c r="BZ76" s="1631"/>
      <c r="CA76" s="1631"/>
      <c r="CB76" s="1631"/>
      <c r="CC76" s="1631"/>
      <c r="CD76" s="1631"/>
      <c r="CE76" s="1631"/>
      <c r="CF76" s="1631"/>
      <c r="CG76" s="1631"/>
      <c r="CH76" s="1631"/>
      <c r="CI76" s="1631"/>
      <c r="CJ76" s="1631"/>
      <c r="CK76" s="1631"/>
      <c r="CL76" s="1631"/>
      <c r="CM76" s="1631"/>
      <c r="CN76" s="1631"/>
      <c r="CO76" s="1631"/>
      <c r="CP76" s="1631"/>
      <c r="CQ76" s="1631"/>
      <c r="CR76" s="1631"/>
      <c r="CS76" s="1631"/>
      <c r="CT76" s="1631"/>
      <c r="CU76" s="1631"/>
      <c r="CV76" s="1631"/>
      <c r="CW76" s="1631"/>
      <c r="CX76" s="1631"/>
      <c r="CY76" s="1631"/>
      <c r="CZ76" s="1631"/>
      <c r="DA76" s="1631"/>
      <c r="DB76" s="1631"/>
    </row>
    <row r="77" spans="2:106" ht="15.95" customHeight="1" x14ac:dyDescent="0.25">
      <c r="B77" s="1631"/>
      <c r="C77" s="1631"/>
      <c r="D77" s="1631"/>
      <c r="E77" s="1631"/>
      <c r="F77" s="1631"/>
      <c r="G77" s="1631"/>
      <c r="H77" s="1631"/>
      <c r="I77" s="1631"/>
      <c r="J77" s="1631"/>
      <c r="K77" s="1631"/>
      <c r="L77" s="1631"/>
      <c r="M77" s="1631"/>
      <c r="N77" s="1631"/>
      <c r="O77" s="1631"/>
      <c r="P77" s="1631"/>
      <c r="Q77" s="1631"/>
      <c r="R77" s="1631"/>
      <c r="S77" s="1631"/>
      <c r="T77" s="1631"/>
      <c r="U77" s="1631"/>
      <c r="V77" s="1631"/>
      <c r="W77" s="1631"/>
      <c r="X77" s="1631"/>
      <c r="Y77" s="1631"/>
      <c r="Z77" s="1631"/>
      <c r="AA77" s="1631"/>
      <c r="AB77" s="1631"/>
      <c r="AC77" s="1631"/>
      <c r="AD77" s="1631"/>
      <c r="AE77" s="1631"/>
      <c r="AF77" s="1631"/>
      <c r="AG77" s="1631"/>
      <c r="AH77" s="1631"/>
      <c r="AI77" s="1631"/>
      <c r="AJ77" s="1631"/>
      <c r="AK77" s="1631"/>
      <c r="AL77" s="1631"/>
      <c r="AM77" s="1631"/>
      <c r="AN77" s="1631"/>
      <c r="AO77" s="1631"/>
      <c r="AP77" s="1631"/>
      <c r="AQ77" s="1631"/>
      <c r="AR77" s="1631"/>
      <c r="AS77" s="1631"/>
      <c r="AT77" s="1631"/>
      <c r="AU77" s="1631"/>
      <c r="AV77" s="1631"/>
      <c r="AW77" s="1631"/>
      <c r="AX77" s="1631"/>
      <c r="AY77" s="1631"/>
      <c r="AZ77" s="1631"/>
      <c r="BA77" s="1631"/>
      <c r="BB77" s="1631"/>
      <c r="BC77" s="1631"/>
      <c r="BD77" s="1631"/>
      <c r="BE77" s="1631"/>
      <c r="BF77" s="1631"/>
      <c r="BG77" s="1631"/>
      <c r="BH77" s="1631"/>
      <c r="BI77" s="1631"/>
      <c r="BJ77" s="1631"/>
      <c r="BK77" s="1631"/>
      <c r="BL77" s="1631"/>
      <c r="BM77" s="1631"/>
      <c r="BN77" s="1631"/>
      <c r="BO77" s="1631"/>
      <c r="BP77" s="1631"/>
      <c r="BQ77" s="1631"/>
      <c r="BR77" s="1631"/>
      <c r="BS77" s="1631"/>
      <c r="BT77" s="1631"/>
      <c r="BU77" s="1631"/>
      <c r="BV77" s="1631"/>
      <c r="BW77" s="1631"/>
      <c r="BX77" s="1631"/>
      <c r="BY77" s="1631"/>
      <c r="BZ77" s="1631"/>
      <c r="CA77" s="1631"/>
      <c r="CB77" s="1631"/>
      <c r="CC77" s="1631"/>
      <c r="CD77" s="1631"/>
      <c r="CE77" s="1631"/>
      <c r="CF77" s="1631"/>
      <c r="CG77" s="1631"/>
      <c r="CH77" s="1631"/>
      <c r="CI77" s="1631"/>
      <c r="CJ77" s="1631"/>
      <c r="CK77" s="1631"/>
      <c r="CL77" s="1631"/>
      <c r="CM77" s="1631"/>
      <c r="CN77" s="1631"/>
      <c r="CO77" s="1631"/>
      <c r="CP77" s="1631"/>
      <c r="CQ77" s="1631"/>
      <c r="CR77" s="1631"/>
      <c r="CS77" s="1631"/>
      <c r="CT77" s="1631"/>
      <c r="CU77" s="1631"/>
      <c r="CV77" s="1631"/>
      <c r="CW77" s="1631"/>
      <c r="CX77" s="1631"/>
      <c r="CY77" s="1631"/>
      <c r="CZ77" s="1631"/>
      <c r="DA77" s="1631"/>
      <c r="DB77" s="1631"/>
    </row>
    <row r="78" spans="2:106" s="98" customFormat="1" ht="15.95" customHeight="1" x14ac:dyDescent="0.25">
      <c r="B78" s="289"/>
      <c r="C78" s="289"/>
      <c r="D78" s="289"/>
      <c r="E78" s="289"/>
      <c r="F78" s="289"/>
      <c r="G78" s="289"/>
      <c r="H78" s="289"/>
      <c r="I78" s="289"/>
      <c r="J78" s="289"/>
      <c r="K78" s="289"/>
      <c r="L78" s="289"/>
      <c r="M78" s="289"/>
      <c r="N78" s="289"/>
      <c r="O78" s="289"/>
      <c r="P78" s="289"/>
      <c r="Q78" s="289"/>
      <c r="R78" s="289"/>
      <c r="S78" s="289"/>
      <c r="T78" s="289"/>
      <c r="U78" s="289"/>
      <c r="V78" s="289"/>
      <c r="W78" s="289"/>
      <c r="X78" s="289"/>
      <c r="Y78" s="289"/>
      <c r="Z78" s="289"/>
      <c r="AA78" s="289"/>
      <c r="AB78" s="289"/>
      <c r="AC78" s="289"/>
      <c r="AD78" s="289"/>
      <c r="AE78" s="289"/>
      <c r="AF78" s="289"/>
      <c r="AG78" s="289"/>
      <c r="AH78" s="289"/>
      <c r="AI78" s="289"/>
      <c r="AJ78" s="289"/>
      <c r="AK78" s="289"/>
      <c r="AL78" s="289"/>
      <c r="AM78" s="289"/>
      <c r="AN78" s="289"/>
      <c r="AO78" s="289"/>
      <c r="AP78" s="289"/>
      <c r="AQ78" s="289"/>
      <c r="AR78" s="289"/>
      <c r="AS78" s="289"/>
      <c r="AT78" s="289"/>
      <c r="AU78" s="289"/>
      <c r="AV78" s="289"/>
      <c r="AW78" s="289"/>
      <c r="AX78" s="289"/>
      <c r="AY78" s="289"/>
      <c r="AZ78" s="289"/>
      <c r="BA78" s="289"/>
      <c r="BB78" s="289"/>
      <c r="BC78" s="289"/>
      <c r="BD78" s="289"/>
      <c r="BE78" s="289"/>
      <c r="BF78" s="289"/>
      <c r="BG78" s="289"/>
      <c r="BH78" s="289"/>
      <c r="BI78" s="289"/>
      <c r="BJ78" s="289"/>
      <c r="BK78" s="289"/>
      <c r="BL78" s="289"/>
      <c r="BM78" s="289"/>
      <c r="BN78" s="289"/>
      <c r="BO78" s="289"/>
      <c r="BP78" s="289"/>
      <c r="BQ78" s="289"/>
      <c r="BR78" s="289"/>
      <c r="BS78" s="289"/>
      <c r="BT78" s="289"/>
      <c r="BU78" s="289"/>
      <c r="BV78" s="289"/>
      <c r="BW78" s="289"/>
      <c r="BX78" s="289"/>
      <c r="BY78" s="289"/>
      <c r="BZ78" s="289"/>
      <c r="CA78" s="289"/>
      <c r="CB78" s="289"/>
      <c r="CC78" s="289"/>
      <c r="CD78" s="289"/>
      <c r="CE78" s="289"/>
      <c r="CF78" s="289"/>
      <c r="CG78" s="289"/>
      <c r="CH78" s="289"/>
      <c r="CI78" s="289"/>
      <c r="CJ78" s="289"/>
      <c r="CK78" s="289"/>
      <c r="CL78" s="289"/>
      <c r="CM78" s="289"/>
      <c r="CN78" s="289"/>
      <c r="CO78" s="289"/>
      <c r="CP78" s="289"/>
      <c r="CQ78" s="289"/>
      <c r="CR78" s="289"/>
      <c r="CS78" s="289"/>
      <c r="CT78" s="289"/>
      <c r="CU78" s="289"/>
      <c r="CV78" s="289"/>
      <c r="CW78" s="289"/>
      <c r="CX78" s="289"/>
      <c r="CY78" s="289"/>
      <c r="CZ78" s="289"/>
      <c r="DA78" s="289"/>
      <c r="DB78" s="289"/>
    </row>
    <row r="79" spans="2:106" s="98" customFormat="1" ht="15.95" customHeight="1" x14ac:dyDescent="0.25">
      <c r="B79" s="275" t="s">
        <v>863</v>
      </c>
    </row>
    <row r="80" spans="2:106" s="98" customFormat="1" ht="15.95" customHeight="1" x14ac:dyDescent="0.25">
      <c r="B80" s="1631" t="s">
        <v>860</v>
      </c>
      <c r="C80" s="1631"/>
      <c r="D80" s="1631"/>
      <c r="E80" s="1631"/>
      <c r="F80" s="1631"/>
      <c r="G80" s="1631"/>
      <c r="H80" s="1631"/>
      <c r="I80" s="1631"/>
      <c r="J80" s="1631"/>
      <c r="K80" s="1631"/>
      <c r="L80" s="1631"/>
      <c r="M80" s="1631"/>
      <c r="N80" s="1631"/>
      <c r="O80" s="1631"/>
      <c r="P80" s="1631"/>
      <c r="Q80" s="1631"/>
      <c r="R80" s="1631"/>
      <c r="S80" s="1631"/>
      <c r="T80" s="1631"/>
      <c r="U80" s="1631"/>
      <c r="V80" s="1631"/>
      <c r="W80" s="1631"/>
      <c r="X80" s="1631"/>
      <c r="Y80" s="1631"/>
      <c r="Z80" s="1631"/>
      <c r="AA80" s="1631"/>
      <c r="AB80" s="1631"/>
      <c r="AC80" s="1631"/>
      <c r="AD80" s="1631"/>
      <c r="AE80" s="1631"/>
      <c r="AF80" s="1631"/>
      <c r="AG80" s="1631"/>
      <c r="AH80" s="1631"/>
      <c r="AI80" s="1631"/>
      <c r="AJ80" s="1631"/>
      <c r="AK80" s="1631"/>
      <c r="AL80" s="1631"/>
      <c r="AM80" s="1631"/>
      <c r="AN80" s="1631"/>
      <c r="AO80" s="1631"/>
      <c r="AP80" s="1631"/>
      <c r="AQ80" s="1631"/>
      <c r="AR80" s="1631"/>
      <c r="AS80" s="1631"/>
      <c r="AT80" s="1631"/>
      <c r="AU80" s="1631"/>
      <c r="AV80" s="1631"/>
      <c r="AW80" s="1631"/>
      <c r="AX80" s="1631"/>
      <c r="AY80" s="1631"/>
      <c r="AZ80" s="1631"/>
      <c r="BA80" s="1631"/>
      <c r="BB80" s="1631"/>
      <c r="BC80" s="1631"/>
      <c r="BD80" s="1631"/>
      <c r="BE80" s="1631"/>
      <c r="BF80" s="1631"/>
      <c r="BG80" s="1631"/>
      <c r="BH80" s="1631"/>
      <c r="BI80" s="1631"/>
      <c r="BJ80" s="1631"/>
      <c r="BK80" s="1631"/>
      <c r="BL80" s="1631"/>
      <c r="BM80" s="1631"/>
      <c r="BN80" s="1631"/>
      <c r="BO80" s="1631"/>
      <c r="BP80" s="1631"/>
      <c r="BQ80" s="1631"/>
      <c r="BR80" s="1631"/>
      <c r="BS80" s="1631"/>
      <c r="BT80" s="1631"/>
      <c r="BU80" s="1631"/>
      <c r="BV80" s="1631"/>
      <c r="BW80" s="1631"/>
      <c r="BX80" s="1631"/>
      <c r="BY80" s="1631"/>
      <c r="BZ80" s="1631"/>
      <c r="CA80" s="1631"/>
      <c r="CB80" s="1631"/>
      <c r="CC80" s="1631"/>
      <c r="CD80" s="1631"/>
      <c r="CE80" s="1631"/>
      <c r="CF80" s="1631"/>
      <c r="CG80" s="1631"/>
      <c r="CH80" s="1631"/>
      <c r="CI80" s="1631"/>
      <c r="CJ80" s="1631"/>
      <c r="CK80" s="1631"/>
      <c r="CL80" s="1631"/>
      <c r="CM80" s="1631"/>
      <c r="CN80" s="1631"/>
      <c r="CO80" s="1631"/>
      <c r="CP80" s="1631"/>
      <c r="CQ80" s="1631"/>
      <c r="CR80" s="1631"/>
      <c r="CS80" s="1631"/>
      <c r="CT80" s="1631"/>
      <c r="CU80" s="1631"/>
      <c r="CV80" s="1631"/>
      <c r="CW80" s="1631"/>
      <c r="CX80" s="1631"/>
      <c r="CY80" s="1631"/>
      <c r="CZ80" s="1631"/>
      <c r="DA80" s="1631"/>
      <c r="DB80" s="1631"/>
    </row>
    <row r="81" spans="2:106" s="98" customFormat="1" ht="15.95" customHeight="1" x14ac:dyDescent="0.25">
      <c r="B81" s="1631"/>
      <c r="C81" s="1631"/>
      <c r="D81" s="1631"/>
      <c r="E81" s="1631"/>
      <c r="F81" s="1631"/>
      <c r="G81" s="1631"/>
      <c r="H81" s="1631"/>
      <c r="I81" s="1631"/>
      <c r="J81" s="1631"/>
      <c r="K81" s="1631"/>
      <c r="L81" s="1631"/>
      <c r="M81" s="1631"/>
      <c r="N81" s="1631"/>
      <c r="O81" s="1631"/>
      <c r="P81" s="1631"/>
      <c r="Q81" s="1631"/>
      <c r="R81" s="1631"/>
      <c r="S81" s="1631"/>
      <c r="T81" s="1631"/>
      <c r="U81" s="1631"/>
      <c r="V81" s="1631"/>
      <c r="W81" s="1631"/>
      <c r="X81" s="1631"/>
      <c r="Y81" s="1631"/>
      <c r="Z81" s="1631"/>
      <c r="AA81" s="1631"/>
      <c r="AB81" s="1631"/>
      <c r="AC81" s="1631"/>
      <c r="AD81" s="1631"/>
      <c r="AE81" s="1631"/>
      <c r="AF81" s="1631"/>
      <c r="AG81" s="1631"/>
      <c r="AH81" s="1631"/>
      <c r="AI81" s="1631"/>
      <c r="AJ81" s="1631"/>
      <c r="AK81" s="1631"/>
      <c r="AL81" s="1631"/>
      <c r="AM81" s="1631"/>
      <c r="AN81" s="1631"/>
      <c r="AO81" s="1631"/>
      <c r="AP81" s="1631"/>
      <c r="AQ81" s="1631"/>
      <c r="AR81" s="1631"/>
      <c r="AS81" s="1631"/>
      <c r="AT81" s="1631"/>
      <c r="AU81" s="1631"/>
      <c r="AV81" s="1631"/>
      <c r="AW81" s="1631"/>
      <c r="AX81" s="1631"/>
      <c r="AY81" s="1631"/>
      <c r="AZ81" s="1631"/>
      <c r="BA81" s="1631"/>
      <c r="BB81" s="1631"/>
      <c r="BC81" s="1631"/>
      <c r="BD81" s="1631"/>
      <c r="BE81" s="1631"/>
      <c r="BF81" s="1631"/>
      <c r="BG81" s="1631"/>
      <c r="BH81" s="1631"/>
      <c r="BI81" s="1631"/>
      <c r="BJ81" s="1631"/>
      <c r="BK81" s="1631"/>
      <c r="BL81" s="1631"/>
      <c r="BM81" s="1631"/>
      <c r="BN81" s="1631"/>
      <c r="BO81" s="1631"/>
      <c r="BP81" s="1631"/>
      <c r="BQ81" s="1631"/>
      <c r="BR81" s="1631"/>
      <c r="BS81" s="1631"/>
      <c r="BT81" s="1631"/>
      <c r="BU81" s="1631"/>
      <c r="BV81" s="1631"/>
      <c r="BW81" s="1631"/>
      <c r="BX81" s="1631"/>
      <c r="BY81" s="1631"/>
      <c r="BZ81" s="1631"/>
      <c r="CA81" s="1631"/>
      <c r="CB81" s="1631"/>
      <c r="CC81" s="1631"/>
      <c r="CD81" s="1631"/>
      <c r="CE81" s="1631"/>
      <c r="CF81" s="1631"/>
      <c r="CG81" s="1631"/>
      <c r="CH81" s="1631"/>
      <c r="CI81" s="1631"/>
      <c r="CJ81" s="1631"/>
      <c r="CK81" s="1631"/>
      <c r="CL81" s="1631"/>
      <c r="CM81" s="1631"/>
      <c r="CN81" s="1631"/>
      <c r="CO81" s="1631"/>
      <c r="CP81" s="1631"/>
      <c r="CQ81" s="1631"/>
      <c r="CR81" s="1631"/>
      <c r="CS81" s="1631"/>
      <c r="CT81" s="1631"/>
      <c r="CU81" s="1631"/>
      <c r="CV81" s="1631"/>
      <c r="CW81" s="1631"/>
      <c r="CX81" s="1631"/>
      <c r="CY81" s="1631"/>
      <c r="CZ81" s="1631"/>
      <c r="DA81" s="1631"/>
      <c r="DB81" s="1631"/>
    </row>
    <row r="83" spans="2:106" s="98" customFormat="1" ht="15.95" customHeight="1" x14ac:dyDescent="0.25">
      <c r="B83" s="275" t="s">
        <v>869</v>
      </c>
    </row>
    <row r="84" spans="2:106" ht="15.95" customHeight="1" x14ac:dyDescent="0.25">
      <c r="B84" s="1631" t="s">
        <v>859</v>
      </c>
      <c r="C84" s="1631"/>
      <c r="D84" s="1631"/>
      <c r="E84" s="1631"/>
      <c r="F84" s="1631"/>
      <c r="G84" s="1631"/>
      <c r="H84" s="1631"/>
      <c r="I84" s="1631"/>
      <c r="J84" s="1631"/>
      <c r="K84" s="1631"/>
      <c r="L84" s="1631"/>
      <c r="M84" s="1631"/>
      <c r="N84" s="1631"/>
      <c r="O84" s="1631"/>
      <c r="P84" s="1631"/>
      <c r="Q84" s="1631"/>
      <c r="R84" s="1631"/>
      <c r="S84" s="1631"/>
      <c r="T84" s="1631"/>
      <c r="U84" s="1631"/>
      <c r="V84" s="1631"/>
      <c r="W84" s="1631"/>
      <c r="X84" s="1631"/>
      <c r="Y84" s="1631"/>
      <c r="Z84" s="1631"/>
      <c r="AA84" s="1631"/>
      <c r="AB84" s="1631"/>
      <c r="AC84" s="1631"/>
      <c r="AD84" s="1631"/>
      <c r="AE84" s="1631"/>
      <c r="AF84" s="1631"/>
      <c r="AG84" s="1631"/>
      <c r="AH84" s="1631"/>
      <c r="AI84" s="1631"/>
      <c r="AJ84" s="1631"/>
      <c r="AK84" s="1631"/>
      <c r="AL84" s="1631"/>
      <c r="AM84" s="1631"/>
      <c r="AN84" s="1631"/>
      <c r="AO84" s="1631"/>
      <c r="AP84" s="1631"/>
      <c r="AQ84" s="1631"/>
      <c r="AR84" s="1631"/>
      <c r="AS84" s="1631"/>
      <c r="AT84" s="1631"/>
      <c r="AU84" s="1631"/>
      <c r="AV84" s="1631"/>
      <c r="AW84" s="1631"/>
      <c r="AX84" s="1631"/>
      <c r="AY84" s="1631"/>
      <c r="AZ84" s="1631"/>
      <c r="BA84" s="1631"/>
      <c r="BB84" s="1631"/>
      <c r="BC84" s="1631"/>
      <c r="BD84" s="1631"/>
      <c r="BE84" s="1631"/>
      <c r="BF84" s="1631"/>
      <c r="BG84" s="1631"/>
      <c r="BH84" s="1631"/>
      <c r="BI84" s="1631"/>
      <c r="BJ84" s="1631"/>
      <c r="BK84" s="1631"/>
      <c r="BL84" s="1631"/>
      <c r="BM84" s="1631"/>
      <c r="BN84" s="1631"/>
      <c r="BO84" s="1631"/>
      <c r="BP84" s="1631"/>
      <c r="BQ84" s="1631"/>
      <c r="BR84" s="1631"/>
      <c r="BS84" s="1631"/>
      <c r="BT84" s="1631"/>
      <c r="BU84" s="1631"/>
      <c r="BV84" s="1631"/>
      <c r="BW84" s="1631"/>
      <c r="BX84" s="1631"/>
      <c r="BY84" s="1631"/>
      <c r="BZ84" s="1631"/>
      <c r="CA84" s="1631"/>
      <c r="CB84" s="1631"/>
      <c r="CC84" s="1631"/>
      <c r="CD84" s="1631"/>
      <c r="CE84" s="1631"/>
      <c r="CF84" s="1631"/>
      <c r="CG84" s="1631"/>
      <c r="CH84" s="1631"/>
      <c r="CI84" s="1631"/>
      <c r="CJ84" s="1631"/>
      <c r="CK84" s="1631"/>
      <c r="CL84" s="1631"/>
      <c r="CM84" s="1631"/>
      <c r="CN84" s="1631"/>
      <c r="CO84" s="1631"/>
      <c r="CP84" s="1631"/>
      <c r="CQ84" s="1631"/>
      <c r="CR84" s="1631"/>
      <c r="CS84" s="1631"/>
      <c r="CT84" s="1631"/>
      <c r="CU84" s="1631"/>
      <c r="CV84" s="1631"/>
      <c r="CW84" s="1631"/>
      <c r="CX84" s="1631"/>
      <c r="CY84" s="1631"/>
      <c r="CZ84" s="1631"/>
      <c r="DA84" s="1631"/>
      <c r="DB84" s="1631"/>
    </row>
    <row r="85" spans="2:106" ht="15.95" customHeight="1" x14ac:dyDescent="0.25">
      <c r="B85" s="1631"/>
      <c r="C85" s="1631"/>
      <c r="D85" s="1631"/>
      <c r="E85" s="1631"/>
      <c r="F85" s="1631"/>
      <c r="G85" s="1631"/>
      <c r="H85" s="1631"/>
      <c r="I85" s="1631"/>
      <c r="J85" s="1631"/>
      <c r="K85" s="1631"/>
      <c r="L85" s="1631"/>
      <c r="M85" s="1631"/>
      <c r="N85" s="1631"/>
      <c r="O85" s="1631"/>
      <c r="P85" s="1631"/>
      <c r="Q85" s="1631"/>
      <c r="R85" s="1631"/>
      <c r="S85" s="1631"/>
      <c r="T85" s="1631"/>
      <c r="U85" s="1631"/>
      <c r="V85" s="1631"/>
      <c r="W85" s="1631"/>
      <c r="X85" s="1631"/>
      <c r="Y85" s="1631"/>
      <c r="Z85" s="1631"/>
      <c r="AA85" s="1631"/>
      <c r="AB85" s="1631"/>
      <c r="AC85" s="1631"/>
      <c r="AD85" s="1631"/>
      <c r="AE85" s="1631"/>
      <c r="AF85" s="1631"/>
      <c r="AG85" s="1631"/>
      <c r="AH85" s="1631"/>
      <c r="AI85" s="1631"/>
      <c r="AJ85" s="1631"/>
      <c r="AK85" s="1631"/>
      <c r="AL85" s="1631"/>
      <c r="AM85" s="1631"/>
      <c r="AN85" s="1631"/>
      <c r="AO85" s="1631"/>
      <c r="AP85" s="1631"/>
      <c r="AQ85" s="1631"/>
      <c r="AR85" s="1631"/>
      <c r="AS85" s="1631"/>
      <c r="AT85" s="1631"/>
      <c r="AU85" s="1631"/>
      <c r="AV85" s="1631"/>
      <c r="AW85" s="1631"/>
      <c r="AX85" s="1631"/>
      <c r="AY85" s="1631"/>
      <c r="AZ85" s="1631"/>
      <c r="BA85" s="1631"/>
      <c r="BB85" s="1631"/>
      <c r="BC85" s="1631"/>
      <c r="BD85" s="1631"/>
      <c r="BE85" s="1631"/>
      <c r="BF85" s="1631"/>
      <c r="BG85" s="1631"/>
      <c r="BH85" s="1631"/>
      <c r="BI85" s="1631"/>
      <c r="BJ85" s="1631"/>
      <c r="BK85" s="1631"/>
      <c r="BL85" s="1631"/>
      <c r="BM85" s="1631"/>
      <c r="BN85" s="1631"/>
      <c r="BO85" s="1631"/>
      <c r="BP85" s="1631"/>
      <c r="BQ85" s="1631"/>
      <c r="BR85" s="1631"/>
      <c r="BS85" s="1631"/>
      <c r="BT85" s="1631"/>
      <c r="BU85" s="1631"/>
      <c r="BV85" s="1631"/>
      <c r="BW85" s="1631"/>
      <c r="BX85" s="1631"/>
      <c r="BY85" s="1631"/>
      <c r="BZ85" s="1631"/>
      <c r="CA85" s="1631"/>
      <c r="CB85" s="1631"/>
      <c r="CC85" s="1631"/>
      <c r="CD85" s="1631"/>
      <c r="CE85" s="1631"/>
      <c r="CF85" s="1631"/>
      <c r="CG85" s="1631"/>
      <c r="CH85" s="1631"/>
      <c r="CI85" s="1631"/>
      <c r="CJ85" s="1631"/>
      <c r="CK85" s="1631"/>
      <c r="CL85" s="1631"/>
      <c r="CM85" s="1631"/>
      <c r="CN85" s="1631"/>
      <c r="CO85" s="1631"/>
      <c r="CP85" s="1631"/>
      <c r="CQ85" s="1631"/>
      <c r="CR85" s="1631"/>
      <c r="CS85" s="1631"/>
      <c r="CT85" s="1631"/>
      <c r="CU85" s="1631"/>
      <c r="CV85" s="1631"/>
      <c r="CW85" s="1631"/>
      <c r="CX85" s="1631"/>
      <c r="CY85" s="1631"/>
      <c r="CZ85" s="1631"/>
      <c r="DA85" s="1631"/>
      <c r="DB85" s="1631"/>
    </row>
    <row r="87" spans="2:106" s="98" customFormat="1" ht="15.95" customHeight="1" x14ac:dyDescent="0.25">
      <c r="B87" s="275" t="s">
        <v>964</v>
      </c>
    </row>
    <row r="88" spans="2:106" s="98" customFormat="1" ht="15.95" customHeight="1" x14ac:dyDescent="0.25">
      <c r="B88" s="288" t="s">
        <v>946</v>
      </c>
    </row>
    <row r="89" spans="2:106" s="98" customFormat="1" ht="15.95" customHeight="1" x14ac:dyDescent="0.25"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05"/>
      <c r="M89" s="305"/>
      <c r="N89" s="305"/>
      <c r="O89" s="305"/>
      <c r="P89" s="305"/>
      <c r="Q89" s="305"/>
      <c r="R89" s="305"/>
      <c r="S89" s="305"/>
      <c r="T89" s="305"/>
      <c r="U89" s="305"/>
      <c r="V89" s="305"/>
      <c r="W89" s="305"/>
      <c r="X89" s="305"/>
      <c r="Y89" s="305"/>
      <c r="Z89" s="305"/>
      <c r="AA89" s="305"/>
      <c r="AB89" s="305"/>
      <c r="AC89" s="305"/>
      <c r="AD89" s="305"/>
      <c r="AE89" s="305"/>
      <c r="AF89" s="305"/>
      <c r="AG89" s="305"/>
      <c r="AH89" s="305"/>
      <c r="AI89" s="305"/>
      <c r="AJ89" s="305"/>
      <c r="AK89" s="305"/>
      <c r="AL89" s="305"/>
      <c r="AM89" s="305"/>
      <c r="AN89" s="305"/>
      <c r="AO89" s="305"/>
      <c r="AP89" s="305"/>
      <c r="AQ89" s="305"/>
      <c r="AR89" s="305"/>
      <c r="AS89" s="305"/>
      <c r="AT89" s="305"/>
      <c r="AU89" s="305"/>
      <c r="AV89" s="305"/>
      <c r="AW89" s="305"/>
      <c r="AX89" s="305"/>
      <c r="AY89" s="305"/>
      <c r="AZ89" s="305"/>
      <c r="BA89" s="305"/>
      <c r="BB89" s="305"/>
      <c r="BC89" s="305"/>
      <c r="BD89" s="305"/>
      <c r="BE89" s="305"/>
      <c r="BF89" s="305"/>
      <c r="BG89" s="305"/>
      <c r="BH89" s="305"/>
      <c r="BI89" s="305"/>
      <c r="BJ89" s="305"/>
      <c r="BK89" s="305"/>
      <c r="BL89" s="305"/>
      <c r="BM89" s="305"/>
      <c r="BN89" s="305"/>
      <c r="BO89" s="305"/>
      <c r="BP89" s="305"/>
      <c r="BQ89" s="305"/>
      <c r="BR89" s="305"/>
      <c r="BS89" s="305"/>
      <c r="BT89" s="305"/>
      <c r="BU89" s="305"/>
      <c r="BV89" s="305"/>
      <c r="BW89" s="305"/>
      <c r="BX89" s="305"/>
      <c r="BY89" s="305"/>
      <c r="BZ89" s="305"/>
      <c r="CA89" s="305"/>
      <c r="CB89" s="305"/>
      <c r="CC89" s="305"/>
      <c r="CD89" s="305"/>
      <c r="CE89" s="305"/>
      <c r="CF89" s="305"/>
      <c r="CG89" s="305"/>
      <c r="CH89" s="305"/>
      <c r="CI89" s="305"/>
      <c r="CJ89" s="305"/>
      <c r="CK89" s="305"/>
      <c r="CL89" s="305"/>
      <c r="CM89" s="305"/>
      <c r="CN89" s="305"/>
      <c r="CO89" s="305"/>
      <c r="CP89" s="305"/>
      <c r="CQ89" s="305"/>
      <c r="CR89" s="305"/>
      <c r="CS89" s="305"/>
      <c r="CT89" s="305"/>
      <c r="CU89" s="305"/>
      <c r="CV89" s="305"/>
      <c r="CW89" s="305"/>
      <c r="CX89" s="305"/>
      <c r="CY89" s="305"/>
      <c r="CZ89" s="305"/>
      <c r="DA89" s="305"/>
      <c r="DB89" s="305"/>
    </row>
    <row r="90" spans="2:106" s="98" customFormat="1" ht="15.95" customHeight="1" x14ac:dyDescent="0.25">
      <c r="B90" s="275" t="s">
        <v>940</v>
      </c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  <c r="AA90" s="305"/>
      <c r="AB90" s="305"/>
      <c r="AC90" s="305"/>
      <c r="AD90" s="305"/>
      <c r="AE90" s="305"/>
      <c r="AF90" s="305"/>
      <c r="AG90" s="305"/>
      <c r="AH90" s="305"/>
      <c r="AI90" s="305"/>
      <c r="AJ90" s="305"/>
      <c r="AK90" s="305"/>
      <c r="AL90" s="305"/>
      <c r="AM90" s="305"/>
      <c r="AN90" s="305"/>
      <c r="AO90" s="305"/>
      <c r="AP90" s="305"/>
      <c r="AQ90" s="305"/>
      <c r="AR90" s="305"/>
      <c r="AS90" s="305"/>
      <c r="AT90" s="305"/>
      <c r="AU90" s="305"/>
      <c r="AV90" s="305"/>
      <c r="AW90" s="305"/>
      <c r="AX90" s="305"/>
      <c r="AY90" s="305"/>
      <c r="AZ90" s="305"/>
      <c r="BA90" s="305"/>
      <c r="BB90" s="305"/>
      <c r="BC90" s="305"/>
      <c r="BD90" s="305"/>
      <c r="BE90" s="305"/>
      <c r="BF90" s="305"/>
      <c r="BG90" s="305"/>
      <c r="BH90" s="305"/>
      <c r="BI90" s="305"/>
      <c r="BJ90" s="305"/>
      <c r="BK90" s="305"/>
      <c r="BL90" s="305"/>
      <c r="BM90" s="305"/>
      <c r="BN90" s="305"/>
      <c r="BO90" s="305"/>
      <c r="BP90" s="305"/>
      <c r="BQ90" s="305"/>
      <c r="BR90" s="305"/>
      <c r="BS90" s="305"/>
      <c r="BT90" s="305"/>
      <c r="BU90" s="305"/>
      <c r="BV90" s="305"/>
      <c r="BW90" s="305"/>
      <c r="BX90" s="305"/>
      <c r="BY90" s="305"/>
      <c r="BZ90" s="305"/>
      <c r="CA90" s="305"/>
      <c r="CB90" s="305"/>
      <c r="CC90" s="305"/>
      <c r="CD90" s="305"/>
      <c r="CE90" s="305"/>
      <c r="CF90" s="305"/>
      <c r="CG90" s="305"/>
      <c r="CH90" s="305"/>
      <c r="CI90" s="305"/>
      <c r="CJ90" s="305"/>
      <c r="CK90" s="305"/>
      <c r="CL90" s="305"/>
      <c r="CM90" s="305"/>
      <c r="CN90" s="305"/>
      <c r="CO90" s="305"/>
      <c r="CP90" s="305"/>
      <c r="CQ90" s="305"/>
      <c r="CR90" s="305"/>
      <c r="CS90" s="305"/>
      <c r="CT90" s="305"/>
      <c r="CU90" s="305"/>
      <c r="CV90" s="305"/>
      <c r="CW90" s="305"/>
      <c r="CX90" s="305"/>
      <c r="CY90" s="305"/>
      <c r="CZ90" s="305"/>
      <c r="DA90" s="305"/>
      <c r="DB90" s="305"/>
    </row>
    <row r="91" spans="2:106" s="98" customFormat="1" ht="15.95" customHeight="1" x14ac:dyDescent="0.25">
      <c r="B91" s="1629" t="s">
        <v>942</v>
      </c>
      <c r="C91" s="1629"/>
      <c r="D91" s="1629"/>
      <c r="E91" s="1629"/>
      <c r="F91" s="1629"/>
      <c r="G91" s="1629"/>
      <c r="H91" s="1629"/>
      <c r="I91" s="1629"/>
      <c r="J91" s="1629"/>
      <c r="K91" s="1629"/>
      <c r="L91" s="1629"/>
      <c r="M91" s="1629"/>
      <c r="N91" s="1629"/>
      <c r="O91" s="1629"/>
      <c r="P91" s="1629"/>
      <c r="Q91" s="1629"/>
      <c r="R91" s="1629"/>
      <c r="S91" s="1629"/>
      <c r="T91" s="1629"/>
      <c r="U91" s="1629"/>
      <c r="V91" s="1629"/>
      <c r="W91" s="1629"/>
      <c r="X91" s="1629"/>
      <c r="Y91" s="1629"/>
      <c r="Z91" s="1629"/>
      <c r="AA91" s="1629"/>
      <c r="AB91" s="1629"/>
      <c r="AC91" s="1629"/>
      <c r="AD91" s="1629"/>
      <c r="AE91" s="1629"/>
      <c r="AF91" s="1629"/>
      <c r="AG91" s="1629"/>
      <c r="AH91" s="1629"/>
      <c r="AI91" s="1629"/>
      <c r="AJ91" s="1629"/>
      <c r="AK91" s="1629"/>
      <c r="AL91" s="1629"/>
      <c r="AM91" s="1629"/>
      <c r="AN91" s="1629"/>
      <c r="AO91" s="1629"/>
      <c r="AP91" s="1629"/>
      <c r="AQ91" s="1629"/>
      <c r="AR91" s="1629"/>
      <c r="AS91" s="1629"/>
      <c r="AT91" s="1629"/>
      <c r="AU91" s="1629"/>
      <c r="AV91" s="1629"/>
      <c r="AW91" s="1629"/>
      <c r="AX91" s="1629"/>
      <c r="AY91" s="1629"/>
      <c r="AZ91" s="1629"/>
      <c r="BA91" s="1629"/>
      <c r="BB91" s="1629"/>
      <c r="BC91" s="1629"/>
      <c r="BD91" s="1629"/>
      <c r="BE91" s="1629"/>
      <c r="BF91" s="1629"/>
      <c r="BG91" s="1629"/>
      <c r="BH91" s="1629"/>
      <c r="BI91" s="1629"/>
      <c r="BJ91" s="1629"/>
      <c r="BK91" s="1629"/>
      <c r="BL91" s="1629"/>
      <c r="BM91" s="1629"/>
      <c r="BN91" s="1629"/>
      <c r="BO91" s="1629"/>
      <c r="BP91" s="1629"/>
      <c r="BQ91" s="1629"/>
      <c r="BR91" s="1629"/>
      <c r="BS91" s="1629"/>
      <c r="BT91" s="1629"/>
      <c r="BU91" s="1629"/>
      <c r="BV91" s="1629"/>
      <c r="BW91" s="1629"/>
      <c r="BX91" s="1629"/>
      <c r="BY91" s="1629"/>
      <c r="BZ91" s="1629"/>
      <c r="CA91" s="1629"/>
      <c r="CB91" s="1629"/>
      <c r="CC91" s="1629"/>
      <c r="CD91" s="1629"/>
      <c r="CE91" s="1629"/>
      <c r="CF91" s="1629"/>
      <c r="CG91" s="1629"/>
      <c r="CH91" s="1629"/>
      <c r="CI91" s="1629"/>
      <c r="CJ91" s="1629"/>
      <c r="CK91" s="1629"/>
      <c r="CL91" s="1629"/>
      <c r="CM91" s="1629"/>
      <c r="CN91" s="1629"/>
      <c r="CO91" s="1629"/>
      <c r="CP91" s="1629"/>
      <c r="CQ91" s="1629"/>
      <c r="CR91" s="1629"/>
      <c r="CS91" s="1629"/>
      <c r="CT91" s="1629"/>
      <c r="CU91" s="1629"/>
      <c r="CV91" s="1629"/>
      <c r="CW91" s="1629"/>
      <c r="CX91" s="1629"/>
      <c r="CY91" s="1629"/>
      <c r="CZ91" s="305"/>
      <c r="DA91" s="305"/>
      <c r="DB91" s="305"/>
    </row>
    <row r="92" spans="2:106" s="98" customFormat="1" ht="15.95" customHeight="1" x14ac:dyDescent="0.25">
      <c r="B92" s="1629"/>
      <c r="C92" s="1629"/>
      <c r="D92" s="1629"/>
      <c r="E92" s="1629"/>
      <c r="F92" s="1629"/>
      <c r="G92" s="1629"/>
      <c r="H92" s="1629"/>
      <c r="I92" s="1629"/>
      <c r="J92" s="1629"/>
      <c r="K92" s="1629"/>
      <c r="L92" s="1629"/>
      <c r="M92" s="1629"/>
      <c r="N92" s="1629"/>
      <c r="O92" s="1629"/>
      <c r="P92" s="1629"/>
      <c r="Q92" s="1629"/>
      <c r="R92" s="1629"/>
      <c r="S92" s="1629"/>
      <c r="T92" s="1629"/>
      <c r="U92" s="1629"/>
      <c r="V92" s="1629"/>
      <c r="W92" s="1629"/>
      <c r="X92" s="1629"/>
      <c r="Y92" s="1629"/>
      <c r="Z92" s="1629"/>
      <c r="AA92" s="1629"/>
      <c r="AB92" s="1629"/>
      <c r="AC92" s="1629"/>
      <c r="AD92" s="1629"/>
      <c r="AE92" s="1629"/>
      <c r="AF92" s="1629"/>
      <c r="AG92" s="1629"/>
      <c r="AH92" s="1629"/>
      <c r="AI92" s="1629"/>
      <c r="AJ92" s="1629"/>
      <c r="AK92" s="1629"/>
      <c r="AL92" s="1629"/>
      <c r="AM92" s="1629"/>
      <c r="AN92" s="1629"/>
      <c r="AO92" s="1629"/>
      <c r="AP92" s="1629"/>
      <c r="AQ92" s="1629"/>
      <c r="AR92" s="1629"/>
      <c r="AS92" s="1629"/>
      <c r="AT92" s="1629"/>
      <c r="AU92" s="1629"/>
      <c r="AV92" s="1629"/>
      <c r="AW92" s="1629"/>
      <c r="AX92" s="1629"/>
      <c r="AY92" s="1629"/>
      <c r="AZ92" s="1629"/>
      <c r="BA92" s="1629"/>
      <c r="BB92" s="1629"/>
      <c r="BC92" s="1629"/>
      <c r="BD92" s="1629"/>
      <c r="BE92" s="1629"/>
      <c r="BF92" s="1629"/>
      <c r="BG92" s="1629"/>
      <c r="BH92" s="1629"/>
      <c r="BI92" s="1629"/>
      <c r="BJ92" s="1629"/>
      <c r="BK92" s="1629"/>
      <c r="BL92" s="1629"/>
      <c r="BM92" s="1629"/>
      <c r="BN92" s="1629"/>
      <c r="BO92" s="1629"/>
      <c r="BP92" s="1629"/>
      <c r="BQ92" s="1629"/>
      <c r="BR92" s="1629"/>
      <c r="BS92" s="1629"/>
      <c r="BT92" s="1629"/>
      <c r="BU92" s="1629"/>
      <c r="BV92" s="1629"/>
      <c r="BW92" s="1629"/>
      <c r="BX92" s="1629"/>
      <c r="BY92" s="1629"/>
      <c r="BZ92" s="1629"/>
      <c r="CA92" s="1629"/>
      <c r="CB92" s="1629"/>
      <c r="CC92" s="1629"/>
      <c r="CD92" s="1629"/>
      <c r="CE92" s="1629"/>
      <c r="CF92" s="1629"/>
      <c r="CG92" s="1629"/>
      <c r="CH92" s="1629"/>
      <c r="CI92" s="1629"/>
      <c r="CJ92" s="1629"/>
      <c r="CK92" s="1629"/>
      <c r="CL92" s="1629"/>
      <c r="CM92" s="1629"/>
      <c r="CN92" s="1629"/>
      <c r="CO92" s="1629"/>
      <c r="CP92" s="1629"/>
      <c r="CQ92" s="1629"/>
      <c r="CR92" s="1629"/>
      <c r="CS92" s="1629"/>
      <c r="CT92" s="1629"/>
      <c r="CU92" s="1629"/>
      <c r="CV92" s="1629"/>
      <c r="CW92" s="1629"/>
      <c r="CX92" s="1629"/>
      <c r="CY92" s="1629"/>
      <c r="CZ92" s="305"/>
      <c r="DA92" s="305"/>
      <c r="DB92" s="305"/>
    </row>
    <row r="93" spans="2:106" s="98" customFormat="1" ht="15.95" customHeight="1" x14ac:dyDescent="0.25">
      <c r="B93" s="1629"/>
      <c r="C93" s="1629"/>
      <c r="D93" s="1629"/>
      <c r="E93" s="1629"/>
      <c r="F93" s="1629"/>
      <c r="G93" s="1629"/>
      <c r="H93" s="1629"/>
      <c r="I93" s="1629"/>
      <c r="J93" s="1629"/>
      <c r="K93" s="1629"/>
      <c r="L93" s="1629"/>
      <c r="M93" s="1629"/>
      <c r="N93" s="1629"/>
      <c r="O93" s="1629"/>
      <c r="P93" s="1629"/>
      <c r="Q93" s="1629"/>
      <c r="R93" s="1629"/>
      <c r="S93" s="1629"/>
      <c r="T93" s="1629"/>
      <c r="U93" s="1629"/>
      <c r="V93" s="1629"/>
      <c r="W93" s="1629"/>
      <c r="X93" s="1629"/>
      <c r="Y93" s="1629"/>
      <c r="Z93" s="1629"/>
      <c r="AA93" s="1629"/>
      <c r="AB93" s="1629"/>
      <c r="AC93" s="1629"/>
      <c r="AD93" s="1629"/>
      <c r="AE93" s="1629"/>
      <c r="AF93" s="1629"/>
      <c r="AG93" s="1629"/>
      <c r="AH93" s="1629"/>
      <c r="AI93" s="1629"/>
      <c r="AJ93" s="1629"/>
      <c r="AK93" s="1629"/>
      <c r="AL93" s="1629"/>
      <c r="AM93" s="1629"/>
      <c r="AN93" s="1629"/>
      <c r="AO93" s="1629"/>
      <c r="AP93" s="1629"/>
      <c r="AQ93" s="1629"/>
      <c r="AR93" s="1629"/>
      <c r="AS93" s="1629"/>
      <c r="AT93" s="1629"/>
      <c r="AU93" s="1629"/>
      <c r="AV93" s="1629"/>
      <c r="AW93" s="1629"/>
      <c r="AX93" s="1629"/>
      <c r="AY93" s="1629"/>
      <c r="AZ93" s="1629"/>
      <c r="BA93" s="1629"/>
      <c r="BB93" s="1629"/>
      <c r="BC93" s="1629"/>
      <c r="BD93" s="1629"/>
      <c r="BE93" s="1629"/>
      <c r="BF93" s="1629"/>
      <c r="BG93" s="1629"/>
      <c r="BH93" s="1629"/>
      <c r="BI93" s="1629"/>
      <c r="BJ93" s="1629"/>
      <c r="BK93" s="1629"/>
      <c r="BL93" s="1629"/>
      <c r="BM93" s="1629"/>
      <c r="BN93" s="1629"/>
      <c r="BO93" s="1629"/>
      <c r="BP93" s="1629"/>
      <c r="BQ93" s="1629"/>
      <c r="BR93" s="1629"/>
      <c r="BS93" s="1629"/>
      <c r="BT93" s="1629"/>
      <c r="BU93" s="1629"/>
      <c r="BV93" s="1629"/>
      <c r="BW93" s="1629"/>
      <c r="BX93" s="1629"/>
      <c r="BY93" s="1629"/>
      <c r="BZ93" s="1629"/>
      <c r="CA93" s="1629"/>
      <c r="CB93" s="1629"/>
      <c r="CC93" s="1629"/>
      <c r="CD93" s="1629"/>
      <c r="CE93" s="1629"/>
      <c r="CF93" s="1629"/>
      <c r="CG93" s="1629"/>
      <c r="CH93" s="1629"/>
      <c r="CI93" s="1629"/>
      <c r="CJ93" s="1629"/>
      <c r="CK93" s="1629"/>
      <c r="CL93" s="1629"/>
      <c r="CM93" s="1629"/>
      <c r="CN93" s="1629"/>
      <c r="CO93" s="1629"/>
      <c r="CP93" s="1629"/>
      <c r="CQ93" s="1629"/>
      <c r="CR93" s="1629"/>
      <c r="CS93" s="1629"/>
      <c r="CT93" s="1629"/>
      <c r="CU93" s="1629"/>
      <c r="CV93" s="1629"/>
      <c r="CW93" s="1629"/>
      <c r="CX93" s="1629"/>
      <c r="CY93" s="1629"/>
      <c r="CZ93" s="305"/>
      <c r="DA93" s="305"/>
      <c r="DB93" s="305"/>
    </row>
  </sheetData>
  <sheetProtection sheet="1" objects="1" scenarios="1" selectLockedCells="1" selectUnlockedCells="1"/>
  <mergeCells count="7">
    <mergeCell ref="B91:CY93"/>
    <mergeCell ref="B2:S2"/>
    <mergeCell ref="B63:DB64"/>
    <mergeCell ref="B76:DB77"/>
    <mergeCell ref="B84:DB85"/>
    <mergeCell ref="B80:DB81"/>
    <mergeCell ref="B55:DB5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3" sqref="B3"/>
    </sheetView>
  </sheetViews>
  <sheetFormatPr defaultRowHeight="15" x14ac:dyDescent="0.25"/>
  <sheetData>
    <row r="2" spans="2:2" x14ac:dyDescent="0.25">
      <c r="B2" t="s">
        <v>1152</v>
      </c>
    </row>
    <row r="3" spans="2:2" x14ac:dyDescent="0.25">
      <c r="B3" t="s">
        <v>1151</v>
      </c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8"/>
  <dimension ref="B1:AV78"/>
  <sheetViews>
    <sheetView topLeftCell="Z4" workbookViewId="0">
      <selection activeCell="AR1" sqref="AR1"/>
    </sheetView>
  </sheetViews>
  <sheetFormatPr defaultRowHeight="11.25" x14ac:dyDescent="0.2"/>
  <cols>
    <col min="1" max="2" width="2.7109375" style="1" customWidth="1"/>
    <col min="3" max="3" width="12.7109375" style="1" customWidth="1"/>
    <col min="4" max="4" width="7.42578125" style="1" bestFit="1" customWidth="1"/>
    <col min="5" max="9" width="4.7109375" style="1" customWidth="1"/>
    <col min="10" max="10" width="10.7109375" style="1" customWidth="1"/>
    <col min="11" max="11" width="2.7109375" style="1" customWidth="1"/>
    <col min="12" max="14" width="10.7109375" style="1" customWidth="1"/>
    <col min="15" max="17" width="2.7109375" style="1" customWidth="1"/>
    <col min="18" max="18" width="14.7109375" style="1" customWidth="1"/>
    <col min="19" max="19" width="6.7109375" style="38" customWidth="1"/>
    <col min="20" max="20" width="2.7109375" style="1" customWidth="1"/>
    <col min="21" max="21" width="18.7109375" style="1" customWidth="1"/>
    <col min="22" max="26" width="8.7109375" style="1" customWidth="1"/>
    <col min="27" max="29" width="2.7109375" style="1" customWidth="1"/>
    <col min="30" max="30" width="8.7109375" style="1" customWidth="1"/>
    <col min="31" max="31" width="14.7109375" style="1" customWidth="1"/>
    <col min="32" max="32" width="10.7109375" style="1" customWidth="1"/>
    <col min="33" max="33" width="6.7109375" style="1" customWidth="1"/>
    <col min="34" max="34" width="2.7109375" style="1" customWidth="1"/>
    <col min="35" max="35" width="20.7109375" style="1" customWidth="1"/>
    <col min="36" max="36" width="8.7109375" style="1" customWidth="1"/>
    <col min="37" max="39" width="2.7109375" style="1" customWidth="1"/>
    <col min="40" max="40" width="20.7109375" style="1" customWidth="1"/>
    <col min="41" max="43" width="2.7109375" style="1" customWidth="1"/>
    <col min="44" max="44" width="28.28515625" style="38" bestFit="1" customWidth="1"/>
    <col min="45" max="45" width="2.7109375" style="1" customWidth="1"/>
    <col min="46" max="46" width="16.7109375" style="38" customWidth="1"/>
    <col min="47" max="47" width="8.7109375" style="1" customWidth="1"/>
    <col min="48" max="50" width="2.7109375" style="1" customWidth="1"/>
    <col min="51" max="54" width="16.7109375" style="1" customWidth="1"/>
    <col min="55" max="64" width="8.7109375" style="1" customWidth="1"/>
    <col min="65" max="16384" width="9.140625" style="1"/>
  </cols>
  <sheetData>
    <row r="1" spans="2:48" ht="12" thickBot="1" x14ac:dyDescent="0.25">
      <c r="B1" s="10" t="s">
        <v>346</v>
      </c>
      <c r="Q1" s="10" t="s">
        <v>482</v>
      </c>
      <c r="AC1" s="10" t="s">
        <v>540</v>
      </c>
      <c r="AM1" s="10" t="s">
        <v>542</v>
      </c>
      <c r="AQ1" s="10" t="s">
        <v>600</v>
      </c>
    </row>
    <row r="2" spans="2:48" ht="15" customHeight="1" x14ac:dyDescent="0.2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1"/>
      <c r="R2" s="12"/>
      <c r="S2" s="65"/>
      <c r="T2" s="12"/>
      <c r="U2" s="12"/>
      <c r="V2" s="12"/>
      <c r="W2" s="12"/>
      <c r="X2" s="12"/>
      <c r="Y2" s="12"/>
      <c r="Z2" s="12"/>
      <c r="AA2" s="13"/>
      <c r="AB2" s="14"/>
      <c r="AC2" s="11"/>
      <c r="AD2" s="12"/>
      <c r="AE2" s="12"/>
      <c r="AF2" s="12"/>
      <c r="AG2" s="12"/>
      <c r="AH2" s="12"/>
      <c r="AI2" s="12"/>
      <c r="AJ2" s="12"/>
      <c r="AK2" s="13"/>
      <c r="AM2" s="11"/>
      <c r="AN2" s="12"/>
      <c r="AO2" s="13"/>
      <c r="AQ2" s="11"/>
      <c r="AR2" s="65"/>
      <c r="AS2" s="12"/>
      <c r="AT2" s="65"/>
      <c r="AU2" s="12"/>
      <c r="AV2" s="13"/>
    </row>
    <row r="3" spans="2:48" x14ac:dyDescent="0.2">
      <c r="B3" s="15"/>
      <c r="C3" s="356" t="s">
        <v>215</v>
      </c>
      <c r="D3" s="354" t="s">
        <v>140</v>
      </c>
      <c r="E3" s="354" t="s">
        <v>61</v>
      </c>
      <c r="F3" s="354" t="s">
        <v>141</v>
      </c>
      <c r="G3" s="354" t="s">
        <v>142</v>
      </c>
      <c r="H3" s="354" t="s">
        <v>143</v>
      </c>
      <c r="I3" s="354" t="s">
        <v>144</v>
      </c>
      <c r="J3" s="83" t="s">
        <v>213</v>
      </c>
      <c r="K3" s="97"/>
      <c r="L3" s="18" t="s">
        <v>339</v>
      </c>
      <c r="M3" s="18" t="s">
        <v>340</v>
      </c>
      <c r="N3" s="52" t="s">
        <v>601</v>
      </c>
      <c r="O3" s="19"/>
      <c r="P3" s="14"/>
      <c r="Q3" s="15"/>
      <c r="R3" s="20" t="s">
        <v>348</v>
      </c>
      <c r="S3" s="39"/>
      <c r="T3" s="14"/>
      <c r="U3" s="20"/>
      <c r="V3" s="46" t="s">
        <v>234</v>
      </c>
      <c r="W3" s="47" t="s">
        <v>235</v>
      </c>
      <c r="X3" s="48" t="s">
        <v>236</v>
      </c>
      <c r="Y3" s="14"/>
      <c r="Z3" s="14"/>
      <c r="AA3" s="19"/>
      <c r="AB3" s="14"/>
      <c r="AC3" s="15"/>
      <c r="AD3" s="18" t="s">
        <v>538</v>
      </c>
      <c r="AE3" s="50" t="s">
        <v>216</v>
      </c>
      <c r="AF3" s="16" t="s">
        <v>217</v>
      </c>
      <c r="AG3" s="17" t="s">
        <v>524</v>
      </c>
      <c r="AH3" s="14"/>
      <c r="AI3" s="52" t="s">
        <v>521</v>
      </c>
      <c r="AJ3" s="48" t="s">
        <v>17</v>
      </c>
      <c r="AK3" s="19"/>
      <c r="AM3" s="15"/>
      <c r="AN3" s="20" t="s">
        <v>572</v>
      </c>
      <c r="AO3" s="19"/>
      <c r="AQ3" s="15"/>
      <c r="AR3" s="88" t="s">
        <v>586</v>
      </c>
      <c r="AS3" s="140"/>
      <c r="AT3" s="89" t="s">
        <v>587</v>
      </c>
      <c r="AU3" s="90"/>
      <c r="AV3" s="19"/>
    </row>
    <row r="4" spans="2:48" x14ac:dyDescent="0.2">
      <c r="B4" s="15"/>
      <c r="C4" s="29" t="s">
        <v>610</v>
      </c>
      <c r="D4" s="99"/>
      <c r="E4" s="99"/>
      <c r="F4" s="99"/>
      <c r="G4" s="99"/>
      <c r="H4" s="99">
        <v>4</v>
      </c>
      <c r="I4" s="99">
        <v>2</v>
      </c>
      <c r="J4" s="69">
        <f>tamanho.cust</f>
        <v>0</v>
      </c>
      <c r="K4" s="97"/>
      <c r="L4" s="8" t="str">
        <f>IF(RAÇA.p="Meio-orc","–","For")</f>
        <v>For</v>
      </c>
      <c r="M4" s="8" t="str">
        <f>IF(coringa1="For","–","For")</f>
        <v>For</v>
      </c>
      <c r="N4" s="70" t="s">
        <v>140</v>
      </c>
      <c r="O4" s="19"/>
      <c r="P4" s="14"/>
      <c r="Q4" s="15"/>
      <c r="R4" s="24" t="s">
        <v>250</v>
      </c>
      <c r="S4" s="39"/>
      <c r="T4" s="14"/>
      <c r="U4" s="6" t="s">
        <v>319</v>
      </c>
      <c r="V4" s="39">
        <f>VLOOKUP(CLASSE.1,TABELA.classes,5,FALSE)</f>
        <v>0</v>
      </c>
      <c r="W4" s="39">
        <f>VLOOKUP(CLASSE.1,TABELA.classes,6,FALSE)</f>
        <v>0</v>
      </c>
      <c r="X4" s="40">
        <f>VLOOKUP(CLASSE.1,TABELA.classes,7,FALSE)</f>
        <v>0</v>
      </c>
      <c r="Y4" s="14"/>
      <c r="Z4" s="14"/>
      <c r="AA4" s="19"/>
      <c r="AB4" s="14"/>
      <c r="AC4" s="15"/>
      <c r="AD4" s="72" t="s">
        <v>331</v>
      </c>
      <c r="AE4" s="26" t="s">
        <v>502</v>
      </c>
      <c r="AF4" s="22" t="b">
        <v>0</v>
      </c>
      <c r="AG4" s="23">
        <f>VLOOKUP(CLASSE.1,TABELA.classes,8,FALSE)</f>
        <v>0</v>
      </c>
      <c r="AH4" s="14"/>
      <c r="AI4" s="70" t="s">
        <v>77</v>
      </c>
      <c r="AJ4" s="78">
        <f>mod.For</f>
        <v>0</v>
      </c>
      <c r="AK4" s="19"/>
      <c r="AM4" s="15"/>
      <c r="AN4" s="51">
        <f>IF(carga.atual&gt;carga.base,-2,0)</f>
        <v>0</v>
      </c>
      <c r="AO4" s="19"/>
      <c r="AQ4" s="15"/>
      <c r="AR4" s="102" t="str">
        <f>IF('Classes Básicas'!AD28="não","",IF('Classes Básicas'!A28=0,"",'Classes Básicas'!A28))</f>
        <v/>
      </c>
      <c r="AS4" s="140"/>
      <c r="AT4" s="306" t="s">
        <v>114</v>
      </c>
      <c r="AU4" s="105">
        <f>mod.For</f>
        <v>0</v>
      </c>
      <c r="AV4" s="19"/>
    </row>
    <row r="5" spans="2:48" x14ac:dyDescent="0.2">
      <c r="B5" s="15"/>
      <c r="C5" s="21" t="s">
        <v>147</v>
      </c>
      <c r="D5" s="22"/>
      <c r="E5" s="22">
        <v>-2</v>
      </c>
      <c r="F5" s="22">
        <v>4</v>
      </c>
      <c r="G5" s="22"/>
      <c r="H5" s="22">
        <v>2</v>
      </c>
      <c r="I5" s="22"/>
      <c r="J5" s="84" t="s">
        <v>64</v>
      </c>
      <c r="K5" s="97"/>
      <c r="L5" s="8" t="str">
        <f>IF(OR(RAÇA.p="Meio-elfo",RAÇA.p="Meio-elfo-do-mar"),"–","Des")</f>
        <v>Des</v>
      </c>
      <c r="M5" s="8" t="str">
        <f>IF(coringa1="Des","–","Des")</f>
        <v>Des</v>
      </c>
      <c r="N5" s="70" t="s">
        <v>61</v>
      </c>
      <c r="O5" s="19"/>
      <c r="P5" s="14"/>
      <c r="Q5" s="15"/>
      <c r="R5" s="25" t="s">
        <v>251</v>
      </c>
      <c r="S5" s="39"/>
      <c r="T5" s="14"/>
      <c r="U5" s="6" t="s">
        <v>320</v>
      </c>
      <c r="V5" s="39">
        <f>IF(tipo.classe.2="Básica",IF(S11=2,IF(talento.classe.2="Fortitude Maior",2,0),0),0)</f>
        <v>0</v>
      </c>
      <c r="W5" s="39">
        <f>IF(tipo.classe.2="Básica",IF(S12=2,IF(talento.classe.2="Reflexos Rápidos",2,0),0),0)</f>
        <v>0</v>
      </c>
      <c r="X5" s="40">
        <f>IF(tipo.classe.2="Básica",IF(S13=2,IF(talento.classe.2="Vontade de Ferro",2,0),0),0)</f>
        <v>0</v>
      </c>
      <c r="Y5" s="14"/>
      <c r="Z5" s="14"/>
      <c r="AA5" s="19"/>
      <c r="AB5" s="14"/>
      <c r="AC5" s="15"/>
      <c r="AD5" s="72" t="s">
        <v>541</v>
      </c>
      <c r="AE5" s="26" t="s">
        <v>503</v>
      </c>
      <c r="AF5" s="22" t="b">
        <v>0</v>
      </c>
      <c r="AG5" s="23">
        <f>VLOOKUP(CLASSE.1,TABELA.classes,9,FALSE)</f>
        <v>0</v>
      </c>
      <c r="AH5" s="14"/>
      <c r="AI5" s="70" t="s">
        <v>78</v>
      </c>
      <c r="AJ5" s="69">
        <f>mod.Des</f>
        <v>0</v>
      </c>
      <c r="AK5" s="19"/>
      <c r="AM5" s="15"/>
      <c r="AN5" s="14"/>
      <c r="AO5" s="19"/>
      <c r="AQ5" s="15"/>
      <c r="AR5" s="70" t="s">
        <v>232</v>
      </c>
      <c r="AS5" s="140"/>
      <c r="AT5" s="307" t="s">
        <v>115</v>
      </c>
      <c r="AU5" s="40">
        <f>mod.Des</f>
        <v>0</v>
      </c>
      <c r="AV5" s="19"/>
    </row>
    <row r="6" spans="2:48" x14ac:dyDescent="0.2">
      <c r="B6" s="15"/>
      <c r="C6" s="29" t="s">
        <v>611</v>
      </c>
      <c r="D6" s="99">
        <v>4</v>
      </c>
      <c r="E6" s="99">
        <v>2</v>
      </c>
      <c r="F6" s="99"/>
      <c r="G6" s="99"/>
      <c r="H6" s="99"/>
      <c r="I6" s="99">
        <v>-2</v>
      </c>
      <c r="J6" s="69" t="s">
        <v>64</v>
      </c>
      <c r="K6" s="97"/>
      <c r="L6" s="8" t="str">
        <f>IF(RAÇA.p="Meio-elfo","–","Con")</f>
        <v>Con</v>
      </c>
      <c r="M6" s="8" t="str">
        <f>IF(coringa1="Con","–","Con")</f>
        <v>Con</v>
      </c>
      <c r="N6" s="70" t="s">
        <v>141</v>
      </c>
      <c r="O6" s="19"/>
      <c r="P6" s="14"/>
      <c r="Q6" s="15"/>
      <c r="R6" s="20" t="s">
        <v>349</v>
      </c>
      <c r="S6" s="39"/>
      <c r="T6" s="14"/>
      <c r="U6" s="6" t="s">
        <v>321</v>
      </c>
      <c r="V6" s="39">
        <f>IF(tipo.classe.3="Básica",IF(S17=2,IF(talento.classe.3="Fortitude Maior",2,0),0),0)</f>
        <v>0</v>
      </c>
      <c r="W6" s="39">
        <f>IF(tipo.classe.3="Básica",IF(S18=2,IF(talento.classe.3="Reflexos Rápidos",2,0),0),0)</f>
        <v>0</v>
      </c>
      <c r="X6" s="40">
        <f>IF(tipo.classe.3="Básica",IF(S19=2,IF(talento.classe.3="Vontade de Ferro",2,0),0),0)</f>
        <v>0</v>
      </c>
      <c r="Y6" s="14"/>
      <c r="Z6" s="14"/>
      <c r="AA6" s="19"/>
      <c r="AB6" s="14"/>
      <c r="AC6" s="15"/>
      <c r="AD6" s="72" t="s">
        <v>332</v>
      </c>
      <c r="AE6" s="26" t="s">
        <v>501</v>
      </c>
      <c r="AF6" s="22" t="b">
        <v>0</v>
      </c>
      <c r="AG6" s="23">
        <f>VLOOKUP(CLASSE.1,TABELA.classes,10,FALSE)</f>
        <v>0</v>
      </c>
      <c r="AH6" s="14"/>
      <c r="AI6" s="70" t="s">
        <v>79</v>
      </c>
      <c r="AJ6" s="69">
        <f>mod.Con</f>
        <v>0</v>
      </c>
      <c r="AK6" s="19"/>
      <c r="AM6" s="15"/>
      <c r="AN6" s="52" t="s">
        <v>539</v>
      </c>
      <c r="AO6" s="19"/>
      <c r="AQ6" s="15"/>
      <c r="AR6" s="70" t="s">
        <v>187</v>
      </c>
      <c r="AS6" s="140"/>
      <c r="AT6" s="307" t="s">
        <v>101</v>
      </c>
      <c r="AU6" s="40">
        <f>mod.Con</f>
        <v>0</v>
      </c>
      <c r="AV6" s="19"/>
    </row>
    <row r="7" spans="2:48" x14ac:dyDescent="0.2">
      <c r="B7" s="15"/>
      <c r="C7" s="21" t="s">
        <v>158</v>
      </c>
      <c r="D7" s="22">
        <v>4</v>
      </c>
      <c r="E7" s="22"/>
      <c r="F7" s="22"/>
      <c r="G7" s="22">
        <v>-2</v>
      </c>
      <c r="H7" s="22">
        <v>2</v>
      </c>
      <c r="I7" s="22"/>
      <c r="J7" s="84" t="s">
        <v>66</v>
      </c>
      <c r="K7" s="97"/>
      <c r="L7" s="8" t="str">
        <f>IF(OR(RAÇA.p="Meio-orc",RAÇA.p="Meio-elfo-do-mar"),"–","Int")</f>
        <v>Int</v>
      </c>
      <c r="M7" s="8" t="str">
        <f>IF(coringa1="Int","–","Int")</f>
        <v>Int</v>
      </c>
      <c r="N7" s="70" t="s">
        <v>142</v>
      </c>
      <c r="O7" s="19"/>
      <c r="P7" s="14"/>
      <c r="Q7" s="15"/>
      <c r="R7" s="24" t="s">
        <v>250</v>
      </c>
      <c r="S7" s="39"/>
      <c r="T7" s="14"/>
      <c r="U7" s="6" t="s">
        <v>322</v>
      </c>
      <c r="V7" s="39">
        <f>IF(tipo.classe.4="Básica",IF(S23=2,IF(talento.classe.4="Fortitude Maior",2,0),0),0)</f>
        <v>0</v>
      </c>
      <c r="W7" s="39">
        <f>IF(tipo.classe.4="Básica",IF(S24=2,IF(talento.classe.4="Reflexos Rápidos",2,0),0),0)</f>
        <v>0</v>
      </c>
      <c r="X7" s="40">
        <f>IF(tipo.classe.4="Básica",IF(S25=2,IF(talento.classe.4="Vontade de Ferro",2,0),0),0)</f>
        <v>0</v>
      </c>
      <c r="Y7" s="14"/>
      <c r="Z7" s="14"/>
      <c r="AA7" s="19"/>
      <c r="AB7" s="14"/>
      <c r="AC7" s="15"/>
      <c r="AD7" s="72" t="s">
        <v>345</v>
      </c>
      <c r="AE7" s="26" t="s">
        <v>504</v>
      </c>
      <c r="AF7" s="22" t="b">
        <v>0</v>
      </c>
      <c r="AG7" s="23">
        <f>VLOOKUP(CLASSE.1,TABELA.classes,11,FALSE)</f>
        <v>0</v>
      </c>
      <c r="AH7" s="14"/>
      <c r="AI7" s="70" t="s">
        <v>44</v>
      </c>
      <c r="AJ7" s="69">
        <f>mod.Int</f>
        <v>0</v>
      </c>
      <c r="AK7" s="19"/>
      <c r="AM7" s="15"/>
      <c r="AN7" s="51">
        <f>(TC+TP+TO+TL)*0.01</f>
        <v>0</v>
      </c>
      <c r="AO7" s="19"/>
      <c r="AQ7" s="15"/>
      <c r="AR7" s="70" t="s">
        <v>989</v>
      </c>
      <c r="AS7" s="140"/>
      <c r="AT7" s="307" t="s">
        <v>98</v>
      </c>
      <c r="AU7" s="40">
        <f>mod.Int</f>
        <v>0</v>
      </c>
      <c r="AV7" s="19"/>
    </row>
    <row r="8" spans="2:48" ht="12" thickBot="1" x14ac:dyDescent="0.25">
      <c r="B8" s="15"/>
      <c r="C8" s="29" t="s">
        <v>616</v>
      </c>
      <c r="D8" s="140">
        <v>2</v>
      </c>
      <c r="E8" s="140"/>
      <c r="F8" s="140">
        <v>4</v>
      </c>
      <c r="G8" s="140">
        <v>-2</v>
      </c>
      <c r="H8" s="140"/>
      <c r="I8" s="140"/>
      <c r="J8" s="69" t="s">
        <v>64</v>
      </c>
      <c r="K8" s="97"/>
      <c r="L8" s="8" t="s">
        <v>143</v>
      </c>
      <c r="M8" s="8" t="str">
        <f>IF(coringa1="Sab","–","Sab")</f>
        <v>Sab</v>
      </c>
      <c r="N8" s="70" t="s">
        <v>143</v>
      </c>
      <c r="O8" s="19"/>
      <c r="P8" s="14"/>
      <c r="Q8" s="15"/>
      <c r="R8" s="25" t="s">
        <v>252</v>
      </c>
      <c r="S8" s="39"/>
      <c r="T8" s="14"/>
      <c r="U8" s="7" t="s">
        <v>323</v>
      </c>
      <c r="V8" s="43">
        <f>IF(tipo.classe.5="Básica",IF(S29=2,IF(talento.classe.5="Fortitude Maior",2,0),0),0)</f>
        <v>0</v>
      </c>
      <c r="W8" s="43">
        <f>IF(tipo.classe.5="Básica",IF(S30=2,IF(talento.classe.5="Reflexos Rápidos",2,0),0),0)</f>
        <v>0</v>
      </c>
      <c r="X8" s="41">
        <f>IF(tipo.classe.5="Básica",IF(S31=2,IF(talento.classe.5="Vontade de Ferro",2,0),0),0)</f>
        <v>0</v>
      </c>
      <c r="Y8" s="14"/>
      <c r="Z8" s="14"/>
      <c r="AA8" s="19"/>
      <c r="AB8" s="14"/>
      <c r="AC8" s="15"/>
      <c r="AD8" s="72" t="s">
        <v>345</v>
      </c>
      <c r="AE8" s="26" t="s">
        <v>505</v>
      </c>
      <c r="AF8" s="22" t="b">
        <v>0</v>
      </c>
      <c r="AG8" s="23">
        <f>VLOOKUP(CLASSE.1,TABELA.classes,11,FALSE)</f>
        <v>0</v>
      </c>
      <c r="AH8" s="14"/>
      <c r="AI8" s="70" t="s">
        <v>80</v>
      </c>
      <c r="AJ8" s="69">
        <f>mod.Sab</f>
        <v>2</v>
      </c>
      <c r="AK8" s="19"/>
      <c r="AM8" s="35"/>
      <c r="AN8" s="36"/>
      <c r="AO8" s="37"/>
      <c r="AQ8" s="15"/>
      <c r="AR8" s="70" t="s">
        <v>1014</v>
      </c>
      <c r="AS8" s="140"/>
      <c r="AT8" s="307" t="s">
        <v>99</v>
      </c>
      <c r="AU8" s="40">
        <f>mod.Sab</f>
        <v>2</v>
      </c>
      <c r="AV8" s="19"/>
    </row>
    <row r="9" spans="2:48" x14ac:dyDescent="0.2">
      <c r="B9" s="15"/>
      <c r="C9" s="29" t="s">
        <v>614</v>
      </c>
      <c r="D9" s="140"/>
      <c r="E9" s="140">
        <v>4</v>
      </c>
      <c r="F9" s="140">
        <v>2</v>
      </c>
      <c r="G9" s="140">
        <v>-2</v>
      </c>
      <c r="H9" s="140"/>
      <c r="I9" s="140"/>
      <c r="J9" s="69" t="s">
        <v>64</v>
      </c>
      <c r="K9" s="97"/>
      <c r="L9" s="9" t="str">
        <f>IF(RAÇA.p="Meio-orc","–",IF(RAÇA.p="Lefou","–",IF(RAÇA.p="Minauro","–","Car")))</f>
        <v>Car</v>
      </c>
      <c r="M9" s="9" t="str">
        <f>IF(coringa1="Car","–",IF(RAÇA.p="Lefou","–","Car"))</f>
        <v>Car</v>
      </c>
      <c r="N9" s="71" t="s">
        <v>144</v>
      </c>
      <c r="O9" s="19"/>
      <c r="P9" s="14"/>
      <c r="Q9" s="15"/>
      <c r="R9" s="14"/>
      <c r="S9" s="39"/>
      <c r="T9" s="14"/>
      <c r="U9" s="49" t="s">
        <v>38</v>
      </c>
      <c r="V9" s="44">
        <f>SUM(V4:V8)</f>
        <v>0</v>
      </c>
      <c r="W9" s="44">
        <f>SUM(W4:W8)</f>
        <v>0</v>
      </c>
      <c r="X9" s="45">
        <f>SUM(X4:X8)</f>
        <v>0</v>
      </c>
      <c r="Y9" s="14"/>
      <c r="Z9" s="14"/>
      <c r="AA9" s="19"/>
      <c r="AB9" s="14"/>
      <c r="AC9" s="15"/>
      <c r="AD9" s="72" t="s">
        <v>324</v>
      </c>
      <c r="AE9" s="26" t="s">
        <v>506</v>
      </c>
      <c r="AF9" s="22" t="b">
        <v>0</v>
      </c>
      <c r="AG9" s="23">
        <f>VLOOKUP(CLASSE.1,TABELA.classes,12,FALSE)</f>
        <v>0</v>
      </c>
      <c r="AH9" s="14"/>
      <c r="AI9" s="70" t="s">
        <v>42</v>
      </c>
      <c r="AJ9" s="69">
        <f>mod.Car</f>
        <v>1</v>
      </c>
      <c r="AK9" s="19"/>
      <c r="AQ9" s="15"/>
      <c r="AR9" s="70" t="s">
        <v>188</v>
      </c>
      <c r="AS9" s="140"/>
      <c r="AT9" s="307" t="s">
        <v>100</v>
      </c>
      <c r="AU9" s="308">
        <f>mod.Car</f>
        <v>1</v>
      </c>
      <c r="AV9" s="19"/>
    </row>
    <row r="10" spans="2:48" x14ac:dyDescent="0.2">
      <c r="B10" s="15"/>
      <c r="C10" s="21" t="s">
        <v>145</v>
      </c>
      <c r="D10" s="22"/>
      <c r="E10" s="22">
        <v>4</v>
      </c>
      <c r="F10" s="22">
        <v>-2</v>
      </c>
      <c r="G10" s="22">
        <v>2</v>
      </c>
      <c r="H10" s="22"/>
      <c r="I10" s="22"/>
      <c r="J10" s="84" t="s">
        <v>64</v>
      </c>
      <c r="K10" s="97"/>
      <c r="L10" s="97"/>
      <c r="M10" s="97"/>
      <c r="N10" s="97"/>
      <c r="O10" s="19"/>
      <c r="P10" s="14"/>
      <c r="Q10" s="15"/>
      <c r="R10" s="42" t="s">
        <v>312</v>
      </c>
      <c r="S10" s="17"/>
      <c r="T10" s="14"/>
      <c r="U10" s="14"/>
      <c r="V10" s="14"/>
      <c r="W10" s="14"/>
      <c r="X10" s="14"/>
      <c r="Y10" s="14"/>
      <c r="Z10" s="14"/>
      <c r="AA10" s="19"/>
      <c r="AB10" s="14"/>
      <c r="AC10" s="15"/>
      <c r="AD10" s="72" t="s">
        <v>343</v>
      </c>
      <c r="AE10" s="26" t="s">
        <v>224</v>
      </c>
      <c r="AF10" s="22" t="b">
        <v>0</v>
      </c>
      <c r="AG10" s="23">
        <f>VLOOKUP(CLASSE.1,TABELA.classes,13,FALSE)</f>
        <v>0</v>
      </c>
      <c r="AH10" s="14"/>
      <c r="AI10" s="71" t="s">
        <v>492</v>
      </c>
      <c r="AJ10" s="51">
        <v>0</v>
      </c>
      <c r="AK10" s="19"/>
      <c r="AQ10" s="15"/>
      <c r="AR10" s="70" t="s">
        <v>998</v>
      </c>
      <c r="AS10" s="140"/>
      <c r="AT10" s="79">
        <v>0</v>
      </c>
      <c r="AU10" s="309">
        <v>0</v>
      </c>
      <c r="AV10" s="19"/>
    </row>
    <row r="11" spans="2:48" x14ac:dyDescent="0.2">
      <c r="B11" s="15"/>
      <c r="C11" s="301" t="str">
        <f>nova.raça.5</f>
        <v>Elfo Sombrio</v>
      </c>
      <c r="D11" s="99"/>
      <c r="E11" s="99">
        <v>2</v>
      </c>
      <c r="F11" s="99">
        <v>-2</v>
      </c>
      <c r="G11" s="99">
        <v>4</v>
      </c>
      <c r="H11" s="99"/>
      <c r="I11" s="99"/>
      <c r="J11" s="69" t="s">
        <v>64</v>
      </c>
      <c r="K11" s="97"/>
      <c r="N11" s="96"/>
      <c r="O11" s="19"/>
      <c r="P11" s="14"/>
      <c r="Q11" s="15"/>
      <c r="R11" s="24" t="str">
        <f>IF(S11=2,"Fortitude Maior","–")</f>
        <v>–</v>
      </c>
      <c r="S11" s="40">
        <f>IF(nv.Classe.2=0,,VLOOKUP(CLASSE.2,TABELA.classes,5,FALSE))</f>
        <v>0</v>
      </c>
      <c r="T11" s="14"/>
      <c r="U11" s="20"/>
      <c r="V11" s="16" t="s">
        <v>393</v>
      </c>
      <c r="W11" s="47" t="s">
        <v>392</v>
      </c>
      <c r="X11" s="16" t="s">
        <v>288</v>
      </c>
      <c r="Y11" s="16" t="s">
        <v>238</v>
      </c>
      <c r="Z11" s="48" t="s">
        <v>209</v>
      </c>
      <c r="AA11" s="19"/>
      <c r="AB11" s="14"/>
      <c r="AC11" s="15"/>
      <c r="AD11" s="72" t="s">
        <v>343</v>
      </c>
      <c r="AE11" s="26" t="s">
        <v>225</v>
      </c>
      <c r="AF11" s="22" t="b">
        <v>0</v>
      </c>
      <c r="AG11" s="23">
        <f>VLOOKUP(CLASSE.1,TABELA.classes,13,FALSE)</f>
        <v>0</v>
      </c>
      <c r="AH11" s="14"/>
      <c r="AI11" s="14"/>
      <c r="AJ11" s="14"/>
      <c r="AK11" s="19"/>
      <c r="AQ11" s="15"/>
      <c r="AR11" s="70" t="s">
        <v>999</v>
      </c>
      <c r="AS11" s="140"/>
      <c r="AT11" s="99"/>
      <c r="AU11" s="94"/>
      <c r="AV11" s="19"/>
    </row>
    <row r="12" spans="2:48" x14ac:dyDescent="0.2">
      <c r="B12" s="15"/>
      <c r="C12" s="29" t="s">
        <v>657</v>
      </c>
      <c r="D12" s="99"/>
      <c r="E12" s="99">
        <v>4</v>
      </c>
      <c r="F12" s="99">
        <v>-2</v>
      </c>
      <c r="G12" s="99"/>
      <c r="H12" s="99"/>
      <c r="I12" s="99">
        <v>2</v>
      </c>
      <c r="J12" s="69" t="s">
        <v>64</v>
      </c>
      <c r="K12" s="97"/>
      <c r="N12" s="97"/>
      <c r="O12" s="19"/>
      <c r="P12" s="14"/>
      <c r="Q12" s="15"/>
      <c r="R12" s="24" t="str">
        <f>IF(S12=2,"Reflexos Rápidos","–")</f>
        <v>–</v>
      </c>
      <c r="S12" s="40">
        <f>IF(nv.Classe.2=0,,VLOOKUP(CLASSE.2,TABELA.classes,6,FALSE))</f>
        <v>0</v>
      </c>
      <c r="T12" s="14"/>
      <c r="U12" s="6" t="s">
        <v>319</v>
      </c>
      <c r="V12" s="53">
        <f>VLOOKUP(CLASSE.1,TABELA.classes,2,FALSE)</f>
        <v>0</v>
      </c>
      <c r="W12" s="39">
        <f>IF(V12="Alto",nv.Classe.1,IF(V12="Médio",ROUNDDOWN(nv.Classe.1*0.75,0),IF(V12="Baixo",ROUNDDOWN(nv.Classe.1*0.5,0),)))</f>
        <v>0</v>
      </c>
      <c r="X12" s="53">
        <f>IF(CLASSE.1="Plebeu",Y12*1,Y12*4)</f>
        <v>0</v>
      </c>
      <c r="Y12" s="53">
        <f>VLOOKUP(CLASSE.1,TABELA.classes,3,FALSE)</f>
        <v>0</v>
      </c>
      <c r="Z12" s="40">
        <f>IF(nv.Classe.1=0,0,X12+((nv.Classe.1-1)*Y12))</f>
        <v>0</v>
      </c>
      <c r="AA12" s="19"/>
      <c r="AB12" s="14"/>
      <c r="AC12" s="15"/>
      <c r="AD12" s="72" t="s">
        <v>343</v>
      </c>
      <c r="AE12" s="26" t="s">
        <v>226</v>
      </c>
      <c r="AF12" s="22" t="b">
        <v>0</v>
      </c>
      <c r="AG12" s="23">
        <f>VLOOKUP(CLASSE.1,TABELA.classes,13,FALSE)</f>
        <v>0</v>
      </c>
      <c r="AH12" s="14"/>
      <c r="AI12" s="52" t="s">
        <v>519</v>
      </c>
      <c r="AJ12" s="14"/>
      <c r="AK12" s="19"/>
      <c r="AQ12" s="15"/>
      <c r="AR12" s="70" t="s">
        <v>1000</v>
      </c>
      <c r="AS12" s="140"/>
      <c r="AT12" s="91" t="s">
        <v>588</v>
      </c>
      <c r="AU12" s="94"/>
      <c r="AV12" s="19"/>
    </row>
    <row r="13" spans="2:48" x14ac:dyDescent="0.2">
      <c r="B13" s="15"/>
      <c r="C13" s="21" t="s">
        <v>159</v>
      </c>
      <c r="D13" s="22"/>
      <c r="E13" s="22">
        <v>4</v>
      </c>
      <c r="F13" s="22">
        <v>2</v>
      </c>
      <c r="G13" s="22">
        <v>-2</v>
      </c>
      <c r="H13" s="22"/>
      <c r="I13" s="22"/>
      <c r="J13" s="84" t="s">
        <v>64</v>
      </c>
      <c r="K13" s="97"/>
      <c r="N13" s="97"/>
      <c r="O13" s="19"/>
      <c r="P13" s="14"/>
      <c r="Q13" s="15"/>
      <c r="R13" s="24" t="str">
        <f>IF(S13=2,"Vontade de Ferro","–")</f>
        <v>–</v>
      </c>
      <c r="S13" s="40">
        <f>IF(nv.Classe.2=0,,VLOOKUP(CLASSE.2,TABELA.classes,7,FALSE))</f>
        <v>0</v>
      </c>
      <c r="T13" s="14"/>
      <c r="U13" s="20"/>
      <c r="V13" s="47" t="s">
        <v>31</v>
      </c>
      <c r="W13" s="47" t="s">
        <v>392</v>
      </c>
      <c r="X13" s="47" t="s">
        <v>368</v>
      </c>
      <c r="Y13" s="16" t="s">
        <v>238</v>
      </c>
      <c r="Z13" s="48" t="s">
        <v>209</v>
      </c>
      <c r="AA13" s="19"/>
      <c r="AB13" s="14"/>
      <c r="AC13" s="15"/>
      <c r="AD13" s="72" t="s">
        <v>333</v>
      </c>
      <c r="AE13" s="26" t="s">
        <v>333</v>
      </c>
      <c r="AF13" s="22" t="b">
        <v>0</v>
      </c>
      <c r="AG13" s="23">
        <f>VLOOKUP(CLASSE.1,TABELA.classes,14,FALSE)</f>
        <v>0</v>
      </c>
      <c r="AH13" s="14"/>
      <c r="AI13" s="51">
        <f>IF(AND(máx.Des.armadura="",máx.Des.escudo=""),100000,IF(máx.Des.armadura&gt;=máx.Des.escudo,máx.Des.armadura,máx.Des.escudo))</f>
        <v>100000</v>
      </c>
      <c r="AJ13" s="14"/>
      <c r="AK13" s="19"/>
      <c r="AQ13" s="15"/>
      <c r="AR13" s="70" t="s">
        <v>189</v>
      </c>
      <c r="AS13" s="140"/>
      <c r="AT13" s="92" t="s">
        <v>227</v>
      </c>
      <c r="AU13" s="94"/>
      <c r="AV13" s="19"/>
    </row>
    <row r="14" spans="2:48" x14ac:dyDescent="0.2">
      <c r="B14" s="15"/>
      <c r="C14" s="300" t="str">
        <f>nova.raça.1</f>
        <v>Feithnari</v>
      </c>
      <c r="D14" s="22"/>
      <c r="E14" s="22">
        <v>2</v>
      </c>
      <c r="F14" s="22"/>
      <c r="G14" s="22"/>
      <c r="H14" s="22">
        <v>4</v>
      </c>
      <c r="I14" s="22">
        <v>-2</v>
      </c>
      <c r="J14" s="84" t="s">
        <v>64</v>
      </c>
      <c r="K14" s="97"/>
      <c r="N14" s="97"/>
      <c r="O14" s="19"/>
      <c r="P14" s="14"/>
      <c r="Q14" s="15"/>
      <c r="R14" s="29" t="s">
        <v>307</v>
      </c>
      <c r="S14" s="40"/>
      <c r="T14" s="14"/>
      <c r="U14" s="6" t="s">
        <v>320</v>
      </c>
      <c r="V14" s="30">
        <f>IF(tipo.classe.2="Básica",VLOOKUP(CLASSE.2,TABELA.classes,2,FALSE),VLOOKUP(CLASSE.2,TABELA.cdps,2,FALSE))</f>
        <v>0</v>
      </c>
      <c r="W14" s="39">
        <f>IF(V14="Alto",nv.Classe.2,IF(V14="Médio",ROUNDDOWN(nv.Classe.2*0.75,0),IF(V14="Baixo",ROUNDDOWN(nv.Classe.2*0.5,0),)))</f>
        <v>0</v>
      </c>
      <c r="X14" s="53" t="b">
        <f>IF(tipo.classe.2="Prestígio",VLOOKUP(CLASSE.2,TABELA.cdps,4,FALSE))</f>
        <v>0</v>
      </c>
      <c r="Y14" s="30">
        <f>IF(tipo.classe.2="Básica",VLOOKUP(CLASSE.2,TABELA.classes,3,FALSE),VLOOKUP(CLASSE.2,TABELA.cdps,3,FALSE))</f>
        <v>0</v>
      </c>
      <c r="Z14" s="40">
        <f>nv.Classe.2*Y14</f>
        <v>0</v>
      </c>
      <c r="AA14" s="19"/>
      <c r="AB14" s="14"/>
      <c r="AC14" s="15"/>
      <c r="AD14" s="72" t="s">
        <v>334</v>
      </c>
      <c r="AE14" s="26" t="s">
        <v>507</v>
      </c>
      <c r="AF14" s="22" t="b">
        <v>0</v>
      </c>
      <c r="AG14" s="23">
        <f>VLOOKUP(CLASSE.1,TABELA.classes,15,FALSE)</f>
        <v>0</v>
      </c>
      <c r="AH14" s="14"/>
      <c r="AI14" s="14"/>
      <c r="AJ14" s="14"/>
      <c r="AK14" s="19"/>
      <c r="AQ14" s="15"/>
      <c r="AR14" s="70" t="s">
        <v>1001</v>
      </c>
      <c r="AS14" s="140"/>
      <c r="AT14" s="92" t="s">
        <v>228</v>
      </c>
      <c r="AU14" s="140"/>
      <c r="AV14" s="19"/>
    </row>
    <row r="15" spans="2:48" x14ac:dyDescent="0.2">
      <c r="B15" s="15"/>
      <c r="C15" s="29" t="s">
        <v>341</v>
      </c>
      <c r="D15" s="22">
        <v>-2</v>
      </c>
      <c r="E15" s="22"/>
      <c r="F15" s="22">
        <v>2</v>
      </c>
      <c r="G15" s="22">
        <v>4</v>
      </c>
      <c r="H15" s="22"/>
      <c r="I15" s="22"/>
      <c r="J15" s="84" t="s">
        <v>64</v>
      </c>
      <c r="K15" s="97"/>
      <c r="N15" s="97"/>
      <c r="O15" s="19"/>
      <c r="P15" s="14"/>
      <c r="Q15" s="15"/>
      <c r="R15" s="34" t="s">
        <v>870</v>
      </c>
      <c r="S15" s="51"/>
      <c r="T15" s="14"/>
      <c r="U15" s="6" t="s">
        <v>321</v>
      </c>
      <c r="V15" s="30">
        <f>IF(tipo.classe.3="Básica",VLOOKUP(CLASSE.3,TABELA.classes,2,FALSE),VLOOKUP(CLASSE.3,TABELA.cdps,2,FALSE))</f>
        <v>0</v>
      </c>
      <c r="W15" s="39">
        <f>IF(V15="Alto",nv.Classe.3,IF(V15="Médio",ROUNDDOWN(nv.Classe.3*0.75,0),IF(V15="Baixo",ROUNDDOWN(nv.Classe.3*0.5,0),)))</f>
        <v>0</v>
      </c>
      <c r="X15" s="53" t="b">
        <f>IF(tipo.classe.3="Prestígio",VLOOKUP(CLASSE.3,TABELA.cdps,4,FALSE))</f>
        <v>0</v>
      </c>
      <c r="Y15" s="30">
        <f>IF(tipo.classe.3="Básica",VLOOKUP(CLASSE.3,TABELA.classes,3,FALSE),VLOOKUP(CLASSE.3,TABELA.cdps,3,FALSE))</f>
        <v>0</v>
      </c>
      <c r="Z15" s="40">
        <f>nv.Classe.3*Y15</f>
        <v>0</v>
      </c>
      <c r="AA15" s="19"/>
      <c r="AB15" s="14"/>
      <c r="AC15" s="15"/>
      <c r="AD15" s="72" t="s">
        <v>325</v>
      </c>
      <c r="AE15" s="26" t="s">
        <v>508</v>
      </c>
      <c r="AF15" s="22" t="b">
        <v>0</v>
      </c>
      <c r="AG15" s="23">
        <f>VLOOKUP(CLASSE.1,TABELA.classes,16,FALSE)</f>
        <v>0</v>
      </c>
      <c r="AH15" s="14"/>
      <c r="AI15" s="52" t="s">
        <v>537</v>
      </c>
      <c r="AJ15" s="14"/>
      <c r="AK15" s="19"/>
      <c r="AQ15" s="15"/>
      <c r="AR15" s="70" t="str">
        <f>IF('Classes Básicas'!AD29="não","",IF('Classes Básicas'!A29=0,"",'Classes Básicas'!A29))</f>
        <v>Druida Tradição dos Senhores das Feras</v>
      </c>
      <c r="AS15" s="140"/>
      <c r="AT15" s="92" t="s">
        <v>598</v>
      </c>
      <c r="AU15" s="140"/>
      <c r="AV15" s="19"/>
    </row>
    <row r="16" spans="2:48" x14ac:dyDescent="0.2">
      <c r="B16" s="15"/>
      <c r="C16" s="21" t="s">
        <v>160</v>
      </c>
      <c r="D16" s="22"/>
      <c r="E16" s="22"/>
      <c r="F16" s="22">
        <v>4</v>
      </c>
      <c r="G16" s="22">
        <v>-2</v>
      </c>
      <c r="H16" s="22">
        <v>2</v>
      </c>
      <c r="I16" s="22"/>
      <c r="J16" s="84" t="s">
        <v>64</v>
      </c>
      <c r="K16" s="97"/>
      <c r="N16" s="97"/>
      <c r="O16" s="19"/>
      <c r="P16" s="14"/>
      <c r="Q16" s="15"/>
      <c r="R16" s="42" t="s">
        <v>313</v>
      </c>
      <c r="S16" s="17"/>
      <c r="T16" s="14"/>
      <c r="U16" s="6" t="s">
        <v>322</v>
      </c>
      <c r="V16" s="30">
        <f>IF(tipo.classe.4="Básica",VLOOKUP(CLASSE.4,TABELA.classes,2,FALSE),VLOOKUP(CLASSE.4,TABELA.cdps,2,FALSE))</f>
        <v>0</v>
      </c>
      <c r="W16" s="39">
        <f>IF(V16="Alto",nv.Classe.4,IF(V16="Médio",ROUNDDOWN(nv.Classe.4*0.75,0),IF(V16="Baixo",ROUNDDOWN(nv.Classe.4*0.5,0),)))</f>
        <v>0</v>
      </c>
      <c r="X16" s="53" t="b">
        <f>IF(tipo.classe.4="Prestígio",VLOOKUP(CLASSE.4,TABELA.cdps,4,FALSE))</f>
        <v>0</v>
      </c>
      <c r="Y16" s="30">
        <f>IF(tipo.classe.4="Básica",VLOOKUP(CLASSE.4,TABELA.classes,3,FALSE),VLOOKUP(CLASSE.4,TABELA.cdps,3,FALSE))</f>
        <v>0</v>
      </c>
      <c r="Z16" s="40">
        <f>nv.Classe.4*Y16</f>
        <v>0</v>
      </c>
      <c r="AA16" s="19"/>
      <c r="AB16" s="14"/>
      <c r="AC16" s="15"/>
      <c r="AD16" s="72" t="s">
        <v>335</v>
      </c>
      <c r="AE16" s="26" t="s">
        <v>509</v>
      </c>
      <c r="AF16" s="22" t="b">
        <v>0</v>
      </c>
      <c r="AG16" s="23">
        <f>VLOOKUP(CLASSE.1,TABELA.classes,17,FALSE)</f>
        <v>0</v>
      </c>
      <c r="AH16" s="14"/>
      <c r="AI16" s="51">
        <f>VLOOKUP(TAMANHO,TABELA.tamanho,3,FALSE)+penalidade.armadura+penalidade.escudo+penalidade.carga</f>
        <v>0</v>
      </c>
      <c r="AJ16" s="14"/>
      <c r="AK16" s="19"/>
      <c r="AQ16" s="15"/>
      <c r="AR16" s="70" t="s">
        <v>190</v>
      </c>
      <c r="AS16" s="140"/>
      <c r="AT16" s="93" t="s">
        <v>229</v>
      </c>
      <c r="AU16" s="140"/>
      <c r="AV16" s="19"/>
    </row>
    <row r="17" spans="2:48" x14ac:dyDescent="0.2">
      <c r="B17" s="15"/>
      <c r="C17" s="21" t="s">
        <v>157</v>
      </c>
      <c r="D17" s="22">
        <v>-2</v>
      </c>
      <c r="E17" s="22"/>
      <c r="F17" s="22">
        <v>2</v>
      </c>
      <c r="G17" s="22">
        <v>4</v>
      </c>
      <c r="H17" s="22"/>
      <c r="I17" s="22"/>
      <c r="J17" s="84" t="s">
        <v>65</v>
      </c>
      <c r="K17" s="97"/>
      <c r="N17" s="97"/>
      <c r="O17" s="19"/>
      <c r="P17" s="14"/>
      <c r="Q17" s="15"/>
      <c r="R17" s="24" t="str">
        <f>IF(S17=2,"Fortitude Maior","–")</f>
        <v>–</v>
      </c>
      <c r="S17" s="40">
        <f>IF(nv.Classe.3=0,,VLOOKUP(CLASSE.3,TABELA.classes,5,FALSE))</f>
        <v>0</v>
      </c>
      <c r="T17" s="14"/>
      <c r="U17" s="7" t="s">
        <v>323</v>
      </c>
      <c r="V17" s="43">
        <f>IF(tipo.classe.5="Básica",VLOOKUP(CLASSE.5,TABELA.classes,2,FALSE),VLOOKUP(CLASSE.5,TABELA.cdps,2,FALSE))</f>
        <v>0</v>
      </c>
      <c r="W17" s="43">
        <f>IF(V17="Alto",nv.Classe.5,IF(V17="Médio",ROUNDDOWN(nv.Classe.5*0.75,0),IF(V17="Baixo",ROUNDDOWN(nv.Classe.5*0.5,0),)))</f>
        <v>0</v>
      </c>
      <c r="X17" s="43" t="b">
        <f>IF(tipo.classe.5="Prestígio",VLOOKUP(CLASSE.5,TABELA.cdps,4,FALSE))</f>
        <v>0</v>
      </c>
      <c r="Y17" s="43">
        <f>IF(tipo.classe.5="Básica",VLOOKUP(CLASSE.5,TABELA.classes,3,FALSE),VLOOKUP(CLASSE.5,TABELA.cdps,3,FALSE))</f>
        <v>0</v>
      </c>
      <c r="Z17" s="41">
        <f>nv.Classe.5*Y17</f>
        <v>0</v>
      </c>
      <c r="AA17" s="19"/>
      <c r="AB17" s="14"/>
      <c r="AC17" s="15"/>
      <c r="AD17" s="72" t="s">
        <v>326</v>
      </c>
      <c r="AE17" s="26" t="s">
        <v>510</v>
      </c>
      <c r="AF17" s="22" t="b">
        <v>0</v>
      </c>
      <c r="AG17" s="23">
        <f>VLOOKUP(CLASSE.1,TABELA.classes,18,FALSE)</f>
        <v>0</v>
      </c>
      <c r="AH17" s="14"/>
      <c r="AI17" s="14"/>
      <c r="AJ17" s="14"/>
      <c r="AK17" s="19"/>
      <c r="AQ17" s="15"/>
      <c r="AR17" s="70" t="str">
        <f>IF('Classes Básicas'!AD30="não","",IF('Classes Básicas'!A30=0,"",'Classes Básicas'!A30))</f>
        <v>Feiticeiro</v>
      </c>
      <c r="AS17" s="140"/>
      <c r="AT17" s="99"/>
      <c r="AU17" s="140"/>
      <c r="AV17" s="19"/>
    </row>
    <row r="18" spans="2:48" x14ac:dyDescent="0.2">
      <c r="B18" s="15"/>
      <c r="C18" s="21" t="s">
        <v>148</v>
      </c>
      <c r="D18" s="22"/>
      <c r="E18" s="22">
        <v>4</v>
      </c>
      <c r="F18" s="22">
        <v>2</v>
      </c>
      <c r="G18" s="22"/>
      <c r="H18" s="22"/>
      <c r="I18" s="22">
        <v>-2</v>
      </c>
      <c r="J18" s="84" t="s">
        <v>65</v>
      </c>
      <c r="K18" s="97"/>
      <c r="N18" s="97"/>
      <c r="O18" s="19"/>
      <c r="P18" s="14"/>
      <c r="Q18" s="15"/>
      <c r="R18" s="24" t="str">
        <f>IF(S18=2,"Reflexos Rápidos","–")</f>
        <v>–</v>
      </c>
      <c r="S18" s="40">
        <f>IF(nv.Classe.3=0,,VLOOKUP(CLASSE.3,TABELA.classes,6,FALSE))</f>
        <v>0</v>
      </c>
      <c r="T18" s="14"/>
      <c r="U18" s="49" t="s">
        <v>38</v>
      </c>
      <c r="V18" s="44"/>
      <c r="W18" s="44">
        <f>SUM(W12,W14:W17,V24)</f>
        <v>0</v>
      </c>
      <c r="X18" s="44"/>
      <c r="Y18" s="44"/>
      <c r="Z18" s="45">
        <f>SUM(Z12,Z14:Z17)</f>
        <v>0</v>
      </c>
      <c r="AA18" s="19"/>
      <c r="AB18" s="14"/>
      <c r="AC18" s="15"/>
      <c r="AD18" s="72" t="s">
        <v>336</v>
      </c>
      <c r="AE18" s="26" t="s">
        <v>511</v>
      </c>
      <c r="AF18" s="22" t="b">
        <v>0</v>
      </c>
      <c r="AG18" s="23">
        <f>VLOOKUP(CLASSE.1,TABELA.classes,19,FALSE)</f>
        <v>0</v>
      </c>
      <c r="AH18" s="14"/>
      <c r="AK18" s="19"/>
      <c r="AQ18" s="15"/>
      <c r="AR18" s="70" t="str">
        <f>IF('Classes Básicas'!AD31="não","",IF('Classes Básicas'!A31=0,"",'Classes Básicas'!A31))</f>
        <v>Feiticeiro Linhagem Caótica</v>
      </c>
      <c r="AS18" s="140"/>
      <c r="AT18" s="99"/>
      <c r="AU18" s="140"/>
      <c r="AV18" s="19"/>
    </row>
    <row r="19" spans="2:48" x14ac:dyDescent="0.2">
      <c r="B19" s="15"/>
      <c r="C19" s="21" t="s">
        <v>149</v>
      </c>
      <c r="D19" s="22">
        <v>-2</v>
      </c>
      <c r="E19" s="22">
        <v>4</v>
      </c>
      <c r="F19" s="22"/>
      <c r="G19" s="22"/>
      <c r="H19" s="22"/>
      <c r="I19" s="22">
        <v>2</v>
      </c>
      <c r="J19" s="84" t="s">
        <v>65</v>
      </c>
      <c r="K19" s="97"/>
      <c r="N19" s="97"/>
      <c r="O19" s="19"/>
      <c r="P19" s="14"/>
      <c r="Q19" s="15"/>
      <c r="R19" s="24" t="str">
        <f>IF(S19=2,"Vontade de Ferro","–")</f>
        <v>–</v>
      </c>
      <c r="S19" s="40">
        <f>IF(nv.Classe.3=0,,VLOOKUP(CLASSE.3,TABELA.classes,7,FALSE))</f>
        <v>0</v>
      </c>
      <c r="T19" s="14"/>
      <c r="U19" s="14"/>
      <c r="V19" s="14"/>
      <c r="W19" s="14"/>
      <c r="X19" s="14"/>
      <c r="Y19" s="14"/>
      <c r="Z19" s="14"/>
      <c r="AA19" s="19"/>
      <c r="AB19" s="14"/>
      <c r="AC19" s="15"/>
      <c r="AD19" s="72" t="s">
        <v>328</v>
      </c>
      <c r="AE19" s="26" t="s">
        <v>512</v>
      </c>
      <c r="AF19" s="22" t="b">
        <v>0</v>
      </c>
      <c r="AG19" s="23">
        <f>VLOOKUP(CLASSE.1,TABELA.classes,20,FALSE)</f>
        <v>0</v>
      </c>
      <c r="AH19" s="14"/>
      <c r="AK19" s="19"/>
      <c r="AQ19" s="15"/>
      <c r="AR19" s="70" t="s">
        <v>1023</v>
      </c>
      <c r="AS19" s="140"/>
      <c r="AT19" s="99"/>
      <c r="AU19" s="140"/>
      <c r="AV19" s="19"/>
    </row>
    <row r="20" spans="2:48" x14ac:dyDescent="0.2">
      <c r="B20" s="15"/>
      <c r="C20" s="21" t="s">
        <v>154</v>
      </c>
      <c r="D20" s="22"/>
      <c r="E20" s="22">
        <v>2</v>
      </c>
      <c r="F20" s="22">
        <v>4</v>
      </c>
      <c r="G20" s="22"/>
      <c r="H20" s="22"/>
      <c r="I20" s="22">
        <v>-2</v>
      </c>
      <c r="J20" s="84" t="s">
        <v>64</v>
      </c>
      <c r="K20" s="97"/>
      <c r="N20" s="97"/>
      <c r="O20" s="19"/>
      <c r="P20" s="14"/>
      <c r="Q20" s="15"/>
      <c r="R20" s="29" t="s">
        <v>307</v>
      </c>
      <c r="S20" s="40"/>
      <c r="T20" s="14"/>
      <c r="U20" s="52" t="s">
        <v>369</v>
      </c>
      <c r="V20" s="14"/>
      <c r="W20" s="14"/>
      <c r="X20" s="14"/>
      <c r="Y20" s="14"/>
      <c r="Z20" s="14"/>
      <c r="AA20" s="19"/>
      <c r="AB20" s="14"/>
      <c r="AC20" s="15"/>
      <c r="AD20" s="72" t="s">
        <v>327</v>
      </c>
      <c r="AE20" s="26" t="s">
        <v>513</v>
      </c>
      <c r="AF20" s="22" t="b">
        <v>0</v>
      </c>
      <c r="AG20" s="23">
        <f>VLOOKUP(CLASSE.1,TABELA.classes,21,FALSE)</f>
        <v>0</v>
      </c>
      <c r="AH20" s="14"/>
      <c r="AK20" s="19"/>
      <c r="AQ20" s="15"/>
      <c r="AR20" s="70" t="s">
        <v>1024</v>
      </c>
      <c r="AS20" s="140"/>
      <c r="AT20" s="99"/>
      <c r="AU20" s="140"/>
      <c r="AV20" s="19"/>
    </row>
    <row r="21" spans="2:48" x14ac:dyDescent="0.2">
      <c r="B21" s="15"/>
      <c r="C21" s="301" t="str">
        <f>nova.raça.6</f>
        <v>Homen-Lagarto</v>
      </c>
      <c r="D21" s="99"/>
      <c r="E21" s="99"/>
      <c r="F21" s="99">
        <v>4</v>
      </c>
      <c r="G21" s="99">
        <v>-2</v>
      </c>
      <c r="H21" s="99">
        <v>2</v>
      </c>
      <c r="I21" s="99"/>
      <c r="J21" s="69" t="s">
        <v>64</v>
      </c>
      <c r="K21" s="97"/>
      <c r="N21" s="97"/>
      <c r="O21" s="19"/>
      <c r="P21" s="14"/>
      <c r="Q21" s="15"/>
      <c r="R21" s="34" t="s">
        <v>870</v>
      </c>
      <c r="S21" s="51"/>
      <c r="T21" s="14"/>
      <c r="U21" s="51">
        <f>ROUNDDOWN(NÍVEL.p/2,0)</f>
        <v>0</v>
      </c>
      <c r="V21" s="14"/>
      <c r="W21" s="14"/>
      <c r="X21" s="14"/>
      <c r="Y21" s="14"/>
      <c r="Z21" s="14"/>
      <c r="AA21" s="19"/>
      <c r="AB21" s="14"/>
      <c r="AC21" s="15"/>
      <c r="AD21" s="72" t="s">
        <v>329</v>
      </c>
      <c r="AE21" s="26" t="s">
        <v>514</v>
      </c>
      <c r="AF21" s="22" t="b">
        <v>0</v>
      </c>
      <c r="AG21" s="23">
        <f>VLOOKUP(CLASSE.1,TABELA.classes,22,FALSE)</f>
        <v>0</v>
      </c>
      <c r="AH21" s="14"/>
      <c r="AK21" s="19"/>
      <c r="AQ21" s="15"/>
      <c r="AR21" s="70" t="s">
        <v>1025</v>
      </c>
      <c r="AS21" s="140"/>
      <c r="AT21" s="99"/>
      <c r="AU21" s="140"/>
      <c r="AV21" s="19"/>
    </row>
    <row r="22" spans="2:48" x14ac:dyDescent="0.2">
      <c r="B22" s="15"/>
      <c r="C22" s="21" t="s">
        <v>146</v>
      </c>
      <c r="D22" s="22">
        <f>IF(coringa1="For",2,IF(coringa2="For",2,))</f>
        <v>0</v>
      </c>
      <c r="E22" s="22">
        <f>IF(coringa1="Des",2,IF(coringa2="Des",2,))</f>
        <v>0</v>
      </c>
      <c r="F22" s="22">
        <f>IF(coringa1="Con",2,IF(coringa2="Con",2,))</f>
        <v>0</v>
      </c>
      <c r="G22" s="22">
        <f>IF(coringa1="Int",2,IF(coringa2="Int",2,))</f>
        <v>0</v>
      </c>
      <c r="H22" s="22">
        <f>IF(coringa1="Sab",2,IF(coringa2="Sab",2,))</f>
        <v>0</v>
      </c>
      <c r="I22" s="22">
        <f>IF(coringa1="Car",2,IF(coringa2="Car",2,))</f>
        <v>0</v>
      </c>
      <c r="J22" s="84" t="s">
        <v>64</v>
      </c>
      <c r="K22" s="97"/>
      <c r="N22" s="97"/>
      <c r="O22" s="19"/>
      <c r="P22" s="14"/>
      <c r="Q22" s="15"/>
      <c r="R22" s="42" t="s">
        <v>314</v>
      </c>
      <c r="S22" s="17"/>
      <c r="T22" s="14"/>
      <c r="U22" s="14"/>
      <c r="V22" s="14"/>
      <c r="W22" s="14"/>
      <c r="X22" s="14"/>
      <c r="Y22" s="14"/>
      <c r="Z22" s="14"/>
      <c r="AA22" s="19"/>
      <c r="AB22" s="14"/>
      <c r="AC22" s="15"/>
      <c r="AD22" s="72" t="s">
        <v>330</v>
      </c>
      <c r="AE22" s="26" t="s">
        <v>515</v>
      </c>
      <c r="AF22" s="22" t="b">
        <v>0</v>
      </c>
      <c r="AG22" s="23">
        <f>VLOOKUP(CLASSE.1,TABELA.classes,23,FALSE)</f>
        <v>0</v>
      </c>
      <c r="AH22" s="14"/>
      <c r="AK22" s="19"/>
      <c r="AQ22" s="15"/>
      <c r="AR22" s="70" t="s">
        <v>1026</v>
      </c>
      <c r="AS22" s="140"/>
      <c r="AT22" s="99"/>
      <c r="AU22" s="140"/>
      <c r="AV22" s="19"/>
    </row>
    <row r="23" spans="2:48" x14ac:dyDescent="0.2">
      <c r="B23" s="15"/>
      <c r="C23" s="301" t="str">
        <f>nova.raça.2</f>
        <v>Kobolds</v>
      </c>
      <c r="D23" s="140">
        <v>-2</v>
      </c>
      <c r="E23" s="140">
        <v>4</v>
      </c>
      <c r="F23" s="140">
        <v>0</v>
      </c>
      <c r="G23" s="140">
        <v>0</v>
      </c>
      <c r="H23" s="140"/>
      <c r="I23" s="140">
        <v>0</v>
      </c>
      <c r="J23" s="69" t="s">
        <v>65</v>
      </c>
      <c r="K23" s="97"/>
      <c r="N23" s="97"/>
      <c r="O23" s="19"/>
      <c r="P23" s="14"/>
      <c r="Q23" s="15"/>
      <c r="R23" s="24" t="str">
        <f>IF(S23=2,"Fortitude Maior","–")</f>
        <v>–</v>
      </c>
      <c r="S23" s="40">
        <f>IF(nv.Classe.4=0,,VLOOKUP(CLASSE.4,TABELA.classes,5,FALSE))</f>
        <v>0</v>
      </c>
      <c r="T23" s="14"/>
      <c r="U23" s="52" t="s">
        <v>350</v>
      </c>
      <c r="V23" s="52" t="s">
        <v>352</v>
      </c>
      <c r="W23" s="48" t="s">
        <v>351</v>
      </c>
      <c r="X23" s="14"/>
      <c r="Y23" s="14"/>
      <c r="Z23" s="14"/>
      <c r="AA23" s="19"/>
      <c r="AB23" s="14"/>
      <c r="AC23" s="15"/>
      <c r="AD23" s="72" t="s">
        <v>344</v>
      </c>
      <c r="AE23" s="26" t="s">
        <v>70</v>
      </c>
      <c r="AF23" s="22" t="b">
        <v>0</v>
      </c>
      <c r="AG23" s="23">
        <f>VLOOKUP(CLASSE.1,TABELA.classes,24,FALSE)</f>
        <v>0</v>
      </c>
      <c r="AH23" s="14"/>
      <c r="AK23" s="19"/>
      <c r="AQ23" s="15"/>
      <c r="AR23" s="70" t="s">
        <v>1132</v>
      </c>
      <c r="AS23" s="140"/>
      <c r="AT23" s="99"/>
      <c r="AU23" s="140"/>
      <c r="AV23" s="19"/>
    </row>
    <row r="24" spans="2:48" x14ac:dyDescent="0.2">
      <c r="B24" s="15"/>
      <c r="C24" s="21" t="s">
        <v>151</v>
      </c>
      <c r="D24" s="22">
        <f>IF(coringa1="For",2,IF(coringa2="For",2,))</f>
        <v>0</v>
      </c>
      <c r="E24" s="22">
        <f>IF(coringa1="Des",2,IF(coringa2="Des",2,))</f>
        <v>0</v>
      </c>
      <c r="F24" s="22">
        <f>IF(coringa1="Con",2,IF(coringa2="Con",2,))</f>
        <v>0</v>
      </c>
      <c r="G24" s="22">
        <f>IF(coringa1="Int",2,IF(coringa2="Int",2,))</f>
        <v>0</v>
      </c>
      <c r="H24" s="22">
        <f>IF(coringa1="Sab",2,IF(coringa2="Sab",2,))</f>
        <v>0</v>
      </c>
      <c r="I24" s="22"/>
      <c r="J24" s="84" t="s">
        <v>64</v>
      </c>
      <c r="K24" s="97"/>
      <c r="L24" s="97"/>
      <c r="M24" s="97"/>
      <c r="N24" s="97"/>
      <c r="O24" s="19"/>
      <c r="P24" s="14"/>
      <c r="Q24" s="15"/>
      <c r="R24" s="24" t="str">
        <f>IF(S24=2,"Reflexos Rápidos","–")</f>
        <v>–</v>
      </c>
      <c r="S24" s="40">
        <f>IF(nv.Classe.4=0,,VLOOKUP(CLASSE.4,TABELA.classes,6,FALSE))</f>
        <v>0</v>
      </c>
      <c r="T24" s="14"/>
      <c r="U24" s="51">
        <f>IF(NÍVEL.p&gt;20,NÍVEL.p-20,)</f>
        <v>0</v>
      </c>
      <c r="V24" s="51">
        <f>ROUNDDOWN(U24/2,0)</f>
        <v>0</v>
      </c>
      <c r="W24" s="41">
        <f>U24*3</f>
        <v>0</v>
      </c>
      <c r="X24" s="14"/>
      <c r="Y24" s="14"/>
      <c r="Z24" s="14"/>
      <c r="AA24" s="19"/>
      <c r="AB24" s="14"/>
      <c r="AC24" s="15"/>
      <c r="AD24" s="72" t="s">
        <v>344</v>
      </c>
      <c r="AE24" s="26" t="s">
        <v>71</v>
      </c>
      <c r="AF24" s="22" t="b">
        <v>0</v>
      </c>
      <c r="AG24" s="23">
        <f>VLOOKUP(CLASSE.1,TABELA.classes,24,FALSE)</f>
        <v>0</v>
      </c>
      <c r="AH24" s="14"/>
      <c r="AK24" s="19"/>
      <c r="AQ24" s="15"/>
      <c r="AR24" s="70" t="s">
        <v>1027</v>
      </c>
      <c r="AS24" s="140"/>
      <c r="AT24" s="99"/>
      <c r="AU24" s="140"/>
      <c r="AV24" s="19"/>
    </row>
    <row r="25" spans="2:48" x14ac:dyDescent="0.2">
      <c r="B25" s="15"/>
      <c r="C25" s="29" t="s">
        <v>612</v>
      </c>
      <c r="D25" s="99">
        <v>-2</v>
      </c>
      <c r="E25" s="99">
        <v>2</v>
      </c>
      <c r="F25" s="99"/>
      <c r="G25" s="99"/>
      <c r="H25" s="99"/>
      <c r="I25" s="99">
        <v>4</v>
      </c>
      <c r="J25" s="69" t="s">
        <v>64</v>
      </c>
      <c r="K25" s="97"/>
      <c r="L25" s="97"/>
      <c r="M25" s="97"/>
      <c r="N25" s="97"/>
      <c r="O25" s="19"/>
      <c r="P25" s="14"/>
      <c r="Q25" s="15"/>
      <c r="R25" s="24" t="str">
        <f>IF(S25=2,"Vontade de Ferro","–")</f>
        <v>–</v>
      </c>
      <c r="S25" s="40">
        <f>IF(nv.Classe.4=0,,VLOOKUP(CLASSE.4,TABELA.classes,7,FALSE))</f>
        <v>0</v>
      </c>
      <c r="T25" s="14"/>
      <c r="U25" s="14"/>
      <c r="V25" s="14"/>
      <c r="W25" s="14"/>
      <c r="X25" s="14"/>
      <c r="Y25" s="14"/>
      <c r="Z25" s="14"/>
      <c r="AA25" s="19"/>
      <c r="AB25" s="14"/>
      <c r="AC25" s="15"/>
      <c r="AD25" s="72" t="s">
        <v>338</v>
      </c>
      <c r="AE25" s="26" t="s">
        <v>516</v>
      </c>
      <c r="AF25" s="22" t="b">
        <v>0</v>
      </c>
      <c r="AG25" s="23">
        <f>VLOOKUP(CLASSE.1,TABELA.classes,25,FALSE)</f>
        <v>0</v>
      </c>
      <c r="AH25" s="14"/>
      <c r="AK25" s="19"/>
      <c r="AQ25" s="15"/>
      <c r="AR25" s="70" t="s">
        <v>1028</v>
      </c>
      <c r="AS25" s="140"/>
      <c r="AT25" s="99"/>
      <c r="AU25" s="140"/>
      <c r="AV25" s="19"/>
    </row>
    <row r="26" spans="2:48" x14ac:dyDescent="0.2">
      <c r="B26" s="15"/>
      <c r="C26" s="29" t="s">
        <v>613</v>
      </c>
      <c r="D26" s="99"/>
      <c r="E26" s="99">
        <v>2</v>
      </c>
      <c r="F26" s="99"/>
      <c r="G26" s="99">
        <v>-2</v>
      </c>
      <c r="H26" s="99">
        <v>4</v>
      </c>
      <c r="I26" s="99"/>
      <c r="J26" s="69" t="s">
        <v>64</v>
      </c>
      <c r="K26" s="97"/>
      <c r="L26" s="18" t="s">
        <v>219</v>
      </c>
      <c r="M26" s="50" t="s">
        <v>174</v>
      </c>
      <c r="N26" s="17" t="s">
        <v>175</v>
      </c>
      <c r="O26" s="19"/>
      <c r="P26" s="14"/>
      <c r="Q26" s="15"/>
      <c r="R26" s="29" t="s">
        <v>307</v>
      </c>
      <c r="S26" s="40"/>
      <c r="T26" s="14"/>
      <c r="U26" s="20" t="s">
        <v>442</v>
      </c>
      <c r="V26" s="56"/>
      <c r="W26" s="14"/>
      <c r="AA26" s="19"/>
      <c r="AB26" s="14"/>
      <c r="AC26" s="15"/>
      <c r="AD26" s="72" t="s">
        <v>337</v>
      </c>
      <c r="AE26" s="26" t="s">
        <v>517</v>
      </c>
      <c r="AF26" s="22" t="b">
        <v>0</v>
      </c>
      <c r="AG26" s="23">
        <f>VLOOKUP(CLASSE.1,TABELA.classes,26,FALSE)</f>
        <v>0</v>
      </c>
      <c r="AH26" s="14"/>
      <c r="AK26" s="19"/>
      <c r="AQ26" s="15"/>
      <c r="AR26" s="70" t="s">
        <v>1029</v>
      </c>
      <c r="AS26" s="140"/>
      <c r="AT26" s="99"/>
      <c r="AU26" s="140"/>
      <c r="AV26" s="19"/>
    </row>
    <row r="27" spans="2:48" x14ac:dyDescent="0.2">
      <c r="B27" s="15"/>
      <c r="C27" s="21" t="s">
        <v>155</v>
      </c>
      <c r="D27" s="22">
        <f>IF(coringa1="For",2,)</f>
        <v>0</v>
      </c>
      <c r="E27" s="22">
        <v>2</v>
      </c>
      <c r="F27" s="22"/>
      <c r="G27" s="22">
        <f>IF(coringa1="Int",2,)</f>
        <v>0</v>
      </c>
      <c r="H27" s="22">
        <f>IF(coringa1="Sab",2,)</f>
        <v>0</v>
      </c>
      <c r="I27" s="22">
        <f>IF(coringa1="Car",2,)</f>
        <v>0</v>
      </c>
      <c r="J27" s="84" t="s">
        <v>64</v>
      </c>
      <c r="K27" s="97"/>
      <c r="L27" s="8" t="s">
        <v>170</v>
      </c>
      <c r="M27" s="30"/>
      <c r="N27" s="31"/>
      <c r="O27" s="19"/>
      <c r="P27" s="14"/>
      <c r="Q27" s="15"/>
      <c r="R27" s="34" t="s">
        <v>870</v>
      </c>
      <c r="S27" s="51"/>
      <c r="T27" s="14"/>
      <c r="U27" s="54" t="s">
        <v>353</v>
      </c>
      <c r="V27" s="40">
        <f>IF(nv.Classe.1=0,,nv.Classe.1+nv.Classe.1.épico)</f>
        <v>0</v>
      </c>
      <c r="W27" s="14"/>
      <c r="AA27" s="19"/>
      <c r="AB27" s="14"/>
      <c r="AC27" s="15"/>
      <c r="AD27" s="72" t="s">
        <v>1046</v>
      </c>
      <c r="AE27" s="26" t="s">
        <v>1047</v>
      </c>
      <c r="AF27" s="22" t="b">
        <v>0</v>
      </c>
      <c r="AG27" s="23">
        <f>VLOOKUP(CLASSE.1,TABELA.classes,27,FALSE)</f>
        <v>0</v>
      </c>
      <c r="AH27" s="14"/>
      <c r="AK27" s="19"/>
      <c r="AQ27" s="15"/>
      <c r="AR27" s="70" t="s">
        <v>1030</v>
      </c>
      <c r="AS27" s="140"/>
      <c r="AT27" s="99"/>
      <c r="AU27" s="140"/>
      <c r="AV27" s="19"/>
    </row>
    <row r="28" spans="2:48" x14ac:dyDescent="0.2">
      <c r="B28" s="15"/>
      <c r="C28" s="21" t="s">
        <v>842</v>
      </c>
      <c r="D28" s="22">
        <f>IF(coringa1="For",2,)</f>
        <v>0</v>
      </c>
      <c r="E28" s="22">
        <v>2</v>
      </c>
      <c r="F28" s="22">
        <f>IF(coringa1="Con",2,)</f>
        <v>0</v>
      </c>
      <c r="G28" s="22"/>
      <c r="H28" s="22">
        <f>IF(coringa1="Sab",2,)</f>
        <v>0</v>
      </c>
      <c r="I28" s="22">
        <f>IF(coringa1="Car",2,)</f>
        <v>0</v>
      </c>
      <c r="J28" s="84" t="s">
        <v>64</v>
      </c>
      <c r="K28" s="97"/>
      <c r="L28" s="8" t="s">
        <v>171</v>
      </c>
      <c r="M28" s="30">
        <v>-1</v>
      </c>
      <c r="N28" s="31">
        <v>1</v>
      </c>
      <c r="O28" s="19"/>
      <c r="P28" s="14"/>
      <c r="Q28" s="15"/>
      <c r="R28" s="42" t="s">
        <v>315</v>
      </c>
      <c r="S28" s="17"/>
      <c r="T28" s="14"/>
      <c r="U28" s="6" t="s">
        <v>354</v>
      </c>
      <c r="V28" s="40">
        <f>IF(nv.Classe.2=0,,nv.Classe.2+nv.Classe.2.épico)</f>
        <v>0</v>
      </c>
      <c r="W28" s="14"/>
      <c r="AA28" s="19"/>
      <c r="AB28" s="14"/>
      <c r="AC28" s="15"/>
      <c r="AD28" s="79" t="s">
        <v>525</v>
      </c>
      <c r="AE28" s="27" t="s">
        <v>1067</v>
      </c>
      <c r="AF28" s="80" t="b">
        <v>0</v>
      </c>
      <c r="AG28" s="28">
        <f>VLOOKUP(CLASSE.1,TABELA.classes,28,FALSE)</f>
        <v>0</v>
      </c>
      <c r="AH28" s="14"/>
      <c r="AK28" s="19"/>
      <c r="AQ28" s="15"/>
      <c r="AR28" s="70" t="s">
        <v>1133</v>
      </c>
      <c r="AS28" s="140"/>
      <c r="AT28" s="99"/>
      <c r="AU28" s="140"/>
      <c r="AV28" s="19"/>
    </row>
    <row r="29" spans="2:48" x14ac:dyDescent="0.2">
      <c r="B29" s="15"/>
      <c r="C29" s="21" t="s">
        <v>156</v>
      </c>
      <c r="D29" s="22">
        <v>2</v>
      </c>
      <c r="E29" s="22">
        <f>IF(coringa1="Des",2,)</f>
        <v>0</v>
      </c>
      <c r="F29" s="22">
        <f>IF(coringa1="Con",2,)</f>
        <v>0</v>
      </c>
      <c r="G29" s="22"/>
      <c r="H29" s="22">
        <f>IF(coringa1="Sab",2,)</f>
        <v>0</v>
      </c>
      <c r="I29" s="22"/>
      <c r="J29" s="84" t="s">
        <v>64</v>
      </c>
      <c r="K29" s="97"/>
      <c r="L29" s="8" t="s">
        <v>172</v>
      </c>
      <c r="M29" s="30">
        <v>-3</v>
      </c>
      <c r="N29" s="31">
        <v>2</v>
      </c>
      <c r="O29" s="19"/>
      <c r="P29" s="14"/>
      <c r="Q29" s="15"/>
      <c r="R29" s="24" t="str">
        <f>IF(S29=2,"Fortitude Maior","–")</f>
        <v>–</v>
      </c>
      <c r="S29" s="40">
        <f>IF(nv.Classe.5=0,,VLOOKUP(CLASSE.5,TABELA.classes,5,FALSE))</f>
        <v>0</v>
      </c>
      <c r="T29" s="14"/>
      <c r="U29" s="6" t="s">
        <v>355</v>
      </c>
      <c r="V29" s="40">
        <f>IF(nv.Classe.3=0,,nv.Classe.3+nv.Classe.3.épico)</f>
        <v>0</v>
      </c>
      <c r="W29" s="14"/>
      <c r="AA29" s="19"/>
      <c r="AB29" s="14"/>
      <c r="AC29" s="15"/>
      <c r="AD29" s="79" t="s">
        <v>526</v>
      </c>
      <c r="AE29" s="27" t="s">
        <v>523</v>
      </c>
      <c r="AF29" s="80" t="b">
        <v>0</v>
      </c>
      <c r="AG29" s="28">
        <f>VLOOKUP(CLASSE.1,TABELA.classes,28,FALSE)</f>
        <v>0</v>
      </c>
      <c r="AH29" s="14"/>
      <c r="AI29" s="14"/>
      <c r="AJ29" s="14"/>
      <c r="AK29" s="19"/>
      <c r="AQ29" s="15"/>
      <c r="AR29" s="70" t="s">
        <v>194</v>
      </c>
      <c r="AS29" s="140"/>
      <c r="AT29" s="99"/>
      <c r="AU29" s="140"/>
      <c r="AV29" s="19"/>
    </row>
    <row r="30" spans="2:48" x14ac:dyDescent="0.2">
      <c r="B30" s="15"/>
      <c r="C30" s="301" t="str">
        <f>nova.raça.3</f>
        <v>Minaques</v>
      </c>
      <c r="D30" s="99">
        <v>4</v>
      </c>
      <c r="E30" s="99">
        <v>-2</v>
      </c>
      <c r="F30" s="99"/>
      <c r="G30" s="99"/>
      <c r="H30" s="99">
        <v>2</v>
      </c>
      <c r="I30" s="99"/>
      <c r="J30" s="69" t="s">
        <v>64</v>
      </c>
      <c r="K30" s="97"/>
      <c r="L30" s="9" t="s">
        <v>173</v>
      </c>
      <c r="M30" s="32">
        <v>-6</v>
      </c>
      <c r="N30" s="33">
        <v>3</v>
      </c>
      <c r="O30" s="19"/>
      <c r="P30" s="14"/>
      <c r="Q30" s="15"/>
      <c r="R30" s="24" t="str">
        <f>IF(S30=2,"Reflexos Rápidos","–")</f>
        <v>–</v>
      </c>
      <c r="S30" s="40">
        <f>IF(nv.Classe.5=0,,VLOOKUP(CLASSE.5,TABELA.classes,6,FALSE))</f>
        <v>0</v>
      </c>
      <c r="T30" s="14"/>
      <c r="U30" s="6" t="s">
        <v>356</v>
      </c>
      <c r="V30" s="40">
        <f>IF(nv.Classe.4=0,,nv.Classe.4+nv.Classe.4.épico)</f>
        <v>0</v>
      </c>
      <c r="W30" s="14"/>
      <c r="AA30" s="19"/>
      <c r="AB30" s="14"/>
      <c r="AC30" s="15"/>
      <c r="AD30" s="18" t="s">
        <v>213</v>
      </c>
      <c r="AE30" s="16" t="s">
        <v>214</v>
      </c>
      <c r="AF30" s="17" t="s">
        <v>218</v>
      </c>
      <c r="AG30" s="14"/>
      <c r="AH30" s="14"/>
      <c r="AI30" s="18" t="s">
        <v>212</v>
      </c>
      <c r="AJ30" s="14"/>
      <c r="AK30" s="19"/>
      <c r="AQ30" s="15"/>
      <c r="AR30" s="70" t="s">
        <v>1012</v>
      </c>
      <c r="AS30" s="140"/>
      <c r="AT30" s="99"/>
      <c r="AU30" s="140"/>
      <c r="AV30" s="19"/>
    </row>
    <row r="31" spans="2:48" x14ac:dyDescent="0.2">
      <c r="B31" s="15"/>
      <c r="C31" s="29" t="s">
        <v>632</v>
      </c>
      <c r="D31" s="99">
        <v>2</v>
      </c>
      <c r="E31" s="99">
        <f>IF(coringa1="Des",2,)</f>
        <v>0</v>
      </c>
      <c r="F31" s="99">
        <f>IF(coringa1="Con",2,)</f>
        <v>0</v>
      </c>
      <c r="G31" s="22">
        <f>IF(coringa1="Int",2,)</f>
        <v>0</v>
      </c>
      <c r="H31" s="22">
        <f>IF(coringa1="Sab",2,)</f>
        <v>0</v>
      </c>
      <c r="I31" s="140"/>
      <c r="J31" s="69" t="s">
        <v>64</v>
      </c>
      <c r="K31" s="97"/>
      <c r="L31" s="97"/>
      <c r="M31" s="97"/>
      <c r="N31" s="97"/>
      <c r="O31" s="19"/>
      <c r="P31" s="14"/>
      <c r="Q31" s="15"/>
      <c r="R31" s="24" t="str">
        <f>IF(S31=2,"Vontade de Ferro","–")</f>
        <v>–</v>
      </c>
      <c r="S31" s="40">
        <f>IF(nv.Classe.5=0,,VLOOKUP(CLASSE.5,TABELA.classes,7,FALSE))</f>
        <v>0</v>
      </c>
      <c r="T31" s="14"/>
      <c r="U31" s="6" t="s">
        <v>357</v>
      </c>
      <c r="V31" s="40">
        <f>IF(nv.Classe.5=0,,nv.Classe.5+nv.Classe.5.épico)</f>
        <v>0</v>
      </c>
      <c r="W31" s="14"/>
      <c r="AA31" s="19"/>
      <c r="AB31" s="14"/>
      <c r="AC31" s="15"/>
      <c r="AD31" s="67" t="s">
        <v>72</v>
      </c>
      <c r="AE31" s="30">
        <v>8</v>
      </c>
      <c r="AF31" s="31">
        <v>16</v>
      </c>
      <c r="AG31" s="14"/>
      <c r="AH31" s="14"/>
      <c r="AI31" s="66" t="s">
        <v>8</v>
      </c>
      <c r="AJ31" s="14"/>
      <c r="AK31" s="19"/>
      <c r="AQ31" s="15"/>
      <c r="AR31" s="70" t="s">
        <v>1013</v>
      </c>
      <c r="AS31" s="140"/>
      <c r="AT31" s="99"/>
      <c r="AU31" s="140"/>
      <c r="AV31" s="19"/>
    </row>
    <row r="32" spans="2:48" x14ac:dyDescent="0.2">
      <c r="B32" s="15"/>
      <c r="C32" s="21" t="s">
        <v>150</v>
      </c>
      <c r="D32" s="22">
        <v>4</v>
      </c>
      <c r="E32" s="22"/>
      <c r="F32" s="22">
        <v>2</v>
      </c>
      <c r="G32" s="22"/>
      <c r="H32" s="22"/>
      <c r="I32" s="22">
        <v>-2</v>
      </c>
      <c r="J32" s="84" t="s">
        <v>64</v>
      </c>
      <c r="K32" s="97"/>
      <c r="L32" s="64" t="s">
        <v>522</v>
      </c>
      <c r="M32" s="73"/>
      <c r="N32" s="97"/>
      <c r="O32" s="19"/>
      <c r="P32" s="14"/>
      <c r="Q32" s="15"/>
      <c r="R32" s="29" t="s">
        <v>307</v>
      </c>
      <c r="S32" s="40"/>
      <c r="T32" s="14"/>
      <c r="U32" s="49" t="s">
        <v>358</v>
      </c>
      <c r="V32" s="45">
        <f>SUM(V27:V31)</f>
        <v>0</v>
      </c>
      <c r="W32" s="14"/>
      <c r="X32" s="14"/>
      <c r="Y32" s="14"/>
      <c r="Z32" s="14"/>
      <c r="AA32" s="19"/>
      <c r="AB32" s="14"/>
      <c r="AC32" s="15"/>
      <c r="AD32" s="67" t="s">
        <v>67</v>
      </c>
      <c r="AE32" s="30">
        <v>4</v>
      </c>
      <c r="AF32" s="31">
        <v>12</v>
      </c>
      <c r="AG32" s="14"/>
      <c r="AH32" s="14"/>
      <c r="AI32" s="67" t="s">
        <v>9</v>
      </c>
      <c r="AJ32" s="14"/>
      <c r="AK32" s="19"/>
      <c r="AQ32" s="15"/>
      <c r="AR32" s="70" t="s">
        <v>1015</v>
      </c>
      <c r="AS32" s="140"/>
      <c r="AT32" s="99"/>
      <c r="AU32" s="140"/>
      <c r="AV32" s="19"/>
    </row>
    <row r="33" spans="2:48" x14ac:dyDescent="0.2">
      <c r="B33" s="15"/>
      <c r="C33" s="21" t="s">
        <v>619</v>
      </c>
      <c r="D33" s="22">
        <f>IF(coringa1="For",2,IF(OR(coringa2="Búfalo (For)",coringa2="Leão (For)"),2,))</f>
        <v>0</v>
      </c>
      <c r="E33" s="22">
        <f>IF(coringa1="Des",2,IF(OR(coringa2="Coelho (Des)",coringa2="Morcego (Des)"),2,))</f>
        <v>0</v>
      </c>
      <c r="F33" s="22">
        <f>IF(coringa1="Con",2,IF(OR(coringa2="Crocodilo (Con)",coringa2="Urso (Con)",coringa2="Bode (Con)"),2,))</f>
        <v>0</v>
      </c>
      <c r="G33" s="22">
        <f>IF(coringa1="Int",2,IF(OR(coringa2="Raposa (Int)",coringa2="Serpente (Int)"),2,))</f>
        <v>0</v>
      </c>
      <c r="H33" s="22">
        <f>IF(coringa1="Sab",2,IF(OR(coringa2="Coruja (Sab)",coringa2="Hiena (Sab)"),2,))</f>
        <v>0</v>
      </c>
      <c r="I33" s="22">
        <f>IF(coringa1="Car",2,IF(OR(coringa2="Gato (Car)",coringa2="Lobo (Car)"),2,))</f>
        <v>0</v>
      </c>
      <c r="J33" s="84" t="s">
        <v>64</v>
      </c>
      <c r="K33" s="97"/>
      <c r="L33" s="74" t="s">
        <v>140</v>
      </c>
      <c r="M33" s="75"/>
      <c r="N33" s="97"/>
      <c r="O33" s="19"/>
      <c r="P33" s="14"/>
      <c r="Q33" s="15"/>
      <c r="R33" s="34" t="s">
        <v>870</v>
      </c>
      <c r="S33" s="51"/>
      <c r="T33" s="14"/>
      <c r="U33" s="60" t="s">
        <v>450</v>
      </c>
      <c r="V33" s="45">
        <f>nv.Classe.1+nv.Classe.2+nv.Classe.3+nv.Classe.4+nv.Classe.5</f>
        <v>0</v>
      </c>
      <c r="W33" s="14"/>
      <c r="X33" s="14"/>
      <c r="Y33" s="14"/>
      <c r="Z33" s="14"/>
      <c r="AA33" s="19"/>
      <c r="AB33" s="14"/>
      <c r="AC33" s="15"/>
      <c r="AD33" s="67" t="s">
        <v>68</v>
      </c>
      <c r="AE33" s="30">
        <v>2</v>
      </c>
      <c r="AF33" s="31">
        <v>8</v>
      </c>
      <c r="AG33" s="14"/>
      <c r="AH33" s="14"/>
      <c r="AI33" s="68"/>
      <c r="AJ33" s="14"/>
      <c r="AK33" s="19"/>
      <c r="AQ33" s="15"/>
      <c r="AR33" s="70" t="s">
        <v>1016</v>
      </c>
      <c r="AS33" s="140"/>
      <c r="AT33" s="99"/>
      <c r="AU33" s="140"/>
      <c r="AV33" s="19"/>
    </row>
    <row r="34" spans="2:48" x14ac:dyDescent="0.2">
      <c r="B34" s="15"/>
      <c r="C34" s="21" t="s">
        <v>165</v>
      </c>
      <c r="D34" s="22"/>
      <c r="E34" s="22"/>
      <c r="F34" s="22"/>
      <c r="G34" s="22">
        <v>2</v>
      </c>
      <c r="H34" s="22">
        <v>2</v>
      </c>
      <c r="I34" s="22">
        <v>2</v>
      </c>
      <c r="J34" s="84" t="s">
        <v>66</v>
      </c>
      <c r="K34" s="97"/>
      <c r="L34" s="74" t="s">
        <v>61</v>
      </c>
      <c r="M34" s="75"/>
      <c r="N34" s="97"/>
      <c r="O34" s="19"/>
      <c r="P34" s="14"/>
      <c r="Q34" s="15"/>
      <c r="T34" s="14"/>
      <c r="U34" s="49" t="s">
        <v>838</v>
      </c>
      <c r="V34" s="60">
        <f>IF(NÍVEL.p&gt;20,nv.Classe.1.épico+nv.Classe.2.épico+nv.Classe.3.épico+nv.Classe.4.épico+nv.Classe.5.épico,)</f>
        <v>0</v>
      </c>
      <c r="W34" s="14"/>
      <c r="X34" s="14"/>
      <c r="Y34" s="14"/>
      <c r="Z34" s="14"/>
      <c r="AA34" s="19"/>
      <c r="AB34" s="14"/>
      <c r="AC34" s="15"/>
      <c r="AD34" s="67" t="s">
        <v>65</v>
      </c>
      <c r="AE34" s="30">
        <v>1</v>
      </c>
      <c r="AF34" s="31">
        <v>4</v>
      </c>
      <c r="AG34" s="14"/>
      <c r="AH34" s="14"/>
      <c r="AI34" s="14"/>
      <c r="AJ34" s="14"/>
      <c r="AK34" s="19"/>
      <c r="AQ34" s="15"/>
      <c r="AR34" s="70" t="s">
        <v>1017</v>
      </c>
      <c r="AS34" s="140"/>
      <c r="AT34" s="99"/>
      <c r="AU34" s="140"/>
      <c r="AV34" s="19"/>
    </row>
    <row r="35" spans="2:48" x14ac:dyDescent="0.2">
      <c r="B35" s="15"/>
      <c r="C35" s="21" t="s">
        <v>164</v>
      </c>
      <c r="D35" s="22">
        <v>2</v>
      </c>
      <c r="E35" s="22">
        <v>2</v>
      </c>
      <c r="F35" s="22">
        <v>2</v>
      </c>
      <c r="G35" s="22"/>
      <c r="H35" s="22"/>
      <c r="I35" s="22"/>
      <c r="J35" s="84" t="s">
        <v>66</v>
      </c>
      <c r="K35" s="97"/>
      <c r="L35" s="72" t="s">
        <v>141</v>
      </c>
      <c r="M35" s="40" t="b">
        <v>1</v>
      </c>
      <c r="N35" s="97"/>
      <c r="O35" s="19"/>
      <c r="P35" s="14"/>
      <c r="Q35" s="15"/>
      <c r="R35" s="64" t="s">
        <v>455</v>
      </c>
      <c r="S35" s="57"/>
      <c r="T35" s="14"/>
      <c r="W35" s="14"/>
      <c r="X35" s="14"/>
      <c r="Y35" s="14"/>
      <c r="Z35" s="14"/>
      <c r="AA35" s="19"/>
      <c r="AB35" s="14"/>
      <c r="AC35" s="15"/>
      <c r="AD35" s="67" t="s">
        <v>64</v>
      </c>
      <c r="AE35" s="30">
        <v>0</v>
      </c>
      <c r="AF35" s="31">
        <v>0</v>
      </c>
      <c r="AG35" s="14"/>
      <c r="AH35" s="14"/>
      <c r="AI35" s="14"/>
      <c r="AJ35" s="14"/>
      <c r="AK35" s="19"/>
      <c r="AQ35" s="15"/>
      <c r="AR35" s="70" t="s">
        <v>1018</v>
      </c>
      <c r="AS35" s="140"/>
      <c r="AT35" s="99"/>
      <c r="AU35" s="140"/>
      <c r="AV35" s="19"/>
    </row>
    <row r="36" spans="2:48" x14ac:dyDescent="0.2">
      <c r="B36" s="15"/>
      <c r="C36" s="21" t="s">
        <v>161</v>
      </c>
      <c r="D36" s="22">
        <v>4</v>
      </c>
      <c r="E36" s="22"/>
      <c r="F36" s="22">
        <v>2</v>
      </c>
      <c r="G36" s="22">
        <v>-4</v>
      </c>
      <c r="H36" s="22"/>
      <c r="I36" s="22"/>
      <c r="J36" s="84" t="s">
        <v>64</v>
      </c>
      <c r="K36" s="97"/>
      <c r="L36" s="72" t="s">
        <v>142</v>
      </c>
      <c r="M36" s="40" t="b">
        <v>1</v>
      </c>
      <c r="N36" s="97"/>
      <c r="O36" s="19"/>
      <c r="P36" s="14"/>
      <c r="Q36" s="15"/>
      <c r="R36" s="54" t="str">
        <f>IF(CLASSE.1="","",IF(nv.Classe.1=0,"",CONCATENATE(CLASSE.1," ",nv.Classe.1.t)))</f>
        <v/>
      </c>
      <c r="S36" s="4"/>
      <c r="T36" s="14"/>
      <c r="U36" s="20" t="s">
        <v>362</v>
      </c>
      <c r="V36" s="57"/>
      <c r="W36" s="14"/>
      <c r="X36" s="14"/>
      <c r="Y36" s="14"/>
      <c r="Z36" s="14"/>
      <c r="AA36" s="19"/>
      <c r="AB36" s="14"/>
      <c r="AC36" s="15"/>
      <c r="AD36" s="67" t="s">
        <v>66</v>
      </c>
      <c r="AE36" s="30">
        <v>-1</v>
      </c>
      <c r="AF36" s="31">
        <v>-4</v>
      </c>
      <c r="AG36" s="14"/>
      <c r="AH36" s="14"/>
      <c r="AI36" s="14"/>
      <c r="AJ36" s="14"/>
      <c r="AK36" s="19"/>
      <c r="AQ36" s="15"/>
      <c r="AR36" s="70" t="s">
        <v>1019</v>
      </c>
      <c r="AS36" s="140"/>
      <c r="AT36" s="99"/>
      <c r="AU36" s="140"/>
      <c r="AV36" s="19"/>
    </row>
    <row r="37" spans="2:48" x14ac:dyDescent="0.2">
      <c r="B37" s="15"/>
      <c r="C37" s="29" t="s">
        <v>615</v>
      </c>
      <c r="D37" s="140"/>
      <c r="E37" s="140">
        <v>2</v>
      </c>
      <c r="F37" s="140"/>
      <c r="G37" s="140">
        <v>-2</v>
      </c>
      <c r="H37" s="140">
        <v>4</v>
      </c>
      <c r="I37" s="140"/>
      <c r="J37" s="69" t="s">
        <v>64</v>
      </c>
      <c r="K37" s="97"/>
      <c r="L37" s="74" t="s">
        <v>143</v>
      </c>
      <c r="M37" s="75"/>
      <c r="N37" s="97"/>
      <c r="O37" s="19"/>
      <c r="P37" s="14"/>
      <c r="Q37" s="15"/>
      <c r="R37" s="6" t="str">
        <f>IF(CLASSE.2="","",IF(nv.Classe.2=0,"",CONCATENATE(", ",CLASSE.2," ",nv.Classe.2.t)))</f>
        <v/>
      </c>
      <c r="S37" s="4"/>
      <c r="T37" s="14"/>
      <c r="U37" s="6" t="s">
        <v>363</v>
      </c>
      <c r="V37" s="4" t="str">
        <f>IF(NÍVEL.p&lt;21,IF(NÍVEL.classes=NÍVEL.p,"ok",IF(NÍVEL.classes&lt;NÍVEL.p,"falta",IF(NÍVEL.classes&gt;NÍVEL.p,"excede"))),IF(NÍVEL.total=NÍVEL.p,"ok",IF(NÍVEL.total&lt;NÍVEL.p,"falta",IF(NÍVEL.total&gt;NÍVEL.p,"excede"))))</f>
        <v>falta</v>
      </c>
      <c r="W37" s="14"/>
      <c r="X37" s="14"/>
      <c r="Y37" s="14"/>
      <c r="Z37" s="14"/>
      <c r="AA37" s="19"/>
      <c r="AB37" s="14"/>
      <c r="AC37" s="15"/>
      <c r="AD37" s="67" t="s">
        <v>73</v>
      </c>
      <c r="AE37" s="30">
        <v>-2</v>
      </c>
      <c r="AF37" s="31">
        <v>-8</v>
      </c>
      <c r="AG37" s="14"/>
      <c r="AH37" s="14"/>
      <c r="AI37" s="14"/>
      <c r="AJ37" s="14"/>
      <c r="AK37" s="19"/>
      <c r="AQ37" s="15"/>
      <c r="AR37" s="70" t="s">
        <v>1020</v>
      </c>
      <c r="AS37" s="140"/>
      <c r="AT37" s="99"/>
      <c r="AU37" s="140"/>
      <c r="AV37" s="19"/>
    </row>
    <row r="38" spans="2:48" x14ac:dyDescent="0.2">
      <c r="B38" s="15"/>
      <c r="C38" s="21" t="s">
        <v>152</v>
      </c>
      <c r="D38" s="22"/>
      <c r="E38" s="22"/>
      <c r="F38" s="22"/>
      <c r="G38" s="22">
        <v>2</v>
      </c>
      <c r="H38" s="22">
        <v>-2</v>
      </c>
      <c r="I38" s="22">
        <v>4</v>
      </c>
      <c r="J38" s="84" t="s">
        <v>64</v>
      </c>
      <c r="K38" s="97"/>
      <c r="L38" s="76" t="s">
        <v>144</v>
      </c>
      <c r="M38" s="77"/>
      <c r="N38" s="97"/>
      <c r="O38" s="19"/>
      <c r="P38" s="14"/>
      <c r="Q38" s="15"/>
      <c r="R38" s="6" t="str">
        <f>IF(CLASSE.3="","",IF(nv.Classe.3=0,"",CONCATENATE(", ",CLASSE.3," ",nv.Classe.3.t)))</f>
        <v/>
      </c>
      <c r="S38" s="4"/>
      <c r="T38" s="14"/>
      <c r="U38" s="6" t="s">
        <v>451</v>
      </c>
      <c r="V38" s="4" t="str">
        <f>IF(V33&gt;20,"ilegal",IF(AND(V33&lt;20,U24&gt;0),"ilegal2","ok"))</f>
        <v>ok</v>
      </c>
      <c r="W38" s="14"/>
      <c r="X38" s="14"/>
      <c r="Y38" s="14"/>
      <c r="Z38" s="14"/>
      <c r="AA38" s="19"/>
      <c r="AB38" s="14"/>
      <c r="AC38" s="15"/>
      <c r="AD38" s="67" t="s">
        <v>74</v>
      </c>
      <c r="AE38" s="30">
        <v>-4</v>
      </c>
      <c r="AF38" s="31">
        <v>-12</v>
      </c>
      <c r="AG38" s="14"/>
      <c r="AH38" s="14"/>
      <c r="AI38" s="14"/>
      <c r="AJ38" s="14"/>
      <c r="AK38" s="19"/>
      <c r="AQ38" s="15"/>
      <c r="AR38" s="70" t="s">
        <v>1021</v>
      </c>
      <c r="AS38" s="140"/>
      <c r="AT38" s="99"/>
      <c r="AU38" s="140"/>
      <c r="AV38" s="19"/>
    </row>
    <row r="39" spans="2:48" ht="11.25" customHeight="1" x14ac:dyDescent="0.2">
      <c r="B39" s="15"/>
      <c r="C39" s="301" t="str">
        <f>nova.raça.4</f>
        <v>Sklirynei</v>
      </c>
      <c r="D39" s="99">
        <v>-2</v>
      </c>
      <c r="E39" s="99"/>
      <c r="F39" s="99"/>
      <c r="G39" s="99">
        <v>4</v>
      </c>
      <c r="H39" s="99"/>
      <c r="I39" s="99">
        <v>2</v>
      </c>
      <c r="J39" s="69" t="s">
        <v>64</v>
      </c>
      <c r="K39" s="97"/>
      <c r="L39" s="97"/>
      <c r="M39" s="97"/>
      <c r="N39" s="97"/>
      <c r="O39" s="19"/>
      <c r="P39" s="14"/>
      <c r="Q39" s="15"/>
      <c r="R39" s="6" t="str">
        <f>IF(CLASSE.4="","",IF(nv.Classe.4=0,"",CONCATENATE(", ",CLASSE.4," ",nv.Classe.4.t)))</f>
        <v/>
      </c>
      <c r="S39" s="4"/>
      <c r="T39" s="14"/>
      <c r="U39" s="6" t="s">
        <v>364</v>
      </c>
      <c r="V39" s="4" t="str">
        <f>IF(nv.Classe.2.t&gt;X14,"ilegal","ok")</f>
        <v>ok</v>
      </c>
      <c r="W39" s="14"/>
      <c r="Z39" s="14"/>
      <c r="AA39" s="19"/>
      <c r="AB39" s="14"/>
      <c r="AC39" s="15"/>
      <c r="AD39" s="67" t="s">
        <v>75</v>
      </c>
      <c r="AE39" s="30">
        <v>-8</v>
      </c>
      <c r="AF39" s="31">
        <v>-16</v>
      </c>
      <c r="AG39" s="14"/>
      <c r="AH39" s="14"/>
      <c r="AI39" s="14"/>
      <c r="AJ39" s="14"/>
      <c r="AK39" s="19"/>
      <c r="AQ39" s="15"/>
      <c r="AR39" s="70" t="s">
        <v>1022</v>
      </c>
      <c r="AS39" s="140"/>
      <c r="AT39" s="99"/>
      <c r="AU39" s="140"/>
      <c r="AV39" s="19"/>
    </row>
    <row r="40" spans="2:48" x14ac:dyDescent="0.2">
      <c r="B40" s="15"/>
      <c r="C40" s="21" t="s">
        <v>153</v>
      </c>
      <c r="D40" s="22">
        <v>-4</v>
      </c>
      <c r="E40" s="22">
        <v>4</v>
      </c>
      <c r="F40" s="22">
        <v>-2</v>
      </c>
      <c r="G40" s="22"/>
      <c r="H40" s="22"/>
      <c r="I40" s="22">
        <v>2</v>
      </c>
      <c r="J40" s="84" t="s">
        <v>68</v>
      </c>
      <c r="K40" s="97"/>
      <c r="L40" s="52" t="s">
        <v>619</v>
      </c>
      <c r="M40" s="97"/>
      <c r="N40" s="52" t="s">
        <v>910</v>
      </c>
      <c r="O40" s="19"/>
      <c r="P40" s="14"/>
      <c r="Q40" s="15"/>
      <c r="R40" s="6" t="str">
        <f>IF(CLASSE.5="","",IF(nv.Classe.5=0,"",CONCATENATE(", ",CLASSE.5," ",nv.Classe.5.t)))</f>
        <v/>
      </c>
      <c r="S40" s="4"/>
      <c r="T40" s="14"/>
      <c r="U40" s="6" t="s">
        <v>365</v>
      </c>
      <c r="V40" s="4" t="str">
        <f>IF(nv.Classe.3.t&gt;X15,"ilegal","ok")</f>
        <v>ok</v>
      </c>
      <c r="W40" s="14"/>
      <c r="Z40" s="14"/>
      <c r="AA40" s="19"/>
      <c r="AB40" s="14"/>
      <c r="AC40" s="15"/>
      <c r="AD40" s="85">
        <v>0</v>
      </c>
      <c r="AE40" s="86">
        <v>0</v>
      </c>
      <c r="AF40" s="87">
        <v>0</v>
      </c>
      <c r="AG40" s="14"/>
      <c r="AH40" s="14"/>
      <c r="AI40" s="14"/>
      <c r="AJ40" s="14"/>
      <c r="AK40" s="19"/>
      <c r="AQ40" s="15"/>
      <c r="AR40" s="70" t="s">
        <v>1130</v>
      </c>
      <c r="AS40" s="140"/>
      <c r="AT40" s="99"/>
      <c r="AU40" s="140"/>
      <c r="AV40" s="19"/>
    </row>
    <row r="41" spans="2:48" x14ac:dyDescent="0.2">
      <c r="B41" s="15"/>
      <c r="C41" s="29" t="s">
        <v>618</v>
      </c>
      <c r="D41" s="140"/>
      <c r="E41" s="140">
        <v>4</v>
      </c>
      <c r="F41" s="140"/>
      <c r="G41" s="140">
        <v>2</v>
      </c>
      <c r="H41" s="140"/>
      <c r="I41" s="140">
        <v>-2</v>
      </c>
      <c r="J41" s="69">
        <f>tamanho.cust</f>
        <v>0</v>
      </c>
      <c r="K41" s="97"/>
      <c r="L41" s="102" t="s">
        <v>620</v>
      </c>
      <c r="M41" s="97"/>
      <c r="N41" s="303" t="str">
        <f>IF(OR(RAÇA.p=raça.nova.1, RAÇA.p=raça.nova.2, RAÇA.p=raça.nova.3, RAÇA.p=raça.nova.4, RAÇA.p=raça.nova.5,),"sim","")</f>
        <v/>
      </c>
      <c r="O41" s="19"/>
      <c r="P41" s="14"/>
      <c r="Q41" s="15"/>
      <c r="R41" s="62" t="str">
        <f>CONCATENATE(R36,R37,R38,R39,R40)</f>
        <v/>
      </c>
      <c r="S41" s="63"/>
      <c r="T41" s="14"/>
      <c r="U41" s="6" t="s">
        <v>366</v>
      </c>
      <c r="V41" s="4" t="str">
        <f>IF(nv.Classe.4.t&gt;X16,"ilegal","ok")</f>
        <v>ok</v>
      </c>
      <c r="W41" s="14"/>
      <c r="Z41" s="14"/>
      <c r="AA41" s="19"/>
      <c r="AB41" s="14"/>
      <c r="AC41" s="15"/>
      <c r="AK41" s="19"/>
      <c r="AQ41" s="15"/>
      <c r="AR41" s="70" t="s">
        <v>191</v>
      </c>
      <c r="AS41" s="140"/>
      <c r="AT41" s="99"/>
      <c r="AU41" s="140"/>
      <c r="AV41" s="19"/>
    </row>
    <row r="42" spans="2:48" x14ac:dyDescent="0.2">
      <c r="B42" s="15"/>
      <c r="C42" s="21" t="s">
        <v>162</v>
      </c>
      <c r="D42" s="22">
        <v>2</v>
      </c>
      <c r="E42" s="22"/>
      <c r="F42" s="22">
        <v>4</v>
      </c>
      <c r="G42" s="22">
        <v>-2</v>
      </c>
      <c r="H42" s="22"/>
      <c r="I42" s="22"/>
      <c r="J42" s="84" t="s">
        <v>64</v>
      </c>
      <c r="K42" s="97"/>
      <c r="L42" s="70" t="s">
        <v>621</v>
      </c>
      <c r="M42" s="97"/>
      <c r="N42" s="97"/>
      <c r="O42" s="19"/>
      <c r="P42" s="14"/>
      <c r="Q42" s="15"/>
      <c r="R42" s="64" t="s">
        <v>456</v>
      </c>
      <c r="S42" s="57"/>
      <c r="T42" s="14"/>
      <c r="U42" s="6" t="s">
        <v>367</v>
      </c>
      <c r="V42" s="4" t="str">
        <f>IF(nv.Classe.5.t&gt;X17,"ilegal","ok")</f>
        <v>ok</v>
      </c>
      <c r="W42" s="14"/>
      <c r="Z42" s="14"/>
      <c r="AA42" s="19"/>
      <c r="AB42" s="14"/>
      <c r="AC42" s="15"/>
      <c r="AD42" s="50" t="s">
        <v>211</v>
      </c>
      <c r="AE42" s="73"/>
      <c r="AK42" s="19"/>
      <c r="AQ42" s="15"/>
      <c r="AR42" s="70" t="s">
        <v>1131</v>
      </c>
      <c r="AS42" s="140"/>
      <c r="AT42" s="99"/>
      <c r="AU42" s="140"/>
      <c r="AV42" s="19"/>
    </row>
    <row r="43" spans="2:48" x14ac:dyDescent="0.2">
      <c r="B43" s="15"/>
      <c r="C43" s="29" t="s">
        <v>1127</v>
      </c>
      <c r="D43" s="140"/>
      <c r="E43" s="140">
        <v>4</v>
      </c>
      <c r="F43" s="140"/>
      <c r="G43" s="140">
        <v>-2</v>
      </c>
      <c r="H43" s="140">
        <v>2</v>
      </c>
      <c r="I43" s="140"/>
      <c r="J43" s="69" t="s">
        <v>64</v>
      </c>
      <c r="K43" s="97"/>
      <c r="L43" s="70" t="s">
        <v>622</v>
      </c>
      <c r="M43" s="97"/>
      <c r="N43" s="97"/>
      <c r="O43" s="19"/>
      <c r="P43" s="14"/>
      <c r="Q43" s="15"/>
      <c r="R43" s="54" t="str">
        <f>IF(CLASSE.1="","",IF(nv.Classe.1=0,"",CONCATENATE(CLASSE.1," ",nv.Classe.1)))</f>
        <v/>
      </c>
      <c r="S43" s="61"/>
      <c r="T43" s="14"/>
      <c r="U43" s="7" t="s">
        <v>452</v>
      </c>
      <c r="V43" s="5" t="str">
        <f>IF(AND(controle2="ok",controle3="ok",controle4="ok",controle5="ok"),"ok","ilegal")</f>
        <v>ok</v>
      </c>
      <c r="W43" s="14"/>
      <c r="Z43" s="14"/>
      <c r="AA43" s="19"/>
      <c r="AB43" s="14"/>
      <c r="AC43" s="15"/>
      <c r="AD43" s="66" t="s">
        <v>198</v>
      </c>
      <c r="AE43" s="54" t="s">
        <v>876</v>
      </c>
      <c r="AK43" s="19"/>
      <c r="AQ43" s="15"/>
      <c r="AR43" s="70" t="s">
        <v>192</v>
      </c>
      <c r="AS43" s="140"/>
      <c r="AT43" s="99"/>
      <c r="AU43" s="140"/>
      <c r="AV43" s="19"/>
    </row>
    <row r="44" spans="2:48" x14ac:dyDescent="0.2">
      <c r="B44" s="15"/>
      <c r="C44" s="301" t="str">
        <f>nova.raça.7</f>
        <v>[nova raça]</v>
      </c>
      <c r="D44" s="99"/>
      <c r="E44" s="99"/>
      <c r="F44" s="99"/>
      <c r="G44" s="99"/>
      <c r="H44" s="99"/>
      <c r="I44" s="99"/>
      <c r="J44" s="69"/>
      <c r="K44" s="97"/>
      <c r="L44" s="70" t="s">
        <v>623</v>
      </c>
      <c r="M44" s="97"/>
      <c r="N44" s="97"/>
      <c r="O44" s="19"/>
      <c r="P44" s="14"/>
      <c r="Q44" s="15"/>
      <c r="R44" s="6" t="str">
        <f>IF(CLASSE.2="","",IF(nv.Classe.2=0,"",CONCATENATE(", ",CLASSE.2," ",nv.Classe.2)))</f>
        <v/>
      </c>
      <c r="S44" s="4"/>
      <c r="T44" s="14"/>
      <c r="U44" s="20" t="s">
        <v>443</v>
      </c>
      <c r="V44" s="55"/>
      <c r="W44" s="14"/>
      <c r="Z44" s="14"/>
      <c r="AA44" s="19"/>
      <c r="AB44" s="14"/>
      <c r="AC44" s="15"/>
      <c r="AD44" s="67" t="s">
        <v>199</v>
      </c>
      <c r="AE44" s="6" t="s">
        <v>877</v>
      </c>
      <c r="AK44" s="19"/>
      <c r="AQ44" s="15"/>
      <c r="AR44" s="71" t="s">
        <v>231</v>
      </c>
      <c r="AS44" s="140"/>
      <c r="AT44" s="99"/>
      <c r="AU44" s="140"/>
      <c r="AV44" s="19"/>
    </row>
    <row r="45" spans="2:48" x14ac:dyDescent="0.2">
      <c r="B45" s="15"/>
      <c r="C45" s="301" t="str">
        <f>nova.raça.8</f>
        <v>[nova raça]</v>
      </c>
      <c r="D45" s="99"/>
      <c r="E45" s="140"/>
      <c r="F45" s="140"/>
      <c r="G45" s="140"/>
      <c r="H45" s="99"/>
      <c r="I45" s="99"/>
      <c r="J45" s="69"/>
      <c r="K45" s="97"/>
      <c r="L45" s="70" t="s">
        <v>624</v>
      </c>
      <c r="M45" s="97"/>
      <c r="N45" s="97"/>
      <c r="O45" s="19"/>
      <c r="P45" s="14"/>
      <c r="Q45" s="15"/>
      <c r="R45" s="6" t="str">
        <f>IF(CLASSE.3="","",IF(nv.Classe.3=0,"",CONCATENATE(", ",CLASSE.3," ",nv.Classe.3)))</f>
        <v/>
      </c>
      <c r="S45" s="4"/>
      <c r="T45" s="14"/>
      <c r="U45" s="6" t="s">
        <v>444</v>
      </c>
      <c r="V45" s="4" t="s">
        <v>447</v>
      </c>
      <c r="W45" s="14"/>
      <c r="Z45" s="14"/>
      <c r="AA45" s="19"/>
      <c r="AB45" s="14"/>
      <c r="AC45" s="15"/>
      <c r="AD45" s="67" t="s">
        <v>200</v>
      </c>
      <c r="AE45" s="6" t="s">
        <v>878</v>
      </c>
      <c r="AK45" s="19"/>
      <c r="AQ45" s="15"/>
      <c r="AR45" s="99"/>
      <c r="AS45" s="140"/>
      <c r="AT45" s="99"/>
      <c r="AU45" s="140"/>
      <c r="AV45" s="19"/>
    </row>
    <row r="46" spans="2:48" ht="11.25" customHeight="1" x14ac:dyDescent="0.2">
      <c r="B46" s="15"/>
      <c r="C46" s="301"/>
      <c r="D46" s="99"/>
      <c r="E46" s="140"/>
      <c r="F46" s="140"/>
      <c r="G46" s="140"/>
      <c r="H46" s="99"/>
      <c r="I46" s="99"/>
      <c r="J46" s="69"/>
      <c r="K46" s="97"/>
      <c r="L46" s="70" t="s">
        <v>625</v>
      </c>
      <c r="M46" s="97"/>
      <c r="N46" s="97"/>
      <c r="O46" s="19"/>
      <c r="P46" s="14"/>
      <c r="Q46" s="15"/>
      <c r="R46" s="6" t="str">
        <f>IF(CLASSE.4="","",IF(nv.Classe.4=0,"",CONCATENATE(", ",CLASSE.4," ",nv.Classe.4)))</f>
        <v/>
      </c>
      <c r="S46" s="4"/>
      <c r="T46" s="14"/>
      <c r="U46" s="58" t="s">
        <v>361</v>
      </c>
      <c r="V46" s="4" t="s">
        <v>448</v>
      </c>
      <c r="W46" s="14"/>
      <c r="Z46" s="14"/>
      <c r="AA46" s="19"/>
      <c r="AB46" s="14"/>
      <c r="AC46" s="15"/>
      <c r="AD46" s="67" t="s">
        <v>201</v>
      </c>
      <c r="AE46" s="6" t="s">
        <v>879</v>
      </c>
      <c r="AK46" s="19"/>
      <c r="AQ46" s="15"/>
      <c r="AR46" s="99"/>
      <c r="AS46" s="140"/>
      <c r="AT46" s="99"/>
      <c r="AU46" s="140"/>
      <c r="AV46" s="19"/>
    </row>
    <row r="47" spans="2:48" ht="12" thickBot="1" x14ac:dyDescent="0.25">
      <c r="B47" s="15"/>
      <c r="C47" s="301"/>
      <c r="D47" s="99"/>
      <c r="E47" s="140"/>
      <c r="F47" s="140"/>
      <c r="G47" s="140"/>
      <c r="H47" s="99"/>
      <c r="I47" s="99"/>
      <c r="J47" s="69"/>
      <c r="K47" s="97"/>
      <c r="L47" s="70" t="s">
        <v>626</v>
      </c>
      <c r="M47" s="97"/>
      <c r="N47" s="97"/>
      <c r="O47" s="19"/>
      <c r="P47" s="14"/>
      <c r="Q47" s="15"/>
      <c r="R47" s="6" t="str">
        <f>IF(CLASSE.5="","",IF(nv.Classe.5=0,"",CONCATENATE(", ",CLASSE.5," ",nv.Classe.5)))</f>
        <v/>
      </c>
      <c r="S47" s="4"/>
      <c r="T47" s="14"/>
      <c r="U47" s="58" t="s">
        <v>359</v>
      </c>
      <c r="V47" s="4" t="s">
        <v>449</v>
      </c>
      <c r="W47" s="14"/>
      <c r="Z47" s="14"/>
      <c r="AA47" s="19"/>
      <c r="AB47" s="14"/>
      <c r="AC47" s="15"/>
      <c r="AD47" s="67" t="s">
        <v>202</v>
      </c>
      <c r="AE47" s="6" t="s">
        <v>884</v>
      </c>
      <c r="AK47" s="19"/>
      <c r="AQ47" s="35"/>
      <c r="AR47" s="95"/>
      <c r="AS47" s="36"/>
      <c r="AT47" s="95"/>
      <c r="AU47" s="36"/>
      <c r="AV47" s="37"/>
    </row>
    <row r="48" spans="2:48" x14ac:dyDescent="0.2">
      <c r="B48" s="15"/>
      <c r="C48" s="301"/>
      <c r="D48" s="99"/>
      <c r="E48" s="140"/>
      <c r="F48" s="140"/>
      <c r="G48" s="140"/>
      <c r="H48" s="99"/>
      <c r="I48" s="99"/>
      <c r="J48" s="69"/>
      <c r="K48" s="97"/>
      <c r="L48" s="70" t="s">
        <v>627</v>
      </c>
      <c r="M48" s="97"/>
      <c r="N48" s="97"/>
      <c r="O48" s="19"/>
      <c r="P48" s="14"/>
      <c r="Q48" s="15"/>
      <c r="R48" s="62" t="str">
        <f>CONCATENATE(R43,R44,R45,R46,R47)</f>
        <v/>
      </c>
      <c r="S48" s="63"/>
      <c r="T48" s="14"/>
      <c r="U48" s="58" t="s">
        <v>453</v>
      </c>
      <c r="V48" s="4" t="s">
        <v>445</v>
      </c>
      <c r="W48" s="14"/>
      <c r="Z48" s="14"/>
      <c r="AA48" s="19"/>
      <c r="AB48" s="14"/>
      <c r="AC48" s="15"/>
      <c r="AD48" s="67" t="s">
        <v>203</v>
      </c>
      <c r="AE48" s="6" t="s">
        <v>880</v>
      </c>
      <c r="AK48" s="19"/>
    </row>
    <row r="49" spans="2:37" x14ac:dyDescent="0.2">
      <c r="B49" s="15"/>
      <c r="C49" s="302"/>
      <c r="D49" s="43"/>
      <c r="E49" s="355"/>
      <c r="F49" s="355"/>
      <c r="G49" s="355"/>
      <c r="H49" s="43"/>
      <c r="I49" s="43"/>
      <c r="J49" s="51"/>
      <c r="K49" s="97"/>
      <c r="L49" s="70" t="s">
        <v>628</v>
      </c>
      <c r="M49" s="97"/>
      <c r="N49" s="97"/>
      <c r="O49" s="19"/>
      <c r="P49" s="14"/>
      <c r="Q49" s="15"/>
      <c r="T49" s="14"/>
      <c r="U49" s="58" t="s">
        <v>360</v>
      </c>
      <c r="V49" s="4" t="s">
        <v>446</v>
      </c>
      <c r="W49" s="14"/>
      <c r="Z49" s="14"/>
      <c r="AA49" s="19"/>
      <c r="AB49" s="14"/>
      <c r="AC49" s="15"/>
      <c r="AD49" s="67" t="s">
        <v>204</v>
      </c>
      <c r="AE49" s="6" t="s">
        <v>881</v>
      </c>
      <c r="AK49" s="19"/>
    </row>
    <row r="50" spans="2:37" x14ac:dyDescent="0.2">
      <c r="B50" s="15"/>
      <c r="F50" s="97"/>
      <c r="G50" s="97"/>
      <c r="H50" s="97"/>
      <c r="I50" s="97"/>
      <c r="J50" s="97"/>
      <c r="K50" s="97"/>
      <c r="L50" s="70" t="s">
        <v>629</v>
      </c>
      <c r="M50" s="97"/>
      <c r="N50" s="97"/>
      <c r="O50" s="19"/>
      <c r="P50" s="14"/>
      <c r="Q50" s="15"/>
      <c r="T50" s="140"/>
      <c r="U50" s="59" t="s">
        <v>840</v>
      </c>
      <c r="V50" s="5" t="s">
        <v>457</v>
      </c>
      <c r="W50" s="140"/>
      <c r="Z50" s="140"/>
      <c r="AA50" s="19"/>
      <c r="AB50" s="14"/>
      <c r="AC50" s="15"/>
      <c r="AD50" s="67" t="s">
        <v>205</v>
      </c>
      <c r="AE50" s="6" t="s">
        <v>882</v>
      </c>
      <c r="AK50" s="19"/>
    </row>
    <row r="51" spans="2:37" x14ac:dyDescent="0.2">
      <c r="B51" s="15"/>
      <c r="F51" s="97"/>
      <c r="G51" s="50" t="s">
        <v>1033</v>
      </c>
      <c r="H51" s="50" t="s">
        <v>220</v>
      </c>
      <c r="I51" s="17" t="s">
        <v>221</v>
      </c>
      <c r="J51" s="97"/>
      <c r="K51" s="97"/>
      <c r="L51" s="70" t="s">
        <v>630</v>
      </c>
      <c r="M51" s="97"/>
      <c r="N51" s="97"/>
      <c r="O51" s="19"/>
      <c r="P51" s="14"/>
      <c r="Q51" s="15"/>
      <c r="T51" s="14"/>
      <c r="U51" s="14"/>
      <c r="V51" s="14"/>
      <c r="W51" s="14"/>
      <c r="Z51" s="14"/>
      <c r="AA51" s="19"/>
      <c r="AB51" s="14"/>
      <c r="AC51" s="15"/>
      <c r="AD51" s="67" t="s">
        <v>206</v>
      </c>
      <c r="AE51" s="6" t="s">
        <v>883</v>
      </c>
      <c r="AK51" s="19"/>
    </row>
    <row r="52" spans="2:37" x14ac:dyDescent="0.2">
      <c r="B52" s="15"/>
      <c r="F52" s="97"/>
      <c r="G52" s="303" t="s">
        <v>1034</v>
      </c>
      <c r="H52" s="26">
        <v>7</v>
      </c>
      <c r="I52" s="23">
        <v>4</v>
      </c>
      <c r="J52" s="97"/>
      <c r="K52" s="97"/>
      <c r="L52" s="70" t="s">
        <v>631</v>
      </c>
      <c r="M52" s="97"/>
      <c r="N52" s="97"/>
      <c r="O52" s="19"/>
      <c r="P52" s="14"/>
      <c r="Q52" s="15"/>
      <c r="AA52" s="19"/>
      <c r="AB52" s="14"/>
      <c r="AC52" s="15"/>
      <c r="AD52" s="68"/>
      <c r="AE52" s="7"/>
      <c r="AK52" s="19"/>
    </row>
    <row r="53" spans="2:37" x14ac:dyDescent="0.2">
      <c r="B53" s="15"/>
      <c r="F53" s="97"/>
      <c r="G53" s="303" t="s">
        <v>1036</v>
      </c>
      <c r="H53" s="26">
        <v>8</v>
      </c>
      <c r="I53" s="23">
        <v>2</v>
      </c>
      <c r="J53" s="97"/>
      <c r="K53" s="97"/>
      <c r="L53" s="70"/>
      <c r="M53" s="97"/>
      <c r="N53" s="97"/>
      <c r="O53" s="19"/>
      <c r="Q53" s="15"/>
      <c r="T53" s="14"/>
      <c r="U53" s="20" t="s">
        <v>875</v>
      </c>
      <c r="V53" s="291"/>
      <c r="W53" s="73"/>
      <c r="Z53" s="14"/>
      <c r="AA53" s="19"/>
      <c r="AB53" s="14"/>
      <c r="AC53" s="15"/>
      <c r="AK53" s="19"/>
    </row>
    <row r="54" spans="2:37" x14ac:dyDescent="0.2">
      <c r="B54" s="15"/>
      <c r="F54" s="97"/>
      <c r="G54" s="303"/>
      <c r="H54" s="26">
        <v>9</v>
      </c>
      <c r="I54" s="23">
        <v>1</v>
      </c>
      <c r="J54" s="97"/>
      <c r="K54" s="97"/>
      <c r="L54" s="34"/>
      <c r="M54" s="97"/>
      <c r="N54" s="97"/>
      <c r="O54" s="19"/>
      <c r="Q54" s="15"/>
      <c r="T54" s="14"/>
      <c r="U54" s="6" t="s">
        <v>871</v>
      </c>
      <c r="V54" s="69">
        <f>IF(tipo.classe.2="Básica",IF(talento.classe.2="Perícia de classe",1,0),)</f>
        <v>0</v>
      </c>
      <c r="W54" s="6" t="str">
        <f>IF(CLASSE.2=0,"",CLASSE.2)</f>
        <v/>
      </c>
      <c r="X54" s="140"/>
      <c r="Y54" s="140"/>
      <c r="Z54" s="14"/>
      <c r="AA54" s="19"/>
      <c r="AB54" s="14"/>
      <c r="AC54" s="15"/>
      <c r="AK54" s="19"/>
    </row>
    <row r="55" spans="2:37" ht="12" thickBot="1" x14ac:dyDescent="0.25">
      <c r="B55" s="15"/>
      <c r="F55" s="100"/>
      <c r="G55" s="97"/>
      <c r="H55" s="26">
        <v>10</v>
      </c>
      <c r="I55" s="23">
        <v>0</v>
      </c>
      <c r="J55" s="100"/>
      <c r="K55" s="100"/>
      <c r="L55" s="100"/>
      <c r="M55" s="100"/>
      <c r="N55" s="100"/>
      <c r="O55" s="19"/>
      <c r="Q55" s="15"/>
      <c r="T55" s="14"/>
      <c r="U55" s="6" t="s">
        <v>872</v>
      </c>
      <c r="V55" s="69">
        <f>IF(tipo.classe.3="Básica",IF(talento.classe.3="Perícia de classe",1,0),)</f>
        <v>0</v>
      </c>
      <c r="W55" s="6" t="str">
        <f>IF(CLASSE.3=0,"",CLASSE.3)</f>
        <v/>
      </c>
      <c r="X55" s="14"/>
      <c r="Y55" s="14"/>
      <c r="Z55" s="14"/>
      <c r="AA55" s="19"/>
      <c r="AB55" s="14"/>
      <c r="AC55" s="35"/>
      <c r="AD55" s="36"/>
      <c r="AE55" s="36"/>
      <c r="AF55" s="36"/>
      <c r="AG55" s="36"/>
      <c r="AH55" s="36"/>
      <c r="AI55" s="36"/>
      <c r="AJ55" s="36"/>
      <c r="AK55" s="37"/>
    </row>
    <row r="56" spans="2:37" x14ac:dyDescent="0.2">
      <c r="B56" s="15"/>
      <c r="G56" s="97"/>
      <c r="H56" s="26">
        <v>11</v>
      </c>
      <c r="I56" s="23">
        <v>-1</v>
      </c>
      <c r="L56" s="46" t="s">
        <v>117</v>
      </c>
      <c r="M56" s="48" t="s">
        <v>830</v>
      </c>
      <c r="O56" s="19"/>
      <c r="Q56" s="15"/>
      <c r="T56" s="14"/>
      <c r="U56" s="6" t="s">
        <v>873</v>
      </c>
      <c r="V56" s="69">
        <f>IF(tipo.classe.4="Básica",IF(talento.classe.4="Perícia de classe",1,0),)</f>
        <v>0</v>
      </c>
      <c r="W56" s="6" t="str">
        <f>IF(CLASSE.4=0,"",CLASSE.4)</f>
        <v/>
      </c>
      <c r="X56" s="14"/>
      <c r="Y56" s="14"/>
      <c r="Z56" s="14"/>
      <c r="AA56" s="19"/>
      <c r="AB56" s="14"/>
    </row>
    <row r="57" spans="2:37" x14ac:dyDescent="0.2">
      <c r="B57" s="15"/>
      <c r="G57" s="97"/>
      <c r="H57" s="26">
        <v>12</v>
      </c>
      <c r="I57" s="23">
        <v>-2</v>
      </c>
      <c r="L57" s="78">
        <v>2</v>
      </c>
      <c r="M57" s="105" t="str">
        <f>IF(NÍVEL.p&gt;=2,H.2,"")</f>
        <v/>
      </c>
      <c r="O57" s="19"/>
      <c r="Q57" s="15"/>
      <c r="T57" s="14"/>
      <c r="U57" s="6" t="s">
        <v>874</v>
      </c>
      <c r="V57" s="69">
        <f>IF(tipo.classe.5="Básica",IF(talento.classe.5="Perícia de classe",1,0),)</f>
        <v>0</v>
      </c>
      <c r="W57" s="6" t="str">
        <f>IF(CLASSE.5=0,"",CLASSE.5)</f>
        <v/>
      </c>
      <c r="X57" s="14"/>
      <c r="Y57" s="14"/>
      <c r="Z57" s="14"/>
      <c r="AA57" s="19"/>
      <c r="AB57" s="14"/>
    </row>
    <row r="58" spans="2:37" x14ac:dyDescent="0.2">
      <c r="B58" s="15"/>
      <c r="G58" s="97"/>
      <c r="H58" s="26">
        <v>13</v>
      </c>
      <c r="I58" s="23">
        <v>-3</v>
      </c>
      <c r="L58" s="69">
        <v>4</v>
      </c>
      <c r="M58" s="40" t="str">
        <f>IF(NÍVEL.p&gt;=4,H.4,"")</f>
        <v/>
      </c>
      <c r="O58" s="19"/>
      <c r="Q58" s="15"/>
      <c r="T58" s="14"/>
      <c r="U58" s="49" t="s">
        <v>38</v>
      </c>
      <c r="V58" s="60">
        <f>SUM(V54:V57)</f>
        <v>0</v>
      </c>
      <c r="W58" s="290" t="str">
        <f>IF(pericia.multiclasse.total=1,CONCATENATE(W54,W55,W56,W57),"")</f>
        <v/>
      </c>
      <c r="X58" s="14"/>
      <c r="Y58" s="14"/>
      <c r="Z58" s="14"/>
      <c r="AA58" s="19"/>
      <c r="AB58" s="14"/>
    </row>
    <row r="59" spans="2:37" ht="12" thickBot="1" x14ac:dyDescent="0.25">
      <c r="B59" s="15"/>
      <c r="C59" s="50" t="s">
        <v>1037</v>
      </c>
      <c r="G59" s="97"/>
      <c r="H59" s="26">
        <v>14</v>
      </c>
      <c r="I59" s="23">
        <v>-4</v>
      </c>
      <c r="L59" s="69">
        <v>6</v>
      </c>
      <c r="M59" s="40" t="str">
        <f>IF(NÍVEL.p&gt;=6,H.6,"")</f>
        <v/>
      </c>
      <c r="O59" s="19"/>
      <c r="Q59" s="35"/>
      <c r="R59" s="36"/>
      <c r="S59" s="95"/>
      <c r="T59" s="36"/>
      <c r="U59" s="36"/>
      <c r="V59" s="36"/>
      <c r="W59" s="36"/>
      <c r="X59" s="36"/>
      <c r="Y59" s="36"/>
      <c r="Z59" s="36"/>
      <c r="AA59" s="37"/>
      <c r="AB59" s="14"/>
    </row>
    <row r="60" spans="2:37" x14ac:dyDescent="0.2">
      <c r="B60" s="15"/>
      <c r="C60" s="290" t="s">
        <v>1038</v>
      </c>
      <c r="G60" s="97"/>
      <c r="H60" s="26">
        <v>15</v>
      </c>
      <c r="I60" s="23">
        <v>-6</v>
      </c>
      <c r="L60" s="69">
        <v>8</v>
      </c>
      <c r="M60" s="40" t="str">
        <f>IF(NÍVEL.p&gt;=8,H.8,"")</f>
        <v/>
      </c>
      <c r="O60" s="19"/>
      <c r="Q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2:37" x14ac:dyDescent="0.2">
      <c r="B61" s="15"/>
      <c r="C61" s="290" t="s">
        <v>1034</v>
      </c>
      <c r="D61" s="1">
        <f>20+VLOOKUP('Raça, Nível e Habilidades'!L15,TABELA.pontos,2,FALSE)+VLOOKUP('Raça, Nível e Habilidades'!L18,TABELA.pontos,2,FALSE)+VLOOKUP('Raça, Nível e Habilidades'!L21,TABELA.pontos,2,FALSE)+VLOOKUP('Raça, Nível e Habilidades'!L24,TABELA.pontos,2,FALSE)+VLOOKUP('Raça, Nível e Habilidades'!L27,TABELA.pontos,2,FALSE)+VLOOKUP('Raça, Nível e Habilidades'!L30,TABELA.pontos,2,FALSE)</f>
        <v>20</v>
      </c>
      <c r="G61" s="100"/>
      <c r="H61" s="26">
        <v>16</v>
      </c>
      <c r="I61" s="23">
        <v>-8</v>
      </c>
      <c r="L61" s="69">
        <v>10</v>
      </c>
      <c r="M61" s="40" t="str">
        <f>IF(NÍVEL.p&gt;=10,H.10,"")</f>
        <v/>
      </c>
      <c r="O61" s="19"/>
      <c r="Q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2:37" x14ac:dyDescent="0.2">
      <c r="B62" s="15"/>
      <c r="C62" s="290" t="s">
        <v>1036</v>
      </c>
      <c r="D62" s="1">
        <f>8+VLOOKUP('Raça, Nível e Habilidades'!L15,TABELA.pontos,2,FALSE)+VLOOKUP('Raça, Nível e Habilidades'!L18,TABELA.pontos,2,FALSE)+VLOOKUP('Raça, Nível e Habilidades'!L21,TABELA.pontos,2,FALSE)+VLOOKUP('Raça, Nível e Habilidades'!L24,TABELA.pontos,2,FALSE)+VLOOKUP('Raça, Nível e Habilidades'!L27,TABELA.pontos,2,FALSE)+VLOOKUP('Raça, Nível e Habilidades'!L30,TABELA.pontos,2,FALSE)</f>
        <v>8</v>
      </c>
      <c r="H62" s="26">
        <v>17</v>
      </c>
      <c r="I62" s="23">
        <v>-11</v>
      </c>
      <c r="L62" s="69">
        <v>12</v>
      </c>
      <c r="M62" s="40" t="str">
        <f>IF(NÍVEL.p&gt;=12,H.12,"")</f>
        <v/>
      </c>
      <c r="O62" s="19"/>
      <c r="Q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2:37" x14ac:dyDescent="0.2">
      <c r="B63" s="15"/>
      <c r="H63" s="27">
        <v>18</v>
      </c>
      <c r="I63" s="28">
        <v>-14</v>
      </c>
      <c r="L63" s="69">
        <v>14</v>
      </c>
      <c r="M63" s="40" t="str">
        <f>IF(NÍVEL.p&gt;=14,H.14,"")</f>
        <v/>
      </c>
      <c r="O63" s="19"/>
      <c r="Q63" s="14"/>
      <c r="R63" s="14"/>
      <c r="S63" s="39"/>
      <c r="T63" s="14"/>
      <c r="U63" s="14"/>
      <c r="V63" s="14"/>
      <c r="W63" s="14"/>
      <c r="X63" s="14"/>
      <c r="Y63" s="14"/>
      <c r="Z63" s="14"/>
      <c r="AA63" s="14"/>
      <c r="AB63" s="14"/>
    </row>
    <row r="64" spans="2:37" x14ac:dyDescent="0.2">
      <c r="B64" s="15"/>
      <c r="L64" s="69">
        <v>16</v>
      </c>
      <c r="M64" s="40" t="str">
        <f>IF(NÍVEL.p&gt;=16,H.16,"")</f>
        <v/>
      </c>
      <c r="O64" s="19"/>
      <c r="Q64" s="14"/>
      <c r="R64" s="14"/>
      <c r="S64" s="39"/>
      <c r="T64" s="14"/>
      <c r="U64" s="14"/>
      <c r="V64" s="14"/>
      <c r="W64" s="14"/>
      <c r="X64" s="14"/>
      <c r="Y64" s="14"/>
      <c r="Z64" s="14"/>
      <c r="AA64" s="14"/>
      <c r="AB64" s="14"/>
    </row>
    <row r="65" spans="2:28" x14ac:dyDescent="0.2">
      <c r="B65" s="15"/>
      <c r="C65" s="50" t="s">
        <v>1035</v>
      </c>
      <c r="D65" s="50" t="s">
        <v>1039</v>
      </c>
      <c r="E65" s="50" t="s">
        <v>1040</v>
      </c>
      <c r="F65" s="50" t="s">
        <v>1041</v>
      </c>
      <c r="G65" s="50" t="s">
        <v>1042</v>
      </c>
      <c r="H65" s="50" t="s">
        <v>1043</v>
      </c>
      <c r="I65" s="50" t="s">
        <v>1043</v>
      </c>
      <c r="L65" s="69">
        <v>18</v>
      </c>
      <c r="M65" s="40" t="str">
        <f>IF(NÍVEL.p&gt;=18,H.18,"")</f>
        <v/>
      </c>
      <c r="O65" s="19"/>
      <c r="Q65" s="14"/>
      <c r="R65" s="14"/>
      <c r="S65" s="39"/>
      <c r="T65" s="14"/>
      <c r="U65" s="14"/>
      <c r="V65" s="14"/>
      <c r="W65" s="14"/>
      <c r="X65" s="14"/>
      <c r="Y65" s="14"/>
      <c r="Z65" s="14"/>
      <c r="AA65" s="14"/>
      <c r="AB65" s="14"/>
    </row>
    <row r="66" spans="2:28" x14ac:dyDescent="0.2">
      <c r="B66" s="15"/>
      <c r="C66" s="290">
        <v>17</v>
      </c>
      <c r="D66" s="290"/>
      <c r="E66" s="290"/>
      <c r="F66" s="290"/>
      <c r="G66" s="290"/>
      <c r="H66" s="290"/>
      <c r="I66" s="290"/>
      <c r="L66" s="69">
        <v>20</v>
      </c>
      <c r="M66" s="40" t="str">
        <f>IF(NÍVEL.p&gt;=20,H.20,"")</f>
        <v/>
      </c>
      <c r="O66" s="19"/>
    </row>
    <row r="67" spans="2:28" x14ac:dyDescent="0.2">
      <c r="B67" s="15"/>
      <c r="C67" s="290">
        <v>15</v>
      </c>
      <c r="D67" s="290"/>
      <c r="E67" s="290"/>
      <c r="F67" s="290"/>
      <c r="G67" s="290"/>
      <c r="H67" s="290"/>
      <c r="I67" s="290"/>
      <c r="L67" s="69">
        <v>22</v>
      </c>
      <c r="M67" s="40" t="str">
        <f>IF(NÍVEL.p&gt;=22,H.22,"")</f>
        <v/>
      </c>
      <c r="O67" s="19"/>
    </row>
    <row r="68" spans="2:28" x14ac:dyDescent="0.2">
      <c r="B68" s="15"/>
      <c r="C68" s="290">
        <v>13</v>
      </c>
      <c r="D68" s="290"/>
      <c r="E68" s="290"/>
      <c r="F68" s="290"/>
      <c r="G68" s="290"/>
      <c r="H68" s="290"/>
      <c r="I68" s="290"/>
      <c r="L68" s="69">
        <v>24</v>
      </c>
      <c r="M68" s="40" t="str">
        <f>IF(NÍVEL.p&gt;=24,H.24,"")</f>
        <v/>
      </c>
      <c r="O68" s="19"/>
    </row>
    <row r="69" spans="2:28" x14ac:dyDescent="0.2">
      <c r="B69" s="15"/>
      <c r="C69" s="290">
        <v>12</v>
      </c>
      <c r="D69" s="290"/>
      <c r="E69" s="290"/>
      <c r="F69" s="290"/>
      <c r="G69" s="290"/>
      <c r="H69" s="290"/>
      <c r="I69" s="290"/>
      <c r="L69" s="69">
        <v>26</v>
      </c>
      <c r="M69" s="40" t="str">
        <f>IF(NÍVEL.p&gt;=26,H.26,"")</f>
        <v/>
      </c>
      <c r="O69" s="19"/>
    </row>
    <row r="70" spans="2:28" x14ac:dyDescent="0.2">
      <c r="B70" s="15"/>
      <c r="C70" s="290">
        <v>10</v>
      </c>
      <c r="D70" s="290"/>
      <c r="E70" s="290"/>
      <c r="F70" s="290"/>
      <c r="G70" s="290"/>
      <c r="H70" s="290"/>
      <c r="I70" s="290"/>
      <c r="L70" s="69">
        <v>28</v>
      </c>
      <c r="M70" s="40" t="str">
        <f>IF(NÍVEL.p&gt;=28,H.28,"")</f>
        <v/>
      </c>
      <c r="O70" s="19"/>
    </row>
    <row r="71" spans="2:28" x14ac:dyDescent="0.2">
      <c r="B71" s="15"/>
      <c r="C71" s="290">
        <v>8</v>
      </c>
      <c r="D71" s="290"/>
      <c r="E71" s="290"/>
      <c r="F71" s="290"/>
      <c r="G71" s="290"/>
      <c r="H71" s="290"/>
      <c r="I71" s="290"/>
      <c r="L71" s="69">
        <v>30</v>
      </c>
      <c r="M71" s="40" t="str">
        <f>IF(NÍVEL.p&gt;=30,H.30,"")</f>
        <v/>
      </c>
      <c r="O71" s="19"/>
    </row>
    <row r="72" spans="2:28" x14ac:dyDescent="0.2">
      <c r="B72" s="15"/>
      <c r="L72" s="69">
        <v>32</v>
      </c>
      <c r="M72" s="40" t="str">
        <f>IF(NÍVEL.p&gt;=32,H.32,"")</f>
        <v/>
      </c>
      <c r="O72" s="19"/>
    </row>
    <row r="73" spans="2:28" x14ac:dyDescent="0.2">
      <c r="B73" s="15"/>
      <c r="L73" s="69">
        <v>34</v>
      </c>
      <c r="M73" s="40" t="str">
        <f>IF(NÍVEL.p&gt;=34,H.34,"")</f>
        <v/>
      </c>
      <c r="O73" s="19"/>
    </row>
    <row r="74" spans="2:28" x14ac:dyDescent="0.2">
      <c r="B74" s="15"/>
      <c r="L74" s="69">
        <v>36</v>
      </c>
      <c r="M74" s="40" t="str">
        <f>IF(NÍVEL.p&gt;=36,H.36,"")</f>
        <v/>
      </c>
      <c r="O74" s="19"/>
    </row>
    <row r="75" spans="2:28" x14ac:dyDescent="0.2">
      <c r="B75" s="15"/>
      <c r="L75" s="69">
        <v>38</v>
      </c>
      <c r="M75" s="40" t="str">
        <f>IF(NÍVEL.p&gt;=38,H.38,"")</f>
        <v/>
      </c>
      <c r="O75" s="19"/>
    </row>
    <row r="76" spans="2:28" x14ac:dyDescent="0.2">
      <c r="B76" s="15"/>
      <c r="L76" s="51">
        <v>40</v>
      </c>
      <c r="M76" s="41" t="str">
        <f>IF(NÍVEL.p&gt;=40,H.40,"")</f>
        <v/>
      </c>
      <c r="O76" s="19"/>
    </row>
    <row r="77" spans="2:28" x14ac:dyDescent="0.2">
      <c r="B77" s="15"/>
      <c r="O77" s="19"/>
    </row>
    <row r="78" spans="2:28" ht="12" thickBot="1" x14ac:dyDescent="0.25">
      <c r="B78" s="35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7"/>
    </row>
  </sheetData>
  <sortState ref="C4:J43">
    <sortCondition ref="C4"/>
  </sortState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381</vt:i4>
      </vt:variant>
    </vt:vector>
  </HeadingPairs>
  <TitlesOfParts>
    <vt:vector size="393" baseType="lpstr">
      <vt:lpstr>Raça, Nível e Habilidades</vt:lpstr>
      <vt:lpstr>Classes, PV, BBA, Resistências</vt:lpstr>
      <vt:lpstr>Página 1</vt:lpstr>
      <vt:lpstr>Página 2</vt:lpstr>
      <vt:lpstr>Página 3</vt:lpstr>
      <vt:lpstr>Página 4</vt:lpstr>
      <vt:lpstr>SOBRE+FAQ</vt:lpstr>
      <vt:lpstr>O que atualizar </vt:lpstr>
      <vt:lpstr>Engine</vt:lpstr>
      <vt:lpstr>Classes Básicas</vt:lpstr>
      <vt:lpstr>Classes de Prestígio</vt:lpstr>
      <vt:lpstr>Traços Raciais</vt:lpstr>
      <vt:lpstr>AJUSTE</vt:lpstr>
      <vt:lpstr>armadura</vt:lpstr>
      <vt:lpstr>bba.1</vt:lpstr>
      <vt:lpstr>bba.2</vt:lpstr>
      <vt:lpstr>bba.3</vt:lpstr>
      <vt:lpstr>bba.4</vt:lpstr>
      <vt:lpstr>bba.5</vt:lpstr>
      <vt:lpstr>BBA.total.p</vt:lpstr>
      <vt:lpstr>bonus.armadura</vt:lpstr>
      <vt:lpstr>bonus.classe.Fort</vt:lpstr>
      <vt:lpstr>bonus.classe.Ref</vt:lpstr>
      <vt:lpstr>bonus.classe.Von</vt:lpstr>
      <vt:lpstr>bonus.def1</vt:lpstr>
      <vt:lpstr>bonus.def2</vt:lpstr>
      <vt:lpstr>bonus.escudo</vt:lpstr>
      <vt:lpstr>bonus.outros.Fort</vt:lpstr>
      <vt:lpstr>bonus.outros.Ref</vt:lpstr>
      <vt:lpstr>bonus.outros.Von</vt:lpstr>
      <vt:lpstr>bonus.raça.Fort</vt:lpstr>
      <vt:lpstr>bonus.raça.Ref</vt:lpstr>
      <vt:lpstr>bonus.raça.Von</vt:lpstr>
      <vt:lpstr>bonus.tamanho</vt:lpstr>
      <vt:lpstr>box.especial</vt:lpstr>
      <vt:lpstr>CA</vt:lpstr>
      <vt:lpstr>CA.Des</vt:lpstr>
      <vt:lpstr>CA.outros</vt:lpstr>
      <vt:lpstr>campo.Atua1</vt:lpstr>
      <vt:lpstr>campo.Atua2</vt:lpstr>
      <vt:lpstr>campo.Conh1</vt:lpstr>
      <vt:lpstr>campo.Conh2</vt:lpstr>
      <vt:lpstr>campo.Conh3</vt:lpstr>
      <vt:lpstr>campo.Ofic1</vt:lpstr>
      <vt:lpstr>campo.Ofic2</vt:lpstr>
      <vt:lpstr>campo.pericia.Cust1</vt:lpstr>
      <vt:lpstr>campo.perícia.Cust2</vt:lpstr>
      <vt:lpstr>carga.atual</vt:lpstr>
      <vt:lpstr>carga.base</vt:lpstr>
      <vt:lpstr>carga.maxima</vt:lpstr>
      <vt:lpstr>CARISMA</vt:lpstr>
      <vt:lpstr>CARISMA.p</vt:lpstr>
      <vt:lpstr>CD.magia.base</vt:lpstr>
      <vt:lpstr>CLASSE.1</vt:lpstr>
      <vt:lpstr>CLASSE.2</vt:lpstr>
      <vt:lpstr>CLASSE.3</vt:lpstr>
      <vt:lpstr>CLASSE.4</vt:lpstr>
      <vt:lpstr>CLASSE.5</vt:lpstr>
      <vt:lpstr>CONJURADOR</vt:lpstr>
      <vt:lpstr>CONSTITUIÇÃO</vt:lpstr>
      <vt:lpstr>CONSTITUIÇÃO.p</vt:lpstr>
      <vt:lpstr>controle.cdp</vt:lpstr>
      <vt:lpstr>controle.epico</vt:lpstr>
      <vt:lpstr>controle.niveis</vt:lpstr>
      <vt:lpstr>controle2</vt:lpstr>
      <vt:lpstr>controle3</vt:lpstr>
      <vt:lpstr>controle4</vt:lpstr>
      <vt:lpstr>controle5</vt:lpstr>
      <vt:lpstr>coringa1</vt:lpstr>
      <vt:lpstr>coringa2</vt:lpstr>
      <vt:lpstr>DESLOCAMENTO</vt:lpstr>
      <vt:lpstr>DESTREZA</vt:lpstr>
      <vt:lpstr>DESTREZA.p</vt:lpstr>
      <vt:lpstr>DIVINDADES</vt:lpstr>
      <vt:lpstr>Elite1</vt:lpstr>
      <vt:lpstr>Elite2</vt:lpstr>
      <vt:lpstr>Elite3</vt:lpstr>
      <vt:lpstr>Elite4</vt:lpstr>
      <vt:lpstr>Elite5</vt:lpstr>
      <vt:lpstr>Elite6</vt:lpstr>
      <vt:lpstr>escudo</vt:lpstr>
      <vt:lpstr>Estilo.pontos</vt:lpstr>
      <vt:lpstr>FORÇA</vt:lpstr>
      <vt:lpstr>FORÇA.p</vt:lpstr>
      <vt:lpstr>FORTITUDE</vt:lpstr>
      <vt:lpstr>H.10</vt:lpstr>
      <vt:lpstr>H.12</vt:lpstr>
      <vt:lpstr>H.14</vt:lpstr>
      <vt:lpstr>H.16</vt:lpstr>
      <vt:lpstr>H.18</vt:lpstr>
      <vt:lpstr>H.2</vt:lpstr>
      <vt:lpstr>H.20</vt:lpstr>
      <vt:lpstr>H.22</vt:lpstr>
      <vt:lpstr>H.24</vt:lpstr>
      <vt:lpstr>H.26</vt:lpstr>
      <vt:lpstr>H.28</vt:lpstr>
      <vt:lpstr>H.30</vt:lpstr>
      <vt:lpstr>H.32</vt:lpstr>
      <vt:lpstr>H.34</vt:lpstr>
      <vt:lpstr>H.36</vt:lpstr>
      <vt:lpstr>H.38</vt:lpstr>
      <vt:lpstr>H.4</vt:lpstr>
      <vt:lpstr>H.40</vt:lpstr>
      <vt:lpstr>H.6</vt:lpstr>
      <vt:lpstr>H.8</vt:lpstr>
      <vt:lpstr>habclasse.1</vt:lpstr>
      <vt:lpstr>habclasse.10</vt:lpstr>
      <vt:lpstr>habclasse.11</vt:lpstr>
      <vt:lpstr>habclasse.12</vt:lpstr>
      <vt:lpstr>habclasse.13</vt:lpstr>
      <vt:lpstr>habclasse.14</vt:lpstr>
      <vt:lpstr>habclasse.15</vt:lpstr>
      <vt:lpstr>habclasse.16</vt:lpstr>
      <vt:lpstr>habclasse.17</vt:lpstr>
      <vt:lpstr>habclasse.18</vt:lpstr>
      <vt:lpstr>habclasse.19</vt:lpstr>
      <vt:lpstr>habclasse.2</vt:lpstr>
      <vt:lpstr>habclasse.20</vt:lpstr>
      <vt:lpstr>habclasse.21</vt:lpstr>
      <vt:lpstr>habclasse.22</vt:lpstr>
      <vt:lpstr>habclasse.23</vt:lpstr>
      <vt:lpstr>habclasse.24</vt:lpstr>
      <vt:lpstr>habclasse.25</vt:lpstr>
      <vt:lpstr>habclasse.3</vt:lpstr>
      <vt:lpstr>habclasse.4</vt:lpstr>
      <vt:lpstr>habclasse.5</vt:lpstr>
      <vt:lpstr>habclasse.6</vt:lpstr>
      <vt:lpstr>habclasse.7</vt:lpstr>
      <vt:lpstr>habclasse.8</vt:lpstr>
      <vt:lpstr>habclasse.9</vt:lpstr>
      <vt:lpstr>Habilidade</vt:lpstr>
      <vt:lpstr>habilidades.chave</vt:lpstr>
      <vt:lpstr>IDADE.p</vt:lpstr>
      <vt:lpstr>INTELIGÊNCIA</vt:lpstr>
      <vt:lpstr>INTELIGÊNCIA.p</vt:lpstr>
      <vt:lpstr>item.1</vt:lpstr>
      <vt:lpstr>item.2</vt:lpstr>
      <vt:lpstr>item.3</vt:lpstr>
      <vt:lpstr>item.4</vt:lpstr>
      <vt:lpstr>item.def.1</vt:lpstr>
      <vt:lpstr>item.def.2</vt:lpstr>
      <vt:lpstr>kg.itens</vt:lpstr>
      <vt:lpstr>kg.moedas</vt:lpstr>
      <vt:lpstr>LISTA.aliado</vt:lpstr>
      <vt:lpstr>LISTA.cdps</vt:lpstr>
      <vt:lpstr>LISTA.classes</vt:lpstr>
      <vt:lpstr>LISTA.conjuradores</vt:lpstr>
      <vt:lpstr>LISTA.coringa1</vt:lpstr>
      <vt:lpstr>LISTA.coringa2</vt:lpstr>
      <vt:lpstr>LISTA.criaturas</vt:lpstr>
      <vt:lpstr>Lista.Elite1</vt:lpstr>
      <vt:lpstr>Lista.Elite2</vt:lpstr>
      <vt:lpstr>Lista.Elite3</vt:lpstr>
      <vt:lpstr>Lista.Elite4</vt:lpstr>
      <vt:lpstr>Lista.Elite5</vt:lpstr>
      <vt:lpstr>Lista.Elite6</vt:lpstr>
      <vt:lpstr>Lista.Elite7</vt:lpstr>
      <vt:lpstr>LISTA.idades</vt:lpstr>
      <vt:lpstr>LISTA.moreau</vt:lpstr>
      <vt:lpstr>LISTA.raças</vt:lpstr>
      <vt:lpstr>LISTA.sexo</vt:lpstr>
      <vt:lpstr>LISTA.talentos.classe2</vt:lpstr>
      <vt:lpstr>LISTA.talentos.classe3</vt:lpstr>
      <vt:lpstr>LISTA.talentos.classe4</vt:lpstr>
      <vt:lpstr>LISTA.talentos.classe5</vt:lpstr>
      <vt:lpstr>LISTA.tam_tocados</vt:lpstr>
      <vt:lpstr>LISTA.tamanho</vt:lpstr>
      <vt:lpstr>LISTA.tendência</vt:lpstr>
      <vt:lpstr>LISTA.tipos.classe</vt:lpstr>
      <vt:lpstr>LISTA.tipos.classe1</vt:lpstr>
      <vt:lpstr>magia.0</vt:lpstr>
      <vt:lpstr>magia.1</vt:lpstr>
      <vt:lpstr>magia.2</vt:lpstr>
      <vt:lpstr>magia.3</vt:lpstr>
      <vt:lpstr>magia.4</vt:lpstr>
      <vt:lpstr>magia.5</vt:lpstr>
      <vt:lpstr>magia.6</vt:lpstr>
      <vt:lpstr>magia.7</vt:lpstr>
      <vt:lpstr>magia.8</vt:lpstr>
      <vt:lpstr>magia.9</vt:lpstr>
      <vt:lpstr>máx.Des</vt:lpstr>
      <vt:lpstr>máx.Des.armadura</vt:lpstr>
      <vt:lpstr>máx.Des.escudo</vt:lpstr>
      <vt:lpstr>Médio</vt:lpstr>
      <vt:lpstr>MEIO.NÍVEL</vt:lpstr>
      <vt:lpstr>MEIO.NÍVEL.p</vt:lpstr>
      <vt:lpstr>mensagem1</vt:lpstr>
      <vt:lpstr>mensagem2</vt:lpstr>
      <vt:lpstr>mensagem3</vt:lpstr>
      <vt:lpstr>mensagem4</vt:lpstr>
      <vt:lpstr>mensagem5</vt:lpstr>
      <vt:lpstr>mensagem6</vt:lpstr>
      <vt:lpstr>meta.1</vt:lpstr>
      <vt:lpstr>meta.10</vt:lpstr>
      <vt:lpstr>meta.2</vt:lpstr>
      <vt:lpstr>meta.3</vt:lpstr>
      <vt:lpstr>meta.4</vt:lpstr>
      <vt:lpstr>meta.5</vt:lpstr>
      <vt:lpstr>meta.6</vt:lpstr>
      <vt:lpstr>meta.7</vt:lpstr>
      <vt:lpstr>meta.8</vt:lpstr>
      <vt:lpstr>meta.9</vt:lpstr>
      <vt:lpstr>microficha.classes</vt:lpstr>
      <vt:lpstr>microficha.classes.sub20</vt:lpstr>
      <vt:lpstr>mod.Car</vt:lpstr>
      <vt:lpstr>mod.Car.p</vt:lpstr>
      <vt:lpstr>mod.Con</vt:lpstr>
      <vt:lpstr>mod.Con.p</vt:lpstr>
      <vt:lpstr>mod.Des</vt:lpstr>
      <vt:lpstr>mod.Des.p</vt:lpstr>
      <vt:lpstr>mod.For</vt:lpstr>
      <vt:lpstr>mod.For.p</vt:lpstr>
      <vt:lpstr>mod.Furtividade</vt:lpstr>
      <vt:lpstr>mod.Int</vt:lpstr>
      <vt:lpstr>mod.Int.p</vt:lpstr>
      <vt:lpstr>mod.Sab</vt:lpstr>
      <vt:lpstr>mod.Sab.p</vt:lpstr>
      <vt:lpstr>NÍVEL</vt:lpstr>
      <vt:lpstr>NÍVEL.classes</vt:lpstr>
      <vt:lpstr>NÍVEL.conjurador</vt:lpstr>
      <vt:lpstr>NÍVEL.épico</vt:lpstr>
      <vt:lpstr>NIVEL.P</vt:lpstr>
      <vt:lpstr>NÍVEL.p</vt:lpstr>
      <vt:lpstr>NÍVEL.total</vt:lpstr>
      <vt:lpstr>NOME</vt:lpstr>
      <vt:lpstr>nova.raça.1</vt:lpstr>
      <vt:lpstr>nova.raça.2</vt:lpstr>
      <vt:lpstr>nova.raça.3</vt:lpstr>
      <vt:lpstr>nova.raça.4</vt:lpstr>
      <vt:lpstr>nova.raça.5</vt:lpstr>
      <vt:lpstr>nova.raça.6</vt:lpstr>
      <vt:lpstr>nova.raça.7</vt:lpstr>
      <vt:lpstr>nova.raça.8</vt:lpstr>
      <vt:lpstr>nv.Classe.1</vt:lpstr>
      <vt:lpstr>nv.Classe.1.épico</vt:lpstr>
      <vt:lpstr>nv.Classe.1.t</vt:lpstr>
      <vt:lpstr>nv.Classe.2</vt:lpstr>
      <vt:lpstr>nv.Classe.2.épico</vt:lpstr>
      <vt:lpstr>nv.Classe.2.t</vt:lpstr>
      <vt:lpstr>nv.Classe.3</vt:lpstr>
      <vt:lpstr>nv.Classe.3.épico</vt:lpstr>
      <vt:lpstr>nv.Classe.3.t</vt:lpstr>
      <vt:lpstr>nv.Classe.4</vt:lpstr>
      <vt:lpstr>nv.Classe.4.épico</vt:lpstr>
      <vt:lpstr>nv.Classe.4.t</vt:lpstr>
      <vt:lpstr>nv.Classe.5</vt:lpstr>
      <vt:lpstr>nv.Classe.5.épico</vt:lpstr>
      <vt:lpstr>nv.Classe.5.t</vt:lpstr>
      <vt:lpstr>nv.meta.1</vt:lpstr>
      <vt:lpstr>nv.meta.10</vt:lpstr>
      <vt:lpstr>nv.meta.2</vt:lpstr>
      <vt:lpstr>nv.meta.3</vt:lpstr>
      <vt:lpstr>nv.meta.4</vt:lpstr>
      <vt:lpstr>nv.meta.5</vt:lpstr>
      <vt:lpstr>nv.meta.6</vt:lpstr>
      <vt:lpstr>nv.meta.7</vt:lpstr>
      <vt:lpstr>nv.meta.8</vt:lpstr>
      <vt:lpstr>nv.meta.9</vt:lpstr>
      <vt:lpstr>penalidade.armadura</vt:lpstr>
      <vt:lpstr>penalidade.carga</vt:lpstr>
      <vt:lpstr>penalidade.escudo</vt:lpstr>
      <vt:lpstr>pericia.1.multiclasse</vt:lpstr>
      <vt:lpstr>pericia.Acro</vt:lpstr>
      <vt:lpstr>pericia.Ades</vt:lpstr>
      <vt:lpstr>pericia.Atle</vt:lpstr>
      <vt:lpstr>pericia.Atua1</vt:lpstr>
      <vt:lpstr>pericia.Atua2</vt:lpstr>
      <vt:lpstr>pericia.Cav</vt:lpstr>
      <vt:lpstr>pericia.Conh1</vt:lpstr>
      <vt:lpstr>pericia.Conh2</vt:lpstr>
      <vt:lpstr>pericia.Conh3</vt:lpstr>
      <vt:lpstr>pericia.Cura</vt:lpstr>
      <vt:lpstr>pericia.Cust1</vt:lpstr>
      <vt:lpstr>pericia.Cust2</vt:lpstr>
      <vt:lpstr>pericia.Dipl</vt:lpstr>
      <vt:lpstr>pericia.Eng</vt:lpstr>
      <vt:lpstr>pericia.Furt</vt:lpstr>
      <vt:lpstr>pericia.IdM</vt:lpstr>
      <vt:lpstr>pericia.Inic</vt:lpstr>
      <vt:lpstr>pericia.Inti</vt:lpstr>
      <vt:lpstr>pericia.Intu</vt:lpstr>
      <vt:lpstr>pericia.Lad</vt:lpstr>
      <vt:lpstr>pericia.multiclasse.total</vt:lpstr>
      <vt:lpstr>pericia.Obt</vt:lpstr>
      <vt:lpstr>pericia.Ofic1</vt:lpstr>
      <vt:lpstr>pericia.Ofic2</vt:lpstr>
      <vt:lpstr>perícia.Perc</vt:lpstr>
      <vt:lpstr>pericia.Sobr</vt:lpstr>
      <vt:lpstr>pericias.de.classe</vt:lpstr>
      <vt:lpstr>PM.soma.metamagico</vt:lpstr>
      <vt:lpstr>PM.total</vt:lpstr>
      <vt:lpstr>PMs.soma</vt:lpstr>
      <vt:lpstr>prep.meta.1</vt:lpstr>
      <vt:lpstr>prep.meta.10</vt:lpstr>
      <vt:lpstr>prep.meta.2</vt:lpstr>
      <vt:lpstr>prep.meta.3</vt:lpstr>
      <vt:lpstr>prep.meta.4</vt:lpstr>
      <vt:lpstr>prep.meta.5</vt:lpstr>
      <vt:lpstr>prep.meta.6</vt:lpstr>
      <vt:lpstr>prep.meta.7</vt:lpstr>
      <vt:lpstr>prep.meta.8</vt:lpstr>
      <vt:lpstr>prep.meta.9</vt:lpstr>
      <vt:lpstr>presença.Con</vt:lpstr>
      <vt:lpstr>presença.Int</vt:lpstr>
      <vt:lpstr>pv.1</vt:lpstr>
      <vt:lpstr>pv.2</vt:lpstr>
      <vt:lpstr>pv.3</vt:lpstr>
      <vt:lpstr>pv.4</vt:lpstr>
      <vt:lpstr>pv.5</vt:lpstr>
      <vt:lpstr>PV.classes</vt:lpstr>
      <vt:lpstr>pv.epico</vt:lpstr>
      <vt:lpstr>PV.outros.p</vt:lpstr>
      <vt:lpstr>PV.total.p</vt:lpstr>
      <vt:lpstr>QUADRO.niveis_pares</vt:lpstr>
      <vt:lpstr>RAÇA</vt:lpstr>
      <vt:lpstr>raça.nova.1</vt:lpstr>
      <vt:lpstr>raça.nova.2</vt:lpstr>
      <vt:lpstr>raça.nova.3</vt:lpstr>
      <vt:lpstr>raça.nova.4</vt:lpstr>
      <vt:lpstr>raça.nova.5</vt:lpstr>
      <vt:lpstr>raça.nova.6</vt:lpstr>
      <vt:lpstr>raça.nova.7</vt:lpstr>
      <vt:lpstr>raça.nova.8</vt:lpstr>
      <vt:lpstr>raça.nova.controle</vt:lpstr>
      <vt:lpstr>RAÇA.p</vt:lpstr>
      <vt:lpstr>REFLEXOS</vt:lpstr>
      <vt:lpstr>SABEDORIA</vt:lpstr>
      <vt:lpstr>SABEDORIA.p</vt:lpstr>
      <vt:lpstr>SENTIDOS</vt:lpstr>
      <vt:lpstr>TABELA.cdps</vt:lpstr>
      <vt:lpstr>TABELA.classes</vt:lpstr>
      <vt:lpstr>TABELA.hab.chave</vt:lpstr>
      <vt:lpstr>TABELA.hab.magia</vt:lpstr>
      <vt:lpstr>TABELA.idades</vt:lpstr>
      <vt:lpstr>TABELA.pericias</vt:lpstr>
      <vt:lpstr>TABELA.pontos</vt:lpstr>
      <vt:lpstr>TABELA.raças</vt:lpstr>
      <vt:lpstr>TABELA.tamanho</vt:lpstr>
      <vt:lpstr>TABELA.traços</vt:lpstr>
      <vt:lpstr>talento.1</vt:lpstr>
      <vt:lpstr>talento.10</vt:lpstr>
      <vt:lpstr>talento.11</vt:lpstr>
      <vt:lpstr>talento.12</vt:lpstr>
      <vt:lpstr>talento.13</vt:lpstr>
      <vt:lpstr>talento.14</vt:lpstr>
      <vt:lpstr>talento.15</vt:lpstr>
      <vt:lpstr>talento.16</vt:lpstr>
      <vt:lpstr>talento.17</vt:lpstr>
      <vt:lpstr>talento.18</vt:lpstr>
      <vt:lpstr>talento.19</vt:lpstr>
      <vt:lpstr>talento.2</vt:lpstr>
      <vt:lpstr>talento.20</vt:lpstr>
      <vt:lpstr>talento.21</vt:lpstr>
      <vt:lpstr>talento.22</vt:lpstr>
      <vt:lpstr>talento.23</vt:lpstr>
      <vt:lpstr>talento.24</vt:lpstr>
      <vt:lpstr>talento.25</vt:lpstr>
      <vt:lpstr>talento.26</vt:lpstr>
      <vt:lpstr>talento.27</vt:lpstr>
      <vt:lpstr>talento.28</vt:lpstr>
      <vt:lpstr>talento.29</vt:lpstr>
      <vt:lpstr>talento.3</vt:lpstr>
      <vt:lpstr>talento.30</vt:lpstr>
      <vt:lpstr>talento.31</vt:lpstr>
      <vt:lpstr>talento.32</vt:lpstr>
      <vt:lpstr>talento.4</vt:lpstr>
      <vt:lpstr>talento.5</vt:lpstr>
      <vt:lpstr>talento.6</vt:lpstr>
      <vt:lpstr>talento.7</vt:lpstr>
      <vt:lpstr>talento.8</vt:lpstr>
      <vt:lpstr>talento.9</vt:lpstr>
      <vt:lpstr>talento.classe.2</vt:lpstr>
      <vt:lpstr>talento.classe.3</vt:lpstr>
      <vt:lpstr>talento.classe.4</vt:lpstr>
      <vt:lpstr>talento.classe.5</vt:lpstr>
      <vt:lpstr>TAMANHO</vt:lpstr>
      <vt:lpstr>tamanho.cust</vt:lpstr>
      <vt:lpstr>TC</vt:lpstr>
      <vt:lpstr>TENDÊNCIA</vt:lpstr>
      <vt:lpstr>tendência.table</vt:lpstr>
      <vt:lpstr>tipo.classe.1</vt:lpstr>
      <vt:lpstr>tipo.classe.2</vt:lpstr>
      <vt:lpstr>tipo.classe.3</vt:lpstr>
      <vt:lpstr>tipo.classe.4</vt:lpstr>
      <vt:lpstr>tipo.classe.5</vt:lpstr>
      <vt:lpstr>tipo.magia</vt:lpstr>
      <vt:lpstr>TL</vt:lpstr>
      <vt:lpstr>TO</vt:lpstr>
      <vt:lpstr>TP</vt:lpstr>
      <vt:lpstr>Treinada?</vt:lpstr>
      <vt:lpstr>VONTADE</vt:lpstr>
      <vt:lpstr>XP.atual</vt:lpstr>
      <vt:lpstr>XP.prox.nível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G. Dupim</dc:creator>
  <cp:lastModifiedBy>Paulo Silva Vinicius Ribeiro E Silva</cp:lastModifiedBy>
  <cp:lastPrinted>2015-09-11T19:23:53Z</cp:lastPrinted>
  <dcterms:created xsi:type="dcterms:W3CDTF">2013-01-27T15:08:00Z</dcterms:created>
  <dcterms:modified xsi:type="dcterms:W3CDTF">2018-10-25T07:00:06Z</dcterms:modified>
</cp:coreProperties>
</file>