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gulação\Regulação Econômica\MUNICÍPIOS\Barbacena - SAS\"/>
    </mc:Choice>
  </mc:AlternateContent>
  <xr:revisionPtr revIDLastSave="0" documentId="13_ncr:1_{ABDEDD54-640D-4B26-9D39-9BD87AB9C61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RIFAS 2021" sheetId="8" r:id="rId1"/>
    <sheet name="Conferência p Resolução 2021" sheetId="9" r:id="rId2"/>
    <sheet name="TARIFAS 2020" sheetId="7" r:id="rId3"/>
    <sheet name="TARIFAS 2019" sheetId="6" r:id="rId4"/>
    <sheet name="TARIFAS 2018" sheetId="5" r:id="rId5"/>
    <sheet name="TARIFAS 2017" sheetId="4" r:id="rId6"/>
    <sheet name="TARIFAS 2016" sheetId="1" r:id="rId7"/>
    <sheet name="Plan3" sheetId="3" r:id="rId8"/>
    <sheet name="OUTROS SERVIÇOS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9" l="1"/>
  <c r="N23" i="9"/>
  <c r="N24" i="9"/>
  <c r="N25" i="9"/>
  <c r="N26" i="9"/>
  <c r="N21" i="9"/>
  <c r="J22" i="9"/>
  <c r="J23" i="9"/>
  <c r="J24" i="9"/>
  <c r="J25" i="9"/>
  <c r="J26" i="9"/>
  <c r="J27" i="9"/>
  <c r="J28" i="9"/>
  <c r="J21" i="9"/>
  <c r="F22" i="9"/>
  <c r="F23" i="9"/>
  <c r="F24" i="9"/>
  <c r="F25" i="9"/>
  <c r="F26" i="9"/>
  <c r="F27" i="9"/>
  <c r="F28" i="9"/>
  <c r="F29" i="9"/>
  <c r="F30" i="9"/>
  <c r="F21" i="9"/>
  <c r="R7" i="9"/>
  <c r="R8" i="9"/>
  <c r="R9" i="9"/>
  <c r="R10" i="9"/>
  <c r="R11" i="9"/>
  <c r="R6" i="9"/>
  <c r="N7" i="9"/>
  <c r="N8" i="9"/>
  <c r="N9" i="9"/>
  <c r="N10" i="9"/>
  <c r="N11" i="9"/>
  <c r="N12" i="9"/>
  <c r="N13" i="9"/>
  <c r="N6" i="9"/>
  <c r="J7" i="9"/>
  <c r="J8" i="9"/>
  <c r="J9" i="9"/>
  <c r="J10" i="9"/>
  <c r="J11" i="9"/>
  <c r="J12" i="9"/>
  <c r="J13" i="9"/>
  <c r="J14" i="9"/>
  <c r="J15" i="9"/>
  <c r="J6" i="9"/>
  <c r="F9" i="9"/>
  <c r="F10" i="9"/>
  <c r="F11" i="9"/>
  <c r="F12" i="9"/>
  <c r="F13" i="9"/>
  <c r="F14" i="9"/>
  <c r="F15" i="9"/>
  <c r="F8" i="9"/>
  <c r="F7" i="9"/>
  <c r="F6" i="9"/>
  <c r="K14" i="8"/>
  <c r="K13" i="8"/>
  <c r="K12" i="8"/>
  <c r="K11" i="8"/>
  <c r="K10" i="8"/>
  <c r="K9" i="8"/>
  <c r="K8" i="8"/>
  <c r="K7" i="8"/>
  <c r="K6" i="8"/>
  <c r="K5" i="8"/>
  <c r="C39" i="8"/>
  <c r="C38" i="8"/>
  <c r="D38" i="8" s="1"/>
  <c r="E38" i="8" s="1"/>
  <c r="E34" i="8"/>
  <c r="N26" i="8" s="1"/>
  <c r="D34" i="8"/>
  <c r="L28" i="8" s="1"/>
  <c r="C34" i="8"/>
  <c r="J30" i="8" s="1"/>
  <c r="E33" i="8"/>
  <c r="D33" i="8"/>
  <c r="C33" i="8"/>
  <c r="J29" i="8" s="1"/>
  <c r="E32" i="8"/>
  <c r="N24" i="8" s="1"/>
  <c r="D32" i="8"/>
  <c r="L26" i="8" s="1"/>
  <c r="C32" i="8"/>
  <c r="E31" i="8"/>
  <c r="N23" i="8" s="1"/>
  <c r="D31" i="8"/>
  <c r="L25" i="8" s="1"/>
  <c r="C31" i="8"/>
  <c r="E30" i="8"/>
  <c r="N22" i="8" s="1"/>
  <c r="D30" i="8"/>
  <c r="L24" i="8" s="1"/>
  <c r="C30" i="8"/>
  <c r="J26" i="8" s="1"/>
  <c r="C29" i="8"/>
  <c r="J28" i="8"/>
  <c r="D28" i="8"/>
  <c r="C28" i="8"/>
  <c r="L27" i="8"/>
  <c r="J27" i="8"/>
  <c r="C26" i="8"/>
  <c r="J22" i="8" s="1"/>
  <c r="N25" i="8"/>
  <c r="J25" i="8"/>
  <c r="C25" i="8"/>
  <c r="C37" i="8" s="1"/>
  <c r="J24" i="8"/>
  <c r="L23" i="8"/>
  <c r="J23" i="8"/>
  <c r="L22" i="8"/>
  <c r="N21" i="8"/>
  <c r="L21" i="8"/>
  <c r="I18" i="8"/>
  <c r="E14" i="8"/>
  <c r="F14" i="8" s="1"/>
  <c r="D14" i="8"/>
  <c r="C14" i="8"/>
  <c r="I14" i="8" s="1"/>
  <c r="E13" i="8"/>
  <c r="D13" i="8"/>
  <c r="M11" i="8" s="1"/>
  <c r="C13" i="8"/>
  <c r="I13" i="8" s="1"/>
  <c r="M12" i="8"/>
  <c r="E12" i="8"/>
  <c r="F13" i="8" s="1"/>
  <c r="D12" i="8"/>
  <c r="M10" i="8" s="1"/>
  <c r="C12" i="8"/>
  <c r="I12" i="8" s="1"/>
  <c r="E11" i="8"/>
  <c r="O7" i="8" s="1"/>
  <c r="D11" i="8"/>
  <c r="M9" i="8" s="1"/>
  <c r="C11" i="8"/>
  <c r="I11" i="8" s="1"/>
  <c r="I10" i="8"/>
  <c r="E10" i="8"/>
  <c r="O6" i="8" s="1"/>
  <c r="D10" i="8"/>
  <c r="C10" i="8"/>
  <c r="O9" i="8"/>
  <c r="D9" i="8"/>
  <c r="M7" i="8" s="1"/>
  <c r="C9" i="8"/>
  <c r="I9" i="8" s="1"/>
  <c r="M8" i="8"/>
  <c r="D8" i="8"/>
  <c r="M6" i="8" s="1"/>
  <c r="C8" i="8"/>
  <c r="I8" i="8" s="1"/>
  <c r="C7" i="8"/>
  <c r="I7" i="8" s="1"/>
  <c r="I6" i="8"/>
  <c r="C6" i="8"/>
  <c r="I5" i="8"/>
  <c r="E5" i="8"/>
  <c r="O5" i="8" s="1"/>
  <c r="D5" i="8"/>
  <c r="M5" i="8" s="1"/>
  <c r="C5" i="8"/>
  <c r="C17" i="8" s="1"/>
  <c r="C39" i="7"/>
  <c r="C38" i="7"/>
  <c r="D38" i="7" s="1"/>
  <c r="E38" i="7" s="1"/>
  <c r="E34" i="7"/>
  <c r="D34" i="7"/>
  <c r="C34" i="7"/>
  <c r="E33" i="7"/>
  <c r="D33" i="7"/>
  <c r="K27" i="7" s="1"/>
  <c r="C33" i="7"/>
  <c r="I29" i="7" s="1"/>
  <c r="E32" i="7"/>
  <c r="D32" i="7"/>
  <c r="C32" i="7"/>
  <c r="E31" i="7"/>
  <c r="M23" i="7" s="1"/>
  <c r="D31" i="7"/>
  <c r="K25" i="7" s="1"/>
  <c r="C31" i="7"/>
  <c r="M26" i="7"/>
  <c r="K28" i="7"/>
  <c r="I30" i="7"/>
  <c r="E30" i="7"/>
  <c r="D30" i="7"/>
  <c r="K24" i="7" s="1"/>
  <c r="C30" i="7"/>
  <c r="I26" i="7" s="1"/>
  <c r="M25" i="7"/>
  <c r="C29" i="7"/>
  <c r="I25" i="7" s="1"/>
  <c r="M24" i="7"/>
  <c r="K26" i="7"/>
  <c r="I28" i="7"/>
  <c r="D28" i="7"/>
  <c r="C28" i="7"/>
  <c r="I27" i="7"/>
  <c r="M22" i="7"/>
  <c r="C26" i="7"/>
  <c r="I22" i="7" s="1"/>
  <c r="K23" i="7"/>
  <c r="C25" i="7"/>
  <c r="C37" i="7" s="1"/>
  <c r="K22" i="7"/>
  <c r="I24" i="7"/>
  <c r="I23" i="7"/>
  <c r="M21" i="7"/>
  <c r="K21" i="7"/>
  <c r="C21" i="7"/>
  <c r="H18" i="7"/>
  <c r="C18" i="7"/>
  <c r="E14" i="7"/>
  <c r="F14" i="7" s="1"/>
  <c r="D14" i="7"/>
  <c r="K12" i="7" s="1"/>
  <c r="C14" i="7"/>
  <c r="I14" i="7" s="1"/>
  <c r="E13" i="7"/>
  <c r="F13" i="7" s="1"/>
  <c r="D13" i="7"/>
  <c r="K11" i="7" s="1"/>
  <c r="C13" i="7"/>
  <c r="I13" i="7" s="1"/>
  <c r="E12" i="7"/>
  <c r="F12" i="7" s="1"/>
  <c r="D12" i="7"/>
  <c r="K10" i="7" s="1"/>
  <c r="C12" i="7"/>
  <c r="I12" i="7" s="1"/>
  <c r="F11" i="7"/>
  <c r="E11" i="7"/>
  <c r="M7" i="7" s="1"/>
  <c r="D11" i="7"/>
  <c r="K9" i="7" s="1"/>
  <c r="C11" i="7"/>
  <c r="I11" i="7" s="1"/>
  <c r="M6" i="7"/>
  <c r="I10" i="7"/>
  <c r="E10" i="7"/>
  <c r="D10" i="7"/>
  <c r="K8" i="7" s="1"/>
  <c r="C10" i="7"/>
  <c r="I9" i="7"/>
  <c r="D9" i="7"/>
  <c r="K7" i="7" s="1"/>
  <c r="C9" i="7"/>
  <c r="I8" i="7"/>
  <c r="D8" i="7"/>
  <c r="K6" i="7" s="1"/>
  <c r="C8" i="7"/>
  <c r="C7" i="7"/>
  <c r="I7" i="7" s="1"/>
  <c r="I6" i="7"/>
  <c r="C6" i="7"/>
  <c r="M5" i="7"/>
  <c r="K5" i="7"/>
  <c r="I5" i="7"/>
  <c r="E5" i="7"/>
  <c r="D5" i="7"/>
  <c r="C5" i="7"/>
  <c r="C17" i="7" s="1"/>
  <c r="O8" i="8" l="1"/>
  <c r="O10" i="8"/>
  <c r="F12" i="8"/>
  <c r="F11" i="8"/>
  <c r="J21" i="8"/>
  <c r="D37" i="8"/>
  <c r="E37" i="8" s="1"/>
  <c r="D17" i="8"/>
  <c r="E17" i="8" s="1"/>
  <c r="C18" i="8"/>
  <c r="C21" i="8"/>
  <c r="D39" i="8"/>
  <c r="E39" i="8" s="1"/>
  <c r="D17" i="7"/>
  <c r="E17" i="7" s="1"/>
  <c r="E18" i="7"/>
  <c r="E37" i="7"/>
  <c r="D37" i="7"/>
  <c r="E39" i="7"/>
  <c r="M10" i="7"/>
  <c r="M9" i="7"/>
  <c r="D18" i="7"/>
  <c r="D21" i="7"/>
  <c r="E21" i="7" s="1"/>
  <c r="M8" i="7"/>
  <c r="D39" i="7"/>
  <c r="I21" i="7"/>
  <c r="H18" i="6"/>
  <c r="D18" i="8" l="1"/>
  <c r="E18" i="8" s="1"/>
  <c r="D21" i="8"/>
  <c r="E21" i="8" s="1"/>
  <c r="K25" i="6"/>
  <c r="I23" i="6"/>
  <c r="C38" i="6" l="1"/>
  <c r="K21" i="6"/>
  <c r="C39" i="6"/>
  <c r="M21" i="6"/>
  <c r="D38" i="6"/>
  <c r="D39" i="6"/>
  <c r="F5" i="4"/>
  <c r="E5" i="6" s="1"/>
  <c r="C21" i="6" s="1"/>
  <c r="D21" i="6" s="1"/>
  <c r="E9" i="4"/>
  <c r="D9" i="6" s="1"/>
  <c r="K9" i="6" s="1"/>
  <c r="E32" i="4"/>
  <c r="D34" i="6" s="1"/>
  <c r="K30" i="6" s="1"/>
  <c r="E31" i="4"/>
  <c r="D33" i="6" s="1"/>
  <c r="K29" i="6" s="1"/>
  <c r="E30" i="4"/>
  <c r="D32" i="6" s="1"/>
  <c r="K28" i="6" s="1"/>
  <c r="E29" i="4"/>
  <c r="D31" i="6" s="1"/>
  <c r="K27" i="6" s="1"/>
  <c r="E28" i="4"/>
  <c r="E27" i="4"/>
  <c r="E26" i="4"/>
  <c r="D28" i="6" s="1"/>
  <c r="K24" i="6" s="1"/>
  <c r="E23" i="4"/>
  <c r="F14" i="4"/>
  <c r="E14" i="6" s="1"/>
  <c r="M14" i="6" s="1"/>
  <c r="F13" i="4"/>
  <c r="E13" i="6" s="1"/>
  <c r="M13" i="6" s="1"/>
  <c r="F12" i="4"/>
  <c r="E12" i="6" s="1"/>
  <c r="F12" i="6" s="1"/>
  <c r="F11" i="4"/>
  <c r="E11" i="6" s="1"/>
  <c r="F11" i="6" s="1"/>
  <c r="F10" i="4"/>
  <c r="E10" i="6" s="1"/>
  <c r="M10" i="6" s="1"/>
  <c r="E14" i="4"/>
  <c r="D14" i="6" s="1"/>
  <c r="K14" i="6" s="1"/>
  <c r="E13" i="4"/>
  <c r="D13" i="6" s="1"/>
  <c r="K13" i="6" s="1"/>
  <c r="E12" i="4"/>
  <c r="D12" i="6" s="1"/>
  <c r="K12" i="6" s="1"/>
  <c r="E11" i="4"/>
  <c r="D11" i="6" s="1"/>
  <c r="K11" i="6" s="1"/>
  <c r="E10" i="4"/>
  <c r="D10" i="6" s="1"/>
  <c r="K10" i="6" s="1"/>
  <c r="E8" i="4"/>
  <c r="D8" i="6" s="1"/>
  <c r="K8" i="6" s="1"/>
  <c r="E5" i="4"/>
  <c r="D5" i="6" s="1"/>
  <c r="K5" i="6" s="1"/>
  <c r="F13" i="6" l="1"/>
  <c r="M5" i="6"/>
  <c r="M11" i="6"/>
  <c r="M12" i="6"/>
  <c r="F28" i="4"/>
  <c r="E30" i="6" s="1"/>
  <c r="M26" i="6" s="1"/>
  <c r="D30" i="6"/>
  <c r="K26" i="6" s="1"/>
  <c r="F14" i="6"/>
  <c r="C18" i="6"/>
  <c r="D18" i="6" s="1"/>
  <c r="E18" i="6" s="1"/>
  <c r="E38" i="6"/>
  <c r="E39" i="6"/>
  <c r="E21" i="6"/>
  <c r="D27" i="5"/>
  <c r="D28" i="5"/>
  <c r="D29" i="5"/>
  <c r="D30" i="5"/>
  <c r="D31" i="5"/>
  <c r="D32" i="5"/>
  <c r="D26" i="5"/>
  <c r="D23" i="5"/>
  <c r="C36" i="5" s="1"/>
  <c r="E11" i="5"/>
  <c r="E12" i="5"/>
  <c r="E13" i="5"/>
  <c r="E14" i="5"/>
  <c r="E10" i="5"/>
  <c r="E5" i="5"/>
  <c r="C19" i="5" s="1"/>
  <c r="D9" i="5"/>
  <c r="D10" i="5"/>
  <c r="D11" i="5"/>
  <c r="D12" i="5"/>
  <c r="D13" i="5"/>
  <c r="D14" i="5"/>
  <c r="D8" i="5"/>
  <c r="D5" i="5"/>
  <c r="C18" i="5" s="1"/>
  <c r="F14" i="5" l="1"/>
  <c r="F12" i="5"/>
  <c r="F13" i="5"/>
  <c r="F11" i="5"/>
  <c r="D18" i="5"/>
  <c r="E18" i="5" s="1"/>
  <c r="D36" i="5"/>
  <c r="E36" i="5" s="1"/>
  <c r="D19" i="5"/>
  <c r="E19" i="5" s="1"/>
  <c r="F32" i="4" l="1"/>
  <c r="F23" i="4"/>
  <c r="E28" i="5"/>
  <c r="F29" i="4"/>
  <c r="F30" i="4"/>
  <c r="F31" i="4"/>
  <c r="D36" i="4"/>
  <c r="D28" i="1"/>
  <c r="D32" i="1" s="1"/>
  <c r="E29" i="5" l="1"/>
  <c r="E31" i="6"/>
  <c r="M27" i="6" s="1"/>
  <c r="E31" i="5"/>
  <c r="E33" i="6"/>
  <c r="M29" i="6" s="1"/>
  <c r="E30" i="5"/>
  <c r="E32" i="6"/>
  <c r="M28" i="6" s="1"/>
  <c r="E32" i="5"/>
  <c r="E34" i="6"/>
  <c r="M30" i="6" s="1"/>
  <c r="D37" i="4"/>
  <c r="E23" i="5"/>
  <c r="C37" i="5" s="1"/>
  <c r="D37" i="5" s="1"/>
  <c r="E37" i="5" s="1"/>
  <c r="E37" i="4"/>
  <c r="F37" i="4" s="1"/>
  <c r="E36" i="4"/>
  <c r="F36" i="4" s="1"/>
  <c r="D19" i="4"/>
  <c r="D18" i="4"/>
  <c r="E18" i="4" s="1"/>
  <c r="F18" i="4" s="1"/>
  <c r="D4" i="1"/>
  <c r="D26" i="1"/>
  <c r="D23" i="1"/>
  <c r="D29" i="1"/>
  <c r="D22" i="1"/>
  <c r="E22" i="1" s="1"/>
  <c r="D5" i="4" l="1"/>
  <c r="C5" i="6" s="1"/>
  <c r="G9" i="4"/>
  <c r="G10" i="4"/>
  <c r="G12" i="4"/>
  <c r="G14" i="4"/>
  <c r="E19" i="4"/>
  <c r="F19" i="4" s="1"/>
  <c r="G11" i="4"/>
  <c r="G13" i="4"/>
  <c r="G6" i="2"/>
  <c r="G7" i="2"/>
  <c r="G8" i="2"/>
  <c r="G9" i="2"/>
  <c r="G10" i="2"/>
  <c r="G11" i="2"/>
  <c r="G12" i="2"/>
  <c r="G13" i="2"/>
  <c r="G14" i="2"/>
  <c r="G15" i="2"/>
  <c r="G16" i="2"/>
  <c r="G17" i="2"/>
  <c r="G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E4" i="1"/>
  <c r="H4" i="1"/>
  <c r="D27" i="1"/>
  <c r="D31" i="1" s="1"/>
  <c r="D21" i="1"/>
  <c r="I5" i="6" l="1"/>
  <c r="C17" i="6"/>
  <c r="C5" i="5"/>
  <c r="C17" i="5" s="1"/>
  <c r="D17" i="5" s="1"/>
  <c r="E17" i="5" s="1"/>
  <c r="B5" i="4"/>
  <c r="H5" i="4"/>
  <c r="D23" i="4"/>
  <c r="D17" i="4"/>
  <c r="I26" i="1"/>
  <c r="E26" i="1"/>
  <c r="F26" i="1" s="1"/>
  <c r="E28" i="1"/>
  <c r="F28" i="1" s="1"/>
  <c r="E27" i="1"/>
  <c r="F27" i="1" s="1"/>
  <c r="E21" i="1"/>
  <c r="E23" i="1"/>
  <c r="I23" i="1"/>
  <c r="F22" i="1"/>
  <c r="F21" i="1"/>
  <c r="H5" i="1"/>
  <c r="H6" i="1"/>
  <c r="H7" i="1"/>
  <c r="H8" i="1"/>
  <c r="H9" i="1"/>
  <c r="H10" i="1"/>
  <c r="H11" i="1"/>
  <c r="H12" i="1"/>
  <c r="H13" i="1"/>
  <c r="D35" i="4" l="1"/>
  <c r="C25" i="6"/>
  <c r="D17" i="6"/>
  <c r="E17" i="6"/>
  <c r="E35" i="4"/>
  <c r="F35" i="4" s="1"/>
  <c r="I5" i="4"/>
  <c r="E17" i="4"/>
  <c r="F17" i="4" s="1"/>
  <c r="C23" i="5"/>
  <c r="C35" i="5" s="1"/>
  <c r="D35" i="5" s="1"/>
  <c r="E35" i="5" s="1"/>
  <c r="B23" i="4"/>
  <c r="F23" i="1"/>
  <c r="E12" i="1"/>
  <c r="D31" i="4" s="1"/>
  <c r="E9" i="1"/>
  <c r="D28" i="4" s="1"/>
  <c r="D5" i="1"/>
  <c r="D6" i="4" s="1"/>
  <c r="C6" i="6" s="1"/>
  <c r="I6" i="6" s="1"/>
  <c r="D6" i="1"/>
  <c r="D7" i="4" s="1"/>
  <c r="C7" i="6" s="1"/>
  <c r="I7" i="6" s="1"/>
  <c r="D7" i="1"/>
  <c r="D8" i="4" s="1"/>
  <c r="C8" i="6" s="1"/>
  <c r="I8" i="6" s="1"/>
  <c r="D8" i="1"/>
  <c r="D9" i="4" s="1"/>
  <c r="C9" i="6" s="1"/>
  <c r="I9" i="6" s="1"/>
  <c r="D9" i="1"/>
  <c r="D10" i="4" s="1"/>
  <c r="C10" i="6" s="1"/>
  <c r="I10" i="6" s="1"/>
  <c r="D10" i="1"/>
  <c r="D11" i="4" s="1"/>
  <c r="D11" i="1"/>
  <c r="D12" i="4" s="1"/>
  <c r="D12" i="1"/>
  <c r="D13" i="4" s="1"/>
  <c r="D13" i="1"/>
  <c r="D14" i="4" s="1"/>
  <c r="E13" i="1"/>
  <c r="D32" i="4" s="1"/>
  <c r="E11" i="1"/>
  <c r="D30" i="4" s="1"/>
  <c r="E10" i="1"/>
  <c r="D29" i="4" s="1"/>
  <c r="E8" i="1"/>
  <c r="D27" i="4" s="1"/>
  <c r="E7" i="1"/>
  <c r="D26" i="4" s="1"/>
  <c r="E6" i="1"/>
  <c r="D25" i="4" s="1"/>
  <c r="C25" i="5" s="1"/>
  <c r="E5" i="1"/>
  <c r="D24" i="4" s="1"/>
  <c r="C26" i="6" s="1"/>
  <c r="I22" i="6" s="1"/>
  <c r="C29" i="5" l="1"/>
  <c r="C31" i="6"/>
  <c r="I27" i="6" s="1"/>
  <c r="C13" i="5"/>
  <c r="C13" i="6"/>
  <c r="I13" i="6" s="1"/>
  <c r="C30" i="5"/>
  <c r="C32" i="6"/>
  <c r="I28" i="6" s="1"/>
  <c r="C12" i="5"/>
  <c r="C12" i="6"/>
  <c r="I12" i="6" s="1"/>
  <c r="C31" i="5"/>
  <c r="C33" i="6"/>
  <c r="I29" i="6" s="1"/>
  <c r="C26" i="5"/>
  <c r="C28" i="6"/>
  <c r="I24" i="6" s="1"/>
  <c r="C32" i="5"/>
  <c r="C34" i="6"/>
  <c r="I30" i="6" s="1"/>
  <c r="C11" i="5"/>
  <c r="C11" i="6"/>
  <c r="I11" i="6" s="1"/>
  <c r="C37" i="6"/>
  <c r="I21" i="6"/>
  <c r="C28" i="5"/>
  <c r="C30" i="6"/>
  <c r="I26" i="6" s="1"/>
  <c r="C27" i="5"/>
  <c r="C29" i="6"/>
  <c r="I25" i="6" s="1"/>
  <c r="C14" i="5"/>
  <c r="C14" i="6"/>
  <c r="I14" i="6" s="1"/>
  <c r="C24" i="5"/>
  <c r="B24" i="4"/>
  <c r="C8" i="5"/>
  <c r="H8" i="4"/>
  <c r="I8" i="4" s="1"/>
  <c r="C9" i="5"/>
  <c r="H9" i="4"/>
  <c r="I9" i="4" s="1"/>
  <c r="C7" i="5"/>
  <c r="H7" i="4"/>
  <c r="I7" i="4" s="1"/>
  <c r="C10" i="5"/>
  <c r="H10" i="4"/>
  <c r="I10" i="4" s="1"/>
  <c r="C6" i="5"/>
  <c r="B6" i="4"/>
  <c r="B7" i="4" s="1"/>
  <c r="B8" i="4" s="1"/>
  <c r="B9" i="4" s="1"/>
  <c r="H6" i="4"/>
  <c r="B25" i="4"/>
  <c r="B26" i="4" s="1"/>
  <c r="B27" i="4" s="1"/>
  <c r="F5" i="1"/>
  <c r="F6" i="1" s="1"/>
  <c r="I28" i="1"/>
  <c r="D37" i="6" l="1"/>
  <c r="E37" i="6"/>
  <c r="I6" i="4"/>
  <c r="I20" i="4" s="1"/>
  <c r="H20" i="4"/>
  <c r="G5" i="1"/>
  <c r="F7" i="1"/>
  <c r="G6" i="1"/>
  <c r="J20" i="4" l="1"/>
  <c r="G7" i="1"/>
  <c r="F8" i="1"/>
  <c r="F9" i="1" l="1"/>
  <c r="G9" i="1" s="1"/>
  <c r="G8" i="1"/>
</calcChain>
</file>

<file path=xl/sharedStrings.xml><?xml version="1.0" encoding="utf-8"?>
<sst xmlns="http://schemas.openxmlformats.org/spreadsheetml/2006/main" count="705" uniqueCount="97">
  <si>
    <t>Tarifa de Esgoto</t>
  </si>
  <si>
    <t>SERVIÇO MEDIDO</t>
  </si>
  <si>
    <t> Água (R$)</t>
  </si>
  <si>
    <t>Esgoto (R$)</t>
  </si>
  <si>
    <t> Faixa de consumo (m3)</t>
  </si>
  <si>
    <t> Comercial  (B) (R$/m3)</t>
  </si>
  <si>
    <t>Valor Água</t>
  </si>
  <si>
    <t>Valor Esgoto</t>
  </si>
  <si>
    <t>SERVIÇOS</t>
  </si>
  <si>
    <t>PENALIDADES</t>
  </si>
  <si>
    <t xml:space="preserve">12,1 a 15,0 </t>
  </si>
  <si>
    <t xml:space="preserve">15,1 a 20,0 </t>
  </si>
  <si>
    <t xml:space="preserve">20,1 a 25,0 </t>
  </si>
  <si>
    <t>25,1 a 30,0</t>
  </si>
  <si>
    <t xml:space="preserve">30,01 a 40,0 </t>
  </si>
  <si>
    <t xml:space="preserve">40,01 a 50,0 </t>
  </si>
  <si>
    <t xml:space="preserve">50,1 a 75,0 </t>
  </si>
  <si>
    <t xml:space="preserve">75,1 a 100,0 </t>
  </si>
  <si>
    <t>TABELA I - SEDE DO MUNICIPIO E DISTRITO DE CORREIA DE ALMEIDA</t>
  </si>
  <si>
    <t>TABELA II -DISTRITO : SENHORA DAS DORES , PINHEIRO GROSSO, E SÃO SEBASTIÃO DOS TORRES; LOCALIDADES: CAMPESTRE, POMBAL E MARGARIDAS</t>
  </si>
  <si>
    <t>Valores em R$ por m³</t>
  </si>
  <si>
    <t>A tarifa de esgoto corresponde a 50% do consumo de água para todas as categorias de usuários.</t>
  </si>
  <si>
    <t>Tarifas Mínimas</t>
  </si>
  <si>
    <t>Total (R$)</t>
  </si>
  <si>
    <t>Classe</t>
  </si>
  <si>
    <t>Residencial até 12 m³</t>
  </si>
  <si>
    <t>TABELA II DISTRITO : SENHORA DAS DORES , PINHEIRO GROSSO, E SÃO SEBASTIÃO DOS TORRES LOCALIDADES: CAMPESTRE, POMBAL E MARGARIDAS</t>
  </si>
  <si>
    <t>Ligação de água com hidrômetro de 3 m³</t>
  </si>
  <si>
    <t>Ligação de água com hidrômetro de 5 m³</t>
  </si>
  <si>
    <t>Ligação de água com hidrômetro de 10 m³</t>
  </si>
  <si>
    <t>Ligação de água com hidrômetro de 30 m³</t>
  </si>
  <si>
    <t>Ligação de esgoto</t>
  </si>
  <si>
    <t xml:space="preserve">Certidão </t>
  </si>
  <si>
    <t>Religação de água</t>
  </si>
  <si>
    <t>Taxa de expediente</t>
  </si>
  <si>
    <t>Conhecimento</t>
  </si>
  <si>
    <t>Mudança de padrão</t>
  </si>
  <si>
    <t>Caminhão de água e limpeza de fossa</t>
  </si>
  <si>
    <t xml:space="preserve">2º via de conta </t>
  </si>
  <si>
    <t>Desligamento</t>
  </si>
  <si>
    <t xml:space="preserve">1a. Violação </t>
  </si>
  <si>
    <t>2a. Intervenção nas instalações dos serviços públicos de água e esgoto</t>
  </si>
  <si>
    <t>Ligação clandestina</t>
  </si>
  <si>
    <t>Lançamentos de águas pluviais nas instalações de esgoto do prédio</t>
  </si>
  <si>
    <t>TABELA DE PREÇOS DE OUTROS SERVIÇOS                                          E PENALIDADES</t>
  </si>
  <si>
    <t xml:space="preserve"> 0,0 -12,0</t>
  </si>
  <si>
    <t xml:space="preserve">Acima de 100,0 </t>
  </si>
  <si>
    <t xml:space="preserve">TABELAS TARIFAS </t>
  </si>
  <si>
    <t>Comercio grupo1 (até 16 m³)</t>
  </si>
  <si>
    <t>Comercio grupo 2 (até 30 m³)</t>
  </si>
  <si>
    <t>TARIFAS</t>
  </si>
  <si>
    <t>TABELA I - SEDE DO MUNICÍPIO E DISTRITO DE CORREIA DE ALMEIDA</t>
  </si>
  <si>
    <t>RESIDENCIAL</t>
  </si>
  <si>
    <t>COMERCIAL (GRUPO 1)</t>
  </si>
  <si>
    <t>COMERCIAL (GRUPO 2)</t>
  </si>
  <si>
    <t>TABELA II - DISTRITOS: SENHORA DAS DORES, PINHEIRO GROSSO E SÃO SEBASTIÃO DOS TORRES; LOCALIDADES: CAMPESTRE, POMBAL E MARGARIDAS</t>
  </si>
  <si>
    <t> Valores em R$ por m³</t>
  </si>
  <si>
    <t>Até 12</t>
  </si>
  <si>
    <t>13 a 15</t>
  </si>
  <si>
    <t>16 a 20</t>
  </si>
  <si>
    <t>21 a 25</t>
  </si>
  <si>
    <t>26 a 30</t>
  </si>
  <si>
    <t>31 a 40</t>
  </si>
  <si>
    <t>41 a 50</t>
  </si>
  <si>
    <t>51 a 75</t>
  </si>
  <si>
    <t>76 a 100</t>
  </si>
  <si>
    <t>Acima de 100</t>
  </si>
  <si>
    <t>TARIFA DE ESGOTO</t>
  </si>
  <si>
    <t>Grupo 1</t>
  </si>
  <si>
    <t>Água</t>
  </si>
  <si>
    <t>Esgoto</t>
  </si>
  <si>
    <t>Grupo 2</t>
  </si>
  <si>
    <t>Tabela II</t>
  </si>
  <si>
    <t>Faixas</t>
  </si>
  <si>
    <t>Valor por m³</t>
  </si>
  <si>
    <t>Comércio grupo1 (até 16 m³)</t>
  </si>
  <si>
    <t>Comércio grupo 2 (até 30 m³)</t>
  </si>
  <si>
    <t>15m³</t>
  </si>
  <si>
    <t>TABELA I</t>
  </si>
  <si>
    <t>ÁGUA</t>
  </si>
  <si>
    <t>ESGOTO</t>
  </si>
  <si>
    <t>TOTAL</t>
  </si>
  <si>
    <t>% de reajuste</t>
  </si>
  <si>
    <t>TARIFA DE CONSUMO DE ÁGUA</t>
  </si>
  <si>
    <t>CATEGORIA RESIDENCIAL</t>
  </si>
  <si>
    <t>CATEGORIA COMERCIAL</t>
  </si>
  <si>
    <t>CATEGORIA INDUSTRIAL</t>
  </si>
  <si>
    <t>FAIXAS DE CONSUMO (M³)</t>
  </si>
  <si>
    <t>VALORES           (R$ / M³)</t>
  </si>
  <si>
    <t>TARIFA DE ESGOTAMENTO SANITÁRIO</t>
  </si>
  <si>
    <t>Reajuste Linear</t>
  </si>
  <si>
    <t>As tarifas de esgoto correspondem a 50% (cinquenta por cento) da tarifa de água.</t>
  </si>
  <si>
    <t>Até 20</t>
  </si>
  <si>
    <t>Até 30</t>
  </si>
  <si>
    <t>CATEGORIA RES SOCIAL</t>
  </si>
  <si>
    <t>RESOLUÇÃO</t>
  </si>
  <si>
    <t>V OU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</si>
</sst>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0.00000"/>
    <numFmt numFmtId="166" formatCode="0.0000"/>
  </numFmts>
  <fonts count="5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3" tint="-0.249977111117893"/>
      <name val="Trebuchet MS"/>
      <family val="2"/>
    </font>
    <font>
      <b/>
      <sz val="10"/>
      <color theme="3" tint="-0.249977111117893"/>
      <name val="Calibri"/>
      <family val="2"/>
    </font>
    <font>
      <b/>
      <sz val="10"/>
      <color theme="3" tint="-0.249977111117893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666666"/>
      <name val="Trebuchet MS"/>
      <family val="2"/>
    </font>
    <font>
      <b/>
      <sz val="8"/>
      <color theme="3" tint="-0.499984740745262"/>
      <name val="Trebuchet MS"/>
      <family val="2"/>
    </font>
    <font>
      <sz val="8"/>
      <color theme="4" tint="-0.249977111117893"/>
      <name val="Trebuchet MS"/>
      <family val="2"/>
    </font>
    <font>
      <b/>
      <sz val="10"/>
      <color theme="0"/>
      <name val="Calibri"/>
      <family val="2"/>
    </font>
    <font>
      <sz val="12"/>
      <color theme="4" tint="-0.249977111117893"/>
      <name val="Trebuchet MS"/>
      <family val="2"/>
    </font>
    <font>
      <b/>
      <sz val="9"/>
      <color rgb="FF666666"/>
      <name val="Trebuchet MS"/>
      <family val="2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666666"/>
      <name val="Trebuchet MS"/>
      <family val="2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1"/>
      <color rgb="FF666666"/>
      <name val="Calibri"/>
      <family val="2"/>
      <scheme val="minor"/>
    </font>
    <font>
      <b/>
      <sz val="8"/>
      <color theme="3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0"/>
      <color rgb="FF666666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404040"/>
      <name val="Trebuchet MS"/>
      <family val="2"/>
    </font>
    <font>
      <b/>
      <sz val="12"/>
      <color theme="0"/>
      <name val="Calibri"/>
      <family val="2"/>
      <scheme val="minor"/>
    </font>
    <font>
      <sz val="12"/>
      <color rgb="FF366092"/>
      <name val="Calibri"/>
      <family val="2"/>
      <scheme val="minor"/>
    </font>
    <font>
      <b/>
      <sz val="10"/>
      <color rgb="FF404040"/>
      <name val="Trebuchet MS"/>
      <family val="2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404040"/>
      <name val="Trebuchet MS"/>
      <family val="2"/>
    </font>
    <font>
      <b/>
      <sz val="8"/>
      <color theme="8" tint="-0.249977111117893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1869B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FC5F5"/>
        <bgColor indexed="64"/>
      </patternFill>
    </fill>
    <fill>
      <patternFill patternType="solid">
        <fgColor rgb="FFDBEAF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59EE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AEEF3"/>
        <bgColor indexed="64"/>
      </patternFill>
    </fill>
  </fills>
  <borders count="8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indexed="64"/>
      </right>
      <top style="medium">
        <color rgb="FFFFFFFF"/>
      </top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FFFFFF"/>
      </left>
      <right/>
      <top style="medium">
        <color theme="0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rgb="FFFFFFFF"/>
      </bottom>
      <diagonal/>
    </border>
    <border>
      <left style="medium">
        <color theme="0"/>
      </left>
      <right style="medium">
        <color theme="0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rgb="FFFFFFFF"/>
      </right>
      <top style="medium">
        <color theme="0"/>
      </top>
      <bottom style="medium">
        <color rgb="FFFFFFFF"/>
      </bottom>
      <diagonal/>
    </border>
    <border>
      <left/>
      <right style="medium">
        <color indexed="64"/>
      </right>
      <top style="medium">
        <color theme="0"/>
      </top>
      <bottom style="medium">
        <color rgb="FFFFFFFF"/>
      </bottom>
      <diagonal/>
    </border>
    <border>
      <left/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rgb="FFFFFFFF"/>
      </top>
      <bottom style="medium">
        <color indexed="64"/>
      </bottom>
      <diagonal/>
    </border>
    <border>
      <left style="medium">
        <color rgb="FFFFFFFF"/>
      </left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rgb="FFFFFFFF"/>
      </left>
      <right/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 style="medium">
        <color theme="0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theme="0"/>
      </right>
      <top style="medium">
        <color rgb="FFFFFFFF"/>
      </top>
      <bottom/>
      <diagonal/>
    </border>
    <border>
      <left style="medium">
        <color rgb="FFFFFFFF"/>
      </left>
      <right style="medium">
        <color theme="0"/>
      </right>
      <top/>
      <bottom/>
      <diagonal/>
    </border>
    <border>
      <left style="medium">
        <color rgb="FFFFFFFF"/>
      </left>
      <right style="medium">
        <color theme="0"/>
      </right>
      <top/>
      <bottom style="medium">
        <color rgb="FFFFFFFF"/>
      </bottom>
      <diagonal/>
    </border>
    <border>
      <left style="medium">
        <color theme="0"/>
      </left>
      <right style="medium">
        <color indexed="64"/>
      </right>
      <top style="medium">
        <color rgb="FFFFFFFF"/>
      </top>
      <bottom/>
      <diagonal/>
    </border>
    <border>
      <left style="medium">
        <color theme="0"/>
      </left>
      <right style="medium">
        <color indexed="64"/>
      </right>
      <top/>
      <bottom/>
      <diagonal/>
    </border>
    <border>
      <left style="medium">
        <color theme="0"/>
      </left>
      <right style="medium">
        <color indexed="64"/>
      </right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thick">
        <color indexed="64"/>
      </top>
      <bottom style="medium">
        <color indexed="64"/>
      </bottom>
      <diagonal/>
    </border>
    <border>
      <left style="medium">
        <color rgb="FF404040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indexed="64"/>
      </right>
      <top style="medium">
        <color rgb="FFFFFFFF"/>
      </top>
      <bottom/>
      <diagonal/>
    </border>
    <border>
      <left style="medium">
        <color theme="1" tint="0.249977111117893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theme="1" tint="0.249977111117893"/>
      </right>
      <top style="medium">
        <color theme="1" tint="0.249977111117893"/>
      </top>
      <bottom style="medium">
        <color rgb="FFFFFFFF"/>
      </bottom>
      <diagonal/>
    </border>
    <border>
      <left style="medium">
        <color theme="1" tint="0.249977111117893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theme="1" tint="0.249977111117893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theme="1" tint="0.249977111117893"/>
      </right>
      <top style="medium">
        <color rgb="FFFFFFFF"/>
      </top>
      <bottom style="medium">
        <color indexed="64"/>
      </bottom>
      <diagonal/>
    </border>
    <border>
      <left style="medium">
        <color theme="1" tint="0.249977111117893"/>
      </left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/>
      <right style="medium">
        <color rgb="FF404040"/>
      </right>
      <top style="medium">
        <color rgb="FF404040"/>
      </top>
      <bottom style="medium">
        <color rgb="FFFFFFFF"/>
      </bottom>
      <diagonal/>
    </border>
    <border>
      <left/>
      <right style="medium">
        <color rgb="FF404040"/>
      </right>
      <top/>
      <bottom style="medium">
        <color rgb="FFFFFFFF"/>
      </bottom>
      <diagonal/>
    </border>
    <border>
      <left/>
      <right style="medium">
        <color rgb="FF404040"/>
      </right>
      <top/>
      <bottom style="medium">
        <color indexed="64"/>
      </bottom>
      <diagonal/>
    </border>
    <border>
      <left/>
      <right style="medium">
        <color rgb="FF404040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medium">
        <color rgb="FFFFFFFF"/>
      </bottom>
      <diagonal/>
    </border>
  </borders>
  <cellStyleXfs count="2">
    <xf numFmtId="0" fontId="0" fillId="0" borderId="0"/>
    <xf numFmtId="9" fontId="29" fillId="0" borderId="0" applyFont="0" applyFill="0" applyBorder="0" applyAlignment="0" applyProtection="0"/>
  </cellStyleXfs>
  <cellXfs count="267">
    <xf numFmtId="0" fontId="0" fillId="0" borderId="0" xfId="0"/>
    <xf numFmtId="0" fontId="1" fillId="0" borderId="0" xfId="0" applyFont="1"/>
    <xf numFmtId="0" fontId="5" fillId="0" borderId="0" xfId="0" applyFont="1"/>
    <xf numFmtId="0" fontId="0" fillId="0" borderId="11" xfId="0" applyBorder="1" applyAlignment="1">
      <alignment horizontal="justify" wrapText="1"/>
    </xf>
    <xf numFmtId="0" fontId="0" fillId="0" borderId="0" xfId="0" applyBorder="1"/>
    <xf numFmtId="0" fontId="0" fillId="0" borderId="11" xfId="0" applyBorder="1"/>
    <xf numFmtId="0" fontId="8" fillId="2" borderId="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wrapText="1"/>
    </xf>
    <xf numFmtId="0" fontId="2" fillId="5" borderId="13" xfId="0" applyFont="1" applyFill="1" applyBorder="1" applyAlignment="1">
      <alignment horizontal="center" wrapText="1"/>
    </xf>
    <xf numFmtId="165" fontId="0" fillId="0" borderId="0" xfId="0" applyNumberFormat="1"/>
    <xf numFmtId="2" fontId="11" fillId="4" borderId="3" xfId="0" applyNumberFormat="1" applyFont="1" applyFill="1" applyBorder="1" applyAlignment="1">
      <alignment horizontal="center" vertical="center" wrapText="1"/>
    </xf>
    <xf numFmtId="165" fontId="11" fillId="4" borderId="1" xfId="0" applyNumberFormat="1" applyFont="1" applyFill="1" applyBorder="1" applyAlignment="1">
      <alignment horizontal="center" vertical="center" wrapText="1"/>
    </xf>
    <xf numFmtId="49" fontId="11" fillId="4" borderId="3" xfId="0" applyNumberFormat="1" applyFont="1" applyFill="1" applyBorder="1" applyAlignment="1">
      <alignment horizontal="center" vertical="center" wrapText="1"/>
    </xf>
    <xf numFmtId="165" fontId="11" fillId="4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9" fontId="11" fillId="4" borderId="13" xfId="0" applyNumberFormat="1" applyFont="1" applyFill="1" applyBorder="1" applyAlignment="1">
      <alignment horizontal="center" vertical="center" wrapText="1"/>
    </xf>
    <xf numFmtId="165" fontId="11" fillId="4" borderId="14" xfId="0" applyNumberFormat="1" applyFont="1" applyFill="1" applyBorder="1" applyAlignment="1">
      <alignment horizontal="center" vertical="center" wrapText="1"/>
    </xf>
    <xf numFmtId="165" fontId="11" fillId="4" borderId="15" xfId="0" applyNumberFormat="1" applyFont="1" applyFill="1" applyBorder="1" applyAlignment="1">
      <alignment horizontal="center" vertical="center" wrapText="1"/>
    </xf>
    <xf numFmtId="165" fontId="9" fillId="4" borderId="21" xfId="0" applyNumberFormat="1" applyFont="1" applyFill="1" applyBorder="1" applyAlignment="1">
      <alignment horizontal="center" vertical="center" wrapText="1"/>
    </xf>
    <xf numFmtId="165" fontId="9" fillId="4" borderId="22" xfId="0" applyNumberFormat="1" applyFont="1" applyFill="1" applyBorder="1" applyAlignment="1">
      <alignment horizontal="center" vertical="center" wrapText="1"/>
    </xf>
    <xf numFmtId="165" fontId="9" fillId="4" borderId="23" xfId="0" applyNumberFormat="1" applyFont="1" applyFill="1" applyBorder="1" applyAlignment="1">
      <alignment horizontal="center" vertical="center" wrapText="1"/>
    </xf>
    <xf numFmtId="165" fontId="9" fillId="4" borderId="24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wrapText="1"/>
    </xf>
    <xf numFmtId="165" fontId="9" fillId="4" borderId="28" xfId="0" applyNumberFormat="1" applyFont="1" applyFill="1" applyBorder="1" applyAlignment="1">
      <alignment horizontal="center" vertical="center" wrapText="1"/>
    </xf>
    <xf numFmtId="165" fontId="9" fillId="4" borderId="29" xfId="0" applyNumberFormat="1" applyFont="1" applyFill="1" applyBorder="1" applyAlignment="1">
      <alignment horizontal="center" vertical="center" wrapText="1"/>
    </xf>
    <xf numFmtId="165" fontId="9" fillId="4" borderId="30" xfId="0" applyNumberFormat="1" applyFont="1" applyFill="1" applyBorder="1" applyAlignment="1">
      <alignment horizontal="center" vertical="center" wrapText="1"/>
    </xf>
    <xf numFmtId="165" fontId="9" fillId="4" borderId="31" xfId="0" applyNumberFormat="1" applyFont="1" applyFill="1" applyBorder="1" applyAlignment="1">
      <alignment horizontal="center" vertical="center" wrapText="1"/>
    </xf>
    <xf numFmtId="165" fontId="9" fillId="4" borderId="6" xfId="0" applyNumberFormat="1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165" fontId="9" fillId="4" borderId="20" xfId="0" applyNumberFormat="1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wrapText="1"/>
    </xf>
    <xf numFmtId="165" fontId="9" fillId="4" borderId="37" xfId="0" applyNumberFormat="1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wrapText="1"/>
    </xf>
    <xf numFmtId="165" fontId="9" fillId="4" borderId="39" xfId="0" applyNumberFormat="1" applyFont="1" applyFill="1" applyBorder="1" applyAlignment="1">
      <alignment horizontal="center" vertical="center" wrapText="1"/>
    </xf>
    <xf numFmtId="165" fontId="9" fillId="4" borderId="40" xfId="0" applyNumberFormat="1" applyFont="1" applyFill="1" applyBorder="1" applyAlignment="1">
      <alignment horizontal="center" vertical="center" wrapText="1"/>
    </xf>
    <xf numFmtId="165" fontId="9" fillId="4" borderId="41" xfId="0" applyNumberFormat="1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wrapText="1"/>
    </xf>
    <xf numFmtId="0" fontId="1" fillId="6" borderId="43" xfId="0" applyFont="1" applyFill="1" applyBorder="1" applyAlignment="1">
      <alignment wrapText="1"/>
    </xf>
    <xf numFmtId="0" fontId="3" fillId="3" borderId="33" xfId="0" applyFont="1" applyFill="1" applyBorder="1" applyAlignment="1">
      <alignment horizontal="left" wrapText="1"/>
    </xf>
    <xf numFmtId="164" fontId="4" fillId="5" borderId="35" xfId="0" applyNumberFormat="1" applyFont="1" applyFill="1" applyBorder="1" applyAlignment="1">
      <alignment horizontal="right" vertical="center" wrapText="1"/>
    </xf>
    <xf numFmtId="0" fontId="3" fillId="3" borderId="36" xfId="0" applyFont="1" applyFill="1" applyBorder="1" applyAlignment="1">
      <alignment horizontal="left" wrapText="1"/>
    </xf>
    <xf numFmtId="0" fontId="3" fillId="3" borderId="38" xfId="0" applyFont="1" applyFill="1" applyBorder="1" applyAlignment="1">
      <alignment horizontal="left" wrapText="1"/>
    </xf>
    <xf numFmtId="2" fontId="0" fillId="0" borderId="0" xfId="0" applyNumberFormat="1"/>
    <xf numFmtId="0" fontId="14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 wrapText="1"/>
    </xf>
    <xf numFmtId="164" fontId="4" fillId="5" borderId="37" xfId="0" applyNumberFormat="1" applyFont="1" applyFill="1" applyBorder="1" applyAlignment="1">
      <alignment horizontal="right" vertical="center" wrapText="1"/>
    </xf>
    <xf numFmtId="164" fontId="4" fillId="5" borderId="40" xfId="0" applyNumberFormat="1" applyFont="1" applyFill="1" applyBorder="1" applyAlignment="1">
      <alignment horizontal="right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44" xfId="0" applyBorder="1"/>
    <xf numFmtId="0" fontId="0" fillId="0" borderId="45" xfId="0" applyBorder="1"/>
    <xf numFmtId="0" fontId="18" fillId="0" borderId="0" xfId="0" applyFont="1"/>
    <xf numFmtId="165" fontId="18" fillId="0" borderId="0" xfId="0" applyNumberFormat="1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1" fillId="2" borderId="26" xfId="0" applyFont="1" applyFill="1" applyBorder="1" applyAlignment="1">
      <alignment horizontal="center" vertical="center" wrapText="1"/>
    </xf>
    <xf numFmtId="0" fontId="21" fillId="2" borderId="25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center" vertical="center" wrapText="1"/>
    </xf>
    <xf numFmtId="0" fontId="21" fillId="2" borderId="34" xfId="0" applyFont="1" applyFill="1" applyBorder="1" applyAlignment="1">
      <alignment horizontal="center" vertical="center" wrapText="1"/>
    </xf>
    <xf numFmtId="0" fontId="21" fillId="2" borderId="35" xfId="0" applyFont="1" applyFill="1" applyBorder="1" applyAlignment="1">
      <alignment horizontal="center" vertical="center" wrapText="1"/>
    </xf>
    <xf numFmtId="0" fontId="21" fillId="2" borderId="47" xfId="0" applyFont="1" applyFill="1" applyBorder="1" applyAlignment="1">
      <alignment horizontal="center" vertical="center" wrapText="1"/>
    </xf>
    <xf numFmtId="0" fontId="21" fillId="2" borderId="48" xfId="0" applyFont="1" applyFill="1" applyBorder="1" applyAlignment="1">
      <alignment horizontal="center" vertical="center" wrapText="1"/>
    </xf>
    <xf numFmtId="1" fontId="22" fillId="4" borderId="3" xfId="0" applyNumberFormat="1" applyFont="1" applyFill="1" applyBorder="1" applyAlignment="1">
      <alignment horizontal="center" vertical="center" wrapText="1"/>
    </xf>
    <xf numFmtId="1" fontId="22" fillId="4" borderId="13" xfId="0" applyNumberFormat="1" applyFont="1" applyFill="1" applyBorder="1" applyAlignment="1">
      <alignment horizontal="center" vertical="center" wrapText="1"/>
    </xf>
    <xf numFmtId="0" fontId="24" fillId="9" borderId="27" xfId="0" applyFont="1" applyFill="1" applyBorder="1" applyAlignment="1">
      <alignment horizontal="center" wrapText="1"/>
    </xf>
    <xf numFmtId="0" fontId="24" fillId="9" borderId="3" xfId="0" applyFont="1" applyFill="1" applyBorder="1" applyAlignment="1">
      <alignment horizontal="center" wrapText="1"/>
    </xf>
    <xf numFmtId="0" fontId="24" fillId="9" borderId="13" xfId="0" applyFont="1" applyFill="1" applyBorder="1" applyAlignment="1">
      <alignment horizontal="center" wrapText="1"/>
    </xf>
    <xf numFmtId="0" fontId="24" fillId="9" borderId="36" xfId="0" applyFont="1" applyFill="1" applyBorder="1" applyAlignment="1">
      <alignment horizontal="center" wrapText="1"/>
    </xf>
    <xf numFmtId="165" fontId="27" fillId="0" borderId="0" xfId="0" applyNumberFormat="1" applyFont="1"/>
    <xf numFmtId="0" fontId="27" fillId="0" borderId="0" xfId="0" applyFont="1"/>
    <xf numFmtId="0" fontId="18" fillId="0" borderId="56" xfId="0" applyFont="1" applyBorder="1" applyAlignment="1">
      <alignment horizontal="center"/>
    </xf>
    <xf numFmtId="0" fontId="28" fillId="10" borderId="56" xfId="0" applyFont="1" applyFill="1" applyBorder="1" applyAlignment="1">
      <alignment horizontal="center"/>
    </xf>
    <xf numFmtId="0" fontId="18" fillId="11" borderId="56" xfId="0" applyFont="1" applyFill="1" applyBorder="1" applyAlignment="1">
      <alignment horizontal="center"/>
    </xf>
    <xf numFmtId="165" fontId="18" fillId="0" borderId="56" xfId="0" applyNumberFormat="1" applyFont="1" applyBorder="1" applyAlignment="1">
      <alignment horizontal="center"/>
    </xf>
    <xf numFmtId="0" fontId="0" fillId="0" borderId="0" xfId="0" applyFont="1"/>
    <xf numFmtId="0" fontId="30" fillId="12" borderId="0" xfId="0" applyFont="1" applyFill="1" applyAlignment="1">
      <alignment horizontal="center"/>
    </xf>
    <xf numFmtId="0" fontId="18" fillId="8" borderId="0" xfId="0" applyFont="1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 vertical="center"/>
    </xf>
    <xf numFmtId="3" fontId="0" fillId="8" borderId="0" xfId="0" applyNumberFormat="1" applyFill="1" applyAlignment="1">
      <alignment horizontal="center" vertical="center"/>
    </xf>
    <xf numFmtId="0" fontId="0" fillId="8" borderId="0" xfId="0" applyFont="1" applyFill="1"/>
    <xf numFmtId="165" fontId="27" fillId="8" borderId="0" xfId="0" applyNumberFormat="1" applyFont="1" applyFill="1"/>
    <xf numFmtId="0" fontId="5" fillId="8" borderId="0" xfId="0" applyFont="1" applyFill="1"/>
    <xf numFmtId="0" fontId="27" fillId="8" borderId="0" xfId="0" applyFont="1" applyFill="1"/>
    <xf numFmtId="0" fontId="18" fillId="8" borderId="0" xfId="0" applyFont="1" applyFill="1"/>
    <xf numFmtId="10" fontId="31" fillId="12" borderId="0" xfId="1" applyNumberFormat="1" applyFont="1" applyFill="1" applyAlignment="1">
      <alignment horizontal="center"/>
    </xf>
    <xf numFmtId="0" fontId="33" fillId="8" borderId="0" xfId="0" applyFont="1" applyFill="1"/>
    <xf numFmtId="0" fontId="34" fillId="8" borderId="0" xfId="0" applyFont="1" applyFill="1"/>
    <xf numFmtId="0" fontId="33" fillId="0" borderId="0" xfId="0" applyFont="1"/>
    <xf numFmtId="1" fontId="35" fillId="4" borderId="3" xfId="0" applyNumberFormat="1" applyFont="1" applyFill="1" applyBorder="1" applyAlignment="1">
      <alignment horizontal="center" vertical="center" wrapText="1"/>
    </xf>
    <xf numFmtId="166" fontId="35" fillId="4" borderId="1" xfId="0" applyNumberFormat="1" applyFont="1" applyFill="1" applyBorder="1" applyAlignment="1">
      <alignment horizontal="center" vertical="center" wrapText="1"/>
    </xf>
    <xf numFmtId="1" fontId="35" fillId="4" borderId="13" xfId="0" applyNumberFormat="1" applyFont="1" applyFill="1" applyBorder="1" applyAlignment="1">
      <alignment horizontal="center" vertical="center" wrapText="1"/>
    </xf>
    <xf numFmtId="166" fontId="35" fillId="4" borderId="22" xfId="0" applyNumberFormat="1" applyFont="1" applyFill="1" applyBorder="1" applyAlignment="1">
      <alignment horizontal="center" vertical="center" wrapText="1"/>
    </xf>
    <xf numFmtId="166" fontId="35" fillId="4" borderId="49" xfId="0" applyNumberFormat="1" applyFont="1" applyFill="1" applyBorder="1" applyAlignment="1">
      <alignment horizontal="center" vertical="center" wrapText="1"/>
    </xf>
    <xf numFmtId="166" fontId="25" fillId="4" borderId="21" xfId="0" applyNumberFormat="1" applyFont="1" applyFill="1" applyBorder="1" applyAlignment="1">
      <alignment horizontal="center" vertical="center" wrapText="1"/>
    </xf>
    <xf numFmtId="166" fontId="25" fillId="4" borderId="23" xfId="0" applyNumberFormat="1" applyFont="1" applyFill="1" applyBorder="1" applyAlignment="1">
      <alignment horizontal="center" vertical="center" wrapText="1"/>
    </xf>
    <xf numFmtId="166" fontId="25" fillId="4" borderId="28" xfId="0" applyNumberFormat="1" applyFont="1" applyFill="1" applyBorder="1" applyAlignment="1">
      <alignment horizontal="center" vertical="center" wrapText="1"/>
    </xf>
    <xf numFmtId="166" fontId="25" fillId="4" borderId="22" xfId="0" applyNumberFormat="1" applyFont="1" applyFill="1" applyBorder="1" applyAlignment="1">
      <alignment horizontal="center" vertical="center" wrapText="1"/>
    </xf>
    <xf numFmtId="166" fontId="25" fillId="4" borderId="29" xfId="0" applyNumberFormat="1" applyFont="1" applyFill="1" applyBorder="1" applyAlignment="1">
      <alignment horizontal="center" vertical="center" wrapText="1"/>
    </xf>
    <xf numFmtId="166" fontId="25" fillId="4" borderId="30" xfId="0" applyNumberFormat="1" applyFont="1" applyFill="1" applyBorder="1" applyAlignment="1">
      <alignment horizontal="center" vertical="center" wrapText="1"/>
    </xf>
    <xf numFmtId="166" fontId="25" fillId="4" borderId="6" xfId="0" applyNumberFormat="1" applyFont="1" applyFill="1" applyBorder="1" applyAlignment="1">
      <alignment horizontal="center" vertical="center" wrapText="1"/>
    </xf>
    <xf numFmtId="166" fontId="25" fillId="4" borderId="37" xfId="0" applyNumberFormat="1" applyFont="1" applyFill="1" applyBorder="1" applyAlignment="1">
      <alignment horizontal="center" vertical="center" wrapText="1"/>
    </xf>
    <xf numFmtId="166" fontId="25" fillId="4" borderId="41" xfId="0" applyNumberFormat="1" applyFont="1" applyFill="1" applyBorder="1" applyAlignment="1">
      <alignment horizontal="center" vertical="center" wrapText="1"/>
    </xf>
    <xf numFmtId="166" fontId="25" fillId="4" borderId="40" xfId="0" applyNumberFormat="1" applyFont="1" applyFill="1" applyBorder="1" applyAlignment="1">
      <alignment horizontal="center" vertical="center" wrapText="1"/>
    </xf>
    <xf numFmtId="166" fontId="22" fillId="4" borderId="1" xfId="0" applyNumberFormat="1" applyFont="1" applyFill="1" applyBorder="1" applyAlignment="1">
      <alignment horizontal="center" vertical="center" wrapText="1"/>
    </xf>
    <xf numFmtId="166" fontId="22" fillId="4" borderId="22" xfId="0" applyNumberFormat="1" applyFont="1" applyFill="1" applyBorder="1" applyAlignment="1">
      <alignment horizontal="center" vertical="center" wrapText="1"/>
    </xf>
    <xf numFmtId="166" fontId="22" fillId="4" borderId="49" xfId="0" applyNumberFormat="1" applyFont="1" applyFill="1" applyBorder="1" applyAlignment="1">
      <alignment horizontal="center" vertical="center" wrapText="1"/>
    </xf>
    <xf numFmtId="0" fontId="36" fillId="13" borderId="65" xfId="0" applyFont="1" applyFill="1" applyBorder="1" applyAlignment="1">
      <alignment horizontal="center" vertical="center" wrapText="1"/>
    </xf>
    <xf numFmtId="0" fontId="36" fillId="13" borderId="44" xfId="0" applyFont="1" applyFill="1" applyBorder="1" applyAlignment="1">
      <alignment horizontal="center" vertical="center" wrapText="1"/>
    </xf>
    <xf numFmtId="0" fontId="36" fillId="13" borderId="66" xfId="0" applyFont="1" applyFill="1" applyBorder="1" applyAlignment="1">
      <alignment horizontal="center" vertical="center" wrapText="1"/>
    </xf>
    <xf numFmtId="0" fontId="36" fillId="13" borderId="46" xfId="0" applyFont="1" applyFill="1" applyBorder="1" applyAlignment="1">
      <alignment horizontal="center" vertical="center" wrapText="1"/>
    </xf>
    <xf numFmtId="0" fontId="36" fillId="13" borderId="67" xfId="0" applyFont="1" applyFill="1" applyBorder="1" applyAlignment="1">
      <alignment horizontal="center" vertical="center" wrapText="1"/>
    </xf>
    <xf numFmtId="0" fontId="40" fillId="14" borderId="33" xfId="0" applyFont="1" applyFill="1" applyBorder="1" applyAlignment="1">
      <alignment horizontal="center" vertical="center" wrapText="1"/>
    </xf>
    <xf numFmtId="166" fontId="40" fillId="14" borderId="34" xfId="0" applyNumberFormat="1" applyFont="1" applyFill="1" applyBorder="1" applyAlignment="1">
      <alignment horizontal="center" vertical="center" wrapText="1"/>
    </xf>
    <xf numFmtId="0" fontId="40" fillId="14" borderId="34" xfId="0" applyFont="1" applyFill="1" applyBorder="1" applyAlignment="1">
      <alignment horizontal="center" vertical="center" wrapText="1"/>
    </xf>
    <xf numFmtId="0" fontId="40" fillId="14" borderId="36" xfId="0" applyFont="1" applyFill="1" applyBorder="1" applyAlignment="1">
      <alignment horizontal="center" vertical="center" wrapText="1"/>
    </xf>
    <xf numFmtId="166" fontId="40" fillId="14" borderId="20" xfId="0" applyNumberFormat="1" applyFont="1" applyFill="1" applyBorder="1" applyAlignment="1">
      <alignment horizontal="center" vertical="center" wrapText="1"/>
    </xf>
    <xf numFmtId="0" fontId="40" fillId="14" borderId="20" xfId="0" applyFont="1" applyFill="1" applyBorder="1" applyAlignment="1">
      <alignment horizontal="center" vertical="center" wrapText="1"/>
    </xf>
    <xf numFmtId="10" fontId="0" fillId="0" borderId="0" xfId="1" applyNumberFormat="1" applyFont="1"/>
    <xf numFmtId="0" fontId="24" fillId="9" borderId="71" xfId="0" applyFont="1" applyFill="1" applyBorder="1" applyAlignment="1">
      <alignment horizontal="center" wrapText="1"/>
    </xf>
    <xf numFmtId="166" fontId="25" fillId="4" borderId="72" xfId="0" applyNumberFormat="1" applyFont="1" applyFill="1" applyBorder="1" applyAlignment="1">
      <alignment horizontal="center" vertical="center" wrapText="1"/>
    </xf>
    <xf numFmtId="166" fontId="25" fillId="4" borderId="73" xfId="0" applyNumberFormat="1" applyFont="1" applyFill="1" applyBorder="1" applyAlignment="1">
      <alignment horizontal="center" vertical="center" wrapText="1"/>
    </xf>
    <xf numFmtId="1" fontId="42" fillId="10" borderId="74" xfId="0" applyNumberFormat="1" applyFont="1" applyFill="1" applyBorder="1" applyAlignment="1">
      <alignment horizontal="center" vertical="center" wrapText="1"/>
    </xf>
    <xf numFmtId="166" fontId="43" fillId="11" borderId="75" xfId="0" applyNumberFormat="1" applyFont="1" applyFill="1" applyBorder="1" applyAlignment="1">
      <alignment horizontal="center" vertical="center" wrapText="1"/>
    </xf>
    <xf numFmtId="1" fontId="42" fillId="10" borderId="76" xfId="0" applyNumberFormat="1" applyFont="1" applyFill="1" applyBorder="1" applyAlignment="1">
      <alignment horizontal="center" vertical="center" wrapText="1"/>
    </xf>
    <xf numFmtId="166" fontId="43" fillId="11" borderId="77" xfId="0" applyNumberFormat="1" applyFont="1" applyFill="1" applyBorder="1" applyAlignment="1">
      <alignment horizontal="center" vertical="center" wrapText="1"/>
    </xf>
    <xf numFmtId="1" fontId="44" fillId="15" borderId="78" xfId="0" applyNumberFormat="1" applyFont="1" applyFill="1" applyBorder="1" applyAlignment="1">
      <alignment horizontal="center" vertical="center" wrapText="1"/>
    </xf>
    <xf numFmtId="166" fontId="22" fillId="15" borderId="77" xfId="0" applyNumberFormat="1" applyFont="1" applyFill="1" applyBorder="1" applyAlignment="1">
      <alignment horizontal="center" vertical="center" wrapText="1"/>
    </xf>
    <xf numFmtId="0" fontId="45" fillId="13" borderId="65" xfId="0" applyFont="1" applyFill="1" applyBorder="1" applyAlignment="1">
      <alignment horizontal="center" vertical="center" wrapText="1"/>
    </xf>
    <xf numFmtId="0" fontId="45" fillId="13" borderId="44" xfId="0" applyFont="1" applyFill="1" applyBorder="1" applyAlignment="1">
      <alignment horizontal="center" vertical="center" wrapText="1"/>
    </xf>
    <xf numFmtId="0" fontId="45" fillId="13" borderId="66" xfId="0" applyFont="1" applyFill="1" applyBorder="1" applyAlignment="1">
      <alignment horizontal="center" vertical="center" wrapText="1"/>
    </xf>
    <xf numFmtId="0" fontId="45" fillId="13" borderId="46" xfId="0" applyFont="1" applyFill="1" applyBorder="1" applyAlignment="1">
      <alignment horizontal="center" vertical="center" wrapText="1"/>
    </xf>
    <xf numFmtId="1" fontId="47" fillId="10" borderId="74" xfId="0" applyNumberFormat="1" applyFont="1" applyFill="1" applyBorder="1" applyAlignment="1">
      <alignment horizontal="center" vertical="center" wrapText="1"/>
    </xf>
    <xf numFmtId="166" fontId="48" fillId="11" borderId="75" xfId="0" applyNumberFormat="1" applyFont="1" applyFill="1" applyBorder="1" applyAlignment="1">
      <alignment horizontal="center" vertical="center" wrapText="1"/>
    </xf>
    <xf numFmtId="1" fontId="47" fillId="10" borderId="76" xfId="0" applyNumberFormat="1" applyFont="1" applyFill="1" applyBorder="1" applyAlignment="1">
      <alignment horizontal="center" vertical="center" wrapText="1"/>
    </xf>
    <xf numFmtId="166" fontId="48" fillId="11" borderId="77" xfId="0" applyNumberFormat="1" applyFont="1" applyFill="1" applyBorder="1" applyAlignment="1">
      <alignment horizontal="center" vertical="center" wrapText="1"/>
    </xf>
    <xf numFmtId="1" fontId="49" fillId="15" borderId="78" xfId="0" applyNumberFormat="1" applyFont="1" applyFill="1" applyBorder="1" applyAlignment="1">
      <alignment horizontal="center" vertical="center" wrapText="1"/>
    </xf>
    <xf numFmtId="166" fontId="25" fillId="15" borderId="77" xfId="0" applyNumberFormat="1" applyFont="1" applyFill="1" applyBorder="1" applyAlignment="1">
      <alignment horizontal="center" vertical="center" wrapText="1"/>
    </xf>
    <xf numFmtId="0" fontId="51" fillId="0" borderId="0" xfId="0" applyFont="1"/>
    <xf numFmtId="1" fontId="47" fillId="10" borderId="5" xfId="0" applyNumberFormat="1" applyFont="1" applyFill="1" applyBorder="1" applyAlignment="1">
      <alignment horizontal="center" vertical="center" wrapText="1"/>
    </xf>
    <xf numFmtId="166" fontId="48" fillId="11" borderId="4" xfId="0" applyNumberFormat="1" applyFont="1" applyFill="1" applyBorder="1" applyAlignment="1">
      <alignment horizontal="center" vertical="center" wrapText="1"/>
    </xf>
    <xf numFmtId="1" fontId="47" fillId="10" borderId="3" xfId="0" applyNumberFormat="1" applyFont="1" applyFill="1" applyBorder="1" applyAlignment="1">
      <alignment horizontal="center" vertical="center" wrapText="1"/>
    </xf>
    <xf numFmtId="166" fontId="25" fillId="15" borderId="4" xfId="0" applyNumberFormat="1" applyFont="1" applyFill="1" applyBorder="1" applyAlignment="1">
      <alignment horizontal="center" vertical="center" wrapText="1"/>
    </xf>
    <xf numFmtId="1" fontId="47" fillId="10" borderId="13" xfId="0" applyNumberFormat="1" applyFont="1" applyFill="1" applyBorder="1" applyAlignment="1">
      <alignment horizontal="center" vertical="center" wrapText="1"/>
    </xf>
    <xf numFmtId="166" fontId="48" fillId="11" borderId="79" xfId="0" applyNumberFormat="1" applyFont="1" applyFill="1" applyBorder="1" applyAlignment="1">
      <alignment horizontal="center" vertical="center" wrapText="1"/>
    </xf>
    <xf numFmtId="1" fontId="47" fillId="10" borderId="80" xfId="0" applyNumberFormat="1" applyFont="1" applyFill="1" applyBorder="1" applyAlignment="1">
      <alignment horizontal="center" vertical="center" wrapText="1"/>
    </xf>
    <xf numFmtId="1" fontId="49" fillId="15" borderId="81" xfId="0" applyNumberFormat="1" applyFont="1" applyFill="1" applyBorder="1" applyAlignment="1">
      <alignment horizontal="center" vertical="center" wrapText="1"/>
    </xf>
    <xf numFmtId="166" fontId="25" fillId="15" borderId="79" xfId="0" applyNumberFormat="1" applyFont="1" applyFill="1" applyBorder="1" applyAlignment="1">
      <alignment horizontal="center" vertical="center" wrapText="1"/>
    </xf>
    <xf numFmtId="166" fontId="25" fillId="15" borderId="15" xfId="0" applyNumberFormat="1" applyFont="1" applyFill="1" applyBorder="1" applyAlignment="1">
      <alignment horizontal="center" vertical="center" wrapText="1"/>
    </xf>
    <xf numFmtId="0" fontId="51" fillId="0" borderId="11" xfId="0" applyFont="1" applyBorder="1"/>
    <xf numFmtId="0" fontId="51" fillId="0" borderId="0" xfId="0" applyFont="1" applyBorder="1"/>
    <xf numFmtId="0" fontId="51" fillId="0" borderId="12" xfId="0" applyFont="1" applyBorder="1"/>
    <xf numFmtId="0" fontId="45" fillId="13" borderId="64" xfId="0" applyFont="1" applyFill="1" applyBorder="1" applyAlignment="1">
      <alignment horizontal="center" vertical="center"/>
    </xf>
    <xf numFmtId="0" fontId="45" fillId="13" borderId="10" xfId="0" applyFont="1" applyFill="1" applyBorder="1" applyAlignment="1">
      <alignment horizontal="center" vertical="center"/>
    </xf>
    <xf numFmtId="0" fontId="46" fillId="0" borderId="44" xfId="0" applyFont="1" applyBorder="1" applyAlignment="1">
      <alignment horizontal="center" vertical="center"/>
    </xf>
    <xf numFmtId="0" fontId="46" fillId="0" borderId="46" xfId="0" applyFont="1" applyBorder="1" applyAlignment="1">
      <alignment horizontal="center" vertical="center"/>
    </xf>
    <xf numFmtId="0" fontId="46" fillId="0" borderId="45" xfId="0" applyFont="1" applyBorder="1" applyAlignment="1">
      <alignment horizontal="center" vertical="center"/>
    </xf>
    <xf numFmtId="0" fontId="45" fillId="13" borderId="17" xfId="0" applyFont="1" applyFill="1" applyBorder="1" applyAlignment="1">
      <alignment horizontal="center" vertical="center"/>
    </xf>
    <xf numFmtId="0" fontId="45" fillId="13" borderId="18" xfId="0" applyFont="1" applyFill="1" applyBorder="1" applyAlignment="1">
      <alignment horizontal="center" vertical="center"/>
    </xf>
    <xf numFmtId="0" fontId="45" fillId="13" borderId="19" xfId="0" applyFont="1" applyFill="1" applyBorder="1" applyAlignment="1">
      <alignment horizontal="center" vertical="center"/>
    </xf>
    <xf numFmtId="0" fontId="45" fillId="13" borderId="62" xfId="0" applyFont="1" applyFill="1" applyBorder="1" applyAlignment="1">
      <alignment horizontal="center" vertical="center"/>
    </xf>
    <xf numFmtId="0" fontId="45" fillId="13" borderId="63" xfId="0" applyFont="1" applyFill="1" applyBorder="1" applyAlignment="1">
      <alignment horizontal="center" vertical="center"/>
    </xf>
    <xf numFmtId="0" fontId="46" fillId="0" borderId="8" xfId="0" applyFont="1" applyBorder="1" applyAlignment="1">
      <alignment horizontal="center" vertical="center" wrapText="1"/>
    </xf>
    <xf numFmtId="0" fontId="46" fillId="0" borderId="9" xfId="0" applyFont="1" applyBorder="1" applyAlignment="1">
      <alignment horizontal="center" vertical="center" wrapText="1"/>
    </xf>
    <xf numFmtId="0" fontId="46" fillId="0" borderId="10" xfId="0" applyFont="1" applyBorder="1" applyAlignment="1">
      <alignment horizontal="center" vertical="center" wrapText="1"/>
    </xf>
    <xf numFmtId="0" fontId="50" fillId="13" borderId="8" xfId="0" applyFont="1" applyFill="1" applyBorder="1" applyAlignment="1">
      <alignment horizontal="center" vertical="center"/>
    </xf>
    <xf numFmtId="0" fontId="50" fillId="13" borderId="9" xfId="0" applyFont="1" applyFill="1" applyBorder="1" applyAlignment="1">
      <alignment horizontal="center" vertical="center"/>
    </xf>
    <xf numFmtId="0" fontId="50" fillId="13" borderId="10" xfId="0" applyFont="1" applyFill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15" fillId="8" borderId="8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6" fillId="7" borderId="44" xfId="0" applyFont="1" applyFill="1" applyBorder="1" applyAlignment="1">
      <alignment horizontal="center" vertical="center"/>
    </xf>
    <xf numFmtId="0" fontId="6" fillId="7" borderId="46" xfId="0" applyFont="1" applyFill="1" applyBorder="1" applyAlignment="1">
      <alignment horizontal="center" vertical="center"/>
    </xf>
    <xf numFmtId="0" fontId="6" fillId="7" borderId="45" xfId="0" applyFont="1" applyFill="1" applyBorder="1" applyAlignment="1">
      <alignment horizontal="center" vertical="center"/>
    </xf>
    <xf numFmtId="0" fontId="45" fillId="13" borderId="8" xfId="0" applyFont="1" applyFill="1" applyBorder="1" applyAlignment="1">
      <alignment horizontal="center" vertical="center"/>
    </xf>
    <xf numFmtId="166" fontId="35" fillId="4" borderId="50" xfId="0" applyNumberFormat="1" applyFont="1" applyFill="1" applyBorder="1" applyAlignment="1">
      <alignment horizontal="center" vertical="center" wrapText="1"/>
    </xf>
    <xf numFmtId="166" fontId="35" fillId="4" borderId="51" xfId="0" applyNumberFormat="1" applyFont="1" applyFill="1" applyBorder="1" applyAlignment="1">
      <alignment horizontal="center" vertical="center" wrapText="1"/>
    </xf>
    <xf numFmtId="166" fontId="35" fillId="4" borderId="52" xfId="0" applyNumberFormat="1" applyFont="1" applyFill="1" applyBorder="1" applyAlignment="1">
      <alignment horizontal="center" vertical="center" wrapText="1"/>
    </xf>
    <xf numFmtId="166" fontId="35" fillId="4" borderId="53" xfId="0" applyNumberFormat="1" applyFont="1" applyFill="1" applyBorder="1" applyAlignment="1">
      <alignment horizontal="center" vertical="center" wrapText="1"/>
    </xf>
    <xf numFmtId="166" fontId="35" fillId="4" borderId="54" xfId="0" applyNumberFormat="1" applyFont="1" applyFill="1" applyBorder="1" applyAlignment="1">
      <alignment horizontal="center" vertical="center" wrapText="1"/>
    </xf>
    <xf numFmtId="166" fontId="35" fillId="4" borderId="55" xfId="0" applyNumberFormat="1" applyFont="1" applyFill="1" applyBorder="1" applyAlignment="1">
      <alignment horizontal="center" vertical="center" wrapText="1"/>
    </xf>
    <xf numFmtId="0" fontId="32" fillId="0" borderId="8" xfId="0" applyFont="1" applyBorder="1" applyAlignment="1"/>
    <xf numFmtId="0" fontId="33" fillId="0" borderId="9" xfId="0" applyFont="1" applyBorder="1" applyAlignment="1"/>
    <xf numFmtId="0" fontId="33" fillId="0" borderId="10" xfId="0" applyFont="1" applyBorder="1" applyAlignment="1"/>
    <xf numFmtId="0" fontId="6" fillId="7" borderId="8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26" fillId="2" borderId="44" xfId="0" applyFont="1" applyFill="1" applyBorder="1" applyAlignment="1">
      <alignment horizontal="left" wrapText="1"/>
    </xf>
    <xf numFmtId="0" fontId="26" fillId="2" borderId="46" xfId="0" applyFont="1" applyFill="1" applyBorder="1" applyAlignment="1">
      <alignment horizontal="left" wrapText="1"/>
    </xf>
    <xf numFmtId="0" fontId="26" fillId="2" borderId="45" xfId="0" applyFont="1" applyFill="1" applyBorder="1" applyAlignment="1">
      <alignment horizontal="left" wrapText="1"/>
    </xf>
    <xf numFmtId="0" fontId="38" fillId="0" borderId="60" xfId="0" applyFont="1" applyBorder="1" applyAlignment="1">
      <alignment horizontal="center" vertical="center"/>
    </xf>
    <xf numFmtId="0" fontId="38" fillId="0" borderId="9" xfId="0" applyFont="1" applyBorder="1" applyAlignment="1">
      <alignment horizontal="center" vertical="center"/>
    </xf>
    <xf numFmtId="0" fontId="38" fillId="0" borderId="61" xfId="0" applyFont="1" applyBorder="1" applyAlignment="1">
      <alignment horizontal="center" vertical="center"/>
    </xf>
    <xf numFmtId="0" fontId="37" fillId="13" borderId="57" xfId="0" applyFont="1" applyFill="1" applyBorder="1" applyAlignment="1">
      <alignment horizontal="center" vertical="center"/>
    </xf>
    <xf numFmtId="0" fontId="37" fillId="13" borderId="58" xfId="0" applyFont="1" applyFill="1" applyBorder="1" applyAlignment="1">
      <alignment horizontal="center" vertical="center"/>
    </xf>
    <xf numFmtId="0" fontId="37" fillId="13" borderId="59" xfId="0" applyFont="1" applyFill="1" applyBorder="1" applyAlignment="1">
      <alignment horizontal="center" vertical="center"/>
    </xf>
    <xf numFmtId="0" fontId="39" fillId="13" borderId="62" xfId="0" applyFont="1" applyFill="1" applyBorder="1" applyAlignment="1">
      <alignment horizontal="center" vertical="center"/>
    </xf>
    <xf numFmtId="0" fontId="39" fillId="13" borderId="63" xfId="0" applyFont="1" applyFill="1" applyBorder="1" applyAlignment="1">
      <alignment horizontal="center" vertical="center"/>
    </xf>
    <xf numFmtId="0" fontId="39" fillId="13" borderId="64" xfId="0" applyFont="1" applyFill="1" applyBorder="1" applyAlignment="1">
      <alignment horizontal="center" vertical="center"/>
    </xf>
    <xf numFmtId="0" fontId="39" fillId="13" borderId="61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41" fillId="0" borderId="60" xfId="0" applyFont="1" applyBorder="1" applyAlignment="1">
      <alignment horizontal="center" vertical="center" wrapText="1"/>
    </xf>
    <xf numFmtId="0" fontId="41" fillId="0" borderId="9" xfId="0" applyFont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166" fontId="40" fillId="14" borderId="68" xfId="0" applyNumberFormat="1" applyFont="1" applyFill="1" applyBorder="1" applyAlignment="1">
      <alignment horizontal="center" vertical="center" wrapText="1"/>
    </xf>
    <xf numFmtId="166" fontId="40" fillId="14" borderId="69" xfId="0" applyNumberFormat="1" applyFont="1" applyFill="1" applyBorder="1" applyAlignment="1">
      <alignment horizontal="center" vertical="center" wrapText="1"/>
    </xf>
    <xf numFmtId="166" fontId="40" fillId="14" borderId="70" xfId="0" applyNumberFormat="1" applyFont="1" applyFill="1" applyBorder="1" applyAlignment="1">
      <alignment horizontal="center" vertical="center" wrapText="1"/>
    </xf>
    <xf numFmtId="166" fontId="22" fillId="4" borderId="50" xfId="0" applyNumberFormat="1" applyFont="1" applyFill="1" applyBorder="1" applyAlignment="1">
      <alignment horizontal="center" vertical="center" wrapText="1"/>
    </xf>
    <xf numFmtId="166" fontId="22" fillId="4" borderId="51" xfId="0" applyNumberFormat="1" applyFont="1" applyFill="1" applyBorder="1" applyAlignment="1">
      <alignment horizontal="center" vertical="center" wrapText="1"/>
    </xf>
    <xf numFmtId="166" fontId="22" fillId="4" borderId="52" xfId="0" applyNumberFormat="1" applyFont="1" applyFill="1" applyBorder="1" applyAlignment="1">
      <alignment horizontal="center" vertical="center" wrapText="1"/>
    </xf>
    <xf numFmtId="166" fontId="22" fillId="4" borderId="53" xfId="0" applyNumberFormat="1" applyFont="1" applyFill="1" applyBorder="1" applyAlignment="1">
      <alignment horizontal="center" vertical="center" wrapText="1"/>
    </xf>
    <xf numFmtId="166" fontId="22" fillId="4" borderId="54" xfId="0" applyNumberFormat="1" applyFont="1" applyFill="1" applyBorder="1" applyAlignment="1">
      <alignment horizontal="center" vertical="center" wrapText="1"/>
    </xf>
    <xf numFmtId="166" fontId="22" fillId="4" borderId="55" xfId="0" applyNumberFormat="1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23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19" fillId="7" borderId="44" xfId="0" applyFont="1" applyFill="1" applyBorder="1" applyAlignment="1">
      <alignment horizontal="center" vertical="center"/>
    </xf>
    <xf numFmtId="0" fontId="19" fillId="7" borderId="46" xfId="0" applyFont="1" applyFill="1" applyBorder="1" applyAlignment="1">
      <alignment horizontal="center" vertical="center"/>
    </xf>
    <xf numFmtId="0" fontId="19" fillId="7" borderId="45" xfId="0" applyFont="1" applyFill="1" applyBorder="1" applyAlignment="1">
      <alignment horizontal="center" vertical="center"/>
    </xf>
    <xf numFmtId="0" fontId="28" fillId="10" borderId="56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left" vertical="center"/>
    </xf>
    <xf numFmtId="0" fontId="15" fillId="8" borderId="9" xfId="0" applyFont="1" applyFill="1" applyBorder="1" applyAlignment="1">
      <alignment horizontal="left" vertical="center"/>
    </xf>
    <xf numFmtId="0" fontId="15" fillId="8" borderId="10" xfId="0" applyFont="1" applyFill="1" applyBorder="1" applyAlignment="1">
      <alignment horizontal="left" vertical="center"/>
    </xf>
    <xf numFmtId="0" fontId="6" fillId="7" borderId="8" xfId="0" applyFont="1" applyFill="1" applyBorder="1" applyAlignment="1">
      <alignment horizontal="left" vertical="center" wrapText="1"/>
    </xf>
    <xf numFmtId="0" fontId="6" fillId="7" borderId="9" xfId="0" applyFont="1" applyFill="1" applyBorder="1" applyAlignment="1">
      <alignment horizontal="left" vertical="center" wrapText="1"/>
    </xf>
    <xf numFmtId="0" fontId="6" fillId="7" borderId="10" xfId="0" applyFont="1" applyFill="1" applyBorder="1" applyAlignment="1">
      <alignment horizontal="left" vertical="center" wrapText="1"/>
    </xf>
    <xf numFmtId="0" fontId="7" fillId="0" borderId="8" xfId="0" applyFont="1" applyBorder="1" applyAlignment="1"/>
    <xf numFmtId="0" fontId="0" fillId="0" borderId="9" xfId="0" applyBorder="1" applyAlignment="1"/>
    <xf numFmtId="0" fontId="0" fillId="0" borderId="10" xfId="0" applyBorder="1" applyAlignment="1"/>
    <xf numFmtId="0" fontId="12" fillId="0" borderId="8" xfId="0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14" fillId="7" borderId="17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16" fillId="8" borderId="8" xfId="0" applyFont="1" applyFill="1" applyBorder="1" applyAlignment="1">
      <alignment horizontal="left" vertical="center" wrapText="1"/>
    </xf>
    <xf numFmtId="0" fontId="16" fillId="8" borderId="10" xfId="0" applyFont="1" applyFill="1" applyBorder="1" applyAlignment="1">
      <alignment horizontal="left" vertical="center" wrapText="1"/>
    </xf>
    <xf numFmtId="0" fontId="10" fillId="6" borderId="8" xfId="0" applyFont="1" applyFill="1" applyBorder="1" applyAlignment="1">
      <alignment horizontal="left" wrapText="1"/>
    </xf>
    <xf numFmtId="0" fontId="1" fillId="6" borderId="10" xfId="0" applyFont="1" applyFill="1" applyBorder="1" applyAlignment="1">
      <alignment wrapText="1"/>
    </xf>
    <xf numFmtId="0" fontId="52" fillId="16" borderId="82" xfId="0" applyFont="1" applyFill="1" applyBorder="1" applyAlignment="1">
      <alignment horizontal="center" vertical="center" wrapText="1"/>
    </xf>
    <xf numFmtId="0" fontId="52" fillId="16" borderId="83" xfId="0" applyFont="1" applyFill="1" applyBorder="1" applyAlignment="1">
      <alignment horizontal="center" vertical="center" wrapText="1"/>
    </xf>
    <xf numFmtId="0" fontId="52" fillId="16" borderId="84" xfId="0" applyFont="1" applyFill="1" applyBorder="1" applyAlignment="1">
      <alignment horizontal="center" vertical="center" wrapText="1"/>
    </xf>
    <xf numFmtId="0" fontId="52" fillId="16" borderId="85" xfId="0" applyFont="1" applyFill="1" applyBorder="1" applyAlignment="1">
      <alignment horizontal="center" vertical="center" wrapText="1"/>
    </xf>
    <xf numFmtId="0" fontId="52" fillId="16" borderId="29" xfId="0" applyFont="1" applyFill="1" applyBorder="1" applyAlignment="1">
      <alignment horizontal="center" vertical="center" wrapText="1"/>
    </xf>
    <xf numFmtId="0" fontId="52" fillId="16" borderId="86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mruColors>
      <color rgb="FF9FC5F5"/>
      <color rgb="FF000000"/>
      <color rgb="FFC59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3181350</xdr:colOff>
      <xdr:row>2</xdr:row>
      <xdr:rowOff>142875</xdr:rowOff>
    </xdr:from>
    <xdr:to>
      <xdr:col>3</xdr:col>
      <xdr:colOff>662055</xdr:colOff>
      <xdr:row>2</xdr:row>
      <xdr:rowOff>883410</xdr:rowOff>
    </xdr:to>
    <xdr:pic>
      <xdr:nvPicPr>
        <xdr:cNvPr id="2" name="Imagem 1" descr="C:\Users\conta\Google Drive\CISAB RC 2015\DIRETORIA EXECUTIVA\ECONOMICO FINANCEIRO\SAS Barbacena\apoio\logo SAS Barbacena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29075" y="533400"/>
          <a:ext cx="1243080" cy="7405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96A4-FCB3-4E55-A9F0-35BAE019C59A}">
  <dimension ref="A1:R126"/>
  <sheetViews>
    <sheetView showGridLines="0" topLeftCell="F11" workbookViewId="0">
      <selection activeCell="N21" sqref="N21:N26"/>
    </sheetView>
  </sheetViews>
  <sheetFormatPr defaultRowHeight="14.4" x14ac:dyDescent="0.3"/>
  <cols>
    <col min="1" max="1" width="11.6640625" hidden="1" customWidth="1"/>
    <col min="2" max="2" width="25" hidden="1" customWidth="1"/>
    <col min="3" max="3" width="24" hidden="1" customWidth="1"/>
    <col min="4" max="4" width="23.6640625" hidden="1" customWidth="1"/>
    <col min="5" max="5" width="23.33203125" hidden="1" customWidth="1"/>
    <col min="6" max="7" width="9.109375" style="91"/>
    <col min="8" max="8" width="15.33203125" style="152" bestFit="1" customWidth="1"/>
    <col min="9" max="9" width="12.44140625" style="152" customWidth="1"/>
    <col min="10" max="10" width="15.33203125" style="152" bestFit="1" customWidth="1"/>
    <col min="11" max="11" width="12.44140625" style="152" customWidth="1"/>
    <col min="12" max="12" width="15.33203125" style="152" bestFit="1" customWidth="1"/>
    <col min="13" max="15" width="12.44140625" style="152" customWidth="1"/>
  </cols>
  <sheetData>
    <row r="1" spans="1:18" ht="21.6" thickBot="1" x14ac:dyDescent="0.35">
      <c r="A1" s="89" t="s">
        <v>82</v>
      </c>
      <c r="B1" s="185" t="s">
        <v>50</v>
      </c>
      <c r="C1" s="186"/>
      <c r="D1" s="186"/>
      <c r="E1" s="187"/>
      <c r="H1" s="171" t="s">
        <v>50</v>
      </c>
      <c r="I1" s="172"/>
      <c r="J1" s="172"/>
      <c r="K1" s="172"/>
      <c r="L1" s="172"/>
      <c r="M1" s="172"/>
      <c r="N1" s="172"/>
      <c r="O1" s="173"/>
      <c r="Q1" t="s">
        <v>90</v>
      </c>
      <c r="R1" s="132">
        <v>0</v>
      </c>
    </row>
    <row r="2" spans="1:18" ht="15" thickBot="1" x14ac:dyDescent="0.35">
      <c r="A2" s="99">
        <v>4.5400000000000003E-2</v>
      </c>
      <c r="B2" s="188" t="s">
        <v>51</v>
      </c>
      <c r="C2" s="189"/>
      <c r="D2" s="189"/>
      <c r="E2" s="190"/>
      <c r="H2" s="168" t="s">
        <v>83</v>
      </c>
      <c r="I2" s="169"/>
      <c r="J2" s="169"/>
      <c r="K2" s="169"/>
      <c r="L2" s="169"/>
      <c r="M2" s="169"/>
      <c r="N2" s="169"/>
      <c r="O2" s="170"/>
    </row>
    <row r="3" spans="1:18" s="16" customFormat="1" ht="15.75" customHeight="1" thickBot="1" x14ac:dyDescent="0.35">
      <c r="A3" s="90"/>
      <c r="B3" s="64" t="s">
        <v>1</v>
      </c>
      <c r="C3" s="62" t="s">
        <v>52</v>
      </c>
      <c r="D3" s="63" t="s">
        <v>53</v>
      </c>
      <c r="E3" s="63" t="s">
        <v>54</v>
      </c>
      <c r="F3" s="92"/>
      <c r="G3" s="92"/>
      <c r="H3" s="191" t="s">
        <v>84</v>
      </c>
      <c r="I3" s="175"/>
      <c r="J3" s="174" t="s">
        <v>94</v>
      </c>
      <c r="K3" s="175"/>
      <c r="L3" s="166" t="s">
        <v>85</v>
      </c>
      <c r="M3" s="175"/>
      <c r="N3" s="166" t="s">
        <v>86</v>
      </c>
      <c r="O3" s="167"/>
    </row>
    <row r="4" spans="1:18" ht="21" thickBot="1" x14ac:dyDescent="0.35">
      <c r="A4" s="91"/>
      <c r="B4" s="65" t="s">
        <v>4</v>
      </c>
      <c r="C4" s="66" t="s">
        <v>20</v>
      </c>
      <c r="D4" s="74" t="s">
        <v>20</v>
      </c>
      <c r="E4" s="75" t="s">
        <v>20</v>
      </c>
      <c r="H4" s="143" t="s">
        <v>87</v>
      </c>
      <c r="I4" s="143" t="s">
        <v>88</v>
      </c>
      <c r="J4" s="142" t="s">
        <v>87</v>
      </c>
      <c r="K4" s="143" t="s">
        <v>88</v>
      </c>
      <c r="L4" s="143" t="s">
        <v>87</v>
      </c>
      <c r="M4" s="144" t="s">
        <v>88</v>
      </c>
      <c r="N4" s="145" t="s">
        <v>87</v>
      </c>
      <c r="O4" s="144" t="s">
        <v>88</v>
      </c>
    </row>
    <row r="5" spans="1:18" ht="14.85" customHeight="1" thickBot="1" x14ac:dyDescent="0.35">
      <c r="A5" s="91"/>
      <c r="B5" s="103" t="s">
        <v>57</v>
      </c>
      <c r="C5" s="104">
        <f>('TARIFAS 2017'!D5*'TARIFAS 2021'!$A$2)+'TARIFAS 2017'!D5</f>
        <v>3.1311820800000003</v>
      </c>
      <c r="D5" s="192">
        <f>('TARIFAS 2017'!E5:E7*'TARIFAS 2021'!$A$2)+'TARIFAS 2017'!E5:E7</f>
        <v>5.2263727599999994</v>
      </c>
      <c r="E5" s="195">
        <f>('TARIFAS 2017'!F5:F9*'TARIFAS 2021'!$A$2)+'TARIFAS 2017'!F5:F9</f>
        <v>8.3344515000000001</v>
      </c>
      <c r="G5" s="94"/>
      <c r="H5" s="153" t="s">
        <v>57</v>
      </c>
      <c r="I5" s="147">
        <f>ROUND((1+R$1)*ROUND(C5,4),4)</f>
        <v>3.1312000000000002</v>
      </c>
      <c r="J5" s="146" t="s">
        <v>57</v>
      </c>
      <c r="K5" s="147">
        <f>ROUND(I5/2,4)</f>
        <v>1.5656000000000001</v>
      </c>
      <c r="L5" s="148" t="s">
        <v>92</v>
      </c>
      <c r="M5" s="149">
        <f>ROUND((1+$R$1)*ROUND(D5,4),4)</f>
        <v>5.2263999999999999</v>
      </c>
      <c r="N5" s="148" t="s">
        <v>93</v>
      </c>
      <c r="O5" s="154">
        <f>ROUND((1+$R$1)*ROUND(E5,4),4)</f>
        <v>8.3345000000000002</v>
      </c>
    </row>
    <row r="6" spans="1:18" ht="14.85" customHeight="1" thickBot="1" x14ac:dyDescent="0.35">
      <c r="A6" s="91"/>
      <c r="B6" s="103" t="s">
        <v>58</v>
      </c>
      <c r="C6" s="104">
        <f>('TARIFAS 2017'!D6*'TARIFAS 2021'!$A$2)+'TARIFAS 2017'!D6</f>
        <v>3.79887906</v>
      </c>
      <c r="D6" s="193"/>
      <c r="E6" s="196"/>
      <c r="G6" s="94"/>
      <c r="H6" s="155" t="s">
        <v>58</v>
      </c>
      <c r="I6" s="149">
        <f t="shared" ref="I6:I14" si="0">ROUND((1+R$1)*ROUND(C6,4),4)</f>
        <v>3.7989000000000002</v>
      </c>
      <c r="J6" s="148" t="s">
        <v>58</v>
      </c>
      <c r="K6" s="149">
        <f t="shared" ref="K6:K14" si="1">ROUND(I6/2,4)</f>
        <v>1.8995</v>
      </c>
      <c r="L6" s="148" t="s">
        <v>60</v>
      </c>
      <c r="M6" s="149">
        <f t="shared" ref="M6:M12" si="2">ROUND((1+$R$1)*ROUND(D8,4),4)</f>
        <v>6.7952000000000004</v>
      </c>
      <c r="N6" s="148" t="s">
        <v>62</v>
      </c>
      <c r="O6" s="154">
        <f>ROUND((1+$R$1)*ROUND(E10,4),4)</f>
        <v>8.68</v>
      </c>
    </row>
    <row r="7" spans="1:18" ht="14.85" customHeight="1" thickBot="1" x14ac:dyDescent="0.35">
      <c r="A7" s="91"/>
      <c r="B7" s="103" t="s">
        <v>59</v>
      </c>
      <c r="C7" s="104">
        <f>('TARIFAS 2017'!D7*'TARIFAS 2021'!$A$2)+'TARIFAS 2017'!D7</f>
        <v>5.2263727599999994</v>
      </c>
      <c r="D7" s="194"/>
      <c r="E7" s="196"/>
      <c r="G7" s="94"/>
      <c r="H7" s="155" t="s">
        <v>59</v>
      </c>
      <c r="I7" s="149">
        <f t="shared" si="0"/>
        <v>5.2263999999999999</v>
      </c>
      <c r="J7" s="148" t="s">
        <v>59</v>
      </c>
      <c r="K7" s="149">
        <f t="shared" si="1"/>
        <v>2.6132</v>
      </c>
      <c r="L7" s="148" t="s">
        <v>61</v>
      </c>
      <c r="M7" s="149">
        <f t="shared" si="2"/>
        <v>8.3345000000000002</v>
      </c>
      <c r="N7" s="148" t="s">
        <v>63</v>
      </c>
      <c r="O7" s="154">
        <f>ROUND((1+$R$1)*ROUND(E11,4),4)</f>
        <v>10.061199999999999</v>
      </c>
    </row>
    <row r="8" spans="1:18" ht="14.85" customHeight="1" thickBot="1" x14ac:dyDescent="0.35">
      <c r="A8" s="91"/>
      <c r="B8" s="103" t="s">
        <v>60</v>
      </c>
      <c r="C8" s="104">
        <f>('TARIFAS 2017'!D8*'TARIFAS 2021'!$A$2)+'TARIFAS 2017'!D8</f>
        <v>6.7952045399999994</v>
      </c>
      <c r="D8" s="106">
        <f>('TARIFAS 2017'!E8*'TARIFAS 2021'!$A$2)+'TARIFAS 2017'!E8</f>
        <v>6.7952045399999994</v>
      </c>
      <c r="E8" s="196"/>
      <c r="G8" s="94"/>
      <c r="H8" s="155" t="s">
        <v>60</v>
      </c>
      <c r="I8" s="149">
        <f t="shared" si="0"/>
        <v>6.7952000000000004</v>
      </c>
      <c r="J8" s="148" t="s">
        <v>60</v>
      </c>
      <c r="K8" s="149">
        <f t="shared" si="1"/>
        <v>3.3976000000000002</v>
      </c>
      <c r="L8" s="148" t="s">
        <v>62</v>
      </c>
      <c r="M8" s="149">
        <f t="shared" si="2"/>
        <v>8.68</v>
      </c>
      <c r="N8" s="148" t="s">
        <v>64</v>
      </c>
      <c r="O8" s="154">
        <f>ROUND((1+$R$1)*ROUND(E12,4),4)</f>
        <v>11.166499999999999</v>
      </c>
    </row>
    <row r="9" spans="1:18" ht="14.85" customHeight="1" thickBot="1" x14ac:dyDescent="0.35">
      <c r="A9" s="91"/>
      <c r="B9" s="103" t="s">
        <v>61</v>
      </c>
      <c r="C9" s="104">
        <f>('TARIFAS 2017'!D9*'TARIFAS 2021'!$A$2)+'TARIFAS 2017'!D9</f>
        <v>8.3344515000000001</v>
      </c>
      <c r="D9" s="106">
        <f>('TARIFAS 2017'!E9*'TARIFAS 2021'!$A$2)+'TARIFAS 2017'!E9</f>
        <v>8.3344515000000001</v>
      </c>
      <c r="E9" s="197"/>
      <c r="F9" s="95"/>
      <c r="G9" s="94"/>
      <c r="H9" s="155" t="s">
        <v>61</v>
      </c>
      <c r="I9" s="149">
        <f t="shared" si="0"/>
        <v>8.3345000000000002</v>
      </c>
      <c r="J9" s="148" t="s">
        <v>61</v>
      </c>
      <c r="K9" s="149">
        <f t="shared" si="1"/>
        <v>4.1673</v>
      </c>
      <c r="L9" s="148" t="s">
        <v>63</v>
      </c>
      <c r="M9" s="149">
        <f t="shared" si="2"/>
        <v>10.061199999999999</v>
      </c>
      <c r="N9" s="148" t="s">
        <v>65</v>
      </c>
      <c r="O9" s="154">
        <f>ROUND((1+$R$1)*ROUND(E13,4),4)</f>
        <v>12.4557</v>
      </c>
    </row>
    <row r="10" spans="1:18" ht="14.85" customHeight="1" thickBot="1" x14ac:dyDescent="0.35">
      <c r="A10" s="91"/>
      <c r="B10" s="103" t="s">
        <v>62</v>
      </c>
      <c r="C10" s="104">
        <f>('TARIFAS 2017'!D10*'TARIFAS 2021'!$A$2)+'TARIFAS 2017'!D10</f>
        <v>8.6799562000000012</v>
      </c>
      <c r="D10" s="106">
        <f>('TARIFAS 2017'!E10*'TARIFAS 2021'!$A$2)+'TARIFAS 2017'!E10</f>
        <v>8.6799562000000012</v>
      </c>
      <c r="E10" s="107">
        <f>('TARIFAS 2017'!F10*'TARIFAS 2021'!$A$2)+'TARIFAS 2017'!F10</f>
        <v>8.6799562000000012</v>
      </c>
      <c r="F10" s="95"/>
      <c r="G10" s="94"/>
      <c r="H10" s="155" t="s">
        <v>62</v>
      </c>
      <c r="I10" s="149">
        <f t="shared" si="0"/>
        <v>8.68</v>
      </c>
      <c r="J10" s="148" t="s">
        <v>62</v>
      </c>
      <c r="K10" s="149">
        <f t="shared" si="1"/>
        <v>4.34</v>
      </c>
      <c r="L10" s="148" t="s">
        <v>64</v>
      </c>
      <c r="M10" s="149">
        <f t="shared" si="2"/>
        <v>11.166499999999999</v>
      </c>
      <c r="N10" s="148" t="s">
        <v>66</v>
      </c>
      <c r="O10" s="154">
        <f>ROUND((1+$R$1)*ROUND(E14,4),4)</f>
        <v>15.057399999999999</v>
      </c>
    </row>
    <row r="11" spans="1:18" ht="14.85" customHeight="1" thickBot="1" x14ac:dyDescent="0.35">
      <c r="A11" s="91"/>
      <c r="B11" s="103" t="s">
        <v>63</v>
      </c>
      <c r="C11" s="104">
        <f>('TARIFAS 2017'!D11*'TARIFAS 2021'!$A$2)+'TARIFAS 2017'!D11</f>
        <v>10.06124322</v>
      </c>
      <c r="D11" s="106">
        <f>('TARIFAS 2017'!E11*'TARIFAS 2021'!$A$2)+'TARIFAS 2017'!E11</f>
        <v>10.06124322</v>
      </c>
      <c r="E11" s="107">
        <f>('TARIFAS 2017'!F11*'TARIFAS 2021'!$A$2)+'TARIFAS 2017'!F11</f>
        <v>10.06124322</v>
      </c>
      <c r="F11" s="95">
        <f>E11-E10</f>
        <v>1.3812870199999985</v>
      </c>
      <c r="G11" s="94"/>
      <c r="H11" s="155" t="s">
        <v>63</v>
      </c>
      <c r="I11" s="149">
        <f t="shared" si="0"/>
        <v>10.061199999999999</v>
      </c>
      <c r="J11" s="148" t="s">
        <v>63</v>
      </c>
      <c r="K11" s="149">
        <f t="shared" si="1"/>
        <v>5.0305999999999997</v>
      </c>
      <c r="L11" s="148" t="s">
        <v>65</v>
      </c>
      <c r="M11" s="149">
        <f t="shared" si="2"/>
        <v>12.4557</v>
      </c>
      <c r="N11" s="150"/>
      <c r="O11" s="156"/>
    </row>
    <row r="12" spans="1:18" ht="14.85" customHeight="1" thickBot="1" x14ac:dyDescent="0.35">
      <c r="A12" s="91"/>
      <c r="B12" s="103" t="s">
        <v>64</v>
      </c>
      <c r="C12" s="104">
        <f>('TARIFAS 2017'!D12*'TARIFAS 2021'!$A$2)+'TARIFAS 2017'!D12</f>
        <v>11.16654464</v>
      </c>
      <c r="D12" s="106">
        <f>('TARIFAS 2017'!E12*'TARIFAS 2021'!$A$2)+'TARIFAS 2017'!E12</f>
        <v>11.16654464</v>
      </c>
      <c r="E12" s="107">
        <f>('TARIFAS 2017'!F12*'TARIFAS 2021'!$A$2)+'TARIFAS 2017'!F12</f>
        <v>11.16654464</v>
      </c>
      <c r="F12" s="95">
        <f>E12-E11</f>
        <v>1.10530142</v>
      </c>
      <c r="G12" s="94"/>
      <c r="H12" s="155" t="s">
        <v>64</v>
      </c>
      <c r="I12" s="149">
        <f t="shared" si="0"/>
        <v>11.166499999999999</v>
      </c>
      <c r="J12" s="148" t="s">
        <v>64</v>
      </c>
      <c r="K12" s="149">
        <f t="shared" si="1"/>
        <v>5.5833000000000004</v>
      </c>
      <c r="L12" s="148" t="s">
        <v>66</v>
      </c>
      <c r="M12" s="149">
        <f t="shared" si="2"/>
        <v>15.057399999999999</v>
      </c>
      <c r="N12" s="150"/>
      <c r="O12" s="156"/>
    </row>
    <row r="13" spans="1:18" ht="14.85" customHeight="1" thickBot="1" x14ac:dyDescent="0.35">
      <c r="A13" s="91"/>
      <c r="B13" s="103" t="s">
        <v>65</v>
      </c>
      <c r="C13" s="104">
        <f>('TARIFAS 2017'!D13*'TARIFAS 2021'!$A$2)+'TARIFAS 2017'!D13</f>
        <v>12.45573192</v>
      </c>
      <c r="D13" s="106">
        <f>('TARIFAS 2017'!E13*'TARIFAS 2021'!$A$2)+'TARIFAS 2017'!E13</f>
        <v>12.45573192</v>
      </c>
      <c r="E13" s="107">
        <f>('TARIFAS 2017'!F13*'TARIFAS 2021'!$A$2)+'TARIFAS 2017'!F13</f>
        <v>12.45573192</v>
      </c>
      <c r="F13" s="95">
        <f>E13-E12</f>
        <v>1.2891872800000002</v>
      </c>
      <c r="G13" s="94"/>
      <c r="H13" s="155" t="s">
        <v>65</v>
      </c>
      <c r="I13" s="149">
        <f t="shared" si="0"/>
        <v>12.4557</v>
      </c>
      <c r="J13" s="148" t="s">
        <v>65</v>
      </c>
      <c r="K13" s="149">
        <f t="shared" si="1"/>
        <v>6.2279</v>
      </c>
      <c r="L13" s="150"/>
      <c r="M13" s="151"/>
      <c r="N13" s="150"/>
      <c r="O13" s="156"/>
    </row>
    <row r="14" spans="1:18" ht="14.85" customHeight="1" thickBot="1" x14ac:dyDescent="0.35">
      <c r="A14" s="91"/>
      <c r="B14" s="103" t="s">
        <v>66</v>
      </c>
      <c r="C14" s="104">
        <f>('TARIFAS 2017'!D14*'TARIFAS 2021'!$A$2)+'TARIFAS 2017'!D14</f>
        <v>15.0574189</v>
      </c>
      <c r="D14" s="106">
        <f>('TARIFAS 2017'!E14*'TARIFAS 2021'!$A$2)+'TARIFAS 2017'!E14</f>
        <v>15.0574189</v>
      </c>
      <c r="E14" s="107">
        <f>('TARIFAS 2017'!F14*'TARIFAS 2021'!$A$2)+'TARIFAS 2017'!F14</f>
        <v>15.0574189</v>
      </c>
      <c r="F14" s="95">
        <f>E14-E13</f>
        <v>2.6016869800000002</v>
      </c>
      <c r="G14" s="96"/>
      <c r="H14" s="157" t="s">
        <v>66</v>
      </c>
      <c r="I14" s="158">
        <f t="shared" si="0"/>
        <v>15.057399999999999</v>
      </c>
      <c r="J14" s="159" t="s">
        <v>66</v>
      </c>
      <c r="K14" s="158">
        <f t="shared" si="1"/>
        <v>7.5286999999999997</v>
      </c>
      <c r="L14" s="160"/>
      <c r="M14" s="161"/>
      <c r="N14" s="160"/>
      <c r="O14" s="162"/>
    </row>
    <row r="15" spans="1:18" ht="15" thickBot="1" x14ac:dyDescent="0.35">
      <c r="A15" s="91"/>
      <c r="B15" s="198" t="s">
        <v>22</v>
      </c>
      <c r="C15" s="199"/>
      <c r="D15" s="199"/>
      <c r="E15" s="200"/>
      <c r="F15" s="97"/>
      <c r="G15" s="96"/>
      <c r="I15" s="182" t="s">
        <v>89</v>
      </c>
      <c r="J15" s="183"/>
      <c r="K15" s="183"/>
      <c r="L15" s="183"/>
      <c r="M15" s="183"/>
      <c r="N15" s="184"/>
      <c r="O15"/>
    </row>
    <row r="16" spans="1:18" ht="15" thickBot="1" x14ac:dyDescent="0.35">
      <c r="A16" s="91"/>
      <c r="B16" s="67" t="s">
        <v>24</v>
      </c>
      <c r="C16" s="68" t="s">
        <v>2</v>
      </c>
      <c r="D16" s="69" t="s">
        <v>3</v>
      </c>
      <c r="E16" s="70" t="s">
        <v>23</v>
      </c>
      <c r="G16" s="96"/>
      <c r="I16" s="179" t="s">
        <v>91</v>
      </c>
      <c r="J16" s="180"/>
      <c r="K16" s="180"/>
      <c r="L16" s="180"/>
      <c r="M16" s="180"/>
      <c r="N16" s="181"/>
      <c r="O16"/>
    </row>
    <row r="17" spans="1:15" ht="15.75" hidden="1" customHeight="1" thickBot="1" x14ac:dyDescent="0.35">
      <c r="A17" s="91"/>
      <c r="B17" s="78" t="s">
        <v>25</v>
      </c>
      <c r="C17" s="108">
        <f>C5*12</f>
        <v>37.574184960000004</v>
      </c>
      <c r="D17" s="109">
        <f>C17*50%</f>
        <v>18.787092480000002</v>
      </c>
      <c r="E17" s="110">
        <f>C17+D17</f>
        <v>56.361277440000009</v>
      </c>
      <c r="G17" s="96"/>
      <c r="I17" s="163"/>
      <c r="J17" s="164"/>
      <c r="K17" s="164"/>
      <c r="L17" s="164"/>
      <c r="M17" s="164"/>
      <c r="N17" s="165"/>
      <c r="O17"/>
    </row>
    <row r="18" spans="1:15" ht="28.5" customHeight="1" thickBot="1" x14ac:dyDescent="0.35">
      <c r="A18" s="91"/>
      <c r="B18" s="79" t="s">
        <v>75</v>
      </c>
      <c r="C18" s="111">
        <f>D5*16</f>
        <v>83.62196415999999</v>
      </c>
      <c r="D18" s="109">
        <f t="shared" ref="D18:D21" si="3">C18*50%</f>
        <v>41.810982079999995</v>
      </c>
      <c r="E18" s="112">
        <f t="shared" ref="E18" si="4">C18+D18</f>
        <v>125.43294623999998</v>
      </c>
      <c r="G18" s="96"/>
      <c r="I18" s="176" t="str">
        <f>B22</f>
        <v>TABELA II - DISTRITOS: SENHORA DAS DORES, PINHEIRO GROSSO E SÃO SEBASTIÃO DOS TORRES; LOCALIDADES: CAMPESTRE, POMBAL E MARGARIDAS</v>
      </c>
      <c r="J18" s="177"/>
      <c r="K18" s="177"/>
      <c r="L18" s="177"/>
      <c r="M18" s="177"/>
      <c r="N18" s="178"/>
      <c r="O18"/>
    </row>
    <row r="19" spans="1:15" ht="15" thickBot="1" x14ac:dyDescent="0.35">
      <c r="A19" s="91"/>
      <c r="B19" s="133"/>
      <c r="C19" s="134"/>
      <c r="D19" s="109"/>
      <c r="E19" s="135"/>
      <c r="G19" s="96"/>
      <c r="I19" s="191" t="s">
        <v>84</v>
      </c>
      <c r="J19" s="175"/>
      <c r="K19" s="166" t="s">
        <v>85</v>
      </c>
      <c r="L19" s="175"/>
      <c r="M19" s="166" t="s">
        <v>86</v>
      </c>
      <c r="N19" s="167"/>
      <c r="O19"/>
    </row>
    <row r="20" spans="1:15" ht="21" thickBot="1" x14ac:dyDescent="0.35">
      <c r="A20" s="91"/>
      <c r="B20" s="133"/>
      <c r="C20" s="134"/>
      <c r="D20" s="109"/>
      <c r="E20" s="135"/>
      <c r="G20" s="96"/>
      <c r="I20" s="143" t="s">
        <v>87</v>
      </c>
      <c r="J20" s="143" t="s">
        <v>88</v>
      </c>
      <c r="K20" s="143" t="s">
        <v>87</v>
      </c>
      <c r="L20" s="144" t="s">
        <v>88</v>
      </c>
      <c r="M20" s="145" t="s">
        <v>87</v>
      </c>
      <c r="N20" s="144" t="s">
        <v>88</v>
      </c>
      <c r="O20"/>
    </row>
    <row r="21" spans="1:15" ht="15" thickBot="1" x14ac:dyDescent="0.35">
      <c r="A21" s="91"/>
      <c r="B21" s="80" t="s">
        <v>76</v>
      </c>
      <c r="C21" s="113">
        <f>E5*30</f>
        <v>250.033545</v>
      </c>
      <c r="D21" s="109">
        <f t="shared" si="3"/>
        <v>125.0167725</v>
      </c>
      <c r="E21" s="114">
        <f>C21+D21</f>
        <v>375.05031750000001</v>
      </c>
      <c r="G21" s="96"/>
      <c r="I21" s="153" t="s">
        <v>57</v>
      </c>
      <c r="J21" s="147">
        <f t="shared" ref="J21:J30" si="5">ROUND((1+$R$1)*ROUND(C25,4),4)</f>
        <v>1.9496</v>
      </c>
      <c r="K21" s="148" t="s">
        <v>92</v>
      </c>
      <c r="L21" s="149">
        <f>ROUND((1+$R$1)*ROUND(D25,4),4)</f>
        <v>3.254</v>
      </c>
      <c r="M21" s="148" t="s">
        <v>93</v>
      </c>
      <c r="N21" s="154">
        <f>ROUND((1+$R$1)*ROUND(E25,4),4)</f>
        <v>5.1894</v>
      </c>
      <c r="O21"/>
    </row>
    <row r="22" spans="1:15" ht="17.25" customHeight="1" thickBot="1" x14ac:dyDescent="0.35">
      <c r="A22" s="91"/>
      <c r="B22" s="201" t="s">
        <v>55</v>
      </c>
      <c r="C22" s="202"/>
      <c r="D22" s="202"/>
      <c r="E22" s="203"/>
      <c r="I22" s="155" t="s">
        <v>58</v>
      </c>
      <c r="J22" s="149">
        <f t="shared" si="5"/>
        <v>2.3653</v>
      </c>
      <c r="K22" s="148" t="s">
        <v>60</v>
      </c>
      <c r="L22" s="149">
        <f t="shared" ref="L22:L28" si="6">ROUND((1+$R$1)*ROUND(D28,4),4)</f>
        <v>4.2289000000000003</v>
      </c>
      <c r="M22" s="148" t="s">
        <v>62</v>
      </c>
      <c r="N22" s="154">
        <f>ROUND((1+$R$1)*ROUND(E30,4),4)</f>
        <v>5.4039999999999999</v>
      </c>
      <c r="O22"/>
    </row>
    <row r="23" spans="1:15" ht="15" thickBot="1" x14ac:dyDescent="0.35">
      <c r="A23" s="91"/>
      <c r="B23" s="64" t="s">
        <v>1</v>
      </c>
      <c r="C23" s="62" t="s">
        <v>52</v>
      </c>
      <c r="D23" s="63" t="s">
        <v>53</v>
      </c>
      <c r="E23" s="63" t="s">
        <v>54</v>
      </c>
      <c r="I23" s="155" t="s">
        <v>59</v>
      </c>
      <c r="J23" s="149">
        <f t="shared" si="5"/>
        <v>3.254</v>
      </c>
      <c r="K23" s="148" t="s">
        <v>61</v>
      </c>
      <c r="L23" s="149">
        <f t="shared" si="6"/>
        <v>5.1894</v>
      </c>
      <c r="M23" s="148" t="s">
        <v>63</v>
      </c>
      <c r="N23" s="154">
        <f>ROUND((1+$R$1)*ROUND(E31,4),4)</f>
        <v>6.2641999999999998</v>
      </c>
      <c r="O23"/>
    </row>
    <row r="24" spans="1:15" ht="15" thickBot="1" x14ac:dyDescent="0.35">
      <c r="A24" s="91"/>
      <c r="B24" s="65" t="s">
        <v>4</v>
      </c>
      <c r="C24" s="66" t="s">
        <v>20</v>
      </c>
      <c r="D24" s="74" t="s">
        <v>56</v>
      </c>
      <c r="E24" s="75" t="s">
        <v>56</v>
      </c>
      <c r="I24" s="155" t="s">
        <v>60</v>
      </c>
      <c r="J24" s="149">
        <f t="shared" si="5"/>
        <v>4.2289000000000003</v>
      </c>
      <c r="K24" s="148" t="s">
        <v>62</v>
      </c>
      <c r="L24" s="149">
        <f t="shared" si="6"/>
        <v>5.4039999999999999</v>
      </c>
      <c r="M24" s="148" t="s">
        <v>64</v>
      </c>
      <c r="N24" s="154">
        <f>ROUND((1+$R$1)*ROUND(E32,4),4)</f>
        <v>6.9523000000000001</v>
      </c>
      <c r="O24"/>
    </row>
    <row r="25" spans="1:15" ht="14.85" customHeight="1" thickBot="1" x14ac:dyDescent="0.35">
      <c r="A25" s="91"/>
      <c r="B25" s="103" t="s">
        <v>57</v>
      </c>
      <c r="C25" s="104">
        <f>('TARIFAS 2017'!D23*'TARIFAS 2021'!$A$2)+'TARIFAS 2017'!D23</f>
        <v>1.94956646</v>
      </c>
      <c r="D25" s="192">
        <v>3.25401658</v>
      </c>
      <c r="E25" s="195">
        <v>5.1893656000000004</v>
      </c>
      <c r="I25" s="155" t="s">
        <v>61</v>
      </c>
      <c r="J25" s="149">
        <f t="shared" si="5"/>
        <v>5.1893000000000002</v>
      </c>
      <c r="K25" s="148" t="s">
        <v>63</v>
      </c>
      <c r="L25" s="149">
        <f t="shared" si="6"/>
        <v>6.2641999999999998</v>
      </c>
      <c r="M25" s="148" t="s">
        <v>65</v>
      </c>
      <c r="N25" s="154">
        <f>ROUND((1+$R$1)*ROUND(E33,4),4)</f>
        <v>7.7552000000000003</v>
      </c>
      <c r="O25"/>
    </row>
    <row r="26" spans="1:15" ht="14.85" customHeight="1" thickBot="1" x14ac:dyDescent="0.35">
      <c r="A26" s="91"/>
      <c r="B26" s="103" t="s">
        <v>58</v>
      </c>
      <c r="C26" s="104">
        <f>('TARIFAS 2017'!D24*'TARIFAS 2021'!$A$2)+'TARIFAS 2017'!D24</f>
        <v>2.3653220400000001</v>
      </c>
      <c r="D26" s="193"/>
      <c r="E26" s="196"/>
      <c r="G26" s="98"/>
      <c r="I26" s="155" t="s">
        <v>62</v>
      </c>
      <c r="J26" s="149">
        <f t="shared" si="5"/>
        <v>5.4043000000000001</v>
      </c>
      <c r="K26" s="148" t="s">
        <v>64</v>
      </c>
      <c r="L26" s="149">
        <f t="shared" si="6"/>
        <v>6.9523000000000001</v>
      </c>
      <c r="M26" s="148" t="s">
        <v>66</v>
      </c>
      <c r="N26" s="154">
        <f>ROUND((1+$R$1)*ROUND(E34,4),4)</f>
        <v>9.3749000000000002</v>
      </c>
      <c r="O26"/>
    </row>
    <row r="27" spans="1:15" ht="14.85" customHeight="1" thickBot="1" x14ac:dyDescent="0.35">
      <c r="A27" s="91"/>
      <c r="B27" s="103" t="s">
        <v>59</v>
      </c>
      <c r="C27" s="104">
        <v>3.2540165799999996</v>
      </c>
      <c r="D27" s="194"/>
      <c r="E27" s="196"/>
      <c r="G27" s="98"/>
      <c r="I27" s="155" t="s">
        <v>63</v>
      </c>
      <c r="J27" s="149">
        <f t="shared" si="5"/>
        <v>6.2644000000000002</v>
      </c>
      <c r="K27" s="148" t="s">
        <v>65</v>
      </c>
      <c r="L27" s="149">
        <f t="shared" si="6"/>
        <v>7.7552000000000003</v>
      </c>
      <c r="M27" s="150"/>
      <c r="N27" s="156"/>
      <c r="O27"/>
    </row>
    <row r="28" spans="1:15" ht="14.85" customHeight="1" thickBot="1" x14ac:dyDescent="0.35">
      <c r="A28" s="91"/>
      <c r="B28" s="103" t="s">
        <v>60</v>
      </c>
      <c r="C28" s="104">
        <f>('TARIFAS 2017'!D26*'TARIFAS 2021'!$A$2)+'TARIFAS 2017'!D26</f>
        <v>4.2288520800000002</v>
      </c>
      <c r="D28" s="104">
        <f>('TARIFAS 2017'!E26*'TARIFAS 2021'!$A$2)+'TARIFAS 2017'!E26</f>
        <v>4.2288520800000002</v>
      </c>
      <c r="E28" s="196"/>
      <c r="G28" s="98"/>
      <c r="I28" s="155" t="s">
        <v>64</v>
      </c>
      <c r="J28" s="149">
        <f t="shared" si="5"/>
        <v>6.9523999999999999</v>
      </c>
      <c r="K28" s="148" t="s">
        <v>66</v>
      </c>
      <c r="L28" s="149">
        <f t="shared" si="6"/>
        <v>9.3749000000000002</v>
      </c>
      <c r="M28" s="150"/>
      <c r="N28" s="156"/>
      <c r="O28"/>
    </row>
    <row r="29" spans="1:15" ht="14.85" customHeight="1" thickBot="1" x14ac:dyDescent="0.35">
      <c r="A29" s="91"/>
      <c r="B29" s="103" t="s">
        <v>61</v>
      </c>
      <c r="C29" s="104">
        <f>('TARIFAS 2017'!D27*'TARIFAS 2021'!$A$2)+'TARIFAS 2017'!D27</f>
        <v>5.1892610599999998</v>
      </c>
      <c r="D29" s="104">
        <v>5.1893656000000004</v>
      </c>
      <c r="E29" s="197"/>
      <c r="G29" s="98"/>
      <c r="I29" s="155" t="s">
        <v>65</v>
      </c>
      <c r="J29" s="149">
        <f t="shared" si="5"/>
        <v>7.7552000000000003</v>
      </c>
      <c r="K29" s="150"/>
      <c r="L29" s="151"/>
      <c r="M29" s="150"/>
      <c r="N29" s="156"/>
      <c r="O29"/>
    </row>
    <row r="30" spans="1:15" ht="14.85" customHeight="1" thickBot="1" x14ac:dyDescent="0.35">
      <c r="A30" s="91"/>
      <c r="B30" s="103" t="s">
        <v>62</v>
      </c>
      <c r="C30" s="104">
        <f>('TARIFAS 2017'!D28*'TARIFAS 2021'!$A$2)+'TARIFAS 2017'!D28</f>
        <v>5.4042998400000002</v>
      </c>
      <c r="D30" s="104">
        <f>('TARIFAS 2017'!E28*'TARIFAS 2021'!$A$2)+'TARIFAS 2017'!E28</f>
        <v>5.4039862200000002</v>
      </c>
      <c r="E30" s="107">
        <f>('TARIFAS 2017'!F28*'TARIFAS 2021'!$A$2)+'TARIFAS 2017'!F28</f>
        <v>5.4039862200000002</v>
      </c>
      <c r="G30" s="98"/>
      <c r="I30" s="155" t="s">
        <v>66</v>
      </c>
      <c r="J30" s="149">
        <f t="shared" si="5"/>
        <v>9.375</v>
      </c>
      <c r="K30" s="150"/>
      <c r="L30" s="151"/>
      <c r="M30" s="150"/>
      <c r="N30" s="156"/>
      <c r="O30"/>
    </row>
    <row r="31" spans="1:15" ht="14.85" customHeight="1" thickBot="1" x14ac:dyDescent="0.35">
      <c r="A31" s="91"/>
      <c r="B31" s="103" t="s">
        <v>63</v>
      </c>
      <c r="C31" s="104">
        <f>('TARIFAS 2017'!D29*'TARIFAS 2021'!$A$2)+'TARIFAS 2017'!D29</f>
        <v>6.2643504200000004</v>
      </c>
      <c r="D31" s="104">
        <f>('TARIFAS 2017'!E29*'TARIFAS 2021'!$A$2)+'TARIFAS 2017'!E29</f>
        <v>6.2642458800000007</v>
      </c>
      <c r="E31" s="107">
        <f>('TARIFAS 2017'!F29*'TARIFAS 2021'!$A$2)+'TARIFAS 2017'!F29</f>
        <v>6.2642458800000007</v>
      </c>
      <c r="G31" s="98"/>
      <c r="I31" s="182" t="s">
        <v>89</v>
      </c>
      <c r="J31" s="183"/>
      <c r="K31" s="183"/>
      <c r="L31" s="183"/>
      <c r="M31" s="183"/>
      <c r="N31" s="184"/>
      <c r="O31"/>
    </row>
    <row r="32" spans="1:15" ht="14.85" customHeight="1" thickBot="1" x14ac:dyDescent="0.35">
      <c r="A32" s="91"/>
      <c r="B32" s="103" t="s">
        <v>64</v>
      </c>
      <c r="C32" s="104">
        <f>('TARIFAS 2017'!D30*'TARIFAS 2021'!$A$2)+'TARIFAS 2017'!D30</f>
        <v>6.9524327000000001</v>
      </c>
      <c r="D32" s="104">
        <f>('TARIFAS 2017'!E30*'TARIFAS 2021'!$A$2)+'TARIFAS 2017'!E30</f>
        <v>6.9523281600000004</v>
      </c>
      <c r="E32" s="107">
        <f>('TARIFAS 2017'!F30*'TARIFAS 2021'!$A$2)+'TARIFAS 2017'!F30</f>
        <v>6.9523281600000004</v>
      </c>
      <c r="G32" s="98"/>
      <c r="I32" s="179" t="s">
        <v>91</v>
      </c>
      <c r="J32" s="180"/>
      <c r="K32" s="180"/>
      <c r="L32" s="180"/>
      <c r="M32" s="180"/>
      <c r="N32" s="181"/>
      <c r="O32"/>
    </row>
    <row r="33" spans="1:15" ht="14.85" customHeight="1" thickBot="1" x14ac:dyDescent="0.35">
      <c r="A33" s="91"/>
      <c r="B33" s="103" t="s">
        <v>65</v>
      </c>
      <c r="C33" s="104">
        <f>('TARIFAS 2017'!D31*'TARIFAS 2021'!$A$2)+'TARIFAS 2017'!D31</f>
        <v>7.7551953600000001</v>
      </c>
      <c r="D33" s="104">
        <f>('TARIFAS 2017'!E31*'TARIFAS 2021'!$A$2)+'TARIFAS 2017'!E31</f>
        <v>7.7551953600000001</v>
      </c>
      <c r="E33" s="107">
        <f>('TARIFAS 2017'!F31*'TARIFAS 2021'!$A$2)+'TARIFAS 2017'!F31</f>
        <v>7.7551953600000001</v>
      </c>
      <c r="G33" s="98"/>
    </row>
    <row r="34" spans="1:15" ht="14.85" customHeight="1" thickBot="1" x14ac:dyDescent="0.35">
      <c r="A34" s="91"/>
      <c r="B34" s="105" t="s">
        <v>66</v>
      </c>
      <c r="C34" s="104">
        <f>('TARIFAS 2017'!D32*'TARIFAS 2021'!$A$2)+'TARIFAS 2017'!D32</f>
        <v>9.3750426600000001</v>
      </c>
      <c r="D34" s="104">
        <f>('TARIFAS 2017'!E32*'TARIFAS 2021'!$A$2)+'TARIFAS 2017'!E32</f>
        <v>9.3749381200000013</v>
      </c>
      <c r="E34" s="107">
        <f>('TARIFAS 2017'!F32*'TARIFAS 2021'!$A$2)+'TARIFAS 2017'!F32</f>
        <v>9.3749381200000013</v>
      </c>
      <c r="G34" s="98"/>
    </row>
    <row r="35" spans="1:15" s="102" customFormat="1" thickBot="1" x14ac:dyDescent="0.35">
      <c r="A35" s="100"/>
      <c r="B35" s="198" t="s">
        <v>22</v>
      </c>
      <c r="C35" s="199"/>
      <c r="D35" s="199"/>
      <c r="E35" s="200"/>
      <c r="F35" s="100"/>
      <c r="G35" s="101"/>
      <c r="H35" s="152"/>
      <c r="I35" s="152"/>
      <c r="J35" s="152"/>
      <c r="K35" s="152"/>
      <c r="L35" s="152"/>
      <c r="M35" s="152"/>
      <c r="N35" s="152"/>
      <c r="O35" s="152"/>
    </row>
    <row r="36" spans="1:15" ht="15" thickBot="1" x14ac:dyDescent="0.35">
      <c r="A36" s="91"/>
      <c r="B36" s="71" t="s">
        <v>24</v>
      </c>
      <c r="C36" s="72" t="s">
        <v>6</v>
      </c>
      <c r="D36" s="72" t="s">
        <v>7</v>
      </c>
      <c r="E36" s="73" t="s">
        <v>23</v>
      </c>
      <c r="G36" s="98"/>
    </row>
    <row r="37" spans="1:15" ht="15" thickBot="1" x14ac:dyDescent="0.35">
      <c r="A37" s="91"/>
      <c r="B37" s="81" t="s">
        <v>25</v>
      </c>
      <c r="C37" s="108">
        <f>C25*12</f>
        <v>23.394797520000001</v>
      </c>
      <c r="D37" s="109">
        <f>C37*50%</f>
        <v>11.69739876</v>
      </c>
      <c r="E37" s="115">
        <f>C37+D37</f>
        <v>35.092196280000003</v>
      </c>
      <c r="G37" s="98"/>
    </row>
    <row r="38" spans="1:15" ht="15" thickBot="1" x14ac:dyDescent="0.35">
      <c r="A38" s="91"/>
      <c r="B38" s="79" t="s">
        <v>75</v>
      </c>
      <c r="C38" s="108">
        <f>D25*16</f>
        <v>52.064265280000001</v>
      </c>
      <c r="D38" s="109">
        <f t="shared" ref="D38:D39" si="7">C38*50%</f>
        <v>26.03213264</v>
      </c>
      <c r="E38" s="115">
        <f>C38+D38</f>
        <v>78.096397920000001</v>
      </c>
      <c r="G38" s="98"/>
    </row>
    <row r="39" spans="1:15" ht="15" thickBot="1" x14ac:dyDescent="0.35">
      <c r="A39" s="91"/>
      <c r="B39" s="80" t="s">
        <v>76</v>
      </c>
      <c r="C39" s="116">
        <f>E25*30</f>
        <v>155.68096800000001</v>
      </c>
      <c r="D39" s="109">
        <f t="shared" si="7"/>
        <v>77.840484000000004</v>
      </c>
      <c r="E39" s="117">
        <f t="shared" ref="E39" si="8">C39+D39</f>
        <v>233.52145200000001</v>
      </c>
      <c r="G39" s="98"/>
    </row>
    <row r="40" spans="1:15" ht="15" thickBot="1" x14ac:dyDescent="0.35">
      <c r="A40" s="91"/>
      <c r="B40" s="201" t="s">
        <v>67</v>
      </c>
      <c r="C40" s="202"/>
      <c r="D40" s="202"/>
      <c r="E40" s="203"/>
      <c r="G40" s="98"/>
    </row>
    <row r="41" spans="1:15" ht="15" thickBot="1" x14ac:dyDescent="0.35">
      <c r="A41" s="91"/>
      <c r="B41" s="204" t="s">
        <v>21</v>
      </c>
      <c r="C41" s="205"/>
      <c r="D41" s="205"/>
      <c r="E41" s="206"/>
    </row>
    <row r="42" spans="1:15" s="91" customFormat="1" x14ac:dyDescent="0.3">
      <c r="H42" s="152"/>
      <c r="I42" s="152"/>
      <c r="J42" s="152"/>
      <c r="K42" s="152"/>
      <c r="L42" s="152"/>
      <c r="M42" s="152"/>
      <c r="N42" s="152"/>
      <c r="O42" s="152"/>
    </row>
    <row r="43" spans="1:15" s="91" customFormat="1" x14ac:dyDescent="0.3">
      <c r="H43" s="152"/>
      <c r="I43" s="152"/>
      <c r="J43" s="152"/>
      <c r="K43" s="152"/>
      <c r="L43" s="152"/>
      <c r="M43" s="152"/>
      <c r="N43" s="152"/>
      <c r="O43" s="152"/>
    </row>
    <row r="44" spans="1:15" s="91" customFormat="1" x14ac:dyDescent="0.3">
      <c r="H44" s="152"/>
      <c r="I44" s="152"/>
      <c r="J44" s="152"/>
      <c r="K44" s="152"/>
      <c r="L44" s="152"/>
      <c r="M44" s="152"/>
      <c r="N44" s="152"/>
      <c r="O44" s="152"/>
    </row>
    <row r="45" spans="1:15" s="91" customFormat="1" x14ac:dyDescent="0.3">
      <c r="H45" s="152"/>
      <c r="I45" s="152"/>
      <c r="J45" s="152"/>
      <c r="K45" s="152"/>
      <c r="L45" s="152"/>
      <c r="M45" s="152"/>
      <c r="N45" s="152"/>
      <c r="O45" s="152"/>
    </row>
    <row r="46" spans="1:15" s="91" customFormat="1" x14ac:dyDescent="0.3">
      <c r="H46" s="152"/>
      <c r="I46" s="152"/>
      <c r="J46" s="152"/>
      <c r="K46" s="152"/>
      <c r="L46" s="152"/>
      <c r="M46" s="152"/>
      <c r="N46" s="152"/>
      <c r="O46" s="152"/>
    </row>
    <row r="47" spans="1:15" s="91" customFormat="1" x14ac:dyDescent="0.3">
      <c r="H47" s="152"/>
      <c r="I47" s="152"/>
      <c r="J47" s="152"/>
      <c r="K47" s="152"/>
      <c r="L47" s="152"/>
      <c r="M47" s="152"/>
      <c r="N47" s="152"/>
      <c r="O47" s="152"/>
    </row>
    <row r="48" spans="1:15" s="91" customFormat="1" x14ac:dyDescent="0.3">
      <c r="H48" s="152"/>
      <c r="I48" s="152"/>
      <c r="J48" s="152"/>
      <c r="K48" s="152"/>
      <c r="L48" s="152"/>
      <c r="M48" s="152"/>
      <c r="N48" s="152"/>
      <c r="O48" s="152"/>
    </row>
    <row r="49" spans="8:15" s="91" customFormat="1" x14ac:dyDescent="0.3">
      <c r="H49" s="152"/>
      <c r="I49" s="152"/>
      <c r="J49" s="152"/>
      <c r="K49" s="152"/>
      <c r="L49" s="152"/>
      <c r="M49" s="152"/>
      <c r="N49" s="152"/>
      <c r="O49" s="152"/>
    </row>
    <row r="50" spans="8:15" s="91" customFormat="1" x14ac:dyDescent="0.3">
      <c r="H50" s="152"/>
      <c r="I50" s="152"/>
      <c r="J50" s="152"/>
      <c r="K50" s="152"/>
      <c r="L50" s="152"/>
      <c r="M50" s="152"/>
      <c r="N50" s="152"/>
      <c r="O50" s="152"/>
    </row>
    <row r="51" spans="8:15" s="91" customFormat="1" x14ac:dyDescent="0.3">
      <c r="H51" s="152"/>
      <c r="I51" s="152"/>
      <c r="J51" s="152"/>
      <c r="K51" s="152"/>
      <c r="L51" s="152"/>
      <c r="M51" s="152"/>
      <c r="N51" s="152"/>
      <c r="O51" s="152"/>
    </row>
    <row r="52" spans="8:15" s="91" customFormat="1" x14ac:dyDescent="0.3">
      <c r="H52" s="152"/>
      <c r="I52" s="152"/>
      <c r="J52" s="152"/>
      <c r="K52" s="152"/>
      <c r="L52" s="152"/>
      <c r="M52" s="152"/>
      <c r="N52" s="152"/>
      <c r="O52" s="152"/>
    </row>
    <row r="53" spans="8:15" s="91" customFormat="1" x14ac:dyDescent="0.3">
      <c r="H53" s="152"/>
      <c r="I53" s="152"/>
      <c r="J53" s="152"/>
      <c r="K53" s="152"/>
      <c r="L53" s="152"/>
      <c r="M53" s="152"/>
      <c r="N53" s="152"/>
      <c r="O53" s="152"/>
    </row>
    <row r="54" spans="8:15" s="91" customFormat="1" x14ac:dyDescent="0.3">
      <c r="H54" s="152"/>
      <c r="I54" s="152"/>
      <c r="J54" s="152"/>
      <c r="K54" s="152"/>
      <c r="L54" s="152"/>
      <c r="M54" s="152"/>
      <c r="N54" s="152"/>
      <c r="O54" s="152"/>
    </row>
    <row r="55" spans="8:15" s="91" customFormat="1" x14ac:dyDescent="0.3">
      <c r="H55" s="152"/>
      <c r="I55" s="152"/>
      <c r="J55" s="152"/>
      <c r="K55" s="152"/>
      <c r="L55" s="152"/>
      <c r="M55" s="152"/>
      <c r="N55" s="152"/>
      <c r="O55" s="152"/>
    </row>
    <row r="56" spans="8:15" s="91" customFormat="1" x14ac:dyDescent="0.3">
      <c r="H56" s="152"/>
      <c r="I56" s="152"/>
      <c r="J56" s="152"/>
      <c r="K56" s="152"/>
      <c r="L56" s="152"/>
      <c r="M56" s="152"/>
      <c r="N56" s="152"/>
      <c r="O56" s="152"/>
    </row>
    <row r="57" spans="8:15" s="91" customFormat="1" x14ac:dyDescent="0.3">
      <c r="H57" s="152"/>
      <c r="I57" s="152"/>
      <c r="J57" s="152"/>
      <c r="K57" s="152"/>
      <c r="L57" s="152"/>
      <c r="M57" s="152"/>
      <c r="N57" s="152"/>
      <c r="O57" s="152"/>
    </row>
    <row r="58" spans="8:15" s="91" customFormat="1" x14ac:dyDescent="0.3">
      <c r="H58" s="152"/>
      <c r="I58" s="152"/>
      <c r="J58" s="152"/>
      <c r="K58" s="152"/>
      <c r="L58" s="152"/>
      <c r="M58" s="152"/>
      <c r="N58" s="152"/>
      <c r="O58" s="152"/>
    </row>
    <row r="59" spans="8:15" s="91" customFormat="1" x14ac:dyDescent="0.3">
      <c r="H59" s="152"/>
      <c r="I59" s="152"/>
      <c r="J59" s="152"/>
      <c r="K59" s="152"/>
      <c r="L59" s="152"/>
      <c r="M59" s="152"/>
      <c r="N59" s="152"/>
      <c r="O59" s="152"/>
    </row>
    <row r="60" spans="8:15" s="91" customFormat="1" x14ac:dyDescent="0.3">
      <c r="H60" s="152"/>
      <c r="I60" s="152"/>
      <c r="J60" s="152"/>
      <c r="K60" s="152"/>
      <c r="L60" s="152"/>
      <c r="M60" s="152"/>
      <c r="N60" s="152"/>
      <c r="O60" s="152"/>
    </row>
    <row r="61" spans="8:15" s="91" customFormat="1" x14ac:dyDescent="0.3">
      <c r="H61" s="152"/>
      <c r="I61" s="152"/>
      <c r="J61" s="152"/>
      <c r="K61" s="152"/>
      <c r="L61" s="152"/>
      <c r="M61" s="152"/>
      <c r="N61" s="152"/>
      <c r="O61" s="152"/>
    </row>
    <row r="62" spans="8:15" s="91" customFormat="1" x14ac:dyDescent="0.3">
      <c r="H62" s="152"/>
      <c r="I62" s="152"/>
      <c r="J62" s="152"/>
      <c r="K62" s="152"/>
      <c r="L62" s="152"/>
      <c r="M62" s="152"/>
      <c r="N62" s="152"/>
      <c r="O62" s="152"/>
    </row>
    <row r="63" spans="8:15" s="91" customFormat="1" x14ac:dyDescent="0.3">
      <c r="H63" s="152"/>
      <c r="I63" s="152"/>
      <c r="J63" s="152"/>
      <c r="K63" s="152"/>
      <c r="L63" s="152"/>
      <c r="M63" s="152"/>
      <c r="N63" s="152"/>
      <c r="O63" s="152"/>
    </row>
    <row r="64" spans="8:15" s="91" customFormat="1" x14ac:dyDescent="0.3">
      <c r="H64" s="152"/>
      <c r="I64" s="152"/>
      <c r="J64" s="152"/>
      <c r="K64" s="152"/>
      <c r="L64" s="152"/>
      <c r="M64" s="152"/>
      <c r="N64" s="152"/>
      <c r="O64" s="152"/>
    </row>
    <row r="65" spans="1:15" s="91" customFormat="1" x14ac:dyDescent="0.3">
      <c r="H65" s="152"/>
      <c r="I65" s="152"/>
      <c r="J65" s="152"/>
      <c r="K65" s="152"/>
      <c r="L65" s="152"/>
      <c r="M65" s="152"/>
      <c r="N65" s="152"/>
      <c r="O65" s="152"/>
    </row>
    <row r="66" spans="1:15" s="91" customFormat="1" x14ac:dyDescent="0.3">
      <c r="H66" s="152"/>
      <c r="I66" s="152"/>
      <c r="J66" s="152"/>
      <c r="K66" s="152"/>
      <c r="L66" s="152"/>
      <c r="M66" s="152"/>
      <c r="N66" s="152"/>
      <c r="O66" s="152"/>
    </row>
    <row r="67" spans="1:15" s="91" customFormat="1" x14ac:dyDescent="0.3">
      <c r="H67" s="152"/>
      <c r="I67" s="152"/>
      <c r="J67" s="152"/>
      <c r="K67" s="152"/>
      <c r="L67" s="152"/>
      <c r="M67" s="152"/>
      <c r="N67" s="152"/>
      <c r="O67" s="152"/>
    </row>
    <row r="68" spans="1:15" s="91" customFormat="1" x14ac:dyDescent="0.3">
      <c r="H68" s="152"/>
      <c r="I68" s="152"/>
      <c r="J68" s="152"/>
      <c r="K68" s="152"/>
      <c r="L68" s="152"/>
      <c r="M68" s="152"/>
      <c r="N68" s="152"/>
      <c r="O68" s="152"/>
    </row>
    <row r="69" spans="1:15" s="91" customFormat="1" x14ac:dyDescent="0.3">
      <c r="H69" s="152"/>
      <c r="I69" s="152"/>
      <c r="J69" s="152"/>
      <c r="K69" s="152"/>
      <c r="L69" s="152"/>
      <c r="M69" s="152"/>
      <c r="N69" s="152"/>
      <c r="O69" s="152"/>
    </row>
    <row r="70" spans="1:15" s="91" customFormat="1" x14ac:dyDescent="0.3">
      <c r="H70" s="152"/>
      <c r="I70" s="152"/>
      <c r="J70" s="152"/>
      <c r="K70" s="152"/>
      <c r="L70" s="152"/>
      <c r="M70" s="152"/>
      <c r="N70" s="152"/>
      <c r="O70" s="152"/>
    </row>
    <row r="71" spans="1:15" s="91" customFormat="1" x14ac:dyDescent="0.3">
      <c r="H71" s="152"/>
      <c r="I71" s="152"/>
      <c r="J71" s="152"/>
      <c r="K71" s="152"/>
      <c r="L71" s="152"/>
      <c r="M71" s="152"/>
      <c r="N71" s="152"/>
      <c r="O71" s="152"/>
    </row>
    <row r="72" spans="1:15" s="91" customFormat="1" x14ac:dyDescent="0.3">
      <c r="H72" s="152"/>
      <c r="I72" s="152"/>
      <c r="J72" s="152"/>
      <c r="K72" s="152"/>
      <c r="L72" s="152"/>
      <c r="M72" s="152"/>
      <c r="N72" s="152"/>
      <c r="O72" s="152"/>
    </row>
    <row r="73" spans="1:15" s="91" customFormat="1" x14ac:dyDescent="0.3">
      <c r="H73" s="152"/>
      <c r="I73" s="152"/>
      <c r="J73" s="152"/>
      <c r="K73" s="152"/>
      <c r="L73" s="152"/>
      <c r="M73" s="152"/>
      <c r="N73" s="152"/>
      <c r="O73" s="152"/>
    </row>
    <row r="74" spans="1:15" s="91" customFormat="1" x14ac:dyDescent="0.3">
      <c r="H74" s="152"/>
      <c r="I74" s="152"/>
      <c r="J74" s="152"/>
      <c r="K74" s="152"/>
      <c r="L74" s="152"/>
      <c r="M74" s="152"/>
      <c r="N74" s="152"/>
      <c r="O74" s="152"/>
    </row>
    <row r="75" spans="1:15" x14ac:dyDescent="0.3">
      <c r="A75" s="91"/>
    </row>
    <row r="76" spans="1:15" x14ac:dyDescent="0.3">
      <c r="A76" s="91"/>
    </row>
    <row r="77" spans="1:15" x14ac:dyDescent="0.3">
      <c r="A77" s="91"/>
    </row>
    <row r="78" spans="1:15" x14ac:dyDescent="0.3">
      <c r="A78" s="91"/>
    </row>
    <row r="79" spans="1:15" x14ac:dyDescent="0.3">
      <c r="A79" s="91"/>
    </row>
    <row r="80" spans="1:15" x14ac:dyDescent="0.3">
      <c r="A80" s="91"/>
    </row>
    <row r="81" spans="1:1" x14ac:dyDescent="0.3">
      <c r="A81" s="91"/>
    </row>
    <row r="82" spans="1:1" x14ac:dyDescent="0.3">
      <c r="A82" s="91"/>
    </row>
    <row r="83" spans="1:1" x14ac:dyDescent="0.3">
      <c r="A83" s="91"/>
    </row>
    <row r="84" spans="1:1" x14ac:dyDescent="0.3">
      <c r="A84" s="91"/>
    </row>
    <row r="85" spans="1:1" x14ac:dyDescent="0.3">
      <c r="A85" s="91"/>
    </row>
    <row r="86" spans="1:1" x14ac:dyDescent="0.3">
      <c r="A86" s="91"/>
    </row>
    <row r="87" spans="1:1" x14ac:dyDescent="0.3">
      <c r="A87" s="91"/>
    </row>
    <row r="88" spans="1:1" x14ac:dyDescent="0.3">
      <c r="A88" s="91"/>
    </row>
    <row r="89" spans="1:1" x14ac:dyDescent="0.3">
      <c r="A89" s="91"/>
    </row>
    <row r="90" spans="1:1" x14ac:dyDescent="0.3">
      <c r="A90" s="91"/>
    </row>
    <row r="91" spans="1:1" x14ac:dyDescent="0.3">
      <c r="A91" s="91"/>
    </row>
    <row r="92" spans="1:1" x14ac:dyDescent="0.3">
      <c r="A92" s="91"/>
    </row>
    <row r="93" spans="1:1" x14ac:dyDescent="0.3">
      <c r="A93" s="91"/>
    </row>
    <row r="94" spans="1:1" x14ac:dyDescent="0.3">
      <c r="A94" s="91"/>
    </row>
    <row r="95" spans="1:1" x14ac:dyDescent="0.3">
      <c r="A95" s="91"/>
    </row>
    <row r="96" spans="1:1" x14ac:dyDescent="0.3">
      <c r="A96" s="91"/>
    </row>
    <row r="97" spans="1:1" x14ac:dyDescent="0.3">
      <c r="A97" s="91"/>
    </row>
    <row r="98" spans="1:1" x14ac:dyDescent="0.3">
      <c r="A98" s="91"/>
    </row>
    <row r="99" spans="1:1" x14ac:dyDescent="0.3">
      <c r="A99" s="91"/>
    </row>
    <row r="100" spans="1:1" x14ac:dyDescent="0.3">
      <c r="A100" s="91"/>
    </row>
    <row r="101" spans="1:1" x14ac:dyDescent="0.3">
      <c r="A101" s="91"/>
    </row>
    <row r="102" spans="1:1" x14ac:dyDescent="0.3">
      <c r="A102" s="91"/>
    </row>
    <row r="103" spans="1:1" x14ac:dyDescent="0.3">
      <c r="A103" s="91"/>
    </row>
    <row r="104" spans="1:1" x14ac:dyDescent="0.3">
      <c r="A104" s="91"/>
    </row>
    <row r="105" spans="1:1" x14ac:dyDescent="0.3">
      <c r="A105" s="91"/>
    </row>
    <row r="106" spans="1:1" x14ac:dyDescent="0.3">
      <c r="A106" s="91"/>
    </row>
    <row r="107" spans="1:1" x14ac:dyDescent="0.3">
      <c r="A107" s="91"/>
    </row>
    <row r="108" spans="1:1" x14ac:dyDescent="0.3">
      <c r="A108" s="91"/>
    </row>
    <row r="109" spans="1:1" x14ac:dyDescent="0.3">
      <c r="A109" s="91"/>
    </row>
    <row r="110" spans="1:1" x14ac:dyDescent="0.3">
      <c r="A110" s="91"/>
    </row>
    <row r="111" spans="1:1" x14ac:dyDescent="0.3">
      <c r="A111" s="91"/>
    </row>
    <row r="112" spans="1:1" x14ac:dyDescent="0.3">
      <c r="A112" s="91"/>
    </row>
    <row r="113" spans="1:1" x14ac:dyDescent="0.3">
      <c r="A113" s="91"/>
    </row>
    <row r="114" spans="1:1" x14ac:dyDescent="0.3">
      <c r="A114" s="91"/>
    </row>
    <row r="115" spans="1:1" x14ac:dyDescent="0.3">
      <c r="A115" s="91"/>
    </row>
    <row r="116" spans="1:1" x14ac:dyDescent="0.3">
      <c r="A116" s="91"/>
    </row>
    <row r="117" spans="1:1" x14ac:dyDescent="0.3">
      <c r="A117" s="91"/>
    </row>
    <row r="118" spans="1:1" x14ac:dyDescent="0.3">
      <c r="A118" s="91"/>
    </row>
    <row r="119" spans="1:1" x14ac:dyDescent="0.3">
      <c r="A119" s="91"/>
    </row>
    <row r="120" spans="1:1" x14ac:dyDescent="0.3">
      <c r="A120" s="91"/>
    </row>
    <row r="121" spans="1:1" x14ac:dyDescent="0.3">
      <c r="A121" s="91"/>
    </row>
    <row r="122" spans="1:1" x14ac:dyDescent="0.3">
      <c r="A122" s="91"/>
    </row>
    <row r="123" spans="1:1" x14ac:dyDescent="0.3">
      <c r="A123" s="91"/>
    </row>
    <row r="124" spans="1:1" x14ac:dyDescent="0.3">
      <c r="A124" s="91"/>
    </row>
    <row r="125" spans="1:1" x14ac:dyDescent="0.3">
      <c r="A125" s="91"/>
    </row>
    <row r="126" spans="1:1" x14ac:dyDescent="0.3">
      <c r="A126" s="91"/>
    </row>
  </sheetData>
  <mergeCells count="25">
    <mergeCell ref="B35:E35"/>
    <mergeCell ref="B40:E40"/>
    <mergeCell ref="B41:E41"/>
    <mergeCell ref="I32:N32"/>
    <mergeCell ref="I31:N31"/>
    <mergeCell ref="B15:E15"/>
    <mergeCell ref="B22:E22"/>
    <mergeCell ref="D25:D27"/>
    <mergeCell ref="E25:E29"/>
    <mergeCell ref="M19:N19"/>
    <mergeCell ref="K19:L19"/>
    <mergeCell ref="I19:J19"/>
    <mergeCell ref="B1:E1"/>
    <mergeCell ref="B2:E2"/>
    <mergeCell ref="H3:I3"/>
    <mergeCell ref="L3:M3"/>
    <mergeCell ref="D5:D7"/>
    <mergeCell ref="E5:E9"/>
    <mergeCell ref="N3:O3"/>
    <mergeCell ref="H2:O2"/>
    <mergeCell ref="H1:O1"/>
    <mergeCell ref="J3:K3"/>
    <mergeCell ref="I18:N18"/>
    <mergeCell ref="I16:N16"/>
    <mergeCell ref="I15:N1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C0C4-D1AB-4CAC-89D2-729FBB25EEA3}">
  <dimension ref="C3:R30"/>
  <sheetViews>
    <sheetView tabSelected="1" workbookViewId="0">
      <selection activeCell="E19" sqref="E19"/>
    </sheetView>
  </sheetViews>
  <sheetFormatPr defaultRowHeight="14.4" x14ac:dyDescent="0.3"/>
  <cols>
    <col min="5" max="5" width="11.109375" bestFit="1" customWidth="1"/>
    <col min="6" max="6" width="11.77734375" bestFit="1" customWidth="1"/>
    <col min="10" max="10" width="11.77734375" bestFit="1" customWidth="1"/>
    <col min="13" max="13" width="11.109375" bestFit="1" customWidth="1"/>
    <col min="14" max="14" width="11.77734375" bestFit="1" customWidth="1"/>
    <col min="18" max="18" width="11.77734375" bestFit="1" customWidth="1"/>
  </cols>
  <sheetData>
    <row r="3" spans="3:18" ht="15" thickBot="1" x14ac:dyDescent="0.35"/>
    <row r="4" spans="3:18" ht="15" thickBot="1" x14ac:dyDescent="0.35">
      <c r="C4" s="191" t="s">
        <v>84</v>
      </c>
      <c r="D4" s="175"/>
      <c r="G4" s="174" t="s">
        <v>94</v>
      </c>
      <c r="H4" s="175"/>
      <c r="K4" s="166" t="s">
        <v>85</v>
      </c>
      <c r="L4" s="175"/>
      <c r="O4" s="166" t="s">
        <v>86</v>
      </c>
      <c r="P4" s="167"/>
    </row>
    <row r="5" spans="3:18" ht="31.2" thickBot="1" x14ac:dyDescent="0.35">
      <c r="C5" s="143" t="s">
        <v>87</v>
      </c>
      <c r="D5" s="143" t="s">
        <v>88</v>
      </c>
      <c r="E5" t="s">
        <v>95</v>
      </c>
      <c r="F5" t="s">
        <v>96</v>
      </c>
      <c r="G5" s="142" t="s">
        <v>87</v>
      </c>
      <c r="H5" s="143" t="s">
        <v>88</v>
      </c>
      <c r="I5" t="s">
        <v>95</v>
      </c>
      <c r="J5" t="s">
        <v>96</v>
      </c>
      <c r="K5" s="143" t="s">
        <v>87</v>
      </c>
      <c r="L5" s="144" t="s">
        <v>88</v>
      </c>
      <c r="M5" t="s">
        <v>95</v>
      </c>
      <c r="N5" t="s">
        <v>96</v>
      </c>
      <c r="O5" s="145" t="s">
        <v>87</v>
      </c>
      <c r="P5" s="144" t="s">
        <v>88</v>
      </c>
      <c r="Q5" t="s">
        <v>95</v>
      </c>
      <c r="R5" t="s">
        <v>96</v>
      </c>
    </row>
    <row r="6" spans="3:18" ht="15" thickBot="1" x14ac:dyDescent="0.35">
      <c r="C6" s="153" t="s">
        <v>57</v>
      </c>
      <c r="D6" s="147">
        <v>3.1312000000000002</v>
      </c>
      <c r="E6" s="261">
        <v>3.1312000000000002</v>
      </c>
      <c r="F6" t="b">
        <f>D6=E6</f>
        <v>1</v>
      </c>
      <c r="G6" s="146" t="s">
        <v>57</v>
      </c>
      <c r="H6" s="147">
        <v>1.5656000000000001</v>
      </c>
      <c r="I6" s="261">
        <v>1.5656000000000001</v>
      </c>
      <c r="J6" t="b">
        <f>H6=I6</f>
        <v>1</v>
      </c>
      <c r="K6" s="148" t="s">
        <v>92</v>
      </c>
      <c r="L6" s="149">
        <v>5.2263999999999999</v>
      </c>
      <c r="M6" s="264">
        <v>5.2263999999999999</v>
      </c>
      <c r="N6" t="b">
        <f>L6=M6</f>
        <v>1</v>
      </c>
      <c r="O6" s="148" t="s">
        <v>93</v>
      </c>
      <c r="P6" s="154">
        <v>8.3345000000000002</v>
      </c>
      <c r="Q6" s="265">
        <v>8.3345000000000002</v>
      </c>
      <c r="R6" t="b">
        <f>P6=Q6</f>
        <v>1</v>
      </c>
    </row>
    <row r="7" spans="3:18" ht="15" thickBot="1" x14ac:dyDescent="0.35">
      <c r="C7" s="155" t="s">
        <v>58</v>
      </c>
      <c r="D7" s="149">
        <v>3.7989000000000002</v>
      </c>
      <c r="E7" s="262">
        <v>3.7989000000000002</v>
      </c>
      <c r="F7" t="b">
        <f>D7=E7</f>
        <v>1</v>
      </c>
      <c r="G7" s="148" t="s">
        <v>58</v>
      </c>
      <c r="H7" s="149">
        <v>1.8995</v>
      </c>
      <c r="I7" s="262">
        <v>1.8995</v>
      </c>
      <c r="J7" t="b">
        <f t="shared" ref="J7:J15" si="0">H7=I7</f>
        <v>1</v>
      </c>
      <c r="K7" s="148" t="s">
        <v>60</v>
      </c>
      <c r="L7" s="149">
        <v>6.7952000000000004</v>
      </c>
      <c r="M7" s="262">
        <v>6.7952000000000004</v>
      </c>
      <c r="N7" t="b">
        <f t="shared" ref="N7:N13" si="1">L7=M7</f>
        <v>1</v>
      </c>
      <c r="O7" s="148" t="s">
        <v>62</v>
      </c>
      <c r="P7" s="154">
        <v>8.68</v>
      </c>
      <c r="Q7" s="266">
        <v>8.68</v>
      </c>
      <c r="R7" t="b">
        <f t="shared" ref="R7:R11" si="2">P7=Q7</f>
        <v>1</v>
      </c>
    </row>
    <row r="8" spans="3:18" ht="15" thickBot="1" x14ac:dyDescent="0.35">
      <c r="C8" s="155" t="s">
        <v>59</v>
      </c>
      <c r="D8" s="149">
        <v>5.2263999999999999</v>
      </c>
      <c r="E8" s="262">
        <v>5.2263999999999999</v>
      </c>
      <c r="F8" t="b">
        <f>D8=E8</f>
        <v>1</v>
      </c>
      <c r="G8" s="148" t="s">
        <v>59</v>
      </c>
      <c r="H8" s="149">
        <v>2.6132</v>
      </c>
      <c r="I8" s="262">
        <v>2.6132</v>
      </c>
      <c r="J8" t="b">
        <f t="shared" si="0"/>
        <v>1</v>
      </c>
      <c r="K8" s="148" t="s">
        <v>61</v>
      </c>
      <c r="L8" s="149">
        <v>8.3345000000000002</v>
      </c>
      <c r="M8" s="262">
        <v>8.3345000000000002</v>
      </c>
      <c r="N8" t="b">
        <f t="shared" si="1"/>
        <v>1</v>
      </c>
      <c r="O8" s="148" t="s">
        <v>63</v>
      </c>
      <c r="P8" s="154">
        <v>10.061199999999999</v>
      </c>
      <c r="Q8" s="266">
        <v>10.061199999999999</v>
      </c>
      <c r="R8" t="b">
        <f t="shared" si="2"/>
        <v>1</v>
      </c>
    </row>
    <row r="9" spans="3:18" ht="15" thickBot="1" x14ac:dyDescent="0.35">
      <c r="C9" s="155" t="s">
        <v>60</v>
      </c>
      <c r="D9" s="149">
        <v>6.7952000000000004</v>
      </c>
      <c r="E9" s="262">
        <v>6.7952000000000004</v>
      </c>
      <c r="F9" t="b">
        <f t="shared" ref="F9:F15" si="3">D9=E9</f>
        <v>1</v>
      </c>
      <c r="G9" s="148" t="s">
        <v>60</v>
      </c>
      <c r="H9" s="149">
        <v>3.3976000000000002</v>
      </c>
      <c r="I9" s="262">
        <v>3.3976000000000002</v>
      </c>
      <c r="J9" t="b">
        <f t="shared" si="0"/>
        <v>1</v>
      </c>
      <c r="K9" s="148" t="s">
        <v>62</v>
      </c>
      <c r="L9" s="149">
        <v>8.68</v>
      </c>
      <c r="M9" s="262">
        <v>8.68</v>
      </c>
      <c r="N9" t="b">
        <f t="shared" si="1"/>
        <v>1</v>
      </c>
      <c r="O9" s="148" t="s">
        <v>64</v>
      </c>
      <c r="P9" s="154">
        <v>11.166499999999999</v>
      </c>
      <c r="Q9" s="266">
        <v>11.166499999999999</v>
      </c>
      <c r="R9" t="b">
        <f t="shared" si="2"/>
        <v>1</v>
      </c>
    </row>
    <row r="10" spans="3:18" ht="15" thickBot="1" x14ac:dyDescent="0.35">
      <c r="C10" s="155" t="s">
        <v>61</v>
      </c>
      <c r="D10" s="149">
        <v>8.3345000000000002</v>
      </c>
      <c r="E10" s="262">
        <v>8.3345000000000002</v>
      </c>
      <c r="F10" t="b">
        <f t="shared" si="3"/>
        <v>1</v>
      </c>
      <c r="G10" s="148" t="s">
        <v>61</v>
      </c>
      <c r="H10" s="149">
        <v>4.1673</v>
      </c>
      <c r="I10" s="262">
        <v>4.1673</v>
      </c>
      <c r="J10" t="b">
        <f t="shared" si="0"/>
        <v>1</v>
      </c>
      <c r="K10" s="148" t="s">
        <v>63</v>
      </c>
      <c r="L10" s="149">
        <v>10.061199999999999</v>
      </c>
      <c r="M10" s="262">
        <v>10.061199999999999</v>
      </c>
      <c r="N10" t="b">
        <f t="shared" si="1"/>
        <v>1</v>
      </c>
      <c r="O10" s="148" t="s">
        <v>65</v>
      </c>
      <c r="P10" s="154">
        <v>12.4557</v>
      </c>
      <c r="Q10" s="266">
        <v>12.4557</v>
      </c>
      <c r="R10" t="b">
        <f t="shared" si="2"/>
        <v>1</v>
      </c>
    </row>
    <row r="11" spans="3:18" ht="21" thickBot="1" x14ac:dyDescent="0.35">
      <c r="C11" s="155" t="s">
        <v>62</v>
      </c>
      <c r="D11" s="149">
        <v>8.68</v>
      </c>
      <c r="E11" s="262">
        <v>8.68</v>
      </c>
      <c r="F11" t="b">
        <f t="shared" si="3"/>
        <v>1</v>
      </c>
      <c r="G11" s="148" t="s">
        <v>62</v>
      </c>
      <c r="H11" s="149">
        <v>4.34</v>
      </c>
      <c r="I11" s="262">
        <v>4.34</v>
      </c>
      <c r="J11" t="b">
        <f t="shared" si="0"/>
        <v>1</v>
      </c>
      <c r="K11" s="148" t="s">
        <v>64</v>
      </c>
      <c r="L11" s="149">
        <v>11.166499999999999</v>
      </c>
      <c r="M11" s="262">
        <v>11.166499999999999</v>
      </c>
      <c r="N11" t="b">
        <f t="shared" si="1"/>
        <v>1</v>
      </c>
      <c r="O11" s="148" t="s">
        <v>66</v>
      </c>
      <c r="P11" s="154">
        <v>15.057399999999999</v>
      </c>
      <c r="Q11" s="266">
        <v>15.057399999999999</v>
      </c>
      <c r="R11" t="b">
        <f t="shared" si="2"/>
        <v>1</v>
      </c>
    </row>
    <row r="12" spans="3:18" ht="15" thickBot="1" x14ac:dyDescent="0.35">
      <c r="C12" s="155" t="s">
        <v>63</v>
      </c>
      <c r="D12" s="149">
        <v>10.061199999999999</v>
      </c>
      <c r="E12" s="262">
        <v>10.061199999999999</v>
      </c>
      <c r="F12" t="b">
        <f t="shared" si="3"/>
        <v>1</v>
      </c>
      <c r="G12" s="148" t="s">
        <v>63</v>
      </c>
      <c r="H12" s="149">
        <v>5.0305999999999997</v>
      </c>
      <c r="I12" s="262">
        <v>5.0305999999999997</v>
      </c>
      <c r="J12" t="b">
        <f t="shared" si="0"/>
        <v>1</v>
      </c>
      <c r="K12" s="148" t="s">
        <v>65</v>
      </c>
      <c r="L12" s="149">
        <v>12.4557</v>
      </c>
      <c r="M12" s="262">
        <v>12.4557</v>
      </c>
      <c r="N12" t="b">
        <f t="shared" si="1"/>
        <v>1</v>
      </c>
    </row>
    <row r="13" spans="3:18" ht="21" thickBot="1" x14ac:dyDescent="0.35">
      <c r="C13" s="155" t="s">
        <v>64</v>
      </c>
      <c r="D13" s="149">
        <v>11.166499999999999</v>
      </c>
      <c r="E13" s="262">
        <v>11.166499999999999</v>
      </c>
      <c r="F13" t="b">
        <f t="shared" si="3"/>
        <v>1</v>
      </c>
      <c r="G13" s="148" t="s">
        <v>64</v>
      </c>
      <c r="H13" s="149">
        <v>5.5833000000000004</v>
      </c>
      <c r="I13" s="262">
        <v>5.5833000000000004</v>
      </c>
      <c r="J13" t="b">
        <f t="shared" si="0"/>
        <v>1</v>
      </c>
      <c r="K13" s="148" t="s">
        <v>66</v>
      </c>
      <c r="L13" s="149">
        <v>15.057399999999999</v>
      </c>
      <c r="M13" s="262">
        <v>15.057399999999999</v>
      </c>
      <c r="N13" t="b">
        <f t="shared" si="1"/>
        <v>1</v>
      </c>
    </row>
    <row r="14" spans="3:18" ht="15" thickBot="1" x14ac:dyDescent="0.35">
      <c r="C14" s="155" t="s">
        <v>65</v>
      </c>
      <c r="D14" s="149">
        <v>12.4557</v>
      </c>
      <c r="E14" s="262">
        <v>12.4557</v>
      </c>
      <c r="F14" t="b">
        <f t="shared" si="3"/>
        <v>1</v>
      </c>
      <c r="G14" s="148" t="s">
        <v>65</v>
      </c>
      <c r="H14" s="149">
        <v>6.2279</v>
      </c>
      <c r="I14" s="262">
        <v>6.2279</v>
      </c>
      <c r="J14" t="b">
        <f t="shared" si="0"/>
        <v>1</v>
      </c>
      <c r="K14" s="150"/>
      <c r="L14" s="151"/>
    </row>
    <row r="15" spans="3:18" ht="21" thickBot="1" x14ac:dyDescent="0.35">
      <c r="C15" s="157" t="s">
        <v>66</v>
      </c>
      <c r="D15" s="158">
        <v>15.057399999999999</v>
      </c>
      <c r="E15" s="263">
        <v>15.057399999999999</v>
      </c>
      <c r="F15" t="b">
        <f t="shared" si="3"/>
        <v>1</v>
      </c>
      <c r="G15" s="159" t="s">
        <v>66</v>
      </c>
      <c r="H15" s="158">
        <v>7.5286999999999997</v>
      </c>
      <c r="I15" s="263">
        <v>7.5286999999999997</v>
      </c>
      <c r="J15" t="b">
        <f t="shared" si="0"/>
        <v>1</v>
      </c>
      <c r="K15" s="160"/>
      <c r="L15" s="161"/>
    </row>
    <row r="18" spans="3:14" ht="15" thickBot="1" x14ac:dyDescent="0.35"/>
    <row r="19" spans="3:14" ht="15" thickBot="1" x14ac:dyDescent="0.35">
      <c r="C19" s="191" t="s">
        <v>84</v>
      </c>
      <c r="D19" s="175"/>
      <c r="G19" s="166" t="s">
        <v>85</v>
      </c>
      <c r="H19" s="175"/>
      <c r="K19" s="166" t="s">
        <v>86</v>
      </c>
      <c r="L19" s="167"/>
    </row>
    <row r="20" spans="3:14" ht="31.2" thickBot="1" x14ac:dyDescent="0.35">
      <c r="C20" s="143" t="s">
        <v>87</v>
      </c>
      <c r="D20" s="143" t="s">
        <v>88</v>
      </c>
      <c r="E20" t="s">
        <v>95</v>
      </c>
      <c r="F20" t="s">
        <v>96</v>
      </c>
      <c r="G20" s="143" t="s">
        <v>87</v>
      </c>
      <c r="H20" s="144" t="s">
        <v>88</v>
      </c>
      <c r="I20" t="s">
        <v>95</v>
      </c>
      <c r="J20" t="s">
        <v>96</v>
      </c>
      <c r="K20" s="145" t="s">
        <v>87</v>
      </c>
      <c r="L20" s="144" t="s">
        <v>88</v>
      </c>
      <c r="M20" t="s">
        <v>95</v>
      </c>
      <c r="N20" t="s">
        <v>96</v>
      </c>
    </row>
    <row r="21" spans="3:14" ht="15" thickBot="1" x14ac:dyDescent="0.35">
      <c r="C21" s="153" t="s">
        <v>57</v>
      </c>
      <c r="D21" s="147">
        <v>1.9496</v>
      </c>
      <c r="E21" s="261">
        <v>1.9496</v>
      </c>
      <c r="F21" t="b">
        <f>D21=E21</f>
        <v>1</v>
      </c>
      <c r="G21" s="148" t="s">
        <v>92</v>
      </c>
      <c r="H21" s="149">
        <v>3.254</v>
      </c>
      <c r="I21" s="264">
        <v>3.254</v>
      </c>
      <c r="J21" t="b">
        <f>H21=I21</f>
        <v>1</v>
      </c>
      <c r="K21" s="148" t="s">
        <v>93</v>
      </c>
      <c r="L21" s="154">
        <v>5.1894</v>
      </c>
      <c r="M21" s="265">
        <v>5.1894</v>
      </c>
      <c r="N21" t="b">
        <f>L21=M21</f>
        <v>1</v>
      </c>
    </row>
    <row r="22" spans="3:14" ht="15" thickBot="1" x14ac:dyDescent="0.35">
      <c r="C22" s="155" t="s">
        <v>58</v>
      </c>
      <c r="D22" s="149">
        <v>2.3653</v>
      </c>
      <c r="E22" s="262">
        <v>2.3653</v>
      </c>
      <c r="F22" t="b">
        <f t="shared" ref="F22:F30" si="4">D22=E22</f>
        <v>1</v>
      </c>
      <c r="G22" s="148" t="s">
        <v>60</v>
      </c>
      <c r="H22" s="149">
        <v>4.2289000000000003</v>
      </c>
      <c r="I22" s="262">
        <v>4.2289000000000003</v>
      </c>
      <c r="J22" t="b">
        <f t="shared" ref="J22:J28" si="5">H22=I22</f>
        <v>1</v>
      </c>
      <c r="K22" s="148" t="s">
        <v>62</v>
      </c>
      <c r="L22" s="154">
        <v>5.4039999999999999</v>
      </c>
      <c r="M22" s="266">
        <v>5.4039999999999999</v>
      </c>
      <c r="N22" t="b">
        <f t="shared" ref="N22:N26" si="6">L22=M22</f>
        <v>1</v>
      </c>
    </row>
    <row r="23" spans="3:14" ht="15" thickBot="1" x14ac:dyDescent="0.35">
      <c r="C23" s="155" t="s">
        <v>59</v>
      </c>
      <c r="D23" s="149">
        <v>3.254</v>
      </c>
      <c r="E23" s="262">
        <v>3.254</v>
      </c>
      <c r="F23" t="b">
        <f t="shared" si="4"/>
        <v>1</v>
      </c>
      <c r="G23" s="148" t="s">
        <v>61</v>
      </c>
      <c r="H23" s="149">
        <v>5.1894</v>
      </c>
      <c r="I23" s="262">
        <v>5.1894</v>
      </c>
      <c r="J23" t="b">
        <f t="shared" si="5"/>
        <v>1</v>
      </c>
      <c r="K23" s="148" t="s">
        <v>63</v>
      </c>
      <c r="L23" s="154">
        <v>6.2641999999999998</v>
      </c>
      <c r="M23" s="266">
        <v>6.2641999999999998</v>
      </c>
      <c r="N23" t="b">
        <f t="shared" si="6"/>
        <v>1</v>
      </c>
    </row>
    <row r="24" spans="3:14" ht="15" thickBot="1" x14ac:dyDescent="0.35">
      <c r="C24" s="155" t="s">
        <v>60</v>
      </c>
      <c r="D24" s="149">
        <v>4.2289000000000003</v>
      </c>
      <c r="E24" s="262">
        <v>4.2289000000000003</v>
      </c>
      <c r="F24" t="b">
        <f t="shared" si="4"/>
        <v>1</v>
      </c>
      <c r="G24" s="148" t="s">
        <v>62</v>
      </c>
      <c r="H24" s="149">
        <v>5.4039999999999999</v>
      </c>
      <c r="I24" s="262">
        <v>5.4039999999999999</v>
      </c>
      <c r="J24" t="b">
        <f t="shared" si="5"/>
        <v>1</v>
      </c>
      <c r="K24" s="148" t="s">
        <v>64</v>
      </c>
      <c r="L24" s="154">
        <v>6.9523000000000001</v>
      </c>
      <c r="M24" s="266">
        <v>6.9523000000000001</v>
      </c>
      <c r="N24" t="b">
        <f t="shared" si="6"/>
        <v>1</v>
      </c>
    </row>
    <row r="25" spans="3:14" ht="15" thickBot="1" x14ac:dyDescent="0.35">
      <c r="C25" s="155" t="s">
        <v>61</v>
      </c>
      <c r="D25" s="149">
        <v>5.1893000000000002</v>
      </c>
      <c r="E25" s="262">
        <v>5.1893000000000002</v>
      </c>
      <c r="F25" t="b">
        <f t="shared" si="4"/>
        <v>1</v>
      </c>
      <c r="G25" s="148" t="s">
        <v>63</v>
      </c>
      <c r="H25" s="149">
        <v>6.2641999999999998</v>
      </c>
      <c r="I25" s="262">
        <v>6.2641999999999998</v>
      </c>
      <c r="J25" t="b">
        <f t="shared" si="5"/>
        <v>1</v>
      </c>
      <c r="K25" s="148" t="s">
        <v>65</v>
      </c>
      <c r="L25" s="154">
        <v>7.7552000000000003</v>
      </c>
      <c r="M25" s="266">
        <v>7.7552000000000003</v>
      </c>
      <c r="N25" t="b">
        <f t="shared" si="6"/>
        <v>1</v>
      </c>
    </row>
    <row r="26" spans="3:14" ht="21" thickBot="1" x14ac:dyDescent="0.35">
      <c r="C26" s="155" t="s">
        <v>62</v>
      </c>
      <c r="D26" s="149">
        <v>5.4043000000000001</v>
      </c>
      <c r="E26" s="262">
        <v>5.4043000000000001</v>
      </c>
      <c r="F26" t="b">
        <f t="shared" si="4"/>
        <v>1</v>
      </c>
      <c r="G26" s="148" t="s">
        <v>64</v>
      </c>
      <c r="H26" s="149">
        <v>6.9523000000000001</v>
      </c>
      <c r="I26" s="262">
        <v>6.9523000000000001</v>
      </c>
      <c r="J26" t="b">
        <f t="shared" si="5"/>
        <v>1</v>
      </c>
      <c r="K26" s="148" t="s">
        <v>66</v>
      </c>
      <c r="L26" s="154">
        <v>9.3749000000000002</v>
      </c>
      <c r="M26" s="266">
        <v>9.3749000000000002</v>
      </c>
      <c r="N26" t="b">
        <f t="shared" si="6"/>
        <v>1</v>
      </c>
    </row>
    <row r="27" spans="3:14" ht="15" thickBot="1" x14ac:dyDescent="0.35">
      <c r="C27" s="155" t="s">
        <v>63</v>
      </c>
      <c r="D27" s="149">
        <v>6.2644000000000002</v>
      </c>
      <c r="E27" s="262">
        <v>6.2644000000000002</v>
      </c>
      <c r="F27" t="b">
        <f t="shared" si="4"/>
        <v>1</v>
      </c>
      <c r="G27" s="148" t="s">
        <v>65</v>
      </c>
      <c r="H27" s="149">
        <v>7.7552000000000003</v>
      </c>
      <c r="I27" s="262">
        <v>7.7552000000000003</v>
      </c>
      <c r="J27" t="b">
        <f t="shared" si="5"/>
        <v>1</v>
      </c>
    </row>
    <row r="28" spans="3:14" ht="21" thickBot="1" x14ac:dyDescent="0.35">
      <c r="C28" s="155" t="s">
        <v>64</v>
      </c>
      <c r="D28" s="149">
        <v>6.9523999999999999</v>
      </c>
      <c r="E28" s="262">
        <v>6.9523999999999999</v>
      </c>
      <c r="F28" t="b">
        <f t="shared" si="4"/>
        <v>1</v>
      </c>
      <c r="G28" s="148" t="s">
        <v>66</v>
      </c>
      <c r="H28" s="149">
        <v>9.3749000000000002</v>
      </c>
      <c r="I28" s="262">
        <v>9.3749000000000002</v>
      </c>
      <c r="J28" t="b">
        <f t="shared" si="5"/>
        <v>1</v>
      </c>
    </row>
    <row r="29" spans="3:14" ht="15" thickBot="1" x14ac:dyDescent="0.35">
      <c r="C29" s="155" t="s">
        <v>65</v>
      </c>
      <c r="D29" s="149">
        <v>7.7552000000000003</v>
      </c>
      <c r="E29" s="262">
        <v>7.7552000000000003</v>
      </c>
      <c r="F29" t="b">
        <f t="shared" si="4"/>
        <v>1</v>
      </c>
    </row>
    <row r="30" spans="3:14" ht="21" thickBot="1" x14ac:dyDescent="0.35">
      <c r="C30" s="155" t="s">
        <v>66</v>
      </c>
      <c r="D30" s="149">
        <v>9.375</v>
      </c>
      <c r="E30" s="262">
        <v>9.375</v>
      </c>
      <c r="F30" t="b">
        <f t="shared" si="4"/>
        <v>1</v>
      </c>
    </row>
  </sheetData>
  <mergeCells count="7">
    <mergeCell ref="C4:D4"/>
    <mergeCell ref="G4:H4"/>
    <mergeCell ref="K4:L4"/>
    <mergeCell ref="O4:P4"/>
    <mergeCell ref="C19:D19"/>
    <mergeCell ref="G19:H19"/>
    <mergeCell ref="K19:L19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20CD-34F3-4BB1-898C-3285BB4525CF}">
  <dimension ref="A1:P126"/>
  <sheetViews>
    <sheetView showGridLines="0" topLeftCell="D1" workbookViewId="0">
      <selection activeCell="L8" sqref="L8"/>
    </sheetView>
  </sheetViews>
  <sheetFormatPr defaultRowHeight="14.4" x14ac:dyDescent="0.3"/>
  <cols>
    <col min="1" max="1" width="11.6640625" customWidth="1"/>
    <col min="2" max="2" width="25" customWidth="1"/>
    <col min="3" max="3" width="24" customWidth="1"/>
    <col min="4" max="4" width="23.6640625" customWidth="1"/>
    <col min="5" max="5" width="23.33203125" customWidth="1"/>
    <col min="6" max="7" width="9.109375" style="91"/>
    <col min="8" max="8" width="15.33203125" bestFit="1" customWidth="1"/>
    <col min="9" max="9" width="12.44140625" customWidth="1"/>
    <col min="10" max="10" width="15.33203125" bestFit="1" customWidth="1"/>
    <col min="11" max="11" width="12.44140625" customWidth="1"/>
    <col min="12" max="12" width="15.33203125" bestFit="1" customWidth="1"/>
    <col min="13" max="13" width="12.44140625" customWidth="1"/>
  </cols>
  <sheetData>
    <row r="1" spans="1:16" ht="37.5" customHeight="1" thickTop="1" thickBot="1" x14ac:dyDescent="0.35">
      <c r="A1" s="89" t="s">
        <v>82</v>
      </c>
      <c r="B1" s="185" t="s">
        <v>50</v>
      </c>
      <c r="C1" s="186"/>
      <c r="D1" s="186"/>
      <c r="E1" s="187"/>
      <c r="H1" s="210" t="s">
        <v>50</v>
      </c>
      <c r="I1" s="211"/>
      <c r="J1" s="211"/>
      <c r="K1" s="211"/>
      <c r="L1" s="211"/>
      <c r="M1" s="212"/>
      <c r="O1" t="s">
        <v>90</v>
      </c>
      <c r="P1" s="132">
        <v>0</v>
      </c>
    </row>
    <row r="2" spans="1:16" ht="16.8" thickBot="1" x14ac:dyDescent="0.35">
      <c r="A2" s="99">
        <v>4.5400000000000003E-2</v>
      </c>
      <c r="B2" s="188" t="s">
        <v>51</v>
      </c>
      <c r="C2" s="189"/>
      <c r="D2" s="189"/>
      <c r="E2" s="190"/>
      <c r="H2" s="207" t="s">
        <v>83</v>
      </c>
      <c r="I2" s="208"/>
      <c r="J2" s="208"/>
      <c r="K2" s="208"/>
      <c r="L2" s="208"/>
      <c r="M2" s="209"/>
    </row>
    <row r="3" spans="1:16" s="16" customFormat="1" ht="15.75" customHeight="1" thickBot="1" x14ac:dyDescent="0.35">
      <c r="A3" s="90"/>
      <c r="B3" s="64" t="s">
        <v>1</v>
      </c>
      <c r="C3" s="62" t="s">
        <v>52</v>
      </c>
      <c r="D3" s="63" t="s">
        <v>53</v>
      </c>
      <c r="E3" s="63" t="s">
        <v>54</v>
      </c>
      <c r="F3" s="92"/>
      <c r="G3" s="92"/>
      <c r="H3" s="213" t="s">
        <v>84</v>
      </c>
      <c r="I3" s="214"/>
      <c r="J3" s="215" t="s">
        <v>85</v>
      </c>
      <c r="K3" s="214"/>
      <c r="L3" s="215" t="s">
        <v>86</v>
      </c>
      <c r="M3" s="216"/>
    </row>
    <row r="4" spans="1:16" ht="29.4" thickBot="1" x14ac:dyDescent="0.35">
      <c r="A4" s="91"/>
      <c r="B4" s="65" t="s">
        <v>4</v>
      </c>
      <c r="C4" s="66" t="s">
        <v>20</v>
      </c>
      <c r="D4" s="74" t="s">
        <v>20</v>
      </c>
      <c r="E4" s="75" t="s">
        <v>20</v>
      </c>
      <c r="H4" s="121" t="s">
        <v>87</v>
      </c>
      <c r="I4" s="122" t="s">
        <v>88</v>
      </c>
      <c r="J4" s="122" t="s">
        <v>87</v>
      </c>
      <c r="K4" s="123" t="s">
        <v>88</v>
      </c>
      <c r="L4" s="124" t="s">
        <v>87</v>
      </c>
      <c r="M4" s="125" t="s">
        <v>88</v>
      </c>
    </row>
    <row r="5" spans="1:16" ht="14.85" customHeight="1" thickBot="1" x14ac:dyDescent="0.35">
      <c r="A5" s="91"/>
      <c r="B5" s="103" t="s">
        <v>57</v>
      </c>
      <c r="C5" s="104">
        <f>('TARIFAS 2017'!D5*'TARIFAS 2020'!$A$2)+'TARIFAS 2017'!D5</f>
        <v>3.1311820800000003</v>
      </c>
      <c r="D5" s="192">
        <f>('TARIFAS 2017'!E5:E7*'TARIFAS 2020'!$A$2)+'TARIFAS 2017'!E5:E7</f>
        <v>5.2263727599999994</v>
      </c>
      <c r="E5" s="195">
        <f>('TARIFAS 2017'!F5:F9*'TARIFAS 2020'!$A$2)+'TARIFAS 2017'!F5:F9</f>
        <v>8.3344515000000001</v>
      </c>
      <c r="G5" s="94"/>
      <c r="H5" s="136" t="s">
        <v>57</v>
      </c>
      <c r="I5" s="137">
        <f>ROUND((1+P$1)*ROUND(C5,4),4)</f>
        <v>3.1312000000000002</v>
      </c>
      <c r="J5" s="138" t="s">
        <v>92</v>
      </c>
      <c r="K5" s="139">
        <f>ROUND((1+$P$1)*ROUND(D5,4),4)</f>
        <v>5.2263999999999999</v>
      </c>
      <c r="L5" s="138" t="s">
        <v>93</v>
      </c>
      <c r="M5" s="139">
        <f>ROUND((1+$P$1)*ROUND(E5,4),4)</f>
        <v>8.3345000000000002</v>
      </c>
    </row>
    <row r="6" spans="1:16" ht="14.85" customHeight="1" thickBot="1" x14ac:dyDescent="0.35">
      <c r="A6" s="91"/>
      <c r="B6" s="103" t="s">
        <v>58</v>
      </c>
      <c r="C6" s="104">
        <f>('TARIFAS 2017'!D6*'TARIFAS 2020'!$A$2)+'TARIFAS 2017'!D6</f>
        <v>3.79887906</v>
      </c>
      <c r="D6" s="193"/>
      <c r="E6" s="196"/>
      <c r="G6" s="94"/>
      <c r="H6" s="138" t="s">
        <v>58</v>
      </c>
      <c r="I6" s="139">
        <f t="shared" ref="I6:I14" si="0">ROUND((1+P$1)*ROUND(C6,4),4)</f>
        <v>3.7989000000000002</v>
      </c>
      <c r="J6" s="138" t="s">
        <v>60</v>
      </c>
      <c r="K6" s="139">
        <f t="shared" ref="K6:K12" si="1">ROUND((1+$P$1)*ROUND(D8,4),4)</f>
        <v>6.7952000000000004</v>
      </c>
      <c r="L6" s="138" t="s">
        <v>62</v>
      </c>
      <c r="M6" s="139">
        <f>ROUND((1+$P$1)*ROUND(E10,4),4)</f>
        <v>8.68</v>
      </c>
    </row>
    <row r="7" spans="1:16" ht="14.85" customHeight="1" thickBot="1" x14ac:dyDescent="0.35">
      <c r="A7" s="91"/>
      <c r="B7" s="103" t="s">
        <v>59</v>
      </c>
      <c r="C7" s="104">
        <f>('TARIFAS 2017'!D7*'TARIFAS 2020'!$A$2)+'TARIFAS 2017'!D7</f>
        <v>5.2263727599999994</v>
      </c>
      <c r="D7" s="194"/>
      <c r="E7" s="196"/>
      <c r="G7" s="94"/>
      <c r="H7" s="138" t="s">
        <v>59</v>
      </c>
      <c r="I7" s="139">
        <f t="shared" si="0"/>
        <v>5.2263999999999999</v>
      </c>
      <c r="J7" s="138" t="s">
        <v>61</v>
      </c>
      <c r="K7" s="139">
        <f t="shared" si="1"/>
        <v>8.3345000000000002</v>
      </c>
      <c r="L7" s="138" t="s">
        <v>63</v>
      </c>
      <c r="M7" s="139">
        <f>ROUND((1+$P$1)*ROUND(E11,4),4)</f>
        <v>10.061199999999999</v>
      </c>
    </row>
    <row r="8" spans="1:16" ht="14.85" customHeight="1" thickBot="1" x14ac:dyDescent="0.35">
      <c r="A8" s="91"/>
      <c r="B8" s="103" t="s">
        <v>60</v>
      </c>
      <c r="C8" s="104">
        <f>('TARIFAS 2017'!D8*'TARIFAS 2020'!$A$2)+'TARIFAS 2017'!D8</f>
        <v>6.7952045399999994</v>
      </c>
      <c r="D8" s="106">
        <f>('TARIFAS 2017'!E8*'TARIFAS 2020'!$A$2)+'TARIFAS 2017'!E8</f>
        <v>6.7952045399999994</v>
      </c>
      <c r="E8" s="196"/>
      <c r="G8" s="94"/>
      <c r="H8" s="138" t="s">
        <v>60</v>
      </c>
      <c r="I8" s="139">
        <f t="shared" si="0"/>
        <v>6.7952000000000004</v>
      </c>
      <c r="J8" s="138" t="s">
        <v>62</v>
      </c>
      <c r="K8" s="139">
        <f t="shared" si="1"/>
        <v>8.68</v>
      </c>
      <c r="L8" s="138" t="s">
        <v>64</v>
      </c>
      <c r="M8" s="139">
        <f>ROUND((1+$P$1)*ROUND(E12,4),4)</f>
        <v>11.166499999999999</v>
      </c>
    </row>
    <row r="9" spans="1:16" ht="14.85" customHeight="1" thickBot="1" x14ac:dyDescent="0.35">
      <c r="A9" s="91"/>
      <c r="B9" s="103" t="s">
        <v>61</v>
      </c>
      <c r="C9" s="104">
        <f>('TARIFAS 2017'!D9*'TARIFAS 2020'!$A$2)+'TARIFAS 2017'!D9</f>
        <v>8.3344515000000001</v>
      </c>
      <c r="D9" s="106">
        <f>('TARIFAS 2017'!E9*'TARIFAS 2020'!$A$2)+'TARIFAS 2017'!E9</f>
        <v>8.3344515000000001</v>
      </c>
      <c r="E9" s="197"/>
      <c r="F9" s="95"/>
      <c r="G9" s="94"/>
      <c r="H9" s="138" t="s">
        <v>61</v>
      </c>
      <c r="I9" s="139">
        <f t="shared" si="0"/>
        <v>8.3345000000000002</v>
      </c>
      <c r="J9" s="138" t="s">
        <v>63</v>
      </c>
      <c r="K9" s="139">
        <f t="shared" si="1"/>
        <v>10.061199999999999</v>
      </c>
      <c r="L9" s="138" t="s">
        <v>65</v>
      </c>
      <c r="M9" s="139">
        <f>ROUND((1+$P$1)*ROUND(E13,4),4)</f>
        <v>12.4557</v>
      </c>
    </row>
    <row r="10" spans="1:16" ht="14.85" customHeight="1" thickBot="1" x14ac:dyDescent="0.35">
      <c r="A10" s="91"/>
      <c r="B10" s="103" t="s">
        <v>62</v>
      </c>
      <c r="C10" s="104">
        <f>('TARIFAS 2017'!D10*'TARIFAS 2020'!$A$2)+'TARIFAS 2017'!D10</f>
        <v>8.6799562000000012</v>
      </c>
      <c r="D10" s="106">
        <f>('TARIFAS 2017'!E10*'TARIFAS 2020'!$A$2)+'TARIFAS 2017'!E10</f>
        <v>8.6799562000000012</v>
      </c>
      <c r="E10" s="107">
        <f>('TARIFAS 2017'!F10*'TARIFAS 2020'!$A$2)+'TARIFAS 2017'!F10</f>
        <v>8.6799562000000012</v>
      </c>
      <c r="F10" s="95"/>
      <c r="G10" s="94"/>
      <c r="H10" s="138" t="s">
        <v>62</v>
      </c>
      <c r="I10" s="139">
        <f t="shared" si="0"/>
        <v>8.68</v>
      </c>
      <c r="J10" s="138" t="s">
        <v>64</v>
      </c>
      <c r="K10" s="139">
        <f t="shared" si="1"/>
        <v>11.166499999999999</v>
      </c>
      <c r="L10" s="138" t="s">
        <v>66</v>
      </c>
      <c r="M10" s="139">
        <f>ROUND((1+$P$1)*ROUND(E14,4),4)</f>
        <v>15.057399999999999</v>
      </c>
    </row>
    <row r="11" spans="1:16" ht="14.85" customHeight="1" thickBot="1" x14ac:dyDescent="0.35">
      <c r="A11" s="91"/>
      <c r="B11" s="103" t="s">
        <v>63</v>
      </c>
      <c r="C11" s="104">
        <f>('TARIFAS 2017'!D11*'TARIFAS 2020'!$A$2)+'TARIFAS 2017'!D11</f>
        <v>10.06124322</v>
      </c>
      <c r="D11" s="106">
        <f>('TARIFAS 2017'!E11*'TARIFAS 2020'!$A$2)+'TARIFAS 2017'!E11</f>
        <v>10.06124322</v>
      </c>
      <c r="E11" s="107">
        <f>('TARIFAS 2017'!F11*'TARIFAS 2020'!$A$2)+'TARIFAS 2017'!F11</f>
        <v>10.06124322</v>
      </c>
      <c r="F11" s="95">
        <f>E11-E10</f>
        <v>1.3812870199999985</v>
      </c>
      <c r="G11" s="94"/>
      <c r="H11" s="138" t="s">
        <v>63</v>
      </c>
      <c r="I11" s="139">
        <f t="shared" si="0"/>
        <v>10.061199999999999</v>
      </c>
      <c r="J11" s="138" t="s">
        <v>65</v>
      </c>
      <c r="K11" s="139">
        <f t="shared" si="1"/>
        <v>12.4557</v>
      </c>
      <c r="L11" s="140"/>
      <c r="M11" s="141"/>
    </row>
    <row r="12" spans="1:16" ht="14.85" customHeight="1" thickBot="1" x14ac:dyDescent="0.35">
      <c r="A12" s="91"/>
      <c r="B12" s="103" t="s">
        <v>64</v>
      </c>
      <c r="C12" s="104">
        <f>('TARIFAS 2017'!D12*'TARIFAS 2020'!$A$2)+'TARIFAS 2017'!D12</f>
        <v>11.16654464</v>
      </c>
      <c r="D12" s="106">
        <f>('TARIFAS 2017'!E12*'TARIFAS 2020'!$A$2)+'TARIFAS 2017'!E12</f>
        <v>11.16654464</v>
      </c>
      <c r="E12" s="107">
        <f>('TARIFAS 2017'!F12*'TARIFAS 2020'!$A$2)+'TARIFAS 2017'!F12</f>
        <v>11.16654464</v>
      </c>
      <c r="F12" s="95">
        <f>E12-E11</f>
        <v>1.10530142</v>
      </c>
      <c r="G12" s="94"/>
      <c r="H12" s="138" t="s">
        <v>64</v>
      </c>
      <c r="I12" s="139">
        <f t="shared" si="0"/>
        <v>11.166499999999999</v>
      </c>
      <c r="J12" s="138" t="s">
        <v>66</v>
      </c>
      <c r="K12" s="139">
        <f t="shared" si="1"/>
        <v>15.057399999999999</v>
      </c>
      <c r="L12" s="140"/>
      <c r="M12" s="141"/>
    </row>
    <row r="13" spans="1:16" ht="14.85" customHeight="1" thickBot="1" x14ac:dyDescent="0.35">
      <c r="A13" s="91"/>
      <c r="B13" s="103" t="s">
        <v>65</v>
      </c>
      <c r="C13" s="104">
        <f>('TARIFAS 2017'!D13*'TARIFAS 2020'!$A$2)+'TARIFAS 2017'!D13</f>
        <v>12.45573192</v>
      </c>
      <c r="D13" s="106">
        <f>('TARIFAS 2017'!E13*'TARIFAS 2020'!$A$2)+'TARIFAS 2017'!E13</f>
        <v>12.45573192</v>
      </c>
      <c r="E13" s="107">
        <f>('TARIFAS 2017'!F13*'TARIFAS 2020'!$A$2)+'TARIFAS 2017'!F13</f>
        <v>12.45573192</v>
      </c>
      <c r="F13" s="95">
        <f>E13-E12</f>
        <v>1.2891872800000002</v>
      </c>
      <c r="G13" s="94"/>
      <c r="H13" s="138" t="s">
        <v>65</v>
      </c>
      <c r="I13" s="139">
        <f t="shared" si="0"/>
        <v>12.4557</v>
      </c>
      <c r="J13" s="140"/>
      <c r="K13" s="141"/>
      <c r="L13" s="140"/>
      <c r="M13" s="141"/>
    </row>
    <row r="14" spans="1:16" ht="14.85" customHeight="1" thickBot="1" x14ac:dyDescent="0.35">
      <c r="A14" s="91"/>
      <c r="B14" s="103" t="s">
        <v>66</v>
      </c>
      <c r="C14" s="104">
        <f>('TARIFAS 2017'!D14*'TARIFAS 2020'!$A$2)+'TARIFAS 2017'!D14</f>
        <v>15.0574189</v>
      </c>
      <c r="D14" s="106">
        <f>('TARIFAS 2017'!E14*'TARIFAS 2020'!$A$2)+'TARIFAS 2017'!E14</f>
        <v>15.0574189</v>
      </c>
      <c r="E14" s="107">
        <f>('TARIFAS 2017'!F14*'TARIFAS 2020'!$A$2)+'TARIFAS 2017'!F14</f>
        <v>15.0574189</v>
      </c>
      <c r="F14" s="95">
        <f>E14-E13</f>
        <v>2.6016869800000002</v>
      </c>
      <c r="G14" s="96"/>
      <c r="H14" s="138" t="s">
        <v>66</v>
      </c>
      <c r="I14" s="139">
        <f t="shared" si="0"/>
        <v>15.057399999999999</v>
      </c>
      <c r="J14" s="140"/>
      <c r="K14" s="141"/>
      <c r="L14" s="140"/>
      <c r="M14" s="141"/>
    </row>
    <row r="15" spans="1:16" ht="16.8" thickBot="1" x14ac:dyDescent="0.35">
      <c r="A15" s="91"/>
      <c r="B15" s="198" t="s">
        <v>22</v>
      </c>
      <c r="C15" s="199"/>
      <c r="D15" s="199"/>
      <c r="E15" s="200"/>
      <c r="F15" s="97"/>
      <c r="G15" s="96"/>
      <c r="H15" s="207" t="s">
        <v>89</v>
      </c>
      <c r="I15" s="208"/>
      <c r="J15" s="208"/>
      <c r="K15" s="208"/>
      <c r="L15" s="208"/>
      <c r="M15" s="209"/>
    </row>
    <row r="16" spans="1:16" ht="15" thickBot="1" x14ac:dyDescent="0.35">
      <c r="A16" s="91"/>
      <c r="B16" s="67" t="s">
        <v>24</v>
      </c>
      <c r="C16" s="68" t="s">
        <v>2</v>
      </c>
      <c r="D16" s="69" t="s">
        <v>3</v>
      </c>
      <c r="E16" s="70" t="s">
        <v>23</v>
      </c>
      <c r="G16" s="96"/>
      <c r="H16" s="217" t="s">
        <v>91</v>
      </c>
      <c r="I16" s="218"/>
      <c r="J16" s="218"/>
      <c r="K16" s="218"/>
      <c r="L16" s="218"/>
      <c r="M16" s="219"/>
    </row>
    <row r="17" spans="1:13" ht="15" thickBot="1" x14ac:dyDescent="0.35">
      <c r="A17" s="91"/>
      <c r="B17" s="78" t="s">
        <v>25</v>
      </c>
      <c r="C17" s="108">
        <f>C5*12</f>
        <v>37.574184960000004</v>
      </c>
      <c r="D17" s="109">
        <f>C17*50%</f>
        <v>18.787092480000002</v>
      </c>
      <c r="E17" s="110">
        <f>C17+D17</f>
        <v>56.361277440000009</v>
      </c>
      <c r="G17" s="96"/>
    </row>
    <row r="18" spans="1:13" ht="15.75" customHeight="1" thickBot="1" x14ac:dyDescent="0.35">
      <c r="A18" s="91"/>
      <c r="B18" s="79" t="s">
        <v>75</v>
      </c>
      <c r="C18" s="111">
        <f>D5*16</f>
        <v>83.62196415999999</v>
      </c>
      <c r="D18" s="109">
        <f t="shared" ref="D18:D21" si="2">C18*50%</f>
        <v>41.810982079999995</v>
      </c>
      <c r="E18" s="112">
        <f t="shared" ref="E18" si="3">C18+D18</f>
        <v>125.43294623999998</v>
      </c>
      <c r="G18" s="96"/>
      <c r="H18" s="220" t="str">
        <f>B22</f>
        <v>TABELA II - DISTRITOS: SENHORA DAS DORES, PINHEIRO GROSSO E SÃO SEBASTIÃO DOS TORRES; LOCALIDADES: CAMPESTRE, POMBAL E MARGARIDAS</v>
      </c>
      <c r="I18" s="221"/>
      <c r="J18" s="221"/>
      <c r="K18" s="221"/>
      <c r="L18" s="221"/>
      <c r="M18" s="222"/>
    </row>
    <row r="19" spans="1:13" ht="16.2" thickBot="1" x14ac:dyDescent="0.35">
      <c r="A19" s="91"/>
      <c r="B19" s="133"/>
      <c r="C19" s="134"/>
      <c r="D19" s="109"/>
      <c r="E19" s="135"/>
      <c r="G19" s="96"/>
      <c r="H19" s="213" t="s">
        <v>84</v>
      </c>
      <c r="I19" s="214"/>
      <c r="J19" s="215" t="s">
        <v>85</v>
      </c>
      <c r="K19" s="214"/>
      <c r="L19" s="215" t="s">
        <v>86</v>
      </c>
      <c r="M19" s="216"/>
    </row>
    <row r="20" spans="1:13" ht="29.4" thickBot="1" x14ac:dyDescent="0.35">
      <c r="A20" s="91"/>
      <c r="B20" s="133"/>
      <c r="C20" s="134"/>
      <c r="D20" s="109"/>
      <c r="E20" s="135"/>
      <c r="G20" s="96"/>
      <c r="H20" s="121" t="s">
        <v>87</v>
      </c>
      <c r="I20" s="122" t="s">
        <v>88</v>
      </c>
      <c r="J20" s="122" t="s">
        <v>87</v>
      </c>
      <c r="K20" s="123" t="s">
        <v>88</v>
      </c>
      <c r="L20" s="124" t="s">
        <v>87</v>
      </c>
      <c r="M20" s="125" t="s">
        <v>88</v>
      </c>
    </row>
    <row r="21" spans="1:13" ht="16.2" thickBot="1" x14ac:dyDescent="0.35">
      <c r="A21" s="91"/>
      <c r="B21" s="80" t="s">
        <v>76</v>
      </c>
      <c r="C21" s="113">
        <f>E5*30</f>
        <v>250.033545</v>
      </c>
      <c r="D21" s="109">
        <f t="shared" si="2"/>
        <v>125.0167725</v>
      </c>
      <c r="E21" s="114">
        <f>C21+D21</f>
        <v>375.05031750000001</v>
      </c>
      <c r="G21" s="96"/>
      <c r="H21" s="136" t="s">
        <v>57</v>
      </c>
      <c r="I21" s="137">
        <f>ROUND((1+$P$1)*ROUND(C25,4),4)</f>
        <v>1.9496</v>
      </c>
      <c r="J21" s="138" t="s">
        <v>92</v>
      </c>
      <c r="K21" s="139">
        <f>ROUND((1+$P$1)*ROUND(D25,4),4)</f>
        <v>3.254</v>
      </c>
      <c r="L21" s="138" t="s">
        <v>93</v>
      </c>
      <c r="M21" s="139">
        <f>ROUND((1+$P$1)*ROUND(E25,4),4)</f>
        <v>5.1894</v>
      </c>
    </row>
    <row r="22" spans="1:13" ht="17.25" customHeight="1" thickBot="1" x14ac:dyDescent="0.35">
      <c r="A22" s="91"/>
      <c r="B22" s="201" t="s">
        <v>55</v>
      </c>
      <c r="C22" s="202"/>
      <c r="D22" s="202"/>
      <c r="E22" s="203"/>
      <c r="H22" s="138" t="s">
        <v>58</v>
      </c>
      <c r="I22" s="139">
        <f t="shared" ref="I22:I30" si="4">ROUND((1+$P$1)*ROUND(C26,4),4)</f>
        <v>2.3653</v>
      </c>
      <c r="J22" s="138" t="s">
        <v>60</v>
      </c>
      <c r="K22" s="139">
        <f t="shared" ref="K22:K28" si="5">ROUND((1+$P$1)*ROUND(D28,4),4)</f>
        <v>4.2289000000000003</v>
      </c>
      <c r="L22" s="138" t="s">
        <v>62</v>
      </c>
      <c r="M22" s="139">
        <f>ROUND((1+$P$1)*ROUND(E30,4),4)</f>
        <v>5.4039999999999999</v>
      </c>
    </row>
    <row r="23" spans="1:13" ht="16.2" thickBot="1" x14ac:dyDescent="0.35">
      <c r="A23" s="91"/>
      <c r="B23" s="64" t="s">
        <v>1</v>
      </c>
      <c r="C23" s="62" t="s">
        <v>52</v>
      </c>
      <c r="D23" s="63" t="s">
        <v>53</v>
      </c>
      <c r="E23" s="63" t="s">
        <v>54</v>
      </c>
      <c r="H23" s="138" t="s">
        <v>59</v>
      </c>
      <c r="I23" s="139">
        <f t="shared" si="4"/>
        <v>3.254</v>
      </c>
      <c r="J23" s="138" t="s">
        <v>61</v>
      </c>
      <c r="K23" s="139">
        <f t="shared" si="5"/>
        <v>5.1894</v>
      </c>
      <c r="L23" s="138" t="s">
        <v>63</v>
      </c>
      <c r="M23" s="139">
        <f>ROUND((1+$P$1)*ROUND(E31,4),4)</f>
        <v>6.2641999999999998</v>
      </c>
    </row>
    <row r="24" spans="1:13" ht="16.2" thickBot="1" x14ac:dyDescent="0.35">
      <c r="A24" s="91"/>
      <c r="B24" s="65" t="s">
        <v>4</v>
      </c>
      <c r="C24" s="66" t="s">
        <v>20</v>
      </c>
      <c r="D24" s="74" t="s">
        <v>56</v>
      </c>
      <c r="E24" s="75" t="s">
        <v>56</v>
      </c>
      <c r="H24" s="138" t="s">
        <v>60</v>
      </c>
      <c r="I24" s="139">
        <f t="shared" si="4"/>
        <v>4.2289000000000003</v>
      </c>
      <c r="J24" s="138" t="s">
        <v>62</v>
      </c>
      <c r="K24" s="139">
        <f t="shared" si="5"/>
        <v>5.4039999999999999</v>
      </c>
      <c r="L24" s="138" t="s">
        <v>64</v>
      </c>
      <c r="M24" s="139">
        <f>ROUND((1+$P$1)*ROUND(E32,4),4)</f>
        <v>6.9523000000000001</v>
      </c>
    </row>
    <row r="25" spans="1:13" ht="14.85" customHeight="1" thickBot="1" x14ac:dyDescent="0.35">
      <c r="A25" s="91"/>
      <c r="B25" s="103" t="s">
        <v>57</v>
      </c>
      <c r="C25" s="104">
        <f>('TARIFAS 2017'!D23*'TARIFAS 2020'!$A$2)+'TARIFAS 2017'!D23</f>
        <v>1.94956646</v>
      </c>
      <c r="D25" s="192">
        <v>3.25401658</v>
      </c>
      <c r="E25" s="195">
        <v>5.1893656000000004</v>
      </c>
      <c r="H25" s="138" t="s">
        <v>61</v>
      </c>
      <c r="I25" s="139">
        <f t="shared" si="4"/>
        <v>5.1893000000000002</v>
      </c>
      <c r="J25" s="138" t="s">
        <v>63</v>
      </c>
      <c r="K25" s="139">
        <f t="shared" si="5"/>
        <v>6.2641999999999998</v>
      </c>
      <c r="L25" s="138" t="s">
        <v>65</v>
      </c>
      <c r="M25" s="139">
        <f>ROUND((1+$P$1)*ROUND(E33,4),4)</f>
        <v>7.7552000000000003</v>
      </c>
    </row>
    <row r="26" spans="1:13" ht="14.85" customHeight="1" thickBot="1" x14ac:dyDescent="0.35">
      <c r="A26" s="91"/>
      <c r="B26" s="103" t="s">
        <v>58</v>
      </c>
      <c r="C26" s="104">
        <f>('TARIFAS 2017'!D24*'TARIFAS 2020'!$A$2)+'TARIFAS 2017'!D24</f>
        <v>2.3653220400000001</v>
      </c>
      <c r="D26" s="193"/>
      <c r="E26" s="196"/>
      <c r="G26" s="98"/>
      <c r="H26" s="138" t="s">
        <v>62</v>
      </c>
      <c r="I26" s="139">
        <f t="shared" si="4"/>
        <v>5.4043000000000001</v>
      </c>
      <c r="J26" s="138" t="s">
        <v>64</v>
      </c>
      <c r="K26" s="139">
        <f t="shared" si="5"/>
        <v>6.9523000000000001</v>
      </c>
      <c r="L26" s="138" t="s">
        <v>66</v>
      </c>
      <c r="M26" s="139">
        <f>ROUND((1+$P$1)*ROUND(E34,4),4)</f>
        <v>9.3749000000000002</v>
      </c>
    </row>
    <row r="27" spans="1:13" ht="14.85" customHeight="1" thickBot="1" x14ac:dyDescent="0.35">
      <c r="A27" s="91"/>
      <c r="B27" s="103" t="s">
        <v>59</v>
      </c>
      <c r="C27" s="104">
        <v>3.2540165799999996</v>
      </c>
      <c r="D27" s="194"/>
      <c r="E27" s="196"/>
      <c r="G27" s="98"/>
      <c r="H27" s="138" t="s">
        <v>63</v>
      </c>
      <c r="I27" s="139">
        <f t="shared" si="4"/>
        <v>6.2644000000000002</v>
      </c>
      <c r="J27" s="138" t="s">
        <v>65</v>
      </c>
      <c r="K27" s="139">
        <f t="shared" si="5"/>
        <v>7.7552000000000003</v>
      </c>
      <c r="L27" s="140"/>
      <c r="M27" s="141"/>
    </row>
    <row r="28" spans="1:13" ht="14.85" customHeight="1" thickBot="1" x14ac:dyDescent="0.35">
      <c r="A28" s="91"/>
      <c r="B28" s="103" t="s">
        <v>60</v>
      </c>
      <c r="C28" s="104">
        <f>('TARIFAS 2017'!D26*'TARIFAS 2020'!$A$2)+'TARIFAS 2017'!D26</f>
        <v>4.2288520800000002</v>
      </c>
      <c r="D28" s="104">
        <f>('TARIFAS 2017'!E26*'TARIFAS 2020'!$A$2)+'TARIFAS 2017'!E26</f>
        <v>4.2288520800000002</v>
      </c>
      <c r="E28" s="196"/>
      <c r="G28" s="98"/>
      <c r="H28" s="138" t="s">
        <v>64</v>
      </c>
      <c r="I28" s="139">
        <f t="shared" si="4"/>
        <v>6.9523999999999999</v>
      </c>
      <c r="J28" s="138" t="s">
        <v>66</v>
      </c>
      <c r="K28" s="139">
        <f t="shared" si="5"/>
        <v>9.3749000000000002</v>
      </c>
      <c r="L28" s="140"/>
      <c r="M28" s="141"/>
    </row>
    <row r="29" spans="1:13" ht="14.85" customHeight="1" thickBot="1" x14ac:dyDescent="0.35">
      <c r="A29" s="91"/>
      <c r="B29" s="103" t="s">
        <v>61</v>
      </c>
      <c r="C29" s="104">
        <f>('TARIFAS 2017'!D27*'TARIFAS 2020'!$A$2)+'TARIFAS 2017'!D27</f>
        <v>5.1892610599999998</v>
      </c>
      <c r="D29" s="104">
        <v>5.1893656000000004</v>
      </c>
      <c r="E29" s="197"/>
      <c r="G29" s="98"/>
      <c r="H29" s="138" t="s">
        <v>65</v>
      </c>
      <c r="I29" s="139">
        <f t="shared" si="4"/>
        <v>7.7552000000000003</v>
      </c>
      <c r="J29" s="140"/>
      <c r="K29" s="141"/>
      <c r="L29" s="140"/>
      <c r="M29" s="141"/>
    </row>
    <row r="30" spans="1:13" ht="14.85" customHeight="1" thickBot="1" x14ac:dyDescent="0.35">
      <c r="A30" s="91"/>
      <c r="B30" s="103" t="s">
        <v>62</v>
      </c>
      <c r="C30" s="104">
        <f>('TARIFAS 2017'!D28*'TARIFAS 2020'!$A$2)+'TARIFAS 2017'!D28</f>
        <v>5.4042998400000002</v>
      </c>
      <c r="D30" s="104">
        <f>('TARIFAS 2017'!E28*'TARIFAS 2020'!$A$2)+'TARIFAS 2017'!E28</f>
        <v>5.4039862200000002</v>
      </c>
      <c r="E30" s="107">
        <f>('TARIFAS 2017'!F28*'TARIFAS 2020'!$A$2)+'TARIFAS 2017'!F28</f>
        <v>5.4039862200000002</v>
      </c>
      <c r="G30" s="98"/>
      <c r="H30" s="138" t="s">
        <v>66</v>
      </c>
      <c r="I30" s="139">
        <f t="shared" si="4"/>
        <v>9.375</v>
      </c>
      <c r="J30" s="140"/>
      <c r="K30" s="141"/>
      <c r="L30" s="140"/>
      <c r="M30" s="141"/>
    </row>
    <row r="31" spans="1:13" ht="14.85" customHeight="1" thickBot="1" x14ac:dyDescent="0.35">
      <c r="A31" s="91"/>
      <c r="B31" s="103" t="s">
        <v>63</v>
      </c>
      <c r="C31" s="104">
        <f>('TARIFAS 2017'!D29*'TARIFAS 2020'!$A$2)+'TARIFAS 2017'!D29</f>
        <v>6.2643504200000004</v>
      </c>
      <c r="D31" s="104">
        <f>('TARIFAS 2017'!E29*'TARIFAS 2020'!$A$2)+'TARIFAS 2017'!E29</f>
        <v>6.2642458800000007</v>
      </c>
      <c r="E31" s="107">
        <f>('TARIFAS 2017'!F29*'TARIFAS 2020'!$A$2)+'TARIFAS 2017'!F29</f>
        <v>6.2642458800000007</v>
      </c>
      <c r="G31" s="98"/>
      <c r="H31" s="207" t="s">
        <v>89</v>
      </c>
      <c r="I31" s="208"/>
      <c r="J31" s="208"/>
      <c r="K31" s="208"/>
      <c r="L31" s="208"/>
      <c r="M31" s="209"/>
    </row>
    <row r="32" spans="1:13" ht="14.85" customHeight="1" thickBot="1" x14ac:dyDescent="0.35">
      <c r="A32" s="91"/>
      <c r="B32" s="103" t="s">
        <v>64</v>
      </c>
      <c r="C32" s="104">
        <f>('TARIFAS 2017'!D30*'TARIFAS 2020'!$A$2)+'TARIFAS 2017'!D30</f>
        <v>6.9524327000000001</v>
      </c>
      <c r="D32" s="104">
        <f>('TARIFAS 2017'!E30*'TARIFAS 2020'!$A$2)+'TARIFAS 2017'!E30</f>
        <v>6.9523281600000004</v>
      </c>
      <c r="E32" s="107">
        <f>('TARIFAS 2017'!F30*'TARIFAS 2020'!$A$2)+'TARIFAS 2017'!F30</f>
        <v>6.9523281600000004</v>
      </c>
      <c r="G32" s="98"/>
      <c r="H32" s="217" t="s">
        <v>91</v>
      </c>
      <c r="I32" s="218"/>
      <c r="J32" s="218"/>
      <c r="K32" s="218"/>
      <c r="L32" s="218"/>
      <c r="M32" s="219"/>
    </row>
    <row r="33" spans="1:13" ht="14.85" customHeight="1" thickBot="1" x14ac:dyDescent="0.35">
      <c r="A33" s="91"/>
      <c r="B33" s="103" t="s">
        <v>65</v>
      </c>
      <c r="C33" s="104">
        <f>('TARIFAS 2017'!D31*'TARIFAS 2020'!$A$2)+'TARIFAS 2017'!D31</f>
        <v>7.7551953600000001</v>
      </c>
      <c r="D33" s="104">
        <f>('TARIFAS 2017'!E31*'TARIFAS 2020'!$A$2)+'TARIFAS 2017'!E31</f>
        <v>7.7551953600000001</v>
      </c>
      <c r="E33" s="107">
        <f>('TARIFAS 2017'!F31*'TARIFAS 2020'!$A$2)+'TARIFAS 2017'!F31</f>
        <v>7.7551953600000001</v>
      </c>
      <c r="G33" s="98"/>
    </row>
    <row r="34" spans="1:13" ht="14.85" customHeight="1" thickBot="1" x14ac:dyDescent="0.35">
      <c r="A34" s="91"/>
      <c r="B34" s="105" t="s">
        <v>66</v>
      </c>
      <c r="C34" s="104">
        <f>('TARIFAS 2017'!D32*'TARIFAS 2020'!$A$2)+'TARIFAS 2017'!D32</f>
        <v>9.3750426600000001</v>
      </c>
      <c r="D34" s="104">
        <f>('TARIFAS 2017'!E32*'TARIFAS 2020'!$A$2)+'TARIFAS 2017'!E32</f>
        <v>9.3749381200000013</v>
      </c>
      <c r="E34" s="107">
        <f>('TARIFAS 2017'!F32*'TARIFAS 2020'!$A$2)+'TARIFAS 2017'!F32</f>
        <v>9.3749381200000013</v>
      </c>
      <c r="G34" s="98"/>
    </row>
    <row r="35" spans="1:13" s="102" customFormat="1" ht="15" thickBot="1" x14ac:dyDescent="0.35">
      <c r="A35" s="100"/>
      <c r="B35" s="198" t="s">
        <v>22</v>
      </c>
      <c r="C35" s="199"/>
      <c r="D35" s="199"/>
      <c r="E35" s="200"/>
      <c r="F35" s="100"/>
      <c r="G35" s="101"/>
      <c r="H35"/>
      <c r="I35"/>
      <c r="J35"/>
      <c r="K35"/>
      <c r="L35"/>
      <c r="M35"/>
    </row>
    <row r="36" spans="1:13" ht="15" thickBot="1" x14ac:dyDescent="0.35">
      <c r="A36" s="91"/>
      <c r="B36" s="71" t="s">
        <v>24</v>
      </c>
      <c r="C36" s="72" t="s">
        <v>6</v>
      </c>
      <c r="D36" s="72" t="s">
        <v>7</v>
      </c>
      <c r="E36" s="73" t="s">
        <v>23</v>
      </c>
      <c r="G36" s="98"/>
    </row>
    <row r="37" spans="1:13" ht="15" thickBot="1" x14ac:dyDescent="0.35">
      <c r="A37" s="91"/>
      <c r="B37" s="81" t="s">
        <v>25</v>
      </c>
      <c r="C37" s="108">
        <f>C25*12</f>
        <v>23.394797520000001</v>
      </c>
      <c r="D37" s="109">
        <f>C37*50%</f>
        <v>11.69739876</v>
      </c>
      <c r="E37" s="115">
        <f>C37+D37</f>
        <v>35.092196280000003</v>
      </c>
      <c r="G37" s="98"/>
    </row>
    <row r="38" spans="1:13" ht="15" thickBot="1" x14ac:dyDescent="0.35">
      <c r="A38" s="91"/>
      <c r="B38" s="79" t="s">
        <v>75</v>
      </c>
      <c r="C38" s="108">
        <f>D25*16</f>
        <v>52.064265280000001</v>
      </c>
      <c r="D38" s="109">
        <f t="shared" ref="D38:D39" si="6">C38*50%</f>
        <v>26.03213264</v>
      </c>
      <c r="E38" s="115">
        <f>C38+D38</f>
        <v>78.096397920000001</v>
      </c>
      <c r="G38" s="98"/>
    </row>
    <row r="39" spans="1:13" ht="15" thickBot="1" x14ac:dyDescent="0.35">
      <c r="A39" s="91"/>
      <c r="B39" s="80" t="s">
        <v>76</v>
      </c>
      <c r="C39" s="116">
        <f>E25*30</f>
        <v>155.68096800000001</v>
      </c>
      <c r="D39" s="109">
        <f t="shared" si="6"/>
        <v>77.840484000000004</v>
      </c>
      <c r="E39" s="117">
        <f t="shared" ref="E39" si="7">C39+D39</f>
        <v>233.52145200000001</v>
      </c>
      <c r="G39" s="98"/>
    </row>
    <row r="40" spans="1:13" ht="15" thickBot="1" x14ac:dyDescent="0.35">
      <c r="A40" s="91"/>
      <c r="B40" s="201" t="s">
        <v>67</v>
      </c>
      <c r="C40" s="202"/>
      <c r="D40" s="202"/>
      <c r="E40" s="203"/>
      <c r="G40" s="98"/>
    </row>
    <row r="41" spans="1:13" ht="15" thickBot="1" x14ac:dyDescent="0.35">
      <c r="A41" s="91"/>
      <c r="B41" s="204" t="s">
        <v>21</v>
      </c>
      <c r="C41" s="205"/>
      <c r="D41" s="205"/>
      <c r="E41" s="206"/>
    </row>
    <row r="42" spans="1:13" s="91" customFormat="1" x14ac:dyDescent="0.3">
      <c r="H42"/>
      <c r="I42"/>
      <c r="J42"/>
      <c r="K42"/>
      <c r="L42"/>
      <c r="M42"/>
    </row>
    <row r="43" spans="1:13" s="91" customFormat="1" x14ac:dyDescent="0.3">
      <c r="H43"/>
      <c r="I43"/>
      <c r="J43"/>
      <c r="K43"/>
      <c r="L43"/>
      <c r="M43"/>
    </row>
    <row r="44" spans="1:13" s="91" customFormat="1" x14ac:dyDescent="0.3">
      <c r="H44"/>
      <c r="I44"/>
      <c r="J44"/>
      <c r="K44"/>
      <c r="L44"/>
      <c r="M44"/>
    </row>
    <row r="45" spans="1:13" s="91" customFormat="1" x14ac:dyDescent="0.3">
      <c r="H45"/>
      <c r="I45"/>
      <c r="J45"/>
      <c r="K45"/>
      <c r="L45"/>
      <c r="M45"/>
    </row>
    <row r="46" spans="1:13" s="91" customFormat="1" x14ac:dyDescent="0.3">
      <c r="H46"/>
      <c r="I46"/>
      <c r="J46"/>
      <c r="K46"/>
      <c r="L46"/>
      <c r="M46"/>
    </row>
    <row r="47" spans="1:13" s="91" customFormat="1" x14ac:dyDescent="0.3">
      <c r="H47"/>
      <c r="I47"/>
      <c r="J47"/>
      <c r="K47"/>
      <c r="L47"/>
      <c r="M47"/>
    </row>
    <row r="48" spans="1:13" s="91" customFormat="1" x14ac:dyDescent="0.3">
      <c r="H48"/>
      <c r="I48"/>
      <c r="J48"/>
      <c r="K48"/>
      <c r="L48"/>
      <c r="M48"/>
    </row>
    <row r="49" spans="8:13" s="91" customFormat="1" x14ac:dyDescent="0.3">
      <c r="H49"/>
      <c r="I49"/>
      <c r="J49"/>
      <c r="K49"/>
      <c r="L49"/>
      <c r="M49"/>
    </row>
    <row r="50" spans="8:13" s="91" customFormat="1" x14ac:dyDescent="0.3">
      <c r="H50"/>
      <c r="I50"/>
      <c r="J50"/>
      <c r="K50"/>
      <c r="L50"/>
      <c r="M50"/>
    </row>
    <row r="51" spans="8:13" s="91" customFormat="1" x14ac:dyDescent="0.3">
      <c r="H51"/>
      <c r="I51"/>
      <c r="J51"/>
      <c r="K51"/>
      <c r="L51"/>
      <c r="M51"/>
    </row>
    <row r="52" spans="8:13" s="91" customFormat="1" x14ac:dyDescent="0.3">
      <c r="H52"/>
      <c r="I52"/>
      <c r="J52"/>
      <c r="K52"/>
      <c r="L52"/>
      <c r="M52"/>
    </row>
    <row r="53" spans="8:13" s="91" customFormat="1" x14ac:dyDescent="0.3">
      <c r="H53"/>
      <c r="I53"/>
      <c r="J53"/>
      <c r="K53"/>
      <c r="L53"/>
      <c r="M53"/>
    </row>
    <row r="54" spans="8:13" s="91" customFormat="1" x14ac:dyDescent="0.3">
      <c r="H54"/>
      <c r="I54"/>
      <c r="J54"/>
      <c r="K54"/>
      <c r="L54"/>
      <c r="M54"/>
    </row>
    <row r="55" spans="8:13" s="91" customFormat="1" x14ac:dyDescent="0.3">
      <c r="H55"/>
      <c r="I55"/>
      <c r="J55"/>
      <c r="K55"/>
      <c r="L55"/>
      <c r="M55"/>
    </row>
    <row r="56" spans="8:13" s="91" customFormat="1" x14ac:dyDescent="0.3">
      <c r="H56"/>
      <c r="I56"/>
      <c r="J56"/>
      <c r="K56"/>
      <c r="L56"/>
      <c r="M56"/>
    </row>
    <row r="57" spans="8:13" s="91" customFormat="1" x14ac:dyDescent="0.3">
      <c r="H57"/>
      <c r="I57"/>
      <c r="J57"/>
      <c r="K57"/>
      <c r="L57"/>
      <c r="M57"/>
    </row>
    <row r="58" spans="8:13" s="91" customFormat="1" x14ac:dyDescent="0.3">
      <c r="H58"/>
      <c r="I58"/>
      <c r="J58"/>
      <c r="K58"/>
      <c r="L58"/>
      <c r="M58"/>
    </row>
    <row r="59" spans="8:13" s="91" customFormat="1" x14ac:dyDescent="0.3">
      <c r="H59"/>
      <c r="I59"/>
      <c r="J59"/>
      <c r="K59"/>
      <c r="L59"/>
      <c r="M59"/>
    </row>
    <row r="60" spans="8:13" s="91" customFormat="1" x14ac:dyDescent="0.3">
      <c r="H60"/>
      <c r="I60"/>
      <c r="J60"/>
      <c r="K60"/>
      <c r="L60"/>
      <c r="M60"/>
    </row>
    <row r="61" spans="8:13" s="91" customFormat="1" x14ac:dyDescent="0.3">
      <c r="H61"/>
      <c r="I61"/>
      <c r="J61"/>
      <c r="K61"/>
      <c r="L61"/>
      <c r="M61"/>
    </row>
    <row r="62" spans="8:13" s="91" customFormat="1" x14ac:dyDescent="0.3">
      <c r="H62"/>
      <c r="I62"/>
      <c r="J62"/>
      <c r="K62"/>
      <c r="L62"/>
      <c r="M62"/>
    </row>
    <row r="63" spans="8:13" s="91" customFormat="1" x14ac:dyDescent="0.3">
      <c r="H63"/>
      <c r="I63"/>
      <c r="J63"/>
      <c r="K63"/>
      <c r="L63"/>
      <c r="M63"/>
    </row>
    <row r="64" spans="8:13" s="91" customFormat="1" x14ac:dyDescent="0.3">
      <c r="H64"/>
      <c r="I64"/>
      <c r="J64"/>
      <c r="K64"/>
      <c r="L64"/>
      <c r="M64"/>
    </row>
    <row r="65" spans="1:13" s="91" customFormat="1" x14ac:dyDescent="0.3">
      <c r="H65"/>
      <c r="I65"/>
      <c r="J65"/>
      <c r="K65"/>
      <c r="L65"/>
      <c r="M65"/>
    </row>
    <row r="66" spans="1:13" s="91" customFormat="1" x14ac:dyDescent="0.3">
      <c r="H66"/>
      <c r="I66"/>
      <c r="J66"/>
      <c r="K66"/>
      <c r="L66"/>
      <c r="M66"/>
    </row>
    <row r="67" spans="1:13" s="91" customFormat="1" x14ac:dyDescent="0.3">
      <c r="H67"/>
      <c r="I67"/>
      <c r="J67"/>
      <c r="K67"/>
      <c r="L67"/>
      <c r="M67"/>
    </row>
    <row r="68" spans="1:13" s="91" customFormat="1" x14ac:dyDescent="0.3">
      <c r="H68"/>
      <c r="I68"/>
      <c r="J68"/>
      <c r="K68"/>
      <c r="L68"/>
      <c r="M68"/>
    </row>
    <row r="69" spans="1:13" s="91" customFormat="1" x14ac:dyDescent="0.3">
      <c r="H69"/>
      <c r="I69"/>
      <c r="J69"/>
      <c r="K69"/>
      <c r="L69"/>
      <c r="M69"/>
    </row>
    <row r="70" spans="1:13" s="91" customFormat="1" x14ac:dyDescent="0.3">
      <c r="H70"/>
      <c r="I70"/>
      <c r="J70"/>
      <c r="K70"/>
      <c r="L70"/>
      <c r="M70"/>
    </row>
    <row r="71" spans="1:13" s="91" customFormat="1" x14ac:dyDescent="0.3">
      <c r="H71"/>
      <c r="I71"/>
      <c r="J71"/>
      <c r="K71"/>
      <c r="L71"/>
      <c r="M71"/>
    </row>
    <row r="72" spans="1:13" s="91" customFormat="1" x14ac:dyDescent="0.3">
      <c r="H72"/>
      <c r="I72"/>
      <c r="J72"/>
      <c r="K72"/>
      <c r="L72"/>
      <c r="M72"/>
    </row>
    <row r="73" spans="1:13" s="91" customFormat="1" x14ac:dyDescent="0.3">
      <c r="H73"/>
      <c r="I73"/>
      <c r="J73"/>
      <c r="K73"/>
      <c r="L73"/>
      <c r="M73"/>
    </row>
    <row r="74" spans="1:13" s="91" customFormat="1" x14ac:dyDescent="0.3">
      <c r="H74"/>
      <c r="I74"/>
      <c r="J74"/>
      <c r="K74"/>
      <c r="L74"/>
      <c r="M74"/>
    </row>
    <row r="75" spans="1:13" x14ac:dyDescent="0.3">
      <c r="A75" s="91"/>
    </row>
    <row r="76" spans="1:13" x14ac:dyDescent="0.3">
      <c r="A76" s="91"/>
    </row>
    <row r="77" spans="1:13" x14ac:dyDescent="0.3">
      <c r="A77" s="91"/>
    </row>
    <row r="78" spans="1:13" x14ac:dyDescent="0.3">
      <c r="A78" s="91"/>
    </row>
    <row r="79" spans="1:13" x14ac:dyDescent="0.3">
      <c r="A79" s="91"/>
    </row>
    <row r="80" spans="1:13" x14ac:dyDescent="0.3">
      <c r="A80" s="91"/>
    </row>
    <row r="81" spans="1:1" x14ac:dyDescent="0.3">
      <c r="A81" s="91"/>
    </row>
    <row r="82" spans="1:1" x14ac:dyDescent="0.3">
      <c r="A82" s="91"/>
    </row>
    <row r="83" spans="1:1" x14ac:dyDescent="0.3">
      <c r="A83" s="91"/>
    </row>
    <row r="84" spans="1:1" x14ac:dyDescent="0.3">
      <c r="A84" s="91"/>
    </row>
    <row r="85" spans="1:1" x14ac:dyDescent="0.3">
      <c r="A85" s="91"/>
    </row>
    <row r="86" spans="1:1" x14ac:dyDescent="0.3">
      <c r="A86" s="91"/>
    </row>
    <row r="87" spans="1:1" x14ac:dyDescent="0.3">
      <c r="A87" s="91"/>
    </row>
    <row r="88" spans="1:1" x14ac:dyDescent="0.3">
      <c r="A88" s="91"/>
    </row>
    <row r="89" spans="1:1" x14ac:dyDescent="0.3">
      <c r="A89" s="91"/>
    </row>
    <row r="90" spans="1:1" x14ac:dyDescent="0.3">
      <c r="A90" s="91"/>
    </row>
    <row r="91" spans="1:1" x14ac:dyDescent="0.3">
      <c r="A91" s="91"/>
    </row>
    <row r="92" spans="1:1" x14ac:dyDescent="0.3">
      <c r="A92" s="91"/>
    </row>
    <row r="93" spans="1:1" x14ac:dyDescent="0.3">
      <c r="A93" s="91"/>
    </row>
    <row r="94" spans="1:1" x14ac:dyDescent="0.3">
      <c r="A94" s="91"/>
    </row>
    <row r="95" spans="1:1" x14ac:dyDescent="0.3">
      <c r="A95" s="91"/>
    </row>
    <row r="96" spans="1:1" x14ac:dyDescent="0.3">
      <c r="A96" s="91"/>
    </row>
    <row r="97" spans="1:1" x14ac:dyDescent="0.3">
      <c r="A97" s="91"/>
    </row>
    <row r="98" spans="1:1" x14ac:dyDescent="0.3">
      <c r="A98" s="91"/>
    </row>
    <row r="99" spans="1:1" x14ac:dyDescent="0.3">
      <c r="A99" s="91"/>
    </row>
    <row r="100" spans="1:1" x14ac:dyDescent="0.3">
      <c r="A100" s="91"/>
    </row>
    <row r="101" spans="1:1" x14ac:dyDescent="0.3">
      <c r="A101" s="91"/>
    </row>
    <row r="102" spans="1:1" x14ac:dyDescent="0.3">
      <c r="A102" s="91"/>
    </row>
    <row r="103" spans="1:1" x14ac:dyDescent="0.3">
      <c r="A103" s="91"/>
    </row>
    <row r="104" spans="1:1" x14ac:dyDescent="0.3">
      <c r="A104" s="91"/>
    </row>
    <row r="105" spans="1:1" x14ac:dyDescent="0.3">
      <c r="A105" s="91"/>
    </row>
    <row r="106" spans="1:1" x14ac:dyDescent="0.3">
      <c r="A106" s="91"/>
    </row>
    <row r="107" spans="1:1" x14ac:dyDescent="0.3">
      <c r="A107" s="91"/>
    </row>
    <row r="108" spans="1:1" x14ac:dyDescent="0.3">
      <c r="A108" s="91"/>
    </row>
    <row r="109" spans="1:1" x14ac:dyDescent="0.3">
      <c r="A109" s="91"/>
    </row>
    <row r="110" spans="1:1" x14ac:dyDescent="0.3">
      <c r="A110" s="91"/>
    </row>
    <row r="111" spans="1:1" x14ac:dyDescent="0.3">
      <c r="A111" s="91"/>
    </row>
    <row r="112" spans="1:1" x14ac:dyDescent="0.3">
      <c r="A112" s="91"/>
    </row>
    <row r="113" spans="1:1" x14ac:dyDescent="0.3">
      <c r="A113" s="91"/>
    </row>
    <row r="114" spans="1:1" x14ac:dyDescent="0.3">
      <c r="A114" s="91"/>
    </row>
    <row r="115" spans="1:1" x14ac:dyDescent="0.3">
      <c r="A115" s="91"/>
    </row>
    <row r="116" spans="1:1" x14ac:dyDescent="0.3">
      <c r="A116" s="91"/>
    </row>
    <row r="117" spans="1:1" x14ac:dyDescent="0.3">
      <c r="A117" s="91"/>
    </row>
    <row r="118" spans="1:1" x14ac:dyDescent="0.3">
      <c r="A118" s="91"/>
    </row>
    <row r="119" spans="1:1" x14ac:dyDescent="0.3">
      <c r="A119" s="91"/>
    </row>
    <row r="120" spans="1:1" x14ac:dyDescent="0.3">
      <c r="A120" s="91"/>
    </row>
    <row r="121" spans="1:1" x14ac:dyDescent="0.3">
      <c r="A121" s="91"/>
    </row>
    <row r="122" spans="1:1" x14ac:dyDescent="0.3">
      <c r="A122" s="91"/>
    </row>
    <row r="123" spans="1:1" x14ac:dyDescent="0.3">
      <c r="A123" s="91"/>
    </row>
    <row r="124" spans="1:1" x14ac:dyDescent="0.3">
      <c r="A124" s="91"/>
    </row>
    <row r="125" spans="1:1" x14ac:dyDescent="0.3">
      <c r="A125" s="91"/>
    </row>
    <row r="126" spans="1:1" x14ac:dyDescent="0.3">
      <c r="A126" s="91"/>
    </row>
  </sheetData>
  <mergeCells count="24">
    <mergeCell ref="B40:E40"/>
    <mergeCell ref="B41:E41"/>
    <mergeCell ref="B22:E22"/>
    <mergeCell ref="D25:D27"/>
    <mergeCell ref="E25:E29"/>
    <mergeCell ref="H31:M31"/>
    <mergeCell ref="H32:M32"/>
    <mergeCell ref="B35:E35"/>
    <mergeCell ref="H16:M16"/>
    <mergeCell ref="H18:M18"/>
    <mergeCell ref="H19:I19"/>
    <mergeCell ref="J19:K19"/>
    <mergeCell ref="L19:M19"/>
    <mergeCell ref="D5:D7"/>
    <mergeCell ref="E5:E9"/>
    <mergeCell ref="B15:E15"/>
    <mergeCell ref="H15:M15"/>
    <mergeCell ref="B1:E1"/>
    <mergeCell ref="H1:M1"/>
    <mergeCell ref="B2:E2"/>
    <mergeCell ref="H2:M2"/>
    <mergeCell ref="H3:I3"/>
    <mergeCell ref="J3:K3"/>
    <mergeCell ref="L3:M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FD75-4CD6-4DC1-8379-2974F5EC1E2F}">
  <dimension ref="A1:P126"/>
  <sheetViews>
    <sheetView showGridLines="0" topLeftCell="C1" workbookViewId="0">
      <selection activeCell="H5" sqref="H5:L14"/>
    </sheetView>
  </sheetViews>
  <sheetFormatPr defaultRowHeight="14.4" x14ac:dyDescent="0.3"/>
  <cols>
    <col min="1" max="1" width="11.6640625" customWidth="1"/>
    <col min="2" max="2" width="25" customWidth="1"/>
    <col min="3" max="3" width="24" customWidth="1"/>
    <col min="4" max="4" width="23.6640625" customWidth="1"/>
    <col min="5" max="5" width="23.33203125" customWidth="1"/>
    <col min="6" max="7" width="9.109375" style="91"/>
    <col min="8" max="8" width="15.33203125" bestFit="1" customWidth="1"/>
    <col min="9" max="9" width="12.44140625" customWidth="1"/>
    <col min="10" max="10" width="15.33203125" bestFit="1" customWidth="1"/>
    <col min="11" max="11" width="12.44140625" customWidth="1"/>
    <col min="12" max="12" width="15.33203125" bestFit="1" customWidth="1"/>
    <col min="13" max="13" width="12.44140625" customWidth="1"/>
  </cols>
  <sheetData>
    <row r="1" spans="1:16" ht="37.5" customHeight="1" thickTop="1" thickBot="1" x14ac:dyDescent="0.35">
      <c r="A1" s="89" t="s">
        <v>82</v>
      </c>
      <c r="B1" s="185" t="s">
        <v>50</v>
      </c>
      <c r="C1" s="186"/>
      <c r="D1" s="186"/>
      <c r="E1" s="187"/>
      <c r="H1" s="210" t="s">
        <v>50</v>
      </c>
      <c r="I1" s="211"/>
      <c r="J1" s="211"/>
      <c r="K1" s="211"/>
      <c r="L1" s="211"/>
      <c r="M1" s="212"/>
      <c r="O1" t="s">
        <v>90</v>
      </c>
      <c r="P1" s="132">
        <v>0</v>
      </c>
    </row>
    <row r="2" spans="1:16" ht="16.8" thickBot="1" x14ac:dyDescent="0.35">
      <c r="A2" s="99">
        <v>4.5400000000000003E-2</v>
      </c>
      <c r="B2" s="188" t="s">
        <v>51</v>
      </c>
      <c r="C2" s="189"/>
      <c r="D2" s="189"/>
      <c r="E2" s="190"/>
      <c r="H2" s="207" t="s">
        <v>83</v>
      </c>
      <c r="I2" s="208"/>
      <c r="J2" s="208"/>
      <c r="K2" s="208"/>
      <c r="L2" s="208"/>
      <c r="M2" s="209"/>
    </row>
    <row r="3" spans="1:16" s="16" customFormat="1" ht="16.2" thickBot="1" x14ac:dyDescent="0.35">
      <c r="A3" s="90"/>
      <c r="B3" s="64" t="s">
        <v>1</v>
      </c>
      <c r="C3" s="62" t="s">
        <v>52</v>
      </c>
      <c r="D3" s="63" t="s">
        <v>53</v>
      </c>
      <c r="E3" s="63" t="s">
        <v>54</v>
      </c>
      <c r="F3" s="92"/>
      <c r="G3" s="92"/>
      <c r="H3" s="213" t="s">
        <v>84</v>
      </c>
      <c r="I3" s="214"/>
      <c r="J3" s="215" t="s">
        <v>85</v>
      </c>
      <c r="K3" s="214"/>
      <c r="L3" s="215" t="s">
        <v>86</v>
      </c>
      <c r="M3" s="216"/>
    </row>
    <row r="4" spans="1:16" ht="29.4" thickBot="1" x14ac:dyDescent="0.35">
      <c r="A4" s="91"/>
      <c r="B4" s="65" t="s">
        <v>4</v>
      </c>
      <c r="C4" s="66" t="s">
        <v>20</v>
      </c>
      <c r="D4" s="74" t="s">
        <v>20</v>
      </c>
      <c r="E4" s="75" t="s">
        <v>20</v>
      </c>
      <c r="H4" s="121" t="s">
        <v>87</v>
      </c>
      <c r="I4" s="122" t="s">
        <v>88</v>
      </c>
      <c r="J4" s="122" t="s">
        <v>87</v>
      </c>
      <c r="K4" s="123" t="s">
        <v>88</v>
      </c>
      <c r="L4" s="124" t="s">
        <v>87</v>
      </c>
      <c r="M4" s="125" t="s">
        <v>88</v>
      </c>
    </row>
    <row r="5" spans="1:16" ht="14.85" customHeight="1" thickBot="1" x14ac:dyDescent="0.35">
      <c r="A5" s="91"/>
      <c r="B5" s="103" t="s">
        <v>57</v>
      </c>
      <c r="C5" s="104">
        <f>('TARIFAS 2017'!D5*'TARIFAS 2019'!$A$2)+'TARIFAS 2017'!D5</f>
        <v>3.1311820800000003</v>
      </c>
      <c r="D5" s="192">
        <f>('TARIFAS 2017'!E5:E7*'TARIFAS 2019'!$A$2)+'TARIFAS 2017'!E5:E7</f>
        <v>5.2263727599999994</v>
      </c>
      <c r="E5" s="195">
        <f>('TARIFAS 2017'!F5:F9*'TARIFAS 2019'!$A$2)+'TARIFAS 2017'!F5:F9</f>
        <v>8.3344515000000001</v>
      </c>
      <c r="G5" s="94"/>
      <c r="H5" s="126" t="s">
        <v>57</v>
      </c>
      <c r="I5" s="127">
        <f>ROUND((1+P$1)*ROUND(C5,4),4)</f>
        <v>3.1312000000000002</v>
      </c>
      <c r="J5" s="128" t="s">
        <v>57</v>
      </c>
      <c r="K5" s="223">
        <f>ROUND((1+$P$1)*ROUND(D5,4),4)</f>
        <v>5.2263999999999999</v>
      </c>
      <c r="L5" s="128" t="s">
        <v>57</v>
      </c>
      <c r="M5" s="223">
        <f>ROUND((1+$P$1)*ROUND(E5,4),4)</f>
        <v>8.3345000000000002</v>
      </c>
    </row>
    <row r="6" spans="1:16" ht="14.85" customHeight="1" thickBot="1" x14ac:dyDescent="0.35">
      <c r="A6" s="91"/>
      <c r="B6" s="103" t="s">
        <v>58</v>
      </c>
      <c r="C6" s="104">
        <f>('TARIFAS 2017'!D6*'TARIFAS 2019'!$A$2)+'TARIFAS 2017'!D6</f>
        <v>3.79887906</v>
      </c>
      <c r="D6" s="193"/>
      <c r="E6" s="196"/>
      <c r="G6" s="94"/>
      <c r="H6" s="129" t="s">
        <v>58</v>
      </c>
      <c r="I6" s="130">
        <f t="shared" ref="I6:I14" si="0">ROUND((1+P$1)*ROUND(C6,4),4)</f>
        <v>3.7989000000000002</v>
      </c>
      <c r="J6" s="131" t="s">
        <v>58</v>
      </c>
      <c r="K6" s="224"/>
      <c r="L6" s="131" t="s">
        <v>58</v>
      </c>
      <c r="M6" s="224"/>
    </row>
    <row r="7" spans="1:16" ht="14.85" customHeight="1" thickBot="1" x14ac:dyDescent="0.35">
      <c r="A7" s="91"/>
      <c r="B7" s="103" t="s">
        <v>59</v>
      </c>
      <c r="C7" s="104">
        <f>('TARIFAS 2017'!D7*'TARIFAS 2019'!$A$2)+'TARIFAS 2017'!D7</f>
        <v>5.2263727599999994</v>
      </c>
      <c r="D7" s="194"/>
      <c r="E7" s="196"/>
      <c r="G7" s="94"/>
      <c r="H7" s="129" t="s">
        <v>59</v>
      </c>
      <c r="I7" s="130">
        <f t="shared" si="0"/>
        <v>5.2263999999999999</v>
      </c>
      <c r="J7" s="131" t="s">
        <v>59</v>
      </c>
      <c r="K7" s="225"/>
      <c r="L7" s="131" t="s">
        <v>59</v>
      </c>
      <c r="M7" s="224"/>
    </row>
    <row r="8" spans="1:16" ht="14.85" customHeight="1" thickBot="1" x14ac:dyDescent="0.35">
      <c r="A8" s="91"/>
      <c r="B8" s="103" t="s">
        <v>60</v>
      </c>
      <c r="C8" s="104">
        <f>('TARIFAS 2017'!D8*'TARIFAS 2019'!$A$2)+'TARIFAS 2017'!D8</f>
        <v>6.7952045399999994</v>
      </c>
      <c r="D8" s="106">
        <f>('TARIFAS 2017'!E8*'TARIFAS 2019'!$A$2)+'TARIFAS 2017'!E8</f>
        <v>6.7952045399999994</v>
      </c>
      <c r="E8" s="196"/>
      <c r="G8" s="94"/>
      <c r="H8" s="129" t="s">
        <v>60</v>
      </c>
      <c r="I8" s="130">
        <f t="shared" si="0"/>
        <v>6.7952000000000004</v>
      </c>
      <c r="J8" s="131" t="s">
        <v>60</v>
      </c>
      <c r="K8" s="130">
        <f>ROUND((1+$P$1)*ROUND(D8,4),4)</f>
        <v>6.7952000000000004</v>
      </c>
      <c r="L8" s="131" t="s">
        <v>60</v>
      </c>
      <c r="M8" s="224"/>
    </row>
    <row r="9" spans="1:16" ht="14.85" customHeight="1" thickBot="1" x14ac:dyDescent="0.35">
      <c r="A9" s="91"/>
      <c r="B9" s="103" t="s">
        <v>61</v>
      </c>
      <c r="C9" s="104">
        <f>('TARIFAS 2017'!D9*'TARIFAS 2019'!$A$2)+'TARIFAS 2017'!D9</f>
        <v>8.3344515000000001</v>
      </c>
      <c r="D9" s="106">
        <f>('TARIFAS 2017'!E9*'TARIFAS 2019'!$A$2)+'TARIFAS 2017'!E9</f>
        <v>8.3344515000000001</v>
      </c>
      <c r="E9" s="197"/>
      <c r="F9" s="95"/>
      <c r="G9" s="94"/>
      <c r="H9" s="129" t="s">
        <v>61</v>
      </c>
      <c r="I9" s="130">
        <f t="shared" si="0"/>
        <v>8.3345000000000002</v>
      </c>
      <c r="J9" s="131" t="s">
        <v>61</v>
      </c>
      <c r="K9" s="130">
        <f t="shared" ref="K9:K14" si="1">ROUND((1+$P$1)*ROUND(D9,4),4)</f>
        <v>8.3345000000000002</v>
      </c>
      <c r="L9" s="131" t="s">
        <v>61</v>
      </c>
      <c r="M9" s="225"/>
    </row>
    <row r="10" spans="1:16" ht="14.85" customHeight="1" thickBot="1" x14ac:dyDescent="0.35">
      <c r="A10" s="91"/>
      <c r="B10" s="103" t="s">
        <v>62</v>
      </c>
      <c r="C10" s="104">
        <f>('TARIFAS 2017'!D10*'TARIFAS 2019'!$A$2)+'TARIFAS 2017'!D10</f>
        <v>8.6799562000000012</v>
      </c>
      <c r="D10" s="106">
        <f>('TARIFAS 2017'!E10*'TARIFAS 2019'!$A$2)+'TARIFAS 2017'!E10</f>
        <v>8.6799562000000012</v>
      </c>
      <c r="E10" s="107">
        <f>('TARIFAS 2017'!F10*'TARIFAS 2019'!$A$2)+'TARIFAS 2017'!F10</f>
        <v>8.6799562000000012</v>
      </c>
      <c r="F10" s="95"/>
      <c r="G10" s="94"/>
      <c r="H10" s="129" t="s">
        <v>62</v>
      </c>
      <c r="I10" s="130">
        <f t="shared" si="0"/>
        <v>8.68</v>
      </c>
      <c r="J10" s="131" t="s">
        <v>62</v>
      </c>
      <c r="K10" s="130">
        <f t="shared" si="1"/>
        <v>8.68</v>
      </c>
      <c r="L10" s="131" t="s">
        <v>62</v>
      </c>
      <c r="M10" s="130">
        <f>ROUND((1+$P$1)*ROUND(E10,4),4)</f>
        <v>8.68</v>
      </c>
    </row>
    <row r="11" spans="1:16" ht="14.85" customHeight="1" thickBot="1" x14ac:dyDescent="0.35">
      <c r="A11" s="91"/>
      <c r="B11" s="103" t="s">
        <v>63</v>
      </c>
      <c r="C11" s="104">
        <f>('TARIFAS 2017'!D11*'TARIFAS 2019'!$A$2)+'TARIFAS 2017'!D11</f>
        <v>10.06124322</v>
      </c>
      <c r="D11" s="106">
        <f>('TARIFAS 2017'!E11*'TARIFAS 2019'!$A$2)+'TARIFAS 2017'!E11</f>
        <v>10.06124322</v>
      </c>
      <c r="E11" s="107">
        <f>('TARIFAS 2017'!F11*'TARIFAS 2019'!$A$2)+'TARIFAS 2017'!F11</f>
        <v>10.06124322</v>
      </c>
      <c r="F11" s="95">
        <f>E11-E10</f>
        <v>1.3812870199999985</v>
      </c>
      <c r="G11" s="94"/>
      <c r="H11" s="129" t="s">
        <v>63</v>
      </c>
      <c r="I11" s="130">
        <f t="shared" si="0"/>
        <v>10.061199999999999</v>
      </c>
      <c r="J11" s="131" t="s">
        <v>63</v>
      </c>
      <c r="K11" s="130">
        <f t="shared" si="1"/>
        <v>10.061199999999999</v>
      </c>
      <c r="L11" s="131" t="s">
        <v>63</v>
      </c>
      <c r="M11" s="130">
        <f t="shared" ref="M11:M14" si="2">ROUND((1+$P$1)*ROUND(E11,4),4)</f>
        <v>10.061199999999999</v>
      </c>
    </row>
    <row r="12" spans="1:16" ht="14.85" customHeight="1" thickBot="1" x14ac:dyDescent="0.35">
      <c r="A12" s="91"/>
      <c r="B12" s="103" t="s">
        <v>64</v>
      </c>
      <c r="C12" s="104">
        <f>('TARIFAS 2017'!D12*'TARIFAS 2019'!$A$2)+'TARIFAS 2017'!D12</f>
        <v>11.16654464</v>
      </c>
      <c r="D12" s="106">
        <f>('TARIFAS 2017'!E12*'TARIFAS 2019'!$A$2)+'TARIFAS 2017'!E12</f>
        <v>11.16654464</v>
      </c>
      <c r="E12" s="107">
        <f>('TARIFAS 2017'!F12*'TARIFAS 2019'!$A$2)+'TARIFAS 2017'!F12</f>
        <v>11.16654464</v>
      </c>
      <c r="F12" s="95">
        <f>E12-E11</f>
        <v>1.10530142</v>
      </c>
      <c r="G12" s="94"/>
      <c r="H12" s="129" t="s">
        <v>64</v>
      </c>
      <c r="I12" s="130">
        <f t="shared" si="0"/>
        <v>11.166499999999999</v>
      </c>
      <c r="J12" s="131" t="s">
        <v>64</v>
      </c>
      <c r="K12" s="130">
        <f t="shared" si="1"/>
        <v>11.166499999999999</v>
      </c>
      <c r="L12" s="131" t="s">
        <v>64</v>
      </c>
      <c r="M12" s="130">
        <f t="shared" si="2"/>
        <v>11.166499999999999</v>
      </c>
    </row>
    <row r="13" spans="1:16" ht="14.85" customHeight="1" thickBot="1" x14ac:dyDescent="0.35">
      <c r="A13" s="91"/>
      <c r="B13" s="103" t="s">
        <v>65</v>
      </c>
      <c r="C13" s="104">
        <f>('TARIFAS 2017'!D13*'TARIFAS 2019'!$A$2)+'TARIFAS 2017'!D13</f>
        <v>12.45573192</v>
      </c>
      <c r="D13" s="106">
        <f>('TARIFAS 2017'!E13*'TARIFAS 2019'!$A$2)+'TARIFAS 2017'!E13</f>
        <v>12.45573192</v>
      </c>
      <c r="E13" s="107">
        <f>('TARIFAS 2017'!F13*'TARIFAS 2019'!$A$2)+'TARIFAS 2017'!F13</f>
        <v>12.45573192</v>
      </c>
      <c r="F13" s="95">
        <f>E13-E12</f>
        <v>1.2891872800000002</v>
      </c>
      <c r="G13" s="94"/>
      <c r="H13" s="129" t="s">
        <v>65</v>
      </c>
      <c r="I13" s="130">
        <f t="shared" si="0"/>
        <v>12.4557</v>
      </c>
      <c r="J13" s="131" t="s">
        <v>65</v>
      </c>
      <c r="K13" s="130">
        <f t="shared" si="1"/>
        <v>12.4557</v>
      </c>
      <c r="L13" s="131" t="s">
        <v>65</v>
      </c>
      <c r="M13" s="130">
        <f t="shared" si="2"/>
        <v>12.4557</v>
      </c>
    </row>
    <row r="14" spans="1:16" ht="14.85" customHeight="1" thickBot="1" x14ac:dyDescent="0.35">
      <c r="A14" s="91"/>
      <c r="B14" s="103" t="s">
        <v>66</v>
      </c>
      <c r="C14" s="104">
        <f>('TARIFAS 2017'!D14*'TARIFAS 2019'!$A$2)+'TARIFAS 2017'!D14</f>
        <v>15.0574189</v>
      </c>
      <c r="D14" s="106">
        <f>('TARIFAS 2017'!E14*'TARIFAS 2019'!$A$2)+'TARIFAS 2017'!E14</f>
        <v>15.0574189</v>
      </c>
      <c r="E14" s="107">
        <f>('TARIFAS 2017'!F14*'TARIFAS 2019'!$A$2)+'TARIFAS 2017'!F14</f>
        <v>15.0574189</v>
      </c>
      <c r="F14" s="95">
        <f>E14-E13</f>
        <v>2.6016869800000002</v>
      </c>
      <c r="G14" s="96"/>
      <c r="H14" s="129" t="s">
        <v>66</v>
      </c>
      <c r="I14" s="130">
        <f t="shared" si="0"/>
        <v>15.057399999999999</v>
      </c>
      <c r="J14" s="131" t="s">
        <v>66</v>
      </c>
      <c r="K14" s="130">
        <f t="shared" si="1"/>
        <v>15.057399999999999</v>
      </c>
      <c r="L14" s="131" t="s">
        <v>66</v>
      </c>
      <c r="M14" s="130">
        <f t="shared" si="2"/>
        <v>15.057399999999999</v>
      </c>
    </row>
    <row r="15" spans="1:16" ht="16.8" thickBot="1" x14ac:dyDescent="0.35">
      <c r="A15" s="91"/>
      <c r="B15" s="198" t="s">
        <v>22</v>
      </c>
      <c r="C15" s="199"/>
      <c r="D15" s="199"/>
      <c r="E15" s="200"/>
      <c r="F15" s="97"/>
      <c r="G15" s="96"/>
      <c r="H15" s="207" t="s">
        <v>89</v>
      </c>
      <c r="I15" s="208"/>
      <c r="J15" s="208"/>
      <c r="K15" s="208"/>
      <c r="L15" s="208"/>
      <c r="M15" s="209"/>
    </row>
    <row r="16" spans="1:16" ht="15" thickBot="1" x14ac:dyDescent="0.35">
      <c r="A16" s="91"/>
      <c r="B16" s="67" t="s">
        <v>24</v>
      </c>
      <c r="C16" s="68" t="s">
        <v>2</v>
      </c>
      <c r="D16" s="69" t="s">
        <v>3</v>
      </c>
      <c r="E16" s="70" t="s">
        <v>23</v>
      </c>
      <c r="G16" s="96"/>
      <c r="H16" s="217" t="s">
        <v>91</v>
      </c>
      <c r="I16" s="218"/>
      <c r="J16" s="218"/>
      <c r="K16" s="218"/>
      <c r="L16" s="218"/>
      <c r="M16" s="219"/>
    </row>
    <row r="17" spans="1:13" ht="15" thickBot="1" x14ac:dyDescent="0.35">
      <c r="A17" s="91"/>
      <c r="B17" s="78" t="s">
        <v>25</v>
      </c>
      <c r="C17" s="108">
        <f>C5*12</f>
        <v>37.574184960000004</v>
      </c>
      <c r="D17" s="109">
        <f>C17*50%</f>
        <v>18.787092480000002</v>
      </c>
      <c r="E17" s="110">
        <f>C17+D17</f>
        <v>56.361277440000009</v>
      </c>
      <c r="G17" s="96"/>
    </row>
    <row r="18" spans="1:13" ht="15" thickBot="1" x14ac:dyDescent="0.35">
      <c r="A18" s="91"/>
      <c r="B18" s="79" t="s">
        <v>75</v>
      </c>
      <c r="C18" s="111">
        <f>D5*16</f>
        <v>83.62196415999999</v>
      </c>
      <c r="D18" s="109">
        <f t="shared" ref="D18:D21" si="3">C18*50%</f>
        <v>41.810982079999995</v>
      </c>
      <c r="E18" s="112">
        <f t="shared" ref="E18" si="4">C18+D18</f>
        <v>125.43294623999998</v>
      </c>
      <c r="G18" s="96"/>
      <c r="H18" s="220" t="str">
        <f>B22</f>
        <v>TABELA II - DISTRITOS: SENHORA DAS DORES, PINHEIRO GROSSO E SÃO SEBASTIÃO DOS TORRES; LOCALIDADES: CAMPESTRE, POMBAL E MARGARIDAS</v>
      </c>
      <c r="I18" s="221"/>
      <c r="J18" s="221"/>
      <c r="K18" s="221"/>
      <c r="L18" s="221"/>
      <c r="M18" s="222"/>
    </row>
    <row r="19" spans="1:13" ht="16.2" thickBot="1" x14ac:dyDescent="0.35">
      <c r="A19" s="91"/>
      <c r="B19" s="133"/>
      <c r="C19" s="134"/>
      <c r="D19" s="109"/>
      <c r="E19" s="135"/>
      <c r="G19" s="96"/>
      <c r="H19" s="213" t="s">
        <v>84</v>
      </c>
      <c r="I19" s="214"/>
      <c r="J19" s="215" t="s">
        <v>85</v>
      </c>
      <c r="K19" s="214"/>
      <c r="L19" s="215" t="s">
        <v>86</v>
      </c>
      <c r="M19" s="216"/>
    </row>
    <row r="20" spans="1:13" ht="29.4" thickBot="1" x14ac:dyDescent="0.35">
      <c r="A20" s="91"/>
      <c r="B20" s="133"/>
      <c r="C20" s="134"/>
      <c r="D20" s="109"/>
      <c r="E20" s="135"/>
      <c r="G20" s="96"/>
      <c r="H20" s="121" t="s">
        <v>87</v>
      </c>
      <c r="I20" s="122" t="s">
        <v>88</v>
      </c>
      <c r="J20" s="122" t="s">
        <v>87</v>
      </c>
      <c r="K20" s="123" t="s">
        <v>88</v>
      </c>
      <c r="L20" s="124" t="s">
        <v>87</v>
      </c>
      <c r="M20" s="125" t="s">
        <v>88</v>
      </c>
    </row>
    <row r="21" spans="1:13" ht="16.2" thickBot="1" x14ac:dyDescent="0.35">
      <c r="A21" s="91"/>
      <c r="B21" s="80" t="s">
        <v>76</v>
      </c>
      <c r="C21" s="113">
        <f>E5*30</f>
        <v>250.033545</v>
      </c>
      <c r="D21" s="109">
        <f t="shared" si="3"/>
        <v>125.0167725</v>
      </c>
      <c r="E21" s="114">
        <f>C21+D21</f>
        <v>375.05031750000001</v>
      </c>
      <c r="G21" s="96"/>
      <c r="H21" s="126" t="s">
        <v>57</v>
      </c>
      <c r="I21" s="127">
        <f>ROUND((1+$P$1)*ROUND(C25,4),4)</f>
        <v>1.9496</v>
      </c>
      <c r="J21" s="128" t="s">
        <v>57</v>
      </c>
      <c r="K21" s="223">
        <f>ROUND((1+$P$1)*ROUND(D25,4),4)</f>
        <v>3.254</v>
      </c>
      <c r="L21" s="128" t="s">
        <v>57</v>
      </c>
      <c r="M21" s="223">
        <f>ROUND((1+$P$1)*ROUND(E25,4),4)</f>
        <v>5.1894</v>
      </c>
    </row>
    <row r="22" spans="1:13" ht="17.25" customHeight="1" thickBot="1" x14ac:dyDescent="0.35">
      <c r="A22" s="91"/>
      <c r="B22" s="201" t="s">
        <v>55</v>
      </c>
      <c r="C22" s="202"/>
      <c r="D22" s="202"/>
      <c r="E22" s="203"/>
      <c r="H22" s="129" t="s">
        <v>58</v>
      </c>
      <c r="I22" s="130">
        <f t="shared" ref="I22:I30" si="5">ROUND((1+$P$1)*ROUND(C26,4),4)</f>
        <v>2.3653</v>
      </c>
      <c r="J22" s="131" t="s">
        <v>58</v>
      </c>
      <c r="K22" s="224"/>
      <c r="L22" s="131" t="s">
        <v>58</v>
      </c>
      <c r="M22" s="224"/>
    </row>
    <row r="23" spans="1:13" ht="16.2" thickBot="1" x14ac:dyDescent="0.35">
      <c r="A23" s="91"/>
      <c r="B23" s="64" t="s">
        <v>1</v>
      </c>
      <c r="C23" s="62" t="s">
        <v>52</v>
      </c>
      <c r="D23" s="63" t="s">
        <v>53</v>
      </c>
      <c r="E23" s="63" t="s">
        <v>54</v>
      </c>
      <c r="H23" s="129" t="s">
        <v>59</v>
      </c>
      <c r="I23" s="130">
        <f t="shared" si="5"/>
        <v>3.254</v>
      </c>
      <c r="J23" s="131" t="s">
        <v>59</v>
      </c>
      <c r="K23" s="225"/>
      <c r="L23" s="131" t="s">
        <v>59</v>
      </c>
      <c r="M23" s="224"/>
    </row>
    <row r="24" spans="1:13" ht="16.2" thickBot="1" x14ac:dyDescent="0.35">
      <c r="A24" s="91"/>
      <c r="B24" s="65" t="s">
        <v>4</v>
      </c>
      <c r="C24" s="66" t="s">
        <v>20</v>
      </c>
      <c r="D24" s="74" t="s">
        <v>56</v>
      </c>
      <c r="E24" s="75" t="s">
        <v>56</v>
      </c>
      <c r="H24" s="129" t="s">
        <v>60</v>
      </c>
      <c r="I24" s="130">
        <f t="shared" si="5"/>
        <v>4.2289000000000003</v>
      </c>
      <c r="J24" s="131" t="s">
        <v>60</v>
      </c>
      <c r="K24" s="130">
        <f>ROUND((1+$P$1)*ROUND(D28,4),4)</f>
        <v>4.2289000000000003</v>
      </c>
      <c r="L24" s="131" t="s">
        <v>60</v>
      </c>
      <c r="M24" s="224"/>
    </row>
    <row r="25" spans="1:13" ht="14.85" customHeight="1" thickBot="1" x14ac:dyDescent="0.35">
      <c r="A25" s="91"/>
      <c r="B25" s="103" t="s">
        <v>57</v>
      </c>
      <c r="C25" s="104">
        <f>('TARIFAS 2017'!D23*'TARIFAS 2019'!$A$2)+'TARIFAS 2017'!D23</f>
        <v>1.94956646</v>
      </c>
      <c r="D25" s="192">
        <v>3.25401658</v>
      </c>
      <c r="E25" s="195">
        <v>5.1893656000000004</v>
      </c>
      <c r="H25" s="129" t="s">
        <v>61</v>
      </c>
      <c r="I25" s="130">
        <f t="shared" si="5"/>
        <v>5.1893000000000002</v>
      </c>
      <c r="J25" s="131" t="s">
        <v>61</v>
      </c>
      <c r="K25" s="130">
        <f t="shared" ref="K25:K30" si="6">ROUND((1+$P$1)*ROUND(D29,4),4)</f>
        <v>5.1894</v>
      </c>
      <c r="L25" s="131" t="s">
        <v>61</v>
      </c>
      <c r="M25" s="225"/>
    </row>
    <row r="26" spans="1:13" ht="14.85" customHeight="1" thickBot="1" x14ac:dyDescent="0.35">
      <c r="A26" s="91"/>
      <c r="B26" s="103" t="s">
        <v>58</v>
      </c>
      <c r="C26" s="104">
        <f>('TARIFAS 2017'!D24*'TARIFAS 2019'!$A$2)+'TARIFAS 2017'!D24</f>
        <v>2.3653220400000001</v>
      </c>
      <c r="D26" s="193"/>
      <c r="E26" s="196"/>
      <c r="G26" s="98"/>
      <c r="H26" s="129" t="s">
        <v>62</v>
      </c>
      <c r="I26" s="130">
        <f t="shared" si="5"/>
        <v>5.4043000000000001</v>
      </c>
      <c r="J26" s="131" t="s">
        <v>62</v>
      </c>
      <c r="K26" s="130">
        <f t="shared" si="6"/>
        <v>5.4039999999999999</v>
      </c>
      <c r="L26" s="131" t="s">
        <v>62</v>
      </c>
      <c r="M26" s="130">
        <f t="shared" ref="M26:M30" si="7">ROUND((1+$P$1)*ROUND(E30,4),4)</f>
        <v>5.4039999999999999</v>
      </c>
    </row>
    <row r="27" spans="1:13" ht="14.85" customHeight="1" thickBot="1" x14ac:dyDescent="0.35">
      <c r="A27" s="91"/>
      <c r="B27" s="103" t="s">
        <v>59</v>
      </c>
      <c r="C27" s="104">
        <v>3.2540165799999996</v>
      </c>
      <c r="D27" s="194"/>
      <c r="E27" s="196"/>
      <c r="G27" s="98"/>
      <c r="H27" s="129" t="s">
        <v>63</v>
      </c>
      <c r="I27" s="130">
        <f t="shared" si="5"/>
        <v>6.2644000000000002</v>
      </c>
      <c r="J27" s="131" t="s">
        <v>63</v>
      </c>
      <c r="K27" s="130">
        <f t="shared" si="6"/>
        <v>6.2641999999999998</v>
      </c>
      <c r="L27" s="131" t="s">
        <v>63</v>
      </c>
      <c r="M27" s="130">
        <f t="shared" si="7"/>
        <v>6.2641999999999998</v>
      </c>
    </row>
    <row r="28" spans="1:13" ht="14.85" customHeight="1" thickBot="1" x14ac:dyDescent="0.35">
      <c r="A28" s="91"/>
      <c r="B28" s="103" t="s">
        <v>60</v>
      </c>
      <c r="C28" s="104">
        <f>('TARIFAS 2017'!D26*'TARIFAS 2019'!$A$2)+'TARIFAS 2017'!D26</f>
        <v>4.2288520800000002</v>
      </c>
      <c r="D28" s="104">
        <f>('TARIFAS 2017'!E26*'TARIFAS 2019'!$A$2)+'TARIFAS 2017'!E26</f>
        <v>4.2288520800000002</v>
      </c>
      <c r="E28" s="196"/>
      <c r="G28" s="98"/>
      <c r="H28" s="129" t="s">
        <v>64</v>
      </c>
      <c r="I28" s="130">
        <f t="shared" si="5"/>
        <v>6.9523999999999999</v>
      </c>
      <c r="J28" s="131" t="s">
        <v>64</v>
      </c>
      <c r="K28" s="130">
        <f t="shared" si="6"/>
        <v>6.9523000000000001</v>
      </c>
      <c r="L28" s="131" t="s">
        <v>64</v>
      </c>
      <c r="M28" s="130">
        <f t="shared" si="7"/>
        <v>6.9523000000000001</v>
      </c>
    </row>
    <row r="29" spans="1:13" ht="14.85" customHeight="1" thickBot="1" x14ac:dyDescent="0.35">
      <c r="A29" s="91"/>
      <c r="B29" s="103" t="s">
        <v>61</v>
      </c>
      <c r="C29" s="104">
        <f>('TARIFAS 2017'!D27*'TARIFAS 2019'!$A$2)+'TARIFAS 2017'!D27</f>
        <v>5.1892610599999998</v>
      </c>
      <c r="D29" s="104">
        <v>5.1893656000000004</v>
      </c>
      <c r="E29" s="197"/>
      <c r="G29" s="98"/>
      <c r="H29" s="129" t="s">
        <v>65</v>
      </c>
      <c r="I29" s="130">
        <f t="shared" si="5"/>
        <v>7.7552000000000003</v>
      </c>
      <c r="J29" s="131" t="s">
        <v>65</v>
      </c>
      <c r="K29" s="130">
        <f t="shared" si="6"/>
        <v>7.7552000000000003</v>
      </c>
      <c r="L29" s="131" t="s">
        <v>65</v>
      </c>
      <c r="M29" s="130">
        <f t="shared" si="7"/>
        <v>7.7552000000000003</v>
      </c>
    </row>
    <row r="30" spans="1:13" ht="14.85" customHeight="1" thickBot="1" x14ac:dyDescent="0.35">
      <c r="A30" s="91"/>
      <c r="B30" s="103" t="s">
        <v>62</v>
      </c>
      <c r="C30" s="104">
        <f>('TARIFAS 2017'!D28*'TARIFAS 2019'!$A$2)+'TARIFAS 2017'!D28</f>
        <v>5.4042998400000002</v>
      </c>
      <c r="D30" s="104">
        <f>('TARIFAS 2017'!E28*'TARIFAS 2019'!$A$2)+'TARIFAS 2017'!E28</f>
        <v>5.4039862200000002</v>
      </c>
      <c r="E30" s="107">
        <f>('TARIFAS 2017'!F28*'TARIFAS 2019'!$A$2)+'TARIFAS 2017'!F28</f>
        <v>5.4039862200000002</v>
      </c>
      <c r="G30" s="98"/>
      <c r="H30" s="129" t="s">
        <v>66</v>
      </c>
      <c r="I30" s="130">
        <f t="shared" si="5"/>
        <v>9.375</v>
      </c>
      <c r="J30" s="131" t="s">
        <v>66</v>
      </c>
      <c r="K30" s="130">
        <f t="shared" si="6"/>
        <v>9.3749000000000002</v>
      </c>
      <c r="L30" s="131" t="s">
        <v>66</v>
      </c>
      <c r="M30" s="130">
        <f t="shared" si="7"/>
        <v>9.3749000000000002</v>
      </c>
    </row>
    <row r="31" spans="1:13" ht="14.85" customHeight="1" thickBot="1" x14ac:dyDescent="0.35">
      <c r="A31" s="91"/>
      <c r="B31" s="103" t="s">
        <v>63</v>
      </c>
      <c r="C31" s="104">
        <f>('TARIFAS 2017'!D29*'TARIFAS 2019'!$A$2)+'TARIFAS 2017'!D29</f>
        <v>6.2643504200000004</v>
      </c>
      <c r="D31" s="104">
        <f>('TARIFAS 2017'!E29*'TARIFAS 2019'!$A$2)+'TARIFAS 2017'!E29</f>
        <v>6.2642458800000007</v>
      </c>
      <c r="E31" s="107">
        <f>('TARIFAS 2017'!F29*'TARIFAS 2019'!$A$2)+'TARIFAS 2017'!F29</f>
        <v>6.2642458800000007</v>
      </c>
      <c r="G31" s="98"/>
      <c r="H31" s="207" t="s">
        <v>89</v>
      </c>
      <c r="I31" s="208"/>
      <c r="J31" s="208"/>
      <c r="K31" s="208"/>
      <c r="L31" s="208"/>
      <c r="M31" s="209"/>
    </row>
    <row r="32" spans="1:13" ht="14.85" customHeight="1" thickBot="1" x14ac:dyDescent="0.35">
      <c r="A32" s="91"/>
      <c r="B32" s="103" t="s">
        <v>64</v>
      </c>
      <c r="C32" s="104">
        <f>('TARIFAS 2017'!D30*'TARIFAS 2019'!$A$2)+'TARIFAS 2017'!D30</f>
        <v>6.9524327000000001</v>
      </c>
      <c r="D32" s="104">
        <f>('TARIFAS 2017'!E30*'TARIFAS 2019'!$A$2)+'TARIFAS 2017'!E30</f>
        <v>6.9523281600000004</v>
      </c>
      <c r="E32" s="107">
        <f>('TARIFAS 2017'!F30*'TARIFAS 2019'!$A$2)+'TARIFAS 2017'!F30</f>
        <v>6.9523281600000004</v>
      </c>
      <c r="G32" s="98"/>
      <c r="H32" s="217" t="s">
        <v>91</v>
      </c>
      <c r="I32" s="218"/>
      <c r="J32" s="218"/>
      <c r="K32" s="218"/>
      <c r="L32" s="218"/>
      <c r="M32" s="219"/>
    </row>
    <row r="33" spans="1:13" ht="14.85" customHeight="1" thickBot="1" x14ac:dyDescent="0.35">
      <c r="A33" s="91"/>
      <c r="B33" s="103" t="s">
        <v>65</v>
      </c>
      <c r="C33" s="104">
        <f>('TARIFAS 2017'!D31*'TARIFAS 2019'!$A$2)+'TARIFAS 2017'!D31</f>
        <v>7.7551953600000001</v>
      </c>
      <c r="D33" s="104">
        <f>('TARIFAS 2017'!E31*'TARIFAS 2019'!$A$2)+'TARIFAS 2017'!E31</f>
        <v>7.7551953600000001</v>
      </c>
      <c r="E33" s="107">
        <f>('TARIFAS 2017'!F31*'TARIFAS 2019'!$A$2)+'TARIFAS 2017'!F31</f>
        <v>7.7551953600000001</v>
      </c>
      <c r="G33" s="98"/>
    </row>
    <row r="34" spans="1:13" ht="14.85" customHeight="1" thickBot="1" x14ac:dyDescent="0.35">
      <c r="A34" s="91"/>
      <c r="B34" s="105" t="s">
        <v>66</v>
      </c>
      <c r="C34" s="104">
        <f>('TARIFAS 2017'!D32*'TARIFAS 2019'!$A$2)+'TARIFAS 2017'!D32</f>
        <v>9.3750426600000001</v>
      </c>
      <c r="D34" s="104">
        <f>('TARIFAS 2017'!E32*'TARIFAS 2019'!$A$2)+'TARIFAS 2017'!E32</f>
        <v>9.3749381200000013</v>
      </c>
      <c r="E34" s="107">
        <f>('TARIFAS 2017'!F32*'TARIFAS 2019'!$A$2)+'TARIFAS 2017'!F32</f>
        <v>9.3749381200000013</v>
      </c>
      <c r="G34" s="98"/>
    </row>
    <row r="35" spans="1:13" s="102" customFormat="1" ht="15" thickBot="1" x14ac:dyDescent="0.35">
      <c r="A35" s="100"/>
      <c r="B35" s="198" t="s">
        <v>22</v>
      </c>
      <c r="C35" s="199"/>
      <c r="D35" s="199"/>
      <c r="E35" s="200"/>
      <c r="F35" s="100"/>
      <c r="G35" s="101"/>
      <c r="H35"/>
      <c r="I35"/>
      <c r="J35"/>
      <c r="K35"/>
      <c r="L35"/>
      <c r="M35"/>
    </row>
    <row r="36" spans="1:13" ht="15" thickBot="1" x14ac:dyDescent="0.35">
      <c r="A36" s="91"/>
      <c r="B36" s="71" t="s">
        <v>24</v>
      </c>
      <c r="C36" s="72" t="s">
        <v>6</v>
      </c>
      <c r="D36" s="72" t="s">
        <v>7</v>
      </c>
      <c r="E36" s="73" t="s">
        <v>23</v>
      </c>
      <c r="G36" s="98"/>
    </row>
    <row r="37" spans="1:13" ht="15" thickBot="1" x14ac:dyDescent="0.35">
      <c r="A37" s="91"/>
      <c r="B37" s="81" t="s">
        <v>25</v>
      </c>
      <c r="C37" s="108">
        <f>C25*12</f>
        <v>23.394797520000001</v>
      </c>
      <c r="D37" s="109">
        <f>C37*50%</f>
        <v>11.69739876</v>
      </c>
      <c r="E37" s="115">
        <f>C37+D37</f>
        <v>35.092196280000003</v>
      </c>
      <c r="G37" s="98"/>
    </row>
    <row r="38" spans="1:13" ht="15" thickBot="1" x14ac:dyDescent="0.35">
      <c r="A38" s="91"/>
      <c r="B38" s="79" t="s">
        <v>75</v>
      </c>
      <c r="C38" s="108">
        <f>D25*16</f>
        <v>52.064265280000001</v>
      </c>
      <c r="D38" s="109">
        <f t="shared" ref="D38:D39" si="8">C38*50%</f>
        <v>26.03213264</v>
      </c>
      <c r="E38" s="115">
        <f>C38+D38</f>
        <v>78.096397920000001</v>
      </c>
      <c r="G38" s="98"/>
    </row>
    <row r="39" spans="1:13" ht="15" thickBot="1" x14ac:dyDescent="0.35">
      <c r="A39" s="91"/>
      <c r="B39" s="80" t="s">
        <v>76</v>
      </c>
      <c r="C39" s="116">
        <f>E25*30</f>
        <v>155.68096800000001</v>
      </c>
      <c r="D39" s="109">
        <f t="shared" si="8"/>
        <v>77.840484000000004</v>
      </c>
      <c r="E39" s="117">
        <f t="shared" ref="E39" si="9">C39+D39</f>
        <v>233.52145200000001</v>
      </c>
      <c r="G39" s="98"/>
    </row>
    <row r="40" spans="1:13" ht="15" thickBot="1" x14ac:dyDescent="0.35">
      <c r="A40" s="91"/>
      <c r="B40" s="201" t="s">
        <v>67</v>
      </c>
      <c r="C40" s="202"/>
      <c r="D40" s="202"/>
      <c r="E40" s="203"/>
      <c r="G40" s="98"/>
    </row>
    <row r="41" spans="1:13" ht="15" thickBot="1" x14ac:dyDescent="0.35">
      <c r="A41" s="91"/>
      <c r="B41" s="204" t="s">
        <v>21</v>
      </c>
      <c r="C41" s="205"/>
      <c r="D41" s="205"/>
      <c r="E41" s="206"/>
    </row>
    <row r="42" spans="1:13" s="91" customFormat="1" x14ac:dyDescent="0.3">
      <c r="H42"/>
      <c r="I42"/>
      <c r="J42"/>
      <c r="K42"/>
      <c r="L42"/>
      <c r="M42"/>
    </row>
    <row r="43" spans="1:13" s="91" customFormat="1" x14ac:dyDescent="0.3">
      <c r="H43"/>
      <c r="I43"/>
      <c r="J43"/>
      <c r="K43"/>
      <c r="L43"/>
      <c r="M43"/>
    </row>
    <row r="44" spans="1:13" s="91" customFormat="1" x14ac:dyDescent="0.3">
      <c r="H44"/>
      <c r="I44"/>
      <c r="J44"/>
      <c r="K44"/>
      <c r="L44"/>
      <c r="M44"/>
    </row>
    <row r="45" spans="1:13" s="91" customFormat="1" x14ac:dyDescent="0.3">
      <c r="H45"/>
      <c r="I45"/>
      <c r="J45"/>
      <c r="K45"/>
      <c r="L45"/>
      <c r="M45"/>
    </row>
    <row r="46" spans="1:13" s="91" customFormat="1" x14ac:dyDescent="0.3">
      <c r="H46"/>
      <c r="I46"/>
      <c r="J46"/>
      <c r="K46"/>
      <c r="L46"/>
      <c r="M46"/>
    </row>
    <row r="47" spans="1:13" s="91" customFormat="1" x14ac:dyDescent="0.3">
      <c r="H47"/>
      <c r="I47"/>
      <c r="J47"/>
      <c r="K47"/>
      <c r="L47"/>
      <c r="M47"/>
    </row>
    <row r="48" spans="1:13" s="91" customFormat="1" x14ac:dyDescent="0.3">
      <c r="H48"/>
      <c r="I48"/>
      <c r="J48"/>
      <c r="K48"/>
      <c r="L48"/>
      <c r="M48"/>
    </row>
    <row r="49" spans="8:13" s="91" customFormat="1" x14ac:dyDescent="0.3">
      <c r="H49"/>
      <c r="I49"/>
      <c r="J49"/>
      <c r="K49"/>
      <c r="L49"/>
      <c r="M49"/>
    </row>
    <row r="50" spans="8:13" s="91" customFormat="1" x14ac:dyDescent="0.3">
      <c r="H50"/>
      <c r="I50"/>
      <c r="J50"/>
      <c r="K50"/>
      <c r="L50"/>
      <c r="M50"/>
    </row>
    <row r="51" spans="8:13" s="91" customFormat="1" x14ac:dyDescent="0.3">
      <c r="H51"/>
      <c r="I51"/>
      <c r="J51"/>
      <c r="K51"/>
      <c r="L51"/>
      <c r="M51"/>
    </row>
    <row r="52" spans="8:13" s="91" customFormat="1" x14ac:dyDescent="0.3">
      <c r="H52"/>
      <c r="I52"/>
      <c r="J52"/>
      <c r="K52"/>
      <c r="L52"/>
      <c r="M52"/>
    </row>
    <row r="53" spans="8:13" s="91" customFormat="1" x14ac:dyDescent="0.3">
      <c r="H53"/>
      <c r="I53"/>
      <c r="J53"/>
      <c r="K53"/>
      <c r="L53"/>
      <c r="M53"/>
    </row>
    <row r="54" spans="8:13" s="91" customFormat="1" x14ac:dyDescent="0.3">
      <c r="H54"/>
      <c r="I54"/>
      <c r="J54"/>
      <c r="K54"/>
      <c r="L54"/>
      <c r="M54"/>
    </row>
    <row r="55" spans="8:13" s="91" customFormat="1" x14ac:dyDescent="0.3">
      <c r="H55"/>
      <c r="I55"/>
      <c r="J55"/>
      <c r="K55"/>
      <c r="L55"/>
      <c r="M55"/>
    </row>
    <row r="56" spans="8:13" s="91" customFormat="1" x14ac:dyDescent="0.3">
      <c r="H56"/>
      <c r="I56"/>
      <c r="J56"/>
      <c r="K56"/>
      <c r="L56"/>
      <c r="M56"/>
    </row>
    <row r="57" spans="8:13" s="91" customFormat="1" x14ac:dyDescent="0.3">
      <c r="H57"/>
      <c r="I57"/>
      <c r="J57"/>
      <c r="K57"/>
      <c r="L57"/>
      <c r="M57"/>
    </row>
    <row r="58" spans="8:13" s="91" customFormat="1" x14ac:dyDescent="0.3">
      <c r="H58"/>
      <c r="I58"/>
      <c r="J58"/>
      <c r="K58"/>
      <c r="L58"/>
      <c r="M58"/>
    </row>
    <row r="59" spans="8:13" s="91" customFormat="1" x14ac:dyDescent="0.3">
      <c r="H59"/>
      <c r="I59"/>
      <c r="J59"/>
      <c r="K59"/>
      <c r="L59"/>
      <c r="M59"/>
    </row>
    <row r="60" spans="8:13" s="91" customFormat="1" x14ac:dyDescent="0.3">
      <c r="H60"/>
      <c r="I60"/>
      <c r="J60"/>
      <c r="K60"/>
      <c r="L60"/>
      <c r="M60"/>
    </row>
    <row r="61" spans="8:13" s="91" customFormat="1" x14ac:dyDescent="0.3">
      <c r="H61"/>
      <c r="I61"/>
      <c r="J61"/>
      <c r="K61"/>
      <c r="L61"/>
      <c r="M61"/>
    </row>
    <row r="62" spans="8:13" s="91" customFormat="1" x14ac:dyDescent="0.3">
      <c r="H62"/>
      <c r="I62"/>
      <c r="J62"/>
      <c r="K62"/>
      <c r="L62"/>
      <c r="M62"/>
    </row>
    <row r="63" spans="8:13" s="91" customFormat="1" x14ac:dyDescent="0.3">
      <c r="H63"/>
      <c r="I63"/>
      <c r="J63"/>
      <c r="K63"/>
      <c r="L63"/>
      <c r="M63"/>
    </row>
    <row r="64" spans="8:13" s="91" customFormat="1" x14ac:dyDescent="0.3">
      <c r="H64"/>
      <c r="I64"/>
      <c r="J64"/>
      <c r="K64"/>
      <c r="L64"/>
      <c r="M64"/>
    </row>
    <row r="65" spans="1:13" s="91" customFormat="1" x14ac:dyDescent="0.3">
      <c r="H65"/>
      <c r="I65"/>
      <c r="J65"/>
      <c r="K65"/>
      <c r="L65"/>
      <c r="M65"/>
    </row>
    <row r="66" spans="1:13" s="91" customFormat="1" x14ac:dyDescent="0.3">
      <c r="H66"/>
      <c r="I66"/>
      <c r="J66"/>
      <c r="K66"/>
      <c r="L66"/>
      <c r="M66"/>
    </row>
    <row r="67" spans="1:13" s="91" customFormat="1" x14ac:dyDescent="0.3">
      <c r="H67"/>
      <c r="I67"/>
      <c r="J67"/>
      <c r="K67"/>
      <c r="L67"/>
      <c r="M67"/>
    </row>
    <row r="68" spans="1:13" s="91" customFormat="1" x14ac:dyDescent="0.3">
      <c r="H68"/>
      <c r="I68"/>
      <c r="J68"/>
      <c r="K68"/>
      <c r="L68"/>
      <c r="M68"/>
    </row>
    <row r="69" spans="1:13" s="91" customFormat="1" x14ac:dyDescent="0.3">
      <c r="H69"/>
      <c r="I69"/>
      <c r="J69"/>
      <c r="K69"/>
      <c r="L69"/>
      <c r="M69"/>
    </row>
    <row r="70" spans="1:13" s="91" customFormat="1" x14ac:dyDescent="0.3">
      <c r="H70"/>
      <c r="I70"/>
      <c r="J70"/>
      <c r="K70"/>
      <c r="L70"/>
      <c r="M70"/>
    </row>
    <row r="71" spans="1:13" s="91" customFormat="1" x14ac:dyDescent="0.3">
      <c r="H71"/>
      <c r="I71"/>
      <c r="J71"/>
      <c r="K71"/>
      <c r="L71"/>
      <c r="M71"/>
    </row>
    <row r="72" spans="1:13" s="91" customFormat="1" x14ac:dyDescent="0.3">
      <c r="H72"/>
      <c r="I72"/>
      <c r="J72"/>
      <c r="K72"/>
      <c r="L72"/>
      <c r="M72"/>
    </row>
    <row r="73" spans="1:13" s="91" customFormat="1" x14ac:dyDescent="0.3">
      <c r="H73"/>
      <c r="I73"/>
      <c r="J73"/>
      <c r="K73"/>
      <c r="L73"/>
      <c r="M73"/>
    </row>
    <row r="74" spans="1:13" s="91" customFormat="1" x14ac:dyDescent="0.3">
      <c r="H74"/>
      <c r="I74"/>
      <c r="J74"/>
      <c r="K74"/>
      <c r="L74"/>
      <c r="M74"/>
    </row>
    <row r="75" spans="1:13" x14ac:dyDescent="0.3">
      <c r="A75" s="91"/>
    </row>
    <row r="76" spans="1:13" x14ac:dyDescent="0.3">
      <c r="A76" s="91"/>
    </row>
    <row r="77" spans="1:13" x14ac:dyDescent="0.3">
      <c r="A77" s="91"/>
    </row>
    <row r="78" spans="1:13" x14ac:dyDescent="0.3">
      <c r="A78" s="91"/>
    </row>
    <row r="79" spans="1:13" x14ac:dyDescent="0.3">
      <c r="A79" s="91"/>
    </row>
    <row r="80" spans="1:13" x14ac:dyDescent="0.3">
      <c r="A80" s="91"/>
    </row>
    <row r="81" spans="1:1" x14ac:dyDescent="0.3">
      <c r="A81" s="91"/>
    </row>
    <row r="82" spans="1:1" x14ac:dyDescent="0.3">
      <c r="A82" s="91"/>
    </row>
    <row r="83" spans="1:1" x14ac:dyDescent="0.3">
      <c r="A83" s="91"/>
    </row>
    <row r="84" spans="1:1" x14ac:dyDescent="0.3">
      <c r="A84" s="91"/>
    </row>
    <row r="85" spans="1:1" x14ac:dyDescent="0.3">
      <c r="A85" s="91"/>
    </row>
    <row r="86" spans="1:1" x14ac:dyDescent="0.3">
      <c r="A86" s="91"/>
    </row>
    <row r="87" spans="1:1" x14ac:dyDescent="0.3">
      <c r="A87" s="91"/>
    </row>
    <row r="88" spans="1:1" x14ac:dyDescent="0.3">
      <c r="A88" s="91"/>
    </row>
    <row r="89" spans="1:1" x14ac:dyDescent="0.3">
      <c r="A89" s="91"/>
    </row>
    <row r="90" spans="1:1" x14ac:dyDescent="0.3">
      <c r="A90" s="91"/>
    </row>
    <row r="91" spans="1:1" x14ac:dyDescent="0.3">
      <c r="A91" s="91"/>
    </row>
    <row r="92" spans="1:1" x14ac:dyDescent="0.3">
      <c r="A92" s="91"/>
    </row>
    <row r="93" spans="1:1" x14ac:dyDescent="0.3">
      <c r="A93" s="91"/>
    </row>
    <row r="94" spans="1:1" x14ac:dyDescent="0.3">
      <c r="A94" s="91"/>
    </row>
    <row r="95" spans="1:1" x14ac:dyDescent="0.3">
      <c r="A95" s="91"/>
    </row>
    <row r="96" spans="1:1" x14ac:dyDescent="0.3">
      <c r="A96" s="91"/>
    </row>
    <row r="97" spans="1:1" x14ac:dyDescent="0.3">
      <c r="A97" s="91"/>
    </row>
    <row r="98" spans="1:1" x14ac:dyDescent="0.3">
      <c r="A98" s="91"/>
    </row>
    <row r="99" spans="1:1" x14ac:dyDescent="0.3">
      <c r="A99" s="91"/>
    </row>
    <row r="100" spans="1:1" x14ac:dyDescent="0.3">
      <c r="A100" s="91"/>
    </row>
    <row r="101" spans="1:1" x14ac:dyDescent="0.3">
      <c r="A101" s="91"/>
    </row>
    <row r="102" spans="1:1" x14ac:dyDescent="0.3">
      <c r="A102" s="91"/>
    </row>
    <row r="103" spans="1:1" x14ac:dyDescent="0.3">
      <c r="A103" s="91"/>
    </row>
    <row r="104" spans="1:1" x14ac:dyDescent="0.3">
      <c r="A104" s="91"/>
    </row>
    <row r="105" spans="1:1" x14ac:dyDescent="0.3">
      <c r="A105" s="91"/>
    </row>
    <row r="106" spans="1:1" x14ac:dyDescent="0.3">
      <c r="A106" s="91"/>
    </row>
    <row r="107" spans="1:1" x14ac:dyDescent="0.3">
      <c r="A107" s="91"/>
    </row>
    <row r="108" spans="1:1" x14ac:dyDescent="0.3">
      <c r="A108" s="91"/>
    </row>
    <row r="109" spans="1:1" x14ac:dyDescent="0.3">
      <c r="A109" s="91"/>
    </row>
    <row r="110" spans="1:1" x14ac:dyDescent="0.3">
      <c r="A110" s="91"/>
    </row>
    <row r="111" spans="1:1" x14ac:dyDescent="0.3">
      <c r="A111" s="91"/>
    </row>
    <row r="112" spans="1:1" x14ac:dyDescent="0.3">
      <c r="A112" s="91"/>
    </row>
    <row r="113" spans="1:1" x14ac:dyDescent="0.3">
      <c r="A113" s="91"/>
    </row>
    <row r="114" spans="1:1" x14ac:dyDescent="0.3">
      <c r="A114" s="91"/>
    </row>
    <row r="115" spans="1:1" x14ac:dyDescent="0.3">
      <c r="A115" s="91"/>
    </row>
    <row r="116" spans="1:1" x14ac:dyDescent="0.3">
      <c r="A116" s="91"/>
    </row>
    <row r="117" spans="1:1" x14ac:dyDescent="0.3">
      <c r="A117" s="91"/>
    </row>
    <row r="118" spans="1:1" x14ac:dyDescent="0.3">
      <c r="A118" s="91"/>
    </row>
    <row r="119" spans="1:1" x14ac:dyDescent="0.3">
      <c r="A119" s="91"/>
    </row>
    <row r="120" spans="1:1" x14ac:dyDescent="0.3">
      <c r="A120" s="91"/>
    </row>
    <row r="121" spans="1:1" x14ac:dyDescent="0.3">
      <c r="A121" s="91"/>
    </row>
    <row r="122" spans="1:1" x14ac:dyDescent="0.3">
      <c r="A122" s="91"/>
    </row>
    <row r="123" spans="1:1" x14ac:dyDescent="0.3">
      <c r="A123" s="91"/>
    </row>
    <row r="124" spans="1:1" x14ac:dyDescent="0.3">
      <c r="A124" s="91"/>
    </row>
    <row r="125" spans="1:1" x14ac:dyDescent="0.3">
      <c r="A125" s="91"/>
    </row>
    <row r="126" spans="1:1" x14ac:dyDescent="0.3">
      <c r="A126" s="91"/>
    </row>
  </sheetData>
  <mergeCells count="28">
    <mergeCell ref="B35:E35"/>
    <mergeCell ref="B40:E40"/>
    <mergeCell ref="B41:E41"/>
    <mergeCell ref="H18:M18"/>
    <mergeCell ref="H19:I19"/>
    <mergeCell ref="J19:K19"/>
    <mergeCell ref="L19:M19"/>
    <mergeCell ref="H32:M32"/>
    <mergeCell ref="H31:M31"/>
    <mergeCell ref="B22:E22"/>
    <mergeCell ref="K21:K23"/>
    <mergeCell ref="M21:M25"/>
    <mergeCell ref="H1:M1"/>
    <mergeCell ref="H2:M2"/>
    <mergeCell ref="H3:I3"/>
    <mergeCell ref="J3:K3"/>
    <mergeCell ref="L3:M3"/>
    <mergeCell ref="B1:E1"/>
    <mergeCell ref="B2:E2"/>
    <mergeCell ref="D5:D7"/>
    <mergeCell ref="E5:E9"/>
    <mergeCell ref="B15:E15"/>
    <mergeCell ref="K5:K7"/>
    <mergeCell ref="M5:M9"/>
    <mergeCell ref="H16:M16"/>
    <mergeCell ref="H15:M15"/>
    <mergeCell ref="D25:D27"/>
    <mergeCell ref="E25:E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4"/>
  <sheetViews>
    <sheetView workbookViewId="0">
      <selection activeCell="B2" sqref="B2:E14"/>
    </sheetView>
  </sheetViews>
  <sheetFormatPr defaultRowHeight="14.4" x14ac:dyDescent="0.3"/>
  <cols>
    <col min="1" max="1" width="11.6640625" customWidth="1"/>
    <col min="2" max="2" width="25" customWidth="1"/>
    <col min="3" max="3" width="24" customWidth="1"/>
    <col min="4" max="4" width="23.6640625" customWidth="1"/>
    <col min="5" max="5" width="23.33203125" customWidth="1"/>
    <col min="6" max="7" width="9.109375" style="91"/>
    <col min="8" max="8" width="14.109375" style="91" customWidth="1"/>
    <col min="9" max="10" width="9.109375" style="91"/>
    <col min="11" max="11" width="12.6640625" style="91" customWidth="1"/>
    <col min="12" max="13" width="9.109375" style="91"/>
  </cols>
  <sheetData>
    <row r="1" spans="1:13" ht="37.5" customHeight="1" thickBot="1" x14ac:dyDescent="0.35">
      <c r="A1" s="89" t="s">
        <v>82</v>
      </c>
      <c r="B1" s="185" t="s">
        <v>50</v>
      </c>
      <c r="C1" s="186"/>
      <c r="D1" s="186"/>
      <c r="E1" s="187"/>
    </row>
    <row r="2" spans="1:13" ht="15" thickBot="1" x14ac:dyDescent="0.35">
      <c r="A2" s="99">
        <v>4.5400000000000003E-2</v>
      </c>
      <c r="B2" s="188" t="s">
        <v>51</v>
      </c>
      <c r="C2" s="189"/>
      <c r="D2" s="189"/>
      <c r="E2" s="190"/>
    </row>
    <row r="3" spans="1:13" s="16" customFormat="1" ht="15" thickBot="1" x14ac:dyDescent="0.35">
      <c r="A3" s="90"/>
      <c r="B3" s="64" t="s">
        <v>1</v>
      </c>
      <c r="C3" s="62" t="s">
        <v>52</v>
      </c>
      <c r="D3" s="63" t="s">
        <v>53</v>
      </c>
      <c r="E3" s="63" t="s">
        <v>54</v>
      </c>
      <c r="F3" s="92"/>
      <c r="G3" s="92"/>
      <c r="H3" s="93"/>
      <c r="I3" s="92"/>
      <c r="J3" s="92"/>
      <c r="K3" s="92"/>
      <c r="L3" s="92"/>
      <c r="M3" s="92"/>
    </row>
    <row r="4" spans="1:13" ht="15" thickBot="1" x14ac:dyDescent="0.35">
      <c r="A4" s="91"/>
      <c r="B4" s="65" t="s">
        <v>4</v>
      </c>
      <c r="C4" s="66" t="s">
        <v>20</v>
      </c>
      <c r="D4" s="74" t="s">
        <v>20</v>
      </c>
      <c r="E4" s="75" t="s">
        <v>20</v>
      </c>
    </row>
    <row r="5" spans="1:13" ht="14.85" customHeight="1" thickBot="1" x14ac:dyDescent="0.35">
      <c r="A5" s="91"/>
      <c r="B5" s="103" t="s">
        <v>57</v>
      </c>
      <c r="C5" s="104">
        <f>('TARIFAS 2017'!D5*'TARIFAS 2018'!$A$2)+'TARIFAS 2017'!D5</f>
        <v>3.1311820800000003</v>
      </c>
      <c r="D5" s="192">
        <f>('TARIFAS 2017'!E5:E7*'TARIFAS 2018'!$A$2)+'TARIFAS 2017'!E5:E7</f>
        <v>5.2263727599999994</v>
      </c>
      <c r="E5" s="195">
        <f>('TARIFAS 2017'!F5:F9*'TARIFAS 2018'!$A$2)+'TARIFAS 2017'!F5:F9</f>
        <v>8.3344515000000001</v>
      </c>
      <c r="G5" s="94"/>
      <c r="H5" s="94"/>
      <c r="I5" s="94"/>
    </row>
    <row r="6" spans="1:13" ht="14.85" customHeight="1" thickBot="1" x14ac:dyDescent="0.35">
      <c r="A6" s="91"/>
      <c r="B6" s="103" t="s">
        <v>58</v>
      </c>
      <c r="C6" s="104">
        <f>('TARIFAS 2017'!D6*'TARIFAS 2018'!$A$2)+'TARIFAS 2017'!D6</f>
        <v>3.79887906</v>
      </c>
      <c r="D6" s="193"/>
      <c r="E6" s="196"/>
      <c r="G6" s="94"/>
      <c r="H6" s="94"/>
      <c r="I6" s="94"/>
    </row>
    <row r="7" spans="1:13" ht="14.85" customHeight="1" thickBot="1" x14ac:dyDescent="0.35">
      <c r="A7" s="91"/>
      <c r="B7" s="103" t="s">
        <v>59</v>
      </c>
      <c r="C7" s="104">
        <f>('TARIFAS 2017'!D7*'TARIFAS 2018'!$A$2)+'TARIFAS 2017'!D7</f>
        <v>5.2263727599999994</v>
      </c>
      <c r="D7" s="194"/>
      <c r="E7" s="196"/>
      <c r="G7" s="94"/>
      <c r="H7" s="94"/>
      <c r="I7" s="94"/>
    </row>
    <row r="8" spans="1:13" ht="14.85" customHeight="1" thickBot="1" x14ac:dyDescent="0.35">
      <c r="A8" s="91"/>
      <c r="B8" s="103" t="s">
        <v>60</v>
      </c>
      <c r="C8" s="104">
        <f>('TARIFAS 2017'!D8*'TARIFAS 2018'!$A$2)+'TARIFAS 2017'!D8</f>
        <v>6.7952045399999994</v>
      </c>
      <c r="D8" s="106">
        <f>('TARIFAS 2017'!E8*'TARIFAS 2018'!$A$2)+'TARIFAS 2017'!E8</f>
        <v>6.7952045399999994</v>
      </c>
      <c r="E8" s="196"/>
      <c r="G8" s="94"/>
      <c r="H8" s="94"/>
      <c r="I8" s="94"/>
    </row>
    <row r="9" spans="1:13" ht="14.85" customHeight="1" thickBot="1" x14ac:dyDescent="0.35">
      <c r="A9" s="91"/>
      <c r="B9" s="103" t="s">
        <v>61</v>
      </c>
      <c r="C9" s="104">
        <f>('TARIFAS 2017'!D9*'TARIFAS 2018'!$A$2)+'TARIFAS 2017'!D9</f>
        <v>8.3344515000000001</v>
      </c>
      <c r="D9" s="106">
        <f>('TARIFAS 2017'!E9*'TARIFAS 2018'!$A$2)+'TARIFAS 2017'!E9</f>
        <v>8.3344515000000001</v>
      </c>
      <c r="E9" s="197"/>
      <c r="F9" s="95"/>
      <c r="G9" s="94"/>
      <c r="H9" s="94"/>
      <c r="I9" s="94"/>
    </row>
    <row r="10" spans="1:13" ht="14.85" customHeight="1" thickBot="1" x14ac:dyDescent="0.35">
      <c r="A10" s="91"/>
      <c r="B10" s="103" t="s">
        <v>62</v>
      </c>
      <c r="C10" s="104">
        <f>('TARIFAS 2017'!D10*'TARIFAS 2018'!$A$2)+'TARIFAS 2017'!D10</f>
        <v>8.6799562000000012</v>
      </c>
      <c r="D10" s="106">
        <f>('TARIFAS 2017'!E10*'TARIFAS 2018'!$A$2)+'TARIFAS 2017'!E10</f>
        <v>8.6799562000000012</v>
      </c>
      <c r="E10" s="107">
        <f>('TARIFAS 2017'!F10*'TARIFAS 2018'!$A$2)+'TARIFAS 2017'!F10</f>
        <v>8.6799562000000012</v>
      </c>
      <c r="F10" s="95"/>
      <c r="G10" s="94"/>
      <c r="H10" s="94"/>
      <c r="I10" s="94"/>
    </row>
    <row r="11" spans="1:13" ht="14.85" customHeight="1" thickBot="1" x14ac:dyDescent="0.35">
      <c r="A11" s="91"/>
      <c r="B11" s="103" t="s">
        <v>63</v>
      </c>
      <c r="C11" s="104">
        <f>('TARIFAS 2017'!D11*'TARIFAS 2018'!$A$2)+'TARIFAS 2017'!D11</f>
        <v>10.06124322</v>
      </c>
      <c r="D11" s="106">
        <f>('TARIFAS 2017'!E11*'TARIFAS 2018'!$A$2)+'TARIFAS 2017'!E11</f>
        <v>10.06124322</v>
      </c>
      <c r="E11" s="107">
        <f>('TARIFAS 2017'!F11*'TARIFAS 2018'!$A$2)+'TARIFAS 2017'!F11</f>
        <v>10.06124322</v>
      </c>
      <c r="F11" s="95">
        <f>E11-E10</f>
        <v>1.3812870199999985</v>
      </c>
      <c r="G11" s="94"/>
      <c r="H11" s="94"/>
      <c r="I11" s="94"/>
    </row>
    <row r="12" spans="1:13" ht="14.85" customHeight="1" thickBot="1" x14ac:dyDescent="0.35">
      <c r="A12" s="91"/>
      <c r="B12" s="103" t="s">
        <v>64</v>
      </c>
      <c r="C12" s="104">
        <f>('TARIFAS 2017'!D12*'TARIFAS 2018'!$A$2)+'TARIFAS 2017'!D12</f>
        <v>11.16654464</v>
      </c>
      <c r="D12" s="106">
        <f>('TARIFAS 2017'!E12*'TARIFAS 2018'!$A$2)+'TARIFAS 2017'!E12</f>
        <v>11.16654464</v>
      </c>
      <c r="E12" s="107">
        <f>('TARIFAS 2017'!F12*'TARIFAS 2018'!$A$2)+'TARIFAS 2017'!F12</f>
        <v>11.16654464</v>
      </c>
      <c r="F12" s="95">
        <f>E12-E11</f>
        <v>1.10530142</v>
      </c>
      <c r="G12" s="94"/>
      <c r="H12" s="94"/>
      <c r="I12" s="94"/>
    </row>
    <row r="13" spans="1:13" ht="14.85" customHeight="1" thickBot="1" x14ac:dyDescent="0.35">
      <c r="A13" s="91"/>
      <c r="B13" s="103" t="s">
        <v>65</v>
      </c>
      <c r="C13" s="104">
        <f>('TARIFAS 2017'!D13*'TARIFAS 2018'!$A$2)+'TARIFAS 2017'!D13</f>
        <v>12.45573192</v>
      </c>
      <c r="D13" s="106">
        <f>('TARIFAS 2017'!E13*'TARIFAS 2018'!$A$2)+'TARIFAS 2017'!E13</f>
        <v>12.45573192</v>
      </c>
      <c r="E13" s="107">
        <f>('TARIFAS 2017'!F13*'TARIFAS 2018'!$A$2)+'TARIFAS 2017'!F13</f>
        <v>12.45573192</v>
      </c>
      <c r="F13" s="95">
        <f>E13-E12</f>
        <v>1.2891872800000002</v>
      </c>
      <c r="G13" s="94"/>
      <c r="H13" s="94"/>
      <c r="I13" s="94"/>
    </row>
    <row r="14" spans="1:13" ht="14.85" customHeight="1" thickBot="1" x14ac:dyDescent="0.35">
      <c r="A14" s="91"/>
      <c r="B14" s="103" t="s">
        <v>66</v>
      </c>
      <c r="C14" s="104">
        <f>('TARIFAS 2017'!D14*'TARIFAS 2018'!$A$2)+'TARIFAS 2017'!D14</f>
        <v>15.0574189</v>
      </c>
      <c r="D14" s="106">
        <f>('TARIFAS 2017'!E14*'TARIFAS 2018'!$A$2)+'TARIFAS 2017'!E14</f>
        <v>15.0574189</v>
      </c>
      <c r="E14" s="107">
        <f>('TARIFAS 2017'!F14*'TARIFAS 2018'!$A$2)+'TARIFAS 2017'!F14</f>
        <v>15.0574189</v>
      </c>
      <c r="F14" s="95">
        <f>E14-E13</f>
        <v>2.6016869800000002</v>
      </c>
      <c r="G14" s="96"/>
      <c r="H14" s="96"/>
      <c r="I14" s="96"/>
    </row>
    <row r="15" spans="1:13" ht="15" thickBot="1" x14ac:dyDescent="0.35">
      <c r="A15" s="91"/>
      <c r="B15" s="198" t="s">
        <v>22</v>
      </c>
      <c r="C15" s="199"/>
      <c r="D15" s="199"/>
      <c r="E15" s="200"/>
      <c r="F15" s="97"/>
      <c r="G15" s="96"/>
      <c r="H15" s="96"/>
      <c r="I15" s="96"/>
    </row>
    <row r="16" spans="1:13" ht="15" thickBot="1" x14ac:dyDescent="0.35">
      <c r="A16" s="91"/>
      <c r="B16" s="67" t="s">
        <v>24</v>
      </c>
      <c r="C16" s="68" t="s">
        <v>2</v>
      </c>
      <c r="D16" s="69" t="s">
        <v>3</v>
      </c>
      <c r="E16" s="70" t="s">
        <v>23</v>
      </c>
      <c r="G16" s="96"/>
      <c r="H16" s="96"/>
      <c r="I16" s="96"/>
    </row>
    <row r="17" spans="1:9" ht="15" thickBot="1" x14ac:dyDescent="0.35">
      <c r="A17" s="91"/>
      <c r="B17" s="78" t="s">
        <v>25</v>
      </c>
      <c r="C17" s="108">
        <f>C5*12</f>
        <v>37.574184960000004</v>
      </c>
      <c r="D17" s="109">
        <f>C17*50%</f>
        <v>18.787092480000002</v>
      </c>
      <c r="E17" s="110">
        <f>C17+D17</f>
        <v>56.361277440000009</v>
      </c>
      <c r="G17" s="96"/>
      <c r="H17" s="96"/>
      <c r="I17" s="96"/>
    </row>
    <row r="18" spans="1:9" ht="15" thickBot="1" x14ac:dyDescent="0.35">
      <c r="A18" s="91"/>
      <c r="B18" s="79" t="s">
        <v>75</v>
      </c>
      <c r="C18" s="111">
        <f>D5*16</f>
        <v>83.62196415999999</v>
      </c>
      <c r="D18" s="109">
        <f t="shared" ref="D18:D19" si="0">C18*50%</f>
        <v>41.810982079999995</v>
      </c>
      <c r="E18" s="112">
        <f t="shared" ref="E18" si="1">C18+D18</f>
        <v>125.43294623999998</v>
      </c>
      <c r="G18" s="96"/>
      <c r="H18" s="96"/>
      <c r="I18" s="96"/>
    </row>
    <row r="19" spans="1:9" ht="15" thickBot="1" x14ac:dyDescent="0.35">
      <c r="A19" s="91"/>
      <c r="B19" s="80" t="s">
        <v>76</v>
      </c>
      <c r="C19" s="113">
        <f>E5*30</f>
        <v>250.033545</v>
      </c>
      <c r="D19" s="109">
        <f t="shared" si="0"/>
        <v>125.0167725</v>
      </c>
      <c r="E19" s="114">
        <f>C19+D19</f>
        <v>375.05031750000001</v>
      </c>
      <c r="G19" s="96"/>
      <c r="H19" s="96"/>
      <c r="I19" s="96"/>
    </row>
    <row r="20" spans="1:9" ht="30.75" customHeight="1" thickBot="1" x14ac:dyDescent="0.35">
      <c r="A20" s="91"/>
      <c r="B20" s="201" t="s">
        <v>55</v>
      </c>
      <c r="C20" s="202"/>
      <c r="D20" s="202"/>
      <c r="E20" s="203"/>
    </row>
    <row r="21" spans="1:9" ht="15" thickBot="1" x14ac:dyDescent="0.35">
      <c r="A21" s="91"/>
      <c r="B21" s="64" t="s">
        <v>1</v>
      </c>
      <c r="C21" s="62" t="s">
        <v>52</v>
      </c>
      <c r="D21" s="63" t="s">
        <v>53</v>
      </c>
      <c r="E21" s="63" t="s">
        <v>54</v>
      </c>
    </row>
    <row r="22" spans="1:9" ht="15" thickBot="1" x14ac:dyDescent="0.35">
      <c r="A22" s="91"/>
      <c r="B22" s="65" t="s">
        <v>4</v>
      </c>
      <c r="C22" s="66" t="s">
        <v>20</v>
      </c>
      <c r="D22" s="74" t="s">
        <v>56</v>
      </c>
      <c r="E22" s="75" t="s">
        <v>56</v>
      </c>
    </row>
    <row r="23" spans="1:9" ht="14.85" customHeight="1" thickBot="1" x14ac:dyDescent="0.35">
      <c r="A23" s="91"/>
      <c r="B23" s="103" t="s">
        <v>57</v>
      </c>
      <c r="C23" s="104">
        <f>('TARIFAS 2017'!D23*'TARIFAS 2018'!$A$2)+'TARIFAS 2017'!D23</f>
        <v>1.94956646</v>
      </c>
      <c r="D23" s="192">
        <f>('TARIFAS 2017'!E23:E25*'TARIFAS 2018'!$A$2)+'TARIFAS 2017'!E23:E25</f>
        <v>3.2540165799999996</v>
      </c>
      <c r="E23" s="195">
        <f>('TARIFAS 2017'!F23:F27*'TARIFAS 2018'!$A$2)+'TARIFAS 2017'!F23:F27</f>
        <v>5.1893656000000004</v>
      </c>
    </row>
    <row r="24" spans="1:9" ht="14.85" customHeight="1" thickBot="1" x14ac:dyDescent="0.35">
      <c r="A24" s="91"/>
      <c r="B24" s="103" t="s">
        <v>58</v>
      </c>
      <c r="C24" s="104">
        <f>('TARIFAS 2017'!D24*'TARIFAS 2018'!$A$2)+'TARIFAS 2017'!D24</f>
        <v>2.3653220400000001</v>
      </c>
      <c r="D24" s="193"/>
      <c r="E24" s="196"/>
      <c r="G24" s="98"/>
    </row>
    <row r="25" spans="1:9" ht="14.85" customHeight="1" thickBot="1" x14ac:dyDescent="0.35">
      <c r="A25" s="91"/>
      <c r="B25" s="103" t="s">
        <v>59</v>
      </c>
      <c r="C25" s="104">
        <f>('TARIFAS 2017'!D25*'TARIFAS 2018'!$A$2)+'TARIFAS 2017'!D25</f>
        <v>3.2540165799999996</v>
      </c>
      <c r="D25" s="194"/>
      <c r="E25" s="196"/>
      <c r="G25" s="98"/>
    </row>
    <row r="26" spans="1:9" ht="14.85" customHeight="1" thickBot="1" x14ac:dyDescent="0.35">
      <c r="A26" s="91"/>
      <c r="B26" s="103" t="s">
        <v>60</v>
      </c>
      <c r="C26" s="104">
        <f>('TARIFAS 2017'!D26*'TARIFAS 2018'!$A$2)+'TARIFAS 2017'!D26</f>
        <v>4.2288520800000002</v>
      </c>
      <c r="D26" s="104">
        <f>('TARIFAS 2017'!E26*'TARIFAS 2018'!$A$2)+'TARIFAS 2017'!E26</f>
        <v>4.2288520800000002</v>
      </c>
      <c r="E26" s="196"/>
      <c r="G26" s="98"/>
    </row>
    <row r="27" spans="1:9" ht="14.85" customHeight="1" thickBot="1" x14ac:dyDescent="0.35">
      <c r="A27" s="91"/>
      <c r="B27" s="103" t="s">
        <v>61</v>
      </c>
      <c r="C27" s="104">
        <f>('TARIFAS 2017'!D27*'TARIFAS 2018'!$A$2)+'TARIFAS 2017'!D27</f>
        <v>5.1892610599999998</v>
      </c>
      <c r="D27" s="104">
        <f>('TARIFAS 2017'!E27*'TARIFAS 2018'!$A$2)+'TARIFAS 2017'!E27</f>
        <v>5.1893656000000004</v>
      </c>
      <c r="E27" s="197"/>
      <c r="G27" s="98"/>
    </row>
    <row r="28" spans="1:9" ht="14.85" customHeight="1" thickBot="1" x14ac:dyDescent="0.35">
      <c r="A28" s="91"/>
      <c r="B28" s="103" t="s">
        <v>62</v>
      </c>
      <c r="C28" s="104">
        <f>('TARIFAS 2017'!D28*'TARIFAS 2018'!$A$2)+'TARIFAS 2017'!D28</f>
        <v>5.4042998400000002</v>
      </c>
      <c r="D28" s="104">
        <f>('TARIFAS 2017'!E28*'TARIFAS 2018'!$A$2)+'TARIFAS 2017'!E28</f>
        <v>5.4039862200000002</v>
      </c>
      <c r="E28" s="107">
        <f>('TARIFAS 2017'!F28*'TARIFAS 2018'!$A$2)+'TARIFAS 2017'!F28</f>
        <v>5.4039862200000002</v>
      </c>
      <c r="G28" s="98"/>
    </row>
    <row r="29" spans="1:9" ht="14.85" customHeight="1" thickBot="1" x14ac:dyDescent="0.35">
      <c r="A29" s="91"/>
      <c r="B29" s="103" t="s">
        <v>63</v>
      </c>
      <c r="C29" s="104">
        <f>('TARIFAS 2017'!D29*'TARIFAS 2018'!$A$2)+'TARIFAS 2017'!D29</f>
        <v>6.2643504200000004</v>
      </c>
      <c r="D29" s="104">
        <f>('TARIFAS 2017'!E29*'TARIFAS 2018'!$A$2)+'TARIFAS 2017'!E29</f>
        <v>6.2642458800000007</v>
      </c>
      <c r="E29" s="107">
        <f>('TARIFAS 2017'!F29*'TARIFAS 2018'!$A$2)+'TARIFAS 2017'!F29</f>
        <v>6.2642458800000007</v>
      </c>
      <c r="G29" s="98"/>
    </row>
    <row r="30" spans="1:9" ht="14.85" customHeight="1" thickBot="1" x14ac:dyDescent="0.35">
      <c r="A30" s="91"/>
      <c r="B30" s="103" t="s">
        <v>64</v>
      </c>
      <c r="C30" s="104">
        <f>('TARIFAS 2017'!D30*'TARIFAS 2018'!$A$2)+'TARIFAS 2017'!D30</f>
        <v>6.9524327000000001</v>
      </c>
      <c r="D30" s="104">
        <f>('TARIFAS 2017'!E30*'TARIFAS 2018'!$A$2)+'TARIFAS 2017'!E30</f>
        <v>6.9523281600000004</v>
      </c>
      <c r="E30" s="107">
        <f>('TARIFAS 2017'!F30*'TARIFAS 2018'!$A$2)+'TARIFAS 2017'!F30</f>
        <v>6.9523281600000004</v>
      </c>
      <c r="G30" s="98"/>
    </row>
    <row r="31" spans="1:9" ht="14.85" customHeight="1" thickBot="1" x14ac:dyDescent="0.35">
      <c r="A31" s="91"/>
      <c r="B31" s="103" t="s">
        <v>65</v>
      </c>
      <c r="C31" s="104">
        <f>('TARIFAS 2017'!D31*'TARIFAS 2018'!$A$2)+'TARIFAS 2017'!D31</f>
        <v>7.7551953600000001</v>
      </c>
      <c r="D31" s="104">
        <f>('TARIFAS 2017'!E31*'TARIFAS 2018'!$A$2)+'TARIFAS 2017'!E31</f>
        <v>7.7551953600000001</v>
      </c>
      <c r="E31" s="107">
        <f>('TARIFAS 2017'!F31*'TARIFAS 2018'!$A$2)+'TARIFAS 2017'!F31</f>
        <v>7.7551953600000001</v>
      </c>
      <c r="G31" s="98"/>
    </row>
    <row r="32" spans="1:9" ht="14.85" customHeight="1" thickBot="1" x14ac:dyDescent="0.35">
      <c r="A32" s="91"/>
      <c r="B32" s="105" t="s">
        <v>66</v>
      </c>
      <c r="C32" s="104">
        <f>('TARIFAS 2017'!D32*'TARIFAS 2018'!$A$2)+'TARIFAS 2017'!D32</f>
        <v>9.3750426600000001</v>
      </c>
      <c r="D32" s="104">
        <f>('TARIFAS 2017'!E32*'TARIFAS 2018'!$A$2)+'TARIFAS 2017'!E32</f>
        <v>9.3749381200000013</v>
      </c>
      <c r="E32" s="107">
        <f>('TARIFAS 2017'!F32*'TARIFAS 2018'!$A$2)+'TARIFAS 2017'!F32</f>
        <v>9.3749381200000013</v>
      </c>
      <c r="G32" s="98"/>
    </row>
    <row r="33" spans="1:13" s="102" customFormat="1" thickBot="1" x14ac:dyDescent="0.35">
      <c r="A33" s="100"/>
      <c r="B33" s="198" t="s">
        <v>22</v>
      </c>
      <c r="C33" s="199"/>
      <c r="D33" s="199"/>
      <c r="E33" s="200"/>
      <c r="F33" s="100"/>
      <c r="G33" s="101"/>
      <c r="H33" s="100"/>
      <c r="I33" s="100"/>
      <c r="J33" s="100"/>
      <c r="K33" s="100"/>
      <c r="L33" s="100"/>
      <c r="M33" s="100"/>
    </row>
    <row r="34" spans="1:13" ht="15" thickBot="1" x14ac:dyDescent="0.35">
      <c r="A34" s="91"/>
      <c r="B34" s="71" t="s">
        <v>24</v>
      </c>
      <c r="C34" s="72" t="s">
        <v>6</v>
      </c>
      <c r="D34" s="72" t="s">
        <v>7</v>
      </c>
      <c r="E34" s="73" t="s">
        <v>23</v>
      </c>
      <c r="G34" s="98"/>
    </row>
    <row r="35" spans="1:13" ht="15" thickBot="1" x14ac:dyDescent="0.35">
      <c r="A35" s="91"/>
      <c r="B35" s="81" t="s">
        <v>25</v>
      </c>
      <c r="C35" s="108">
        <f>C23*12</f>
        <v>23.394797520000001</v>
      </c>
      <c r="D35" s="109">
        <f>C35*50%</f>
        <v>11.69739876</v>
      </c>
      <c r="E35" s="115">
        <f>C35+D35</f>
        <v>35.092196280000003</v>
      </c>
      <c r="G35" s="98"/>
    </row>
    <row r="36" spans="1:13" ht="15" thickBot="1" x14ac:dyDescent="0.35">
      <c r="A36" s="91"/>
      <c r="B36" s="79" t="s">
        <v>75</v>
      </c>
      <c r="C36" s="108">
        <f>D23*16</f>
        <v>52.064265279999994</v>
      </c>
      <c r="D36" s="109">
        <f t="shared" ref="D36:D37" si="2">C36*50%</f>
        <v>26.032132639999997</v>
      </c>
      <c r="E36" s="115">
        <f>C36+D36</f>
        <v>78.096397919999987</v>
      </c>
      <c r="G36" s="98"/>
    </row>
    <row r="37" spans="1:13" ht="15" thickBot="1" x14ac:dyDescent="0.35">
      <c r="A37" s="91"/>
      <c r="B37" s="80" t="s">
        <v>76</v>
      </c>
      <c r="C37" s="116">
        <f>E23*30</f>
        <v>155.68096800000001</v>
      </c>
      <c r="D37" s="109">
        <f t="shared" si="2"/>
        <v>77.840484000000004</v>
      </c>
      <c r="E37" s="117">
        <f t="shared" ref="E37" si="3">C37+D37</f>
        <v>233.52145200000001</v>
      </c>
      <c r="G37" s="98"/>
    </row>
    <row r="38" spans="1:13" ht="15" thickBot="1" x14ac:dyDescent="0.35">
      <c r="A38" s="91"/>
      <c r="B38" s="201" t="s">
        <v>67</v>
      </c>
      <c r="C38" s="202"/>
      <c r="D38" s="202"/>
      <c r="E38" s="203"/>
      <c r="G38" s="98"/>
    </row>
    <row r="39" spans="1:13" ht="15" thickBot="1" x14ac:dyDescent="0.35">
      <c r="A39" s="91"/>
      <c r="B39" s="204" t="s">
        <v>21</v>
      </c>
      <c r="C39" s="205"/>
      <c r="D39" s="205"/>
      <c r="E39" s="206"/>
    </row>
    <row r="40" spans="1:13" s="91" customFormat="1" x14ac:dyDescent="0.3"/>
    <row r="41" spans="1:13" s="91" customFormat="1" x14ac:dyDescent="0.3"/>
    <row r="42" spans="1:13" s="91" customFormat="1" x14ac:dyDescent="0.3"/>
    <row r="43" spans="1:13" s="91" customFormat="1" x14ac:dyDescent="0.3"/>
    <row r="44" spans="1:13" s="91" customFormat="1" x14ac:dyDescent="0.3"/>
    <row r="45" spans="1:13" s="91" customFormat="1" x14ac:dyDescent="0.3"/>
    <row r="46" spans="1:13" s="91" customFormat="1" x14ac:dyDescent="0.3"/>
    <row r="47" spans="1:13" s="91" customFormat="1" x14ac:dyDescent="0.3"/>
    <row r="48" spans="1:13" s="91" customFormat="1" x14ac:dyDescent="0.3"/>
    <row r="49" s="91" customFormat="1" x14ac:dyDescent="0.3"/>
    <row r="50" s="91" customFormat="1" x14ac:dyDescent="0.3"/>
    <row r="51" s="91" customFormat="1" x14ac:dyDescent="0.3"/>
    <row r="52" s="91" customFormat="1" x14ac:dyDescent="0.3"/>
    <row r="53" s="91" customFormat="1" x14ac:dyDescent="0.3"/>
    <row r="54" s="91" customFormat="1" x14ac:dyDescent="0.3"/>
    <row r="55" s="91" customFormat="1" x14ac:dyDescent="0.3"/>
    <row r="56" s="91" customFormat="1" x14ac:dyDescent="0.3"/>
    <row r="57" s="91" customFormat="1" x14ac:dyDescent="0.3"/>
    <row r="58" s="91" customFormat="1" x14ac:dyDescent="0.3"/>
    <row r="59" s="91" customFormat="1" x14ac:dyDescent="0.3"/>
    <row r="60" s="91" customFormat="1" x14ac:dyDescent="0.3"/>
    <row r="61" s="91" customFormat="1" x14ac:dyDescent="0.3"/>
    <row r="62" s="91" customFormat="1" x14ac:dyDescent="0.3"/>
    <row r="63" s="91" customFormat="1" x14ac:dyDescent="0.3"/>
    <row r="64" s="91" customFormat="1" x14ac:dyDescent="0.3"/>
    <row r="65" spans="1:1" s="91" customFormat="1" x14ac:dyDescent="0.3"/>
    <row r="66" spans="1:1" s="91" customFormat="1" x14ac:dyDescent="0.3"/>
    <row r="67" spans="1:1" s="91" customFormat="1" x14ac:dyDescent="0.3"/>
    <row r="68" spans="1:1" s="91" customFormat="1" x14ac:dyDescent="0.3"/>
    <row r="69" spans="1:1" s="91" customFormat="1" x14ac:dyDescent="0.3"/>
    <row r="70" spans="1:1" s="91" customFormat="1" x14ac:dyDescent="0.3"/>
    <row r="71" spans="1:1" s="91" customFormat="1" x14ac:dyDescent="0.3"/>
    <row r="72" spans="1:1" s="91" customFormat="1" x14ac:dyDescent="0.3"/>
    <row r="73" spans="1:1" x14ac:dyDescent="0.3">
      <c r="A73" s="91"/>
    </row>
    <row r="74" spans="1:1" x14ac:dyDescent="0.3">
      <c r="A74" s="91"/>
    </row>
    <row r="75" spans="1:1" x14ac:dyDescent="0.3">
      <c r="A75" s="91"/>
    </row>
    <row r="76" spans="1:1" x14ac:dyDescent="0.3">
      <c r="A76" s="91"/>
    </row>
    <row r="77" spans="1:1" x14ac:dyDescent="0.3">
      <c r="A77" s="91"/>
    </row>
    <row r="78" spans="1:1" x14ac:dyDescent="0.3">
      <c r="A78" s="91"/>
    </row>
    <row r="79" spans="1:1" x14ac:dyDescent="0.3">
      <c r="A79" s="91"/>
    </row>
    <row r="80" spans="1:1" x14ac:dyDescent="0.3">
      <c r="A80" s="91"/>
    </row>
    <row r="81" spans="1:1" x14ac:dyDescent="0.3">
      <c r="A81" s="91"/>
    </row>
    <row r="82" spans="1:1" x14ac:dyDescent="0.3">
      <c r="A82" s="91"/>
    </row>
    <row r="83" spans="1:1" x14ac:dyDescent="0.3">
      <c r="A83" s="91"/>
    </row>
    <row r="84" spans="1:1" x14ac:dyDescent="0.3">
      <c r="A84" s="91"/>
    </row>
    <row r="85" spans="1:1" x14ac:dyDescent="0.3">
      <c r="A85" s="91"/>
    </row>
    <row r="86" spans="1:1" x14ac:dyDescent="0.3">
      <c r="A86" s="91"/>
    </row>
    <row r="87" spans="1:1" x14ac:dyDescent="0.3">
      <c r="A87" s="91"/>
    </row>
    <row r="88" spans="1:1" x14ac:dyDescent="0.3">
      <c r="A88" s="91"/>
    </row>
    <row r="89" spans="1:1" x14ac:dyDescent="0.3">
      <c r="A89" s="91"/>
    </row>
    <row r="90" spans="1:1" x14ac:dyDescent="0.3">
      <c r="A90" s="91"/>
    </row>
    <row r="91" spans="1:1" x14ac:dyDescent="0.3">
      <c r="A91" s="91"/>
    </row>
    <row r="92" spans="1:1" x14ac:dyDescent="0.3">
      <c r="A92" s="91"/>
    </row>
    <row r="93" spans="1:1" x14ac:dyDescent="0.3">
      <c r="A93" s="91"/>
    </row>
    <row r="94" spans="1:1" x14ac:dyDescent="0.3">
      <c r="A94" s="91"/>
    </row>
    <row r="95" spans="1:1" x14ac:dyDescent="0.3">
      <c r="A95" s="91"/>
    </row>
    <row r="96" spans="1:1" x14ac:dyDescent="0.3">
      <c r="A96" s="91"/>
    </row>
    <row r="97" spans="1:1" x14ac:dyDescent="0.3">
      <c r="A97" s="91"/>
    </row>
    <row r="98" spans="1:1" x14ac:dyDescent="0.3">
      <c r="A98" s="91"/>
    </row>
    <row r="99" spans="1:1" x14ac:dyDescent="0.3">
      <c r="A99" s="91"/>
    </row>
    <row r="100" spans="1:1" x14ac:dyDescent="0.3">
      <c r="A100" s="91"/>
    </row>
    <row r="101" spans="1:1" x14ac:dyDescent="0.3">
      <c r="A101" s="91"/>
    </row>
    <row r="102" spans="1:1" x14ac:dyDescent="0.3">
      <c r="A102" s="91"/>
    </row>
    <row r="103" spans="1:1" x14ac:dyDescent="0.3">
      <c r="A103" s="91"/>
    </row>
    <row r="104" spans="1:1" x14ac:dyDescent="0.3">
      <c r="A104" s="91"/>
    </row>
    <row r="105" spans="1:1" x14ac:dyDescent="0.3">
      <c r="A105" s="91"/>
    </row>
    <row r="106" spans="1:1" x14ac:dyDescent="0.3">
      <c r="A106" s="91"/>
    </row>
    <row r="107" spans="1:1" x14ac:dyDescent="0.3">
      <c r="A107" s="91"/>
    </row>
    <row r="108" spans="1:1" x14ac:dyDescent="0.3">
      <c r="A108" s="91"/>
    </row>
    <row r="109" spans="1:1" x14ac:dyDescent="0.3">
      <c r="A109" s="91"/>
    </row>
    <row r="110" spans="1:1" x14ac:dyDescent="0.3">
      <c r="A110" s="91"/>
    </row>
    <row r="111" spans="1:1" x14ac:dyDescent="0.3">
      <c r="A111" s="91"/>
    </row>
    <row r="112" spans="1:1" x14ac:dyDescent="0.3">
      <c r="A112" s="91"/>
    </row>
    <row r="113" spans="1:1" x14ac:dyDescent="0.3">
      <c r="A113" s="91"/>
    </row>
    <row r="114" spans="1:1" x14ac:dyDescent="0.3">
      <c r="A114" s="91"/>
    </row>
    <row r="115" spans="1:1" x14ac:dyDescent="0.3">
      <c r="A115" s="91"/>
    </row>
    <row r="116" spans="1:1" x14ac:dyDescent="0.3">
      <c r="A116" s="91"/>
    </row>
    <row r="117" spans="1:1" x14ac:dyDescent="0.3">
      <c r="A117" s="91"/>
    </row>
    <row r="118" spans="1:1" x14ac:dyDescent="0.3">
      <c r="A118" s="91"/>
    </row>
    <row r="119" spans="1:1" x14ac:dyDescent="0.3">
      <c r="A119" s="91"/>
    </row>
    <row r="120" spans="1:1" x14ac:dyDescent="0.3">
      <c r="A120" s="91"/>
    </row>
    <row r="121" spans="1:1" x14ac:dyDescent="0.3">
      <c r="A121" s="91"/>
    </row>
    <row r="122" spans="1:1" x14ac:dyDescent="0.3">
      <c r="A122" s="91"/>
    </row>
    <row r="123" spans="1:1" x14ac:dyDescent="0.3">
      <c r="A123" s="91"/>
    </row>
    <row r="124" spans="1:1" x14ac:dyDescent="0.3">
      <c r="A124" s="91"/>
    </row>
  </sheetData>
  <mergeCells count="11">
    <mergeCell ref="B20:E20"/>
    <mergeCell ref="B1:E1"/>
    <mergeCell ref="B2:E2"/>
    <mergeCell ref="D5:D7"/>
    <mergeCell ref="E5:E9"/>
    <mergeCell ref="B15:E15"/>
    <mergeCell ref="B38:E38"/>
    <mergeCell ref="B39:E39"/>
    <mergeCell ref="D23:D25"/>
    <mergeCell ref="E23:E27"/>
    <mergeCell ref="B33:E3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workbookViewId="0">
      <selection activeCell="D23" sqref="D23"/>
    </sheetView>
  </sheetViews>
  <sheetFormatPr defaultRowHeight="14.4" x14ac:dyDescent="0.3"/>
  <cols>
    <col min="3" max="3" width="25" customWidth="1"/>
    <col min="4" max="4" width="24" customWidth="1"/>
    <col min="5" max="5" width="23.6640625" customWidth="1"/>
    <col min="6" max="6" width="23.33203125" customWidth="1"/>
    <col min="9" max="9" width="14.109375" customWidth="1"/>
    <col min="12" max="12" width="12.6640625" customWidth="1"/>
  </cols>
  <sheetData>
    <row r="1" spans="1:10" ht="37.5" customHeight="1" thickBot="1" x14ac:dyDescent="0.35">
      <c r="B1" s="1">
        <v>1.052</v>
      </c>
      <c r="C1" s="185" t="s">
        <v>50</v>
      </c>
      <c r="D1" s="186"/>
      <c r="E1" s="186"/>
      <c r="F1" s="187"/>
    </row>
    <row r="2" spans="1:10" ht="16.2" thickBot="1" x14ac:dyDescent="0.35">
      <c r="B2" s="1"/>
      <c r="C2" s="238" t="s">
        <v>51</v>
      </c>
      <c r="D2" s="239"/>
      <c r="E2" s="239"/>
      <c r="F2" s="240"/>
    </row>
    <row r="3" spans="1:10" s="16" customFormat="1" ht="83.25" customHeight="1" thickBot="1" x14ac:dyDescent="0.35">
      <c r="C3" s="64" t="s">
        <v>1</v>
      </c>
      <c r="D3" s="62" t="s">
        <v>52</v>
      </c>
      <c r="E3" s="63" t="s">
        <v>53</v>
      </c>
      <c r="F3" s="63" t="s">
        <v>54</v>
      </c>
      <c r="I3" s="17"/>
    </row>
    <row r="4" spans="1:10" ht="15" thickBot="1" x14ac:dyDescent="0.35">
      <c r="A4" t="s">
        <v>78</v>
      </c>
      <c r="B4" t="s">
        <v>77</v>
      </c>
      <c r="C4" s="65" t="s">
        <v>4</v>
      </c>
      <c r="D4" s="66" t="s">
        <v>20</v>
      </c>
      <c r="E4" s="74" t="s">
        <v>20</v>
      </c>
      <c r="F4" s="75" t="s">
        <v>20</v>
      </c>
    </row>
    <row r="5" spans="1:10" ht="16.2" thickBot="1" x14ac:dyDescent="0.35">
      <c r="B5">
        <f>12*D5</f>
        <v>35.942399999999999</v>
      </c>
      <c r="C5" s="76" t="s">
        <v>57</v>
      </c>
      <c r="D5" s="118">
        <f>ROUNDDOWN('TARIFAS 2016'!D4*'TARIFAS 2017'!$B$1,4)</f>
        <v>2.9952000000000001</v>
      </c>
      <c r="E5" s="226">
        <f>ROUND(4.7523*B1,4)</f>
        <v>4.9993999999999996</v>
      </c>
      <c r="F5" s="229">
        <f>ROUNDDOWN(7.5785*B1,4)</f>
        <v>7.9725000000000001</v>
      </c>
      <c r="G5">
        <v>12</v>
      </c>
      <c r="H5" s="88">
        <f>12*D5</f>
        <v>35.942399999999999</v>
      </c>
      <c r="I5" s="88">
        <f t="shared" ref="I5:I10" si="0">H5*50%</f>
        <v>17.9712</v>
      </c>
      <c r="J5" s="88"/>
    </row>
    <row r="6" spans="1:10" ht="16.2" thickBot="1" x14ac:dyDescent="0.35">
      <c r="B6">
        <f>3*D6</f>
        <v>10.9017</v>
      </c>
      <c r="C6" s="76" t="s">
        <v>58</v>
      </c>
      <c r="D6" s="118">
        <f>ROUND('TARIFAS 2016'!D5*'TARIFAS 2017'!$B$1,4)</f>
        <v>3.6339000000000001</v>
      </c>
      <c r="E6" s="227"/>
      <c r="F6" s="230"/>
      <c r="G6">
        <v>15</v>
      </c>
      <c r="H6" s="88">
        <f>3*D6</f>
        <v>10.9017</v>
      </c>
      <c r="I6" s="88">
        <f t="shared" si="0"/>
        <v>5.45085</v>
      </c>
      <c r="J6" s="88"/>
    </row>
    <row r="7" spans="1:10" ht="16.2" thickBot="1" x14ac:dyDescent="0.35">
      <c r="A7" t="s">
        <v>79</v>
      </c>
      <c r="B7">
        <f>B5+B6</f>
        <v>46.844099999999997</v>
      </c>
      <c r="C7" s="76" t="s">
        <v>59</v>
      </c>
      <c r="D7" s="118">
        <f>ROUND('TARIFAS 2016'!D6*'TARIFAS 2017'!$B$1,4)</f>
        <v>4.9993999999999996</v>
      </c>
      <c r="E7" s="228"/>
      <c r="F7" s="230"/>
      <c r="G7">
        <v>20</v>
      </c>
      <c r="H7" s="88">
        <f>D7*5</f>
        <v>24.997</v>
      </c>
      <c r="I7" s="88">
        <f t="shared" si="0"/>
        <v>12.4985</v>
      </c>
      <c r="J7" s="88"/>
    </row>
    <row r="8" spans="1:10" ht="16.2" thickBot="1" x14ac:dyDescent="0.35">
      <c r="A8" t="s">
        <v>80</v>
      </c>
      <c r="B8">
        <f>B7*50%</f>
        <v>23.422049999999999</v>
      </c>
      <c r="C8" s="76" t="s">
        <v>60</v>
      </c>
      <c r="D8" s="118">
        <f>ROUND('TARIFAS 2016'!D7*'TARIFAS 2017'!$B$1,4)</f>
        <v>6.5000999999999998</v>
      </c>
      <c r="E8" s="119">
        <f>ROUND(6.1788*B1,4)</f>
        <v>6.5000999999999998</v>
      </c>
      <c r="F8" s="230"/>
      <c r="H8" s="88">
        <f>D8*5</f>
        <v>32.500500000000002</v>
      </c>
      <c r="I8" s="88">
        <f t="shared" si="0"/>
        <v>16.250250000000001</v>
      </c>
      <c r="J8" s="88"/>
    </row>
    <row r="9" spans="1:10" ht="16.2" thickBot="1" x14ac:dyDescent="0.35">
      <c r="A9" t="s">
        <v>81</v>
      </c>
      <c r="B9">
        <f>B7+B8</f>
        <v>70.266149999999996</v>
      </c>
      <c r="C9" s="76" t="s">
        <v>61</v>
      </c>
      <c r="D9" s="118">
        <f>ROUND('TARIFAS 2016'!D8*'TARIFAS 2017'!$B$1,4)</f>
        <v>7.9725000000000001</v>
      </c>
      <c r="E9" s="119">
        <f>ROUNDDOWN(7.5785*B1,4)</f>
        <v>7.9725000000000001</v>
      </c>
      <c r="F9" s="231"/>
      <c r="G9" s="82">
        <f>E8-E5</f>
        <v>1.5007000000000001</v>
      </c>
      <c r="H9" s="88">
        <f>5*D9</f>
        <v>39.862499999999997</v>
      </c>
      <c r="I9" s="88">
        <f t="shared" si="0"/>
        <v>19.931249999999999</v>
      </c>
      <c r="J9" s="88"/>
    </row>
    <row r="10" spans="1:10" ht="16.2" thickBot="1" x14ac:dyDescent="0.35">
      <c r="C10" s="76" t="s">
        <v>62</v>
      </c>
      <c r="D10" s="118">
        <f>ROUND('TARIFAS 2016'!D9*'TARIFAS 2017'!$B$1,4)</f>
        <v>8.3030000000000008</v>
      </c>
      <c r="E10" s="119">
        <f>ROUND(7.8926*B1,4)</f>
        <v>8.3030000000000008</v>
      </c>
      <c r="F10" s="120">
        <f>ROUND(7.8926*B1,4)</f>
        <v>8.3030000000000008</v>
      </c>
      <c r="G10" s="82">
        <f>F10-F5</f>
        <v>0.33050000000000068</v>
      </c>
      <c r="H10" s="88">
        <f>5*D10</f>
        <v>41.515000000000001</v>
      </c>
      <c r="I10" s="88">
        <f t="shared" si="0"/>
        <v>20.7575</v>
      </c>
      <c r="J10" s="88"/>
    </row>
    <row r="11" spans="1:10" ht="16.2" thickBot="1" x14ac:dyDescent="0.35">
      <c r="C11" s="76" t="s">
        <v>63</v>
      </c>
      <c r="D11" s="118">
        <f>ROUND('TARIFAS 2016'!D10*'TARIFAS 2017'!$B$1,4)</f>
        <v>9.6242999999999999</v>
      </c>
      <c r="E11" s="119">
        <f>ROUND(9.1486*B1,4)</f>
        <v>9.6242999999999999</v>
      </c>
      <c r="F11" s="120">
        <f>ROUND(9.1486*B1,4)</f>
        <v>9.6242999999999999</v>
      </c>
      <c r="G11" s="82">
        <f>F11-F10</f>
        <v>1.321299999999999</v>
      </c>
      <c r="H11" s="88"/>
      <c r="I11" s="88"/>
      <c r="J11" s="88"/>
    </row>
    <row r="12" spans="1:10" ht="16.2" thickBot="1" x14ac:dyDescent="0.35">
      <c r="C12" s="76" t="s">
        <v>64</v>
      </c>
      <c r="D12" s="118">
        <f>ROUND('TARIFAS 2016'!D11*'TARIFAS 2017'!$B$1,4)</f>
        <v>10.6816</v>
      </c>
      <c r="E12" s="119">
        <f>ROUND(10.1536*B1,4)</f>
        <v>10.6816</v>
      </c>
      <c r="F12" s="120">
        <f>ROUND(10.1536*B1,4)</f>
        <v>10.6816</v>
      </c>
      <c r="G12" s="82">
        <f>F12-F11</f>
        <v>1.0572999999999997</v>
      </c>
      <c r="H12" s="88"/>
      <c r="I12" s="88"/>
      <c r="J12" s="88"/>
    </row>
    <row r="13" spans="1:10" ht="16.2" thickBot="1" x14ac:dyDescent="0.35">
      <c r="C13" s="76" t="s">
        <v>65</v>
      </c>
      <c r="D13" s="118">
        <f>ROUNDDOWN('TARIFAS 2016'!D12*'TARIFAS 2017'!$B$1,4)</f>
        <v>11.9148</v>
      </c>
      <c r="E13" s="119">
        <f>ROUND(11.3259*B1,4)</f>
        <v>11.9148</v>
      </c>
      <c r="F13" s="120">
        <f>ROUND(11.3259*B1,4)</f>
        <v>11.9148</v>
      </c>
      <c r="G13" s="82">
        <f>F13-F12</f>
        <v>1.2332000000000001</v>
      </c>
      <c r="H13" s="88"/>
      <c r="I13" s="88"/>
      <c r="J13" s="88"/>
    </row>
    <row r="14" spans="1:10" ht="16.2" thickBot="1" x14ac:dyDescent="0.35">
      <c r="C14" s="76" t="s">
        <v>66</v>
      </c>
      <c r="D14" s="118">
        <f>ROUND('TARIFAS 2016'!D13*'TARIFAS 2017'!$B$1,4)</f>
        <v>14.403499999999999</v>
      </c>
      <c r="E14" s="119">
        <f>ROUND(13.6915*B1,4)</f>
        <v>14.403499999999999</v>
      </c>
      <c r="F14" s="120">
        <f>ROUND(13.6915*B1,4)</f>
        <v>14.403499999999999</v>
      </c>
      <c r="G14" s="82">
        <f>F14-F13</f>
        <v>2.4886999999999997</v>
      </c>
      <c r="H14" s="2"/>
      <c r="I14" s="2"/>
      <c r="J14" s="2"/>
    </row>
    <row r="15" spans="1:10" ht="15" thickBot="1" x14ac:dyDescent="0.35">
      <c r="C15" s="235" t="s">
        <v>22</v>
      </c>
      <c r="D15" s="236"/>
      <c r="E15" s="236"/>
      <c r="F15" s="237"/>
      <c r="G15" s="83"/>
      <c r="H15" s="2"/>
      <c r="I15" s="2"/>
      <c r="J15" s="2"/>
    </row>
    <row r="16" spans="1:10" ht="15" thickBot="1" x14ac:dyDescent="0.35">
      <c r="C16" s="67" t="s">
        <v>24</v>
      </c>
      <c r="D16" s="68" t="s">
        <v>2</v>
      </c>
      <c r="E16" s="69" t="s">
        <v>3</v>
      </c>
      <c r="F16" s="70" t="s">
        <v>23</v>
      </c>
      <c r="H16" s="2"/>
      <c r="I16" s="2"/>
      <c r="J16" s="2"/>
    </row>
    <row r="17" spans="1:13" ht="15" thickBot="1" x14ac:dyDescent="0.35">
      <c r="C17" s="78" t="s">
        <v>25</v>
      </c>
      <c r="D17" s="108">
        <f>D5*12</f>
        <v>35.942399999999999</v>
      </c>
      <c r="E17" s="109">
        <f>D17*50%</f>
        <v>17.9712</v>
      </c>
      <c r="F17" s="110">
        <f>D17+E17</f>
        <v>53.913600000000002</v>
      </c>
      <c r="H17" s="2"/>
      <c r="I17" s="2"/>
      <c r="J17" s="2"/>
    </row>
    <row r="18" spans="1:13" ht="15" thickBot="1" x14ac:dyDescent="0.35">
      <c r="C18" s="79" t="s">
        <v>75</v>
      </c>
      <c r="D18" s="111">
        <f>E5*16</f>
        <v>79.990399999999994</v>
      </c>
      <c r="E18" s="109">
        <f t="shared" ref="E18:E19" si="1">D18*50%</f>
        <v>39.995199999999997</v>
      </c>
      <c r="F18" s="112">
        <f t="shared" ref="F18" si="2">D18+E18</f>
        <v>119.98559999999999</v>
      </c>
      <c r="H18" s="2"/>
      <c r="I18" s="2"/>
      <c r="J18" s="2"/>
    </row>
    <row r="19" spans="1:13" ht="15" thickBot="1" x14ac:dyDescent="0.35">
      <c r="C19" s="80" t="s">
        <v>76</v>
      </c>
      <c r="D19" s="113">
        <f>F5*30</f>
        <v>239.17500000000001</v>
      </c>
      <c r="E19" s="109">
        <f t="shared" si="1"/>
        <v>119.58750000000001</v>
      </c>
      <c r="F19" s="114">
        <f>D19+E19</f>
        <v>358.76250000000005</v>
      </c>
      <c r="H19" s="2"/>
      <c r="I19" s="2"/>
      <c r="J19" s="2"/>
    </row>
    <row r="20" spans="1:13" ht="16.2" thickBot="1" x14ac:dyDescent="0.35">
      <c r="C20" s="232" t="s">
        <v>55</v>
      </c>
      <c r="D20" s="233"/>
      <c r="E20" s="233"/>
      <c r="F20" s="234"/>
      <c r="H20" s="88">
        <f>SUM(H5:H19)</f>
        <v>185.71909999999997</v>
      </c>
      <c r="I20" s="88">
        <f>SUM(I5:I19)</f>
        <v>92.859549999999984</v>
      </c>
      <c r="J20" s="88">
        <f>H20+I20</f>
        <v>278.57864999999993</v>
      </c>
    </row>
    <row r="21" spans="1:13" ht="15" thickBot="1" x14ac:dyDescent="0.35">
      <c r="C21" s="64" t="s">
        <v>1</v>
      </c>
      <c r="D21" s="62" t="s">
        <v>52</v>
      </c>
      <c r="E21" s="63" t="s">
        <v>53</v>
      </c>
      <c r="F21" s="63" t="s">
        <v>54</v>
      </c>
      <c r="H21" s="2"/>
      <c r="I21" s="2"/>
      <c r="J21" s="2"/>
    </row>
    <row r="22" spans="1:13" ht="15" thickBot="1" x14ac:dyDescent="0.35">
      <c r="A22" t="s">
        <v>78</v>
      </c>
      <c r="B22" t="s">
        <v>77</v>
      </c>
      <c r="C22" s="65" t="s">
        <v>4</v>
      </c>
      <c r="D22" s="66" t="s">
        <v>20</v>
      </c>
      <c r="E22" s="74" t="s">
        <v>56</v>
      </c>
      <c r="F22" s="75" t="s">
        <v>56</v>
      </c>
      <c r="H22" s="2"/>
      <c r="I22" s="2"/>
      <c r="J22" s="2"/>
    </row>
    <row r="23" spans="1:13" ht="16.2" thickBot="1" x14ac:dyDescent="0.35">
      <c r="B23">
        <f>12*D23</f>
        <v>22.378799999999998</v>
      </c>
      <c r="C23" s="76" t="s">
        <v>57</v>
      </c>
      <c r="D23" s="118">
        <f>ROUND('TARIFAS 2016'!E4*'TARIFAS 2017'!$B$1,4)</f>
        <v>1.8649</v>
      </c>
      <c r="E23" s="226">
        <f>ROUND(2.9588*B1,4)</f>
        <v>3.1126999999999998</v>
      </c>
      <c r="F23" s="229">
        <f>E27</f>
        <v>4.9640000000000004</v>
      </c>
      <c r="H23" s="2"/>
      <c r="I23" s="241" t="s">
        <v>72</v>
      </c>
      <c r="J23" s="241"/>
      <c r="K23" s="241"/>
      <c r="L23" s="241"/>
    </row>
    <row r="24" spans="1:13" ht="16.2" thickBot="1" x14ac:dyDescent="0.35">
      <c r="B24">
        <f>3*D24</f>
        <v>6.7877999999999998</v>
      </c>
      <c r="C24" s="76" t="s">
        <v>58</v>
      </c>
      <c r="D24" s="118">
        <f>ROUND('TARIFAS 2016'!E5*'TARIFAS 2017'!$B$1,4)</f>
        <v>2.2625999999999999</v>
      </c>
      <c r="E24" s="227"/>
      <c r="F24" s="230"/>
      <c r="H24" s="2"/>
      <c r="I24" s="241" t="s">
        <v>68</v>
      </c>
      <c r="J24" s="241"/>
      <c r="K24" s="241"/>
      <c r="L24" s="241"/>
      <c r="M24" s="60"/>
    </row>
    <row r="25" spans="1:13" ht="16.2" thickBot="1" x14ac:dyDescent="0.35">
      <c r="A25" t="s">
        <v>79</v>
      </c>
      <c r="B25">
        <f>B23+B24</f>
        <v>29.166599999999999</v>
      </c>
      <c r="C25" s="76" t="s">
        <v>59</v>
      </c>
      <c r="D25" s="118">
        <f>ROUND('TARIFAS 2016'!E6*'TARIFAS 2017'!$B$1,4)</f>
        <v>3.1126999999999998</v>
      </c>
      <c r="E25" s="228"/>
      <c r="F25" s="230"/>
      <c r="H25" s="2"/>
      <c r="I25" s="85" t="s">
        <v>73</v>
      </c>
      <c r="J25" s="85" t="s">
        <v>69</v>
      </c>
      <c r="K25" s="85" t="s">
        <v>70</v>
      </c>
      <c r="L25" s="85" t="s">
        <v>74</v>
      </c>
      <c r="M25" s="60"/>
    </row>
    <row r="26" spans="1:13" ht="16.2" thickBot="1" x14ac:dyDescent="0.35">
      <c r="A26" t="s">
        <v>80</v>
      </c>
      <c r="B26">
        <f>B25*50%</f>
        <v>14.583299999999999</v>
      </c>
      <c r="C26" s="76" t="s">
        <v>60</v>
      </c>
      <c r="D26" s="118">
        <f>ROUND('TARIFAS 2016'!E7*'TARIFAS 2017'!$B$1,4)</f>
        <v>4.0452000000000004</v>
      </c>
      <c r="E26" s="119">
        <f>ROUND(L27*$B$1,4)</f>
        <v>4.0452000000000004</v>
      </c>
      <c r="F26" s="230"/>
      <c r="H26" s="2"/>
      <c r="I26" s="86">
        <v>20</v>
      </c>
      <c r="J26" s="84"/>
      <c r="K26" s="84"/>
      <c r="L26" s="87">
        <v>2.9586999999999999</v>
      </c>
      <c r="M26" s="60"/>
    </row>
    <row r="27" spans="1:13" ht="16.2" thickBot="1" x14ac:dyDescent="0.35">
      <c r="A27" t="s">
        <v>81</v>
      </c>
      <c r="B27">
        <f>B25+B26</f>
        <v>43.749899999999997</v>
      </c>
      <c r="C27" s="76" t="s">
        <v>61</v>
      </c>
      <c r="D27" s="118">
        <f>ROUND('TARIFAS 2016'!E8*'TARIFAS 2017'!$B$1,4)</f>
        <v>4.9638999999999998</v>
      </c>
      <c r="E27" s="119">
        <f t="shared" ref="E27:E32" si="3">ROUND(L28*$B$1,4)</f>
        <v>4.9640000000000004</v>
      </c>
      <c r="F27" s="231"/>
      <c r="H27" s="2"/>
      <c r="I27" s="86">
        <v>25</v>
      </c>
      <c r="J27" s="84"/>
      <c r="K27" s="84"/>
      <c r="L27" s="87">
        <v>3.8452000000000002</v>
      </c>
      <c r="M27" s="60"/>
    </row>
    <row r="28" spans="1:13" ht="16.2" thickBot="1" x14ac:dyDescent="0.35">
      <c r="C28" s="76" t="s">
        <v>62</v>
      </c>
      <c r="D28" s="118">
        <f>ROUND('TARIFAS 2016'!E9*'TARIFAS 2017'!$B$1,4)</f>
        <v>5.1696</v>
      </c>
      <c r="E28" s="119">
        <f t="shared" si="3"/>
        <v>5.1692999999999998</v>
      </c>
      <c r="F28" s="120">
        <f>E28</f>
        <v>5.1692999999999998</v>
      </c>
      <c r="H28" s="2"/>
      <c r="I28" s="86">
        <v>30</v>
      </c>
      <c r="J28" s="84"/>
      <c r="K28" s="84"/>
      <c r="L28" s="87">
        <v>4.7186000000000003</v>
      </c>
      <c r="M28" s="60"/>
    </row>
    <row r="29" spans="1:13" ht="16.2" thickBot="1" x14ac:dyDescent="0.35">
      <c r="C29" s="76" t="s">
        <v>63</v>
      </c>
      <c r="D29" s="118">
        <f>ROUND('TARIFAS 2016'!E10*'TARIFAS 2017'!$B$1,4)</f>
        <v>5.9923000000000002</v>
      </c>
      <c r="E29" s="119">
        <f t="shared" si="3"/>
        <v>5.9922000000000004</v>
      </c>
      <c r="F29" s="120">
        <f>E29</f>
        <v>5.9922000000000004</v>
      </c>
      <c r="H29" s="2"/>
      <c r="I29" s="86">
        <v>40</v>
      </c>
      <c r="J29" s="84"/>
      <c r="K29" s="84"/>
      <c r="L29" s="87">
        <v>4.9138000000000002</v>
      </c>
      <c r="M29" s="60"/>
    </row>
    <row r="30" spans="1:13" ht="16.2" thickBot="1" x14ac:dyDescent="0.35">
      <c r="C30" s="76" t="s">
        <v>64</v>
      </c>
      <c r="D30" s="118">
        <f>ROUND('TARIFAS 2016'!E11*'TARIFAS 2017'!$B$1,4)</f>
        <v>6.6505000000000001</v>
      </c>
      <c r="E30" s="119">
        <f t="shared" si="3"/>
        <v>6.6504000000000003</v>
      </c>
      <c r="F30" s="120">
        <f>E30</f>
        <v>6.6504000000000003</v>
      </c>
      <c r="H30" s="2"/>
      <c r="I30" s="86">
        <v>50</v>
      </c>
      <c r="J30" s="84"/>
      <c r="K30" s="84"/>
      <c r="L30" s="87">
        <v>5.6959999999999997</v>
      </c>
      <c r="M30" s="60"/>
    </row>
    <row r="31" spans="1:13" ht="16.2" thickBot="1" x14ac:dyDescent="0.35">
      <c r="C31" s="76" t="s">
        <v>65</v>
      </c>
      <c r="D31" s="118">
        <f>ROUND('TARIFAS 2016'!E12*'TARIFAS 2017'!$B$1,4)</f>
        <v>7.4184000000000001</v>
      </c>
      <c r="E31" s="119">
        <f t="shared" si="3"/>
        <v>7.4184000000000001</v>
      </c>
      <c r="F31" s="120">
        <f>E31</f>
        <v>7.4184000000000001</v>
      </c>
      <c r="H31" s="2"/>
      <c r="I31" s="86">
        <v>75</v>
      </c>
      <c r="J31" s="84"/>
      <c r="K31" s="84"/>
      <c r="L31" s="87">
        <v>6.3216999999999999</v>
      </c>
      <c r="M31" s="60"/>
    </row>
    <row r="32" spans="1:13" ht="16.2" thickBot="1" x14ac:dyDescent="0.35">
      <c r="C32" s="77" t="s">
        <v>66</v>
      </c>
      <c r="D32" s="118">
        <f>ROUND('TARIFAS 2016'!E13*'TARIFAS 2017'!$B$1,4)</f>
        <v>8.9679000000000002</v>
      </c>
      <c r="E32" s="119">
        <f t="shared" si="3"/>
        <v>8.9678000000000004</v>
      </c>
      <c r="F32" s="120">
        <f>E32</f>
        <v>8.9678000000000004</v>
      </c>
      <c r="I32" s="86">
        <v>100</v>
      </c>
      <c r="J32" s="84"/>
      <c r="K32" s="84"/>
      <c r="L32" s="87">
        <v>7.0517000000000003</v>
      </c>
      <c r="M32" s="60"/>
    </row>
    <row r="33" spans="3:13" ht="15" thickBot="1" x14ac:dyDescent="0.35">
      <c r="C33" s="235" t="s">
        <v>22</v>
      </c>
      <c r="D33" s="236"/>
      <c r="E33" s="236"/>
      <c r="F33" s="237"/>
      <c r="I33" s="86" t="s">
        <v>66</v>
      </c>
      <c r="J33" s="84"/>
      <c r="K33" s="84"/>
      <c r="L33" s="87">
        <v>8.5244999999999997</v>
      </c>
      <c r="M33" s="60"/>
    </row>
    <row r="34" spans="3:13" ht="15" thickBot="1" x14ac:dyDescent="0.35">
      <c r="C34" s="71" t="s">
        <v>24</v>
      </c>
      <c r="D34" s="72" t="s">
        <v>6</v>
      </c>
      <c r="E34" s="72" t="s">
        <v>7</v>
      </c>
      <c r="F34" s="73" t="s">
        <v>23</v>
      </c>
      <c r="H34" s="11"/>
      <c r="I34" s="241" t="s">
        <v>71</v>
      </c>
      <c r="J34" s="241"/>
      <c r="K34" s="241"/>
      <c r="L34" s="241"/>
      <c r="M34" s="60"/>
    </row>
    <row r="35" spans="3:13" ht="15" thickBot="1" x14ac:dyDescent="0.35">
      <c r="C35" s="81" t="s">
        <v>25</v>
      </c>
      <c r="D35" s="108">
        <f>D23*12</f>
        <v>22.378799999999998</v>
      </c>
      <c r="E35" s="109">
        <f>D35*50%</f>
        <v>11.189399999999999</v>
      </c>
      <c r="F35" s="115">
        <f>D35+E35</f>
        <v>33.568199999999997</v>
      </c>
      <c r="H35" s="11"/>
      <c r="I35" s="85" t="s">
        <v>73</v>
      </c>
      <c r="J35" s="85" t="s">
        <v>69</v>
      </c>
      <c r="K35" s="85" t="s">
        <v>70</v>
      </c>
      <c r="L35" s="85" t="s">
        <v>74</v>
      </c>
      <c r="M35" s="60"/>
    </row>
    <row r="36" spans="3:13" ht="15" thickBot="1" x14ac:dyDescent="0.35">
      <c r="C36" s="79" t="s">
        <v>75</v>
      </c>
      <c r="D36" s="108">
        <f>E23*16</f>
        <v>49.803199999999997</v>
      </c>
      <c r="E36" s="109">
        <f t="shared" ref="E36:E37" si="4">D36*50%</f>
        <v>24.901599999999998</v>
      </c>
      <c r="F36" s="115">
        <f>D36+E36</f>
        <v>74.704799999999992</v>
      </c>
      <c r="H36" s="11"/>
      <c r="I36" s="86">
        <v>20</v>
      </c>
      <c r="J36" s="84"/>
      <c r="K36" s="84"/>
      <c r="L36" s="87"/>
      <c r="M36" s="60"/>
    </row>
    <row r="37" spans="3:13" ht="15" thickBot="1" x14ac:dyDescent="0.35">
      <c r="C37" s="80" t="s">
        <v>76</v>
      </c>
      <c r="D37" s="116">
        <f>F23*30</f>
        <v>148.92000000000002</v>
      </c>
      <c r="E37" s="109">
        <f t="shared" si="4"/>
        <v>74.460000000000008</v>
      </c>
      <c r="F37" s="117">
        <f t="shared" ref="F37" si="5">D37+E37</f>
        <v>223.38000000000002</v>
      </c>
      <c r="I37" s="86">
        <v>25</v>
      </c>
      <c r="J37" s="84"/>
      <c r="K37" s="84"/>
      <c r="L37" s="87"/>
      <c r="M37" s="60"/>
    </row>
    <row r="38" spans="3:13" ht="16.2" thickBot="1" x14ac:dyDescent="0.35">
      <c r="C38" s="232" t="s">
        <v>67</v>
      </c>
      <c r="D38" s="233"/>
      <c r="E38" s="233"/>
      <c r="F38" s="234"/>
      <c r="I38" s="86">
        <v>30</v>
      </c>
      <c r="J38" s="84"/>
      <c r="K38" s="84"/>
      <c r="L38" s="87"/>
      <c r="M38" s="60"/>
    </row>
    <row r="39" spans="3:13" ht="15" thickBot="1" x14ac:dyDescent="0.35">
      <c r="C39" s="204" t="s">
        <v>21</v>
      </c>
      <c r="D39" s="205"/>
      <c r="E39" s="205"/>
      <c r="F39" s="206"/>
      <c r="I39" s="86">
        <v>40</v>
      </c>
      <c r="J39" s="84"/>
      <c r="K39" s="84"/>
      <c r="L39" s="87"/>
    </row>
    <row r="40" spans="3:13" x14ac:dyDescent="0.3">
      <c r="I40" s="86">
        <v>50</v>
      </c>
      <c r="J40" s="84"/>
      <c r="K40" s="84"/>
      <c r="L40" s="87"/>
    </row>
    <row r="41" spans="3:13" x14ac:dyDescent="0.3">
      <c r="I41" s="86">
        <v>75</v>
      </c>
      <c r="J41" s="84"/>
      <c r="K41" s="84"/>
      <c r="L41" s="87"/>
    </row>
    <row r="42" spans="3:13" x14ac:dyDescent="0.3">
      <c r="I42" s="86">
        <v>100</v>
      </c>
      <c r="J42" s="84"/>
      <c r="K42" s="84"/>
      <c r="L42" s="87"/>
    </row>
    <row r="43" spans="3:13" x14ac:dyDescent="0.3">
      <c r="I43" s="86" t="s">
        <v>66</v>
      </c>
      <c r="J43" s="84"/>
      <c r="K43" s="84"/>
      <c r="L43" s="87"/>
    </row>
  </sheetData>
  <mergeCells count="14">
    <mergeCell ref="C2:F2"/>
    <mergeCell ref="C1:F1"/>
    <mergeCell ref="I34:L34"/>
    <mergeCell ref="I24:L24"/>
    <mergeCell ref="I23:L23"/>
    <mergeCell ref="C39:F39"/>
    <mergeCell ref="E23:E25"/>
    <mergeCell ref="F23:F27"/>
    <mergeCell ref="C20:F20"/>
    <mergeCell ref="E5:E7"/>
    <mergeCell ref="F5:F9"/>
    <mergeCell ref="C15:F15"/>
    <mergeCell ref="C38:F38"/>
    <mergeCell ref="C33:F3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32"/>
  <sheetViews>
    <sheetView topLeftCell="B4" workbookViewId="0">
      <selection activeCell="D31" sqref="D31"/>
    </sheetView>
  </sheetViews>
  <sheetFormatPr defaultRowHeight="14.4" x14ac:dyDescent="0.3"/>
  <cols>
    <col min="3" max="3" width="25" customWidth="1"/>
    <col min="4" max="4" width="24" customWidth="1"/>
    <col min="5" max="5" width="23.6640625" customWidth="1"/>
    <col min="6" max="6" width="23.33203125" customWidth="1"/>
  </cols>
  <sheetData>
    <row r="1" spans="2:11" ht="83.25" customHeight="1" thickBot="1" x14ac:dyDescent="0.35">
      <c r="B1" s="1">
        <v>1.1228</v>
      </c>
      <c r="C1" s="242" t="s">
        <v>47</v>
      </c>
      <c r="D1" s="243"/>
      <c r="E1" s="244"/>
    </row>
    <row r="2" spans="2:11" s="16" customFormat="1" ht="83.25" customHeight="1" thickBot="1" x14ac:dyDescent="0.35">
      <c r="C2" s="52" t="s">
        <v>1</v>
      </c>
      <c r="D2" s="51" t="s">
        <v>18</v>
      </c>
      <c r="E2" s="53" t="s">
        <v>19</v>
      </c>
      <c r="F2"/>
      <c r="I2" s="17"/>
    </row>
    <row r="3" spans="2:11" ht="15" thickBot="1" x14ac:dyDescent="0.35">
      <c r="C3" s="6" t="s">
        <v>4</v>
      </c>
      <c r="D3" s="7" t="s">
        <v>20</v>
      </c>
      <c r="E3" s="8" t="s">
        <v>5</v>
      </c>
    </row>
    <row r="4" spans="2:11" ht="16.8" thickBot="1" x14ac:dyDescent="0.35">
      <c r="C4" s="12" t="s">
        <v>45</v>
      </c>
      <c r="D4" s="13">
        <f>I4*$B$1</f>
        <v>2.8471962400000002</v>
      </c>
      <c r="E4" s="15">
        <f>J4*$B$1</f>
        <v>1.77267664</v>
      </c>
      <c r="H4" s="60">
        <f>J4*1.1228</f>
        <v>1.77267664</v>
      </c>
      <c r="I4" s="60">
        <v>2.5358000000000001</v>
      </c>
      <c r="J4" s="60">
        <v>1.5788</v>
      </c>
      <c r="K4" s="60"/>
    </row>
    <row r="5" spans="2:11" ht="16.8" thickBot="1" x14ac:dyDescent="0.35">
      <c r="C5" s="14" t="s">
        <v>10</v>
      </c>
      <c r="D5" s="13">
        <f t="shared" ref="D5:D9" si="0">I5*$B$1</f>
        <v>3.4542941999999996</v>
      </c>
      <c r="E5" s="15">
        <f t="shared" ref="E5:E13" si="1">J5*$B$1</f>
        <v>2.1507234</v>
      </c>
      <c r="F5">
        <f>(12*D4)+(3*D5)</f>
        <v>44.529237479999999</v>
      </c>
      <c r="G5">
        <f>F5*1.5</f>
        <v>66.793856219999995</v>
      </c>
      <c r="H5" s="60">
        <f t="shared" ref="H5:H13" si="2">J5*1.1228</f>
        <v>2.1507234</v>
      </c>
      <c r="I5" s="60">
        <v>3.0764999999999998</v>
      </c>
      <c r="J5" s="60">
        <v>1.9155</v>
      </c>
      <c r="K5" s="60"/>
    </row>
    <row r="6" spans="2:11" ht="16.8" thickBot="1" x14ac:dyDescent="0.35">
      <c r="C6" s="14" t="s">
        <v>11</v>
      </c>
      <c r="D6" s="13">
        <f t="shared" si="0"/>
        <v>4.7522510000000002</v>
      </c>
      <c r="E6" s="15">
        <f t="shared" si="1"/>
        <v>2.9588025600000001</v>
      </c>
      <c r="F6">
        <f>F5+(5*D6)</f>
        <v>68.290492479999997</v>
      </c>
      <c r="G6">
        <f>F6*1.5</f>
        <v>102.43573871999999</v>
      </c>
      <c r="H6" s="60">
        <f t="shared" si="2"/>
        <v>2.9588025600000001</v>
      </c>
      <c r="I6" s="60">
        <v>4.2324999999999999</v>
      </c>
      <c r="J6" s="60">
        <v>2.6352000000000002</v>
      </c>
      <c r="K6" s="60"/>
    </row>
    <row r="7" spans="2:11" ht="16.8" thickBot="1" x14ac:dyDescent="0.35">
      <c r="C7" s="14" t="s">
        <v>12</v>
      </c>
      <c r="D7" s="13">
        <f t="shared" si="0"/>
        <v>6.1787684</v>
      </c>
      <c r="E7" s="15">
        <f t="shared" si="1"/>
        <v>3.8452531599999999</v>
      </c>
      <c r="F7">
        <f>F6+(5*D7)</f>
        <v>99.18433447999999</v>
      </c>
      <c r="G7">
        <f t="shared" ref="G7:G9" si="3">F7*1.5</f>
        <v>148.77650172</v>
      </c>
      <c r="H7" s="60">
        <f t="shared" si="2"/>
        <v>3.8452531599999999</v>
      </c>
      <c r="I7" s="60">
        <v>5.5030000000000001</v>
      </c>
      <c r="J7" s="60">
        <v>3.4247000000000001</v>
      </c>
      <c r="K7" s="60"/>
    </row>
    <row r="8" spans="2:11" ht="16.8" thickBot="1" x14ac:dyDescent="0.35">
      <c r="C8" s="14" t="s">
        <v>13</v>
      </c>
      <c r="D8" s="13">
        <f t="shared" si="0"/>
        <v>7.5784508800000001</v>
      </c>
      <c r="E8" s="15">
        <f t="shared" si="1"/>
        <v>4.7185669999999993</v>
      </c>
      <c r="F8">
        <f>F7+(5*D8)</f>
        <v>137.07658887999997</v>
      </c>
      <c r="G8">
        <f t="shared" si="3"/>
        <v>205.61488331999996</v>
      </c>
      <c r="H8" s="60">
        <f t="shared" si="2"/>
        <v>4.7185669999999993</v>
      </c>
      <c r="I8" s="60">
        <v>6.7496</v>
      </c>
      <c r="J8" s="60">
        <v>4.2024999999999997</v>
      </c>
      <c r="K8" s="60"/>
    </row>
    <row r="9" spans="2:11" ht="16.8" thickBot="1" x14ac:dyDescent="0.35">
      <c r="C9" s="14" t="s">
        <v>14</v>
      </c>
      <c r="D9" s="13">
        <f t="shared" si="0"/>
        <v>7.8926103200000002</v>
      </c>
      <c r="E9" s="15">
        <f t="shared" si="1"/>
        <v>4.9140464799999997</v>
      </c>
      <c r="F9">
        <f>F8+(10*D9)</f>
        <v>216.00269207999997</v>
      </c>
      <c r="G9">
        <f t="shared" si="3"/>
        <v>324.00403811999996</v>
      </c>
      <c r="H9" s="60">
        <f t="shared" si="2"/>
        <v>4.9140464799999997</v>
      </c>
      <c r="I9" s="60">
        <v>7.0293999999999999</v>
      </c>
      <c r="J9" s="60">
        <v>4.3765999999999998</v>
      </c>
      <c r="K9" s="60"/>
    </row>
    <row r="10" spans="2:11" ht="16.8" thickBot="1" x14ac:dyDescent="0.35">
      <c r="C10" s="14" t="s">
        <v>15</v>
      </c>
      <c r="D10" s="13">
        <f t="shared" ref="D10:D13" si="4">I10*$B$1</f>
        <v>9.1485743999999993</v>
      </c>
      <c r="E10" s="15">
        <f t="shared" si="1"/>
        <v>5.69607668</v>
      </c>
      <c r="H10" s="60">
        <f t="shared" si="2"/>
        <v>5.69607668</v>
      </c>
      <c r="I10" s="60">
        <v>8.1479999999999997</v>
      </c>
      <c r="J10" s="60">
        <v>5.0731000000000002</v>
      </c>
      <c r="K10" s="60"/>
    </row>
    <row r="11" spans="2:11" ht="16.8" thickBot="1" x14ac:dyDescent="0.35">
      <c r="C11" s="14" t="s">
        <v>16</v>
      </c>
      <c r="D11" s="13">
        <f t="shared" si="4"/>
        <v>10.153592680000001</v>
      </c>
      <c r="E11" s="15">
        <f t="shared" si="1"/>
        <v>6.3218131199999998</v>
      </c>
      <c r="H11" s="60">
        <f t="shared" si="2"/>
        <v>6.3218131199999998</v>
      </c>
      <c r="I11" s="60">
        <v>9.0431000000000008</v>
      </c>
      <c r="J11" s="60">
        <v>5.6303999999999998</v>
      </c>
      <c r="K11" s="60"/>
    </row>
    <row r="12" spans="2:11" ht="16.8" thickBot="1" x14ac:dyDescent="0.35">
      <c r="C12" s="14" t="s">
        <v>17</v>
      </c>
      <c r="D12" s="13">
        <f t="shared" si="4"/>
        <v>11.325908159999999</v>
      </c>
      <c r="E12" s="15">
        <f t="shared" si="1"/>
        <v>7.0517453999999997</v>
      </c>
      <c r="H12" s="60">
        <f t="shared" si="2"/>
        <v>7.0517453999999997</v>
      </c>
      <c r="I12" s="60">
        <v>10.087199999999999</v>
      </c>
      <c r="J12" s="60">
        <v>6.2805</v>
      </c>
      <c r="K12" s="60"/>
    </row>
    <row r="13" spans="2:11" ht="16.8" thickBot="1" x14ac:dyDescent="0.35">
      <c r="C13" s="18" t="s">
        <v>46</v>
      </c>
      <c r="D13" s="19">
        <f t="shared" si="4"/>
        <v>13.691535480000001</v>
      </c>
      <c r="E13" s="20">
        <f t="shared" si="1"/>
        <v>8.5246344399999998</v>
      </c>
      <c r="H13" s="60">
        <f t="shared" si="2"/>
        <v>8.5246344399999998</v>
      </c>
      <c r="I13" s="60">
        <v>12.194100000000001</v>
      </c>
      <c r="J13" s="60">
        <v>7.5922999999999998</v>
      </c>
      <c r="K13" s="60"/>
    </row>
    <row r="14" spans="2:11" ht="3.75" customHeight="1" thickBot="1" x14ac:dyDescent="0.35">
      <c r="C14" s="3"/>
      <c r="D14" s="4"/>
      <c r="E14" s="57"/>
      <c r="H14" s="60"/>
      <c r="I14" s="60"/>
      <c r="J14" s="60"/>
      <c r="K14" s="60"/>
    </row>
    <row r="15" spans="2:11" ht="15" thickBot="1" x14ac:dyDescent="0.35">
      <c r="C15" s="248" t="s">
        <v>0</v>
      </c>
      <c r="D15" s="249"/>
      <c r="E15" s="250"/>
      <c r="H15" s="60"/>
      <c r="I15" s="60"/>
      <c r="J15" s="60"/>
      <c r="K15" s="60"/>
    </row>
    <row r="16" spans="2:11" ht="31.5" customHeight="1" thickBot="1" x14ac:dyDescent="0.35">
      <c r="C16" s="251" t="s">
        <v>21</v>
      </c>
      <c r="D16" s="252"/>
      <c r="E16" s="253"/>
      <c r="H16" s="60"/>
      <c r="I16" s="60"/>
      <c r="J16" s="60"/>
      <c r="K16" s="60"/>
    </row>
    <row r="17" spans="3:11" ht="7.5" customHeight="1" thickBot="1" x14ac:dyDescent="0.35">
      <c r="C17" s="5"/>
      <c r="D17" s="4"/>
      <c r="E17" s="4"/>
      <c r="F17" s="4"/>
      <c r="G17" s="4"/>
      <c r="H17" s="60"/>
      <c r="I17" s="60"/>
      <c r="J17" s="60"/>
      <c r="K17" s="60"/>
    </row>
    <row r="18" spans="3:11" ht="15" thickBot="1" x14ac:dyDescent="0.35">
      <c r="C18" s="248" t="s">
        <v>22</v>
      </c>
      <c r="D18" s="236"/>
      <c r="E18" s="236"/>
      <c r="F18" s="237"/>
      <c r="H18" s="60"/>
      <c r="I18" s="60"/>
      <c r="J18" s="60"/>
      <c r="K18" s="60"/>
    </row>
    <row r="19" spans="3:11" ht="15" thickBot="1" x14ac:dyDescent="0.35">
      <c r="C19" s="254" t="s">
        <v>18</v>
      </c>
      <c r="D19" s="255"/>
      <c r="E19" s="255"/>
      <c r="F19" s="256"/>
      <c r="H19" s="60"/>
      <c r="I19" s="60"/>
      <c r="J19" s="60"/>
      <c r="K19" s="60"/>
    </row>
    <row r="20" spans="3:11" ht="15" thickBot="1" x14ac:dyDescent="0.35">
      <c r="C20" s="26" t="s">
        <v>24</v>
      </c>
      <c r="D20" s="25" t="s">
        <v>2</v>
      </c>
      <c r="E20" s="33" t="s">
        <v>3</v>
      </c>
      <c r="F20" s="56" t="s">
        <v>23</v>
      </c>
      <c r="H20" s="60"/>
      <c r="I20" s="60"/>
      <c r="J20" s="60"/>
      <c r="K20" s="60"/>
    </row>
    <row r="21" spans="3:11" ht="15" thickBot="1" x14ac:dyDescent="0.35">
      <c r="C21" s="27" t="s">
        <v>25</v>
      </c>
      <c r="D21" s="21">
        <f>J21*$B$1</f>
        <v>34.16635488</v>
      </c>
      <c r="E21" s="23">
        <f>D21*0.5</f>
        <v>17.08317744</v>
      </c>
      <c r="F21" s="28">
        <f>D21+E21</f>
        <v>51.24953232</v>
      </c>
      <c r="H21" s="60"/>
      <c r="I21" s="60"/>
      <c r="J21" s="60">
        <v>30.429600000000001</v>
      </c>
      <c r="K21" s="60"/>
    </row>
    <row r="22" spans="3:11" ht="15" thickBot="1" x14ac:dyDescent="0.35">
      <c r="C22" s="9" t="s">
        <v>48</v>
      </c>
      <c r="D22" s="22">
        <f>J22*$B$1</f>
        <v>76.036016000000004</v>
      </c>
      <c r="E22" s="24">
        <f>D22*0.5</f>
        <v>38.018008000000002</v>
      </c>
      <c r="F22" s="29">
        <f t="shared" ref="F22" si="5">D22+E22</f>
        <v>114.054024</v>
      </c>
      <c r="H22" s="60"/>
      <c r="I22" s="60"/>
      <c r="J22" s="60">
        <v>67.72</v>
      </c>
      <c r="K22" s="60"/>
    </row>
    <row r="23" spans="3:11" ht="15" thickBot="1" x14ac:dyDescent="0.35">
      <c r="C23" s="10" t="s">
        <v>49</v>
      </c>
      <c r="D23" s="30">
        <f>J23*$B$1</f>
        <v>227.35352639999999</v>
      </c>
      <c r="E23" s="31">
        <f>D23*0.5</f>
        <v>113.6767632</v>
      </c>
      <c r="F23" s="32">
        <f>D23+E23</f>
        <v>341.0302896</v>
      </c>
      <c r="H23" s="60"/>
      <c r="I23" s="60">
        <f>J23*1.1228</f>
        <v>227.35352639999999</v>
      </c>
      <c r="J23" s="60">
        <v>202.488</v>
      </c>
      <c r="K23" s="60"/>
    </row>
    <row r="24" spans="3:11" ht="34.5" customHeight="1" thickBot="1" x14ac:dyDescent="0.35">
      <c r="C24" s="245" t="s">
        <v>26</v>
      </c>
      <c r="D24" s="246"/>
      <c r="E24" s="246"/>
      <c r="F24" s="247"/>
      <c r="H24" s="60"/>
      <c r="I24" s="60"/>
      <c r="J24" s="60"/>
      <c r="K24" s="60"/>
    </row>
    <row r="25" spans="3:11" ht="15" thickBot="1" x14ac:dyDescent="0.35">
      <c r="C25" s="35" t="s">
        <v>24</v>
      </c>
      <c r="D25" s="36" t="s">
        <v>6</v>
      </c>
      <c r="E25" s="36" t="s">
        <v>7</v>
      </c>
      <c r="F25" s="37" t="s">
        <v>23</v>
      </c>
      <c r="H25" s="60"/>
      <c r="I25" s="60"/>
      <c r="J25" s="60"/>
      <c r="K25" s="60"/>
    </row>
    <row r="26" spans="3:11" ht="15" thickBot="1" x14ac:dyDescent="0.35">
      <c r="C26" s="38" t="s">
        <v>25</v>
      </c>
      <c r="D26" s="21">
        <f>J26*$B$1</f>
        <v>21.272119679999999</v>
      </c>
      <c r="E26" s="34">
        <f>D26*0.5</f>
        <v>10.63605984</v>
      </c>
      <c r="F26" s="39">
        <f>D26+E26</f>
        <v>31.908179519999997</v>
      </c>
      <c r="H26" s="61"/>
      <c r="I26" s="60">
        <f>D26*1.1228</f>
        <v>23.884335976704001</v>
      </c>
      <c r="J26" s="60">
        <v>18.945599999999999</v>
      </c>
      <c r="K26" s="60"/>
    </row>
    <row r="27" spans="3:11" ht="15" thickBot="1" x14ac:dyDescent="0.35">
      <c r="C27" s="38" t="s">
        <v>48</v>
      </c>
      <c r="D27" s="21">
        <f t="shared" ref="D27" si="6">J27*$B$1</f>
        <v>47.340840960000001</v>
      </c>
      <c r="E27" s="34">
        <f>D27*0.5</f>
        <v>23.670420480000001</v>
      </c>
      <c r="F27" s="39">
        <f t="shared" ref="F27:F28" si="7">D27+E27</f>
        <v>71.011261439999998</v>
      </c>
      <c r="H27" s="61"/>
      <c r="I27" s="60"/>
      <c r="J27" s="60">
        <v>42.163200000000003</v>
      </c>
      <c r="K27" s="60"/>
    </row>
    <row r="28" spans="3:11" ht="15" thickBot="1" x14ac:dyDescent="0.35">
      <c r="C28" s="40" t="s">
        <v>49</v>
      </c>
      <c r="D28" s="43">
        <f>J28*$B$1</f>
        <v>141.55701000000002</v>
      </c>
      <c r="E28" s="41">
        <f>D28*0.5</f>
        <v>70.77850500000001</v>
      </c>
      <c r="F28" s="42">
        <f t="shared" si="7"/>
        <v>212.33551500000004</v>
      </c>
      <c r="H28" s="61"/>
      <c r="I28" s="60">
        <f>J28*1.1228</f>
        <v>141.55701000000002</v>
      </c>
      <c r="J28" s="60">
        <v>126.075</v>
      </c>
      <c r="K28" s="60"/>
    </row>
    <row r="29" spans="3:11" x14ac:dyDescent="0.3">
      <c r="D29">
        <f>16*4.7523</f>
        <v>76.036799999999999</v>
      </c>
      <c r="H29" s="60"/>
      <c r="I29" s="60"/>
      <c r="J29" s="60"/>
      <c r="K29" s="60"/>
    </row>
    <row r="31" spans="3:11" x14ac:dyDescent="0.3">
      <c r="D31">
        <f>D27/16</f>
        <v>2.9588025600000001</v>
      </c>
    </row>
    <row r="32" spans="3:11" x14ac:dyDescent="0.3">
      <c r="D32">
        <f>D28/30</f>
        <v>4.7185670000000011</v>
      </c>
    </row>
  </sheetData>
  <mergeCells count="6">
    <mergeCell ref="C1:E1"/>
    <mergeCell ref="C24:F24"/>
    <mergeCell ref="C18:F18"/>
    <mergeCell ref="C15:E15"/>
    <mergeCell ref="C16:E16"/>
    <mergeCell ref="C19:F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"/>
  <sheetViews>
    <sheetView workbookViewId="0">
      <selection activeCell="C3" sqref="C3:D23"/>
    </sheetView>
  </sheetViews>
  <sheetFormatPr defaultRowHeight="14.4" x14ac:dyDescent="0.3"/>
  <cols>
    <col min="1" max="1" width="3.5546875" customWidth="1"/>
    <col min="3" max="3" width="56.44140625" bestFit="1" customWidth="1"/>
    <col min="4" max="4" width="13" customWidth="1"/>
  </cols>
  <sheetData>
    <row r="1" spans="1:10" x14ac:dyDescent="0.3">
      <c r="A1" s="1">
        <v>1.1228</v>
      </c>
    </row>
    <row r="2" spans="1:10" ht="15" thickBot="1" x14ac:dyDescent="0.35">
      <c r="A2" s="1"/>
    </row>
    <row r="3" spans="1:10" ht="81" customHeight="1" thickBot="1" x14ac:dyDescent="0.35">
      <c r="C3" s="257" t="s">
        <v>44</v>
      </c>
      <c r="D3" s="258"/>
    </row>
    <row r="4" spans="1:10" ht="17.100000000000001" customHeight="1" thickBot="1" x14ac:dyDescent="0.35">
      <c r="C4" s="44" t="s">
        <v>8</v>
      </c>
      <c r="D4" s="45"/>
      <c r="H4" s="2"/>
      <c r="I4" s="2"/>
      <c r="J4" s="2"/>
    </row>
    <row r="5" spans="1:10" ht="17.100000000000001" customHeight="1" thickBot="1" x14ac:dyDescent="0.35">
      <c r="C5" s="46" t="s">
        <v>27</v>
      </c>
      <c r="D5" s="47">
        <f>F5*$A$1</f>
        <v>493.02148000000005</v>
      </c>
      <c r="F5" s="2">
        <v>439.1</v>
      </c>
      <c r="G5" s="50">
        <f>F5*$A$1</f>
        <v>493.02148000000005</v>
      </c>
      <c r="H5" s="2"/>
      <c r="I5" s="2"/>
      <c r="J5" s="2"/>
    </row>
    <row r="6" spans="1:10" ht="17.100000000000001" customHeight="1" thickBot="1" x14ac:dyDescent="0.35">
      <c r="C6" s="48" t="s">
        <v>28</v>
      </c>
      <c r="D6" s="54">
        <f t="shared" ref="D6:D17" si="0">F6*$A$1</f>
        <v>577.79288000000008</v>
      </c>
      <c r="F6" s="2">
        <v>514.6</v>
      </c>
      <c r="G6" s="50">
        <f t="shared" ref="G6:G17" si="1">F6*$A$1</f>
        <v>577.79288000000008</v>
      </c>
      <c r="H6" s="2"/>
      <c r="I6" s="2"/>
      <c r="J6" s="2"/>
    </row>
    <row r="7" spans="1:10" ht="17.100000000000001" customHeight="1" thickBot="1" x14ac:dyDescent="0.35">
      <c r="C7" s="48" t="s">
        <v>29</v>
      </c>
      <c r="D7" s="54">
        <f t="shared" si="0"/>
        <v>1558.78324</v>
      </c>
      <c r="F7" s="2">
        <v>1388.3</v>
      </c>
      <c r="G7" s="50">
        <f t="shared" si="1"/>
        <v>1558.78324</v>
      </c>
      <c r="H7" s="2"/>
      <c r="I7" s="2"/>
      <c r="J7" s="2"/>
    </row>
    <row r="8" spans="1:10" ht="17.100000000000001" customHeight="1" thickBot="1" x14ac:dyDescent="0.35">
      <c r="C8" s="48" t="s">
        <v>30</v>
      </c>
      <c r="D8" s="54">
        <f t="shared" si="0"/>
        <v>2463.5916200000001</v>
      </c>
      <c r="F8" s="2">
        <v>2194.15</v>
      </c>
      <c r="G8" s="50">
        <f t="shared" si="1"/>
        <v>2463.5916200000001</v>
      </c>
      <c r="H8" s="2"/>
      <c r="I8" s="2"/>
      <c r="J8" s="2"/>
    </row>
    <row r="9" spans="1:10" ht="17.100000000000001" customHeight="1" thickBot="1" x14ac:dyDescent="0.35">
      <c r="C9" s="48" t="s">
        <v>31</v>
      </c>
      <c r="D9" s="54">
        <f t="shared" si="0"/>
        <v>268.40534000000002</v>
      </c>
      <c r="F9" s="2">
        <v>239.05</v>
      </c>
      <c r="G9" s="50">
        <f t="shared" si="1"/>
        <v>268.40534000000002</v>
      </c>
      <c r="H9" s="2"/>
      <c r="I9" s="2"/>
      <c r="J9" s="2"/>
    </row>
    <row r="10" spans="1:10" ht="17.100000000000001" customHeight="1" thickBot="1" x14ac:dyDescent="0.35">
      <c r="C10" s="48" t="s">
        <v>32</v>
      </c>
      <c r="D10" s="54">
        <f t="shared" si="0"/>
        <v>18.312867999999998</v>
      </c>
      <c r="F10" s="2">
        <v>16.309999999999999</v>
      </c>
      <c r="G10" s="50">
        <f t="shared" si="1"/>
        <v>18.312867999999998</v>
      </c>
      <c r="H10" s="2"/>
      <c r="I10" s="2"/>
      <c r="J10" s="2"/>
    </row>
    <row r="11" spans="1:10" ht="17.100000000000001" customHeight="1" thickBot="1" x14ac:dyDescent="0.35">
      <c r="C11" s="48" t="s">
        <v>33</v>
      </c>
      <c r="D11" s="54">
        <f t="shared" si="0"/>
        <v>51.289504000000001</v>
      </c>
      <c r="F11" s="2">
        <v>45.68</v>
      </c>
      <c r="G11" s="50">
        <f t="shared" si="1"/>
        <v>51.289504000000001</v>
      </c>
      <c r="H11" s="2"/>
      <c r="I11" s="2"/>
      <c r="J11" s="2"/>
    </row>
    <row r="12" spans="1:10" ht="17.100000000000001" customHeight="1" thickBot="1" x14ac:dyDescent="0.35">
      <c r="C12" s="48" t="s">
        <v>34</v>
      </c>
      <c r="D12" s="54">
        <f t="shared" si="0"/>
        <v>9.4202920000000017</v>
      </c>
      <c r="F12" s="2">
        <v>8.39</v>
      </c>
      <c r="G12" s="50">
        <f t="shared" si="1"/>
        <v>9.4202920000000017</v>
      </c>
      <c r="H12" s="2"/>
      <c r="I12" s="2"/>
      <c r="J12" s="2"/>
    </row>
    <row r="13" spans="1:10" ht="17.100000000000001" customHeight="1" thickBot="1" x14ac:dyDescent="0.35">
      <c r="C13" s="48" t="s">
        <v>35</v>
      </c>
      <c r="D13" s="54">
        <f t="shared" si="0"/>
        <v>5.2322480000000002</v>
      </c>
      <c r="F13" s="2">
        <v>4.66</v>
      </c>
      <c r="G13" s="50">
        <f t="shared" si="1"/>
        <v>5.2322480000000002</v>
      </c>
      <c r="H13" s="2"/>
      <c r="I13" s="2"/>
      <c r="J13" s="2"/>
    </row>
    <row r="14" spans="1:10" ht="17.100000000000001" customHeight="1" thickBot="1" x14ac:dyDescent="0.35">
      <c r="C14" s="48" t="s">
        <v>36</v>
      </c>
      <c r="D14" s="54">
        <f t="shared" si="0"/>
        <v>88.970671999999993</v>
      </c>
      <c r="F14" s="2">
        <v>79.239999999999995</v>
      </c>
      <c r="G14" s="50">
        <f t="shared" si="1"/>
        <v>88.970671999999993</v>
      </c>
      <c r="H14" s="2"/>
      <c r="I14" s="2"/>
      <c r="J14" s="2"/>
    </row>
    <row r="15" spans="1:10" ht="17.100000000000001" customHeight="1" thickBot="1" x14ac:dyDescent="0.35">
      <c r="C15" s="48" t="s">
        <v>37</v>
      </c>
      <c r="D15" s="54">
        <f t="shared" si="0"/>
        <v>250.17106800000002</v>
      </c>
      <c r="F15" s="2">
        <v>222.81</v>
      </c>
      <c r="G15" s="50">
        <f t="shared" si="1"/>
        <v>250.17106800000002</v>
      </c>
      <c r="H15" s="2"/>
      <c r="I15" s="2"/>
      <c r="J15" s="2"/>
    </row>
    <row r="16" spans="1:10" ht="17.100000000000001" customHeight="1" thickBot="1" x14ac:dyDescent="0.35">
      <c r="C16" s="48" t="s">
        <v>38</v>
      </c>
      <c r="D16" s="54">
        <f t="shared" si="0"/>
        <v>2.3017399999999997</v>
      </c>
      <c r="F16" s="2">
        <v>2.0499999999999998</v>
      </c>
      <c r="G16" s="50">
        <f t="shared" si="1"/>
        <v>2.3017399999999997</v>
      </c>
      <c r="H16" s="2"/>
      <c r="I16" s="2"/>
      <c r="J16" s="2"/>
    </row>
    <row r="17" spans="3:10" ht="17.100000000000001" customHeight="1" thickBot="1" x14ac:dyDescent="0.35">
      <c r="C17" s="49" t="s">
        <v>39</v>
      </c>
      <c r="D17" s="55">
        <f t="shared" si="0"/>
        <v>9.4202920000000017</v>
      </c>
      <c r="F17" s="2">
        <v>8.39</v>
      </c>
      <c r="G17" s="50">
        <f t="shared" si="1"/>
        <v>9.4202920000000017</v>
      </c>
      <c r="H17" s="2"/>
      <c r="I17" s="2"/>
      <c r="J17" s="2"/>
    </row>
    <row r="18" spans="3:10" ht="17.100000000000001" customHeight="1" thickBot="1" x14ac:dyDescent="0.35">
      <c r="C18" s="259" t="s">
        <v>9</v>
      </c>
      <c r="D18" s="260"/>
      <c r="H18" s="2"/>
      <c r="I18" s="2"/>
      <c r="J18" s="2"/>
    </row>
    <row r="19" spans="3:10" ht="17.100000000000001" customHeight="1" thickBot="1" x14ac:dyDescent="0.35">
      <c r="C19" s="46" t="s">
        <v>40</v>
      </c>
      <c r="D19" s="47">
        <v>183.65</v>
      </c>
      <c r="H19" s="2">
        <v>104.77</v>
      </c>
      <c r="I19" s="2"/>
      <c r="J19" s="2"/>
    </row>
    <row r="20" spans="3:10" ht="17.100000000000001" customHeight="1" thickBot="1" x14ac:dyDescent="0.35">
      <c r="C20" s="48" t="s">
        <v>41</v>
      </c>
      <c r="D20" s="54">
        <v>279.67</v>
      </c>
      <c r="H20" s="2">
        <v>227.56</v>
      </c>
      <c r="I20" s="2"/>
      <c r="J20" s="2"/>
    </row>
    <row r="21" spans="3:10" ht="17.100000000000001" customHeight="1" thickBot="1" x14ac:dyDescent="0.35">
      <c r="C21" s="48" t="s">
        <v>42</v>
      </c>
      <c r="D21" s="54">
        <v>456.43</v>
      </c>
      <c r="H21" s="2">
        <v>105.27</v>
      </c>
      <c r="I21" s="2"/>
      <c r="J21" s="2"/>
    </row>
    <row r="22" spans="3:10" ht="17.100000000000001" customHeight="1" thickBot="1" x14ac:dyDescent="0.35">
      <c r="C22" s="49" t="s">
        <v>43</v>
      </c>
      <c r="D22" s="55">
        <v>708.51</v>
      </c>
      <c r="H22" s="2">
        <v>26.21</v>
      </c>
      <c r="I22" s="2"/>
      <c r="J22" s="2"/>
    </row>
    <row r="23" spans="3:10" ht="6" customHeight="1" thickBot="1" x14ac:dyDescent="0.35">
      <c r="C23" s="58"/>
      <c r="D23" s="59"/>
    </row>
  </sheetData>
  <mergeCells count="2">
    <mergeCell ref="C3:D3"/>
    <mergeCell ref="C18:D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TARIFAS 2021</vt:lpstr>
      <vt:lpstr>Conferência p Resolução 2021</vt:lpstr>
      <vt:lpstr>TARIFAS 2020</vt:lpstr>
      <vt:lpstr>TARIFAS 2019</vt:lpstr>
      <vt:lpstr>TARIFAS 2018</vt:lpstr>
      <vt:lpstr>TARIFAS 2017</vt:lpstr>
      <vt:lpstr>TARIFAS 2016</vt:lpstr>
      <vt:lpstr>Plan3</vt:lpstr>
      <vt:lpstr>OUTROS SERVIÇOS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CISABRC02</dc:creator>
  <cp:lastModifiedBy>Lucas Morato Araújo</cp:lastModifiedBy>
  <cp:lastPrinted>2021-10-01T14:27:58Z</cp:lastPrinted>
  <dcterms:created xsi:type="dcterms:W3CDTF">2016-03-09T11:41:27Z</dcterms:created>
  <dcterms:modified xsi:type="dcterms:W3CDTF">2021-10-01T16:29:02Z</dcterms:modified>
</cp:coreProperties>
</file>