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sistemaFinanceiro\"/>
    </mc:Choice>
  </mc:AlternateContent>
  <xr:revisionPtr revIDLastSave="0" documentId="13_ncr:1_{725D1267-7D1A-4C1E-9C17-E1FDBBBBED29}" xr6:coauthVersionLast="47" xr6:coauthVersionMax="47" xr10:uidLastSave="{00000000-0000-0000-0000-000000000000}"/>
  <bookViews>
    <workbookView xWindow="1980" yWindow="1485" windowWidth="15375" windowHeight="7875" activeTab="2" xr2:uid="{00000000-000D-0000-FFFF-FFFF00000000}"/>
  </bookViews>
  <sheets>
    <sheet name="Sheet1" sheetId="1" r:id="rId1"/>
    <sheet name="Planilha1" sheetId="2" r:id="rId2"/>
    <sheet name="Planilha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3" l="1"/>
  <c r="B26" i="3" s="1"/>
  <c r="C26" i="3" s="1"/>
  <c r="E15" i="3"/>
  <c r="H14" i="3"/>
  <c r="E14" i="3"/>
  <c r="B14" i="3"/>
  <c r="H13" i="3"/>
  <c r="E13" i="3"/>
  <c r="B13" i="3"/>
  <c r="H12" i="3"/>
  <c r="E12" i="3"/>
  <c r="B12" i="3"/>
  <c r="H11" i="3"/>
  <c r="E11" i="3"/>
  <c r="B11" i="3"/>
  <c r="H10" i="3"/>
  <c r="E10" i="3"/>
  <c r="B10" i="3"/>
  <c r="H9" i="3"/>
  <c r="E9" i="3"/>
  <c r="B9" i="3"/>
  <c r="H8" i="3"/>
  <c r="E8" i="3"/>
  <c r="B8" i="3"/>
  <c r="K7" i="3"/>
  <c r="H7" i="3"/>
  <c r="E7" i="3"/>
  <c r="B7" i="3"/>
  <c r="K6" i="3"/>
  <c r="H6" i="3"/>
  <c r="E6" i="3"/>
  <c r="B6" i="3"/>
  <c r="K5" i="3"/>
  <c r="H5" i="3"/>
  <c r="E5" i="3"/>
  <c r="B5" i="3"/>
  <c r="K4" i="3"/>
  <c r="H4" i="3"/>
  <c r="E4" i="3"/>
  <c r="B4" i="3"/>
  <c r="K3" i="3"/>
  <c r="H3" i="3"/>
  <c r="H17" i="3" s="1"/>
  <c r="B25" i="3" s="1"/>
  <c r="C25" i="3" s="1"/>
  <c r="E3" i="3"/>
  <c r="E17" i="3" s="1"/>
  <c r="B24" i="3" s="1"/>
  <c r="C24" i="3" s="1"/>
  <c r="B3" i="3"/>
  <c r="B17" i="3" s="1"/>
  <c r="C5" i="2"/>
  <c r="C6" i="2"/>
  <c r="C7" i="2"/>
  <c r="C8" i="2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23" i="3" l="1"/>
</calcChain>
</file>

<file path=xl/sharedStrings.xml><?xml version="1.0" encoding="utf-8"?>
<sst xmlns="http://schemas.openxmlformats.org/spreadsheetml/2006/main" count="115" uniqueCount="63">
  <si>
    <t>moeda</t>
  </si>
  <si>
    <t>valor</t>
  </si>
  <si>
    <t>MXN</t>
  </si>
  <si>
    <t>EUR</t>
  </si>
  <si>
    <t>BRL</t>
  </si>
  <si>
    <t>ZAR</t>
  </si>
  <si>
    <t>CAD</t>
  </si>
  <si>
    <t>AUD</t>
  </si>
  <si>
    <t>PETROLEO</t>
  </si>
  <si>
    <t>IDEAL</t>
  </si>
  <si>
    <t>BRADESCO</t>
  </si>
  <si>
    <t>SANTANDER</t>
  </si>
  <si>
    <t>GENIAL</t>
  </si>
  <si>
    <t>GUIDE</t>
  </si>
  <si>
    <t>BTG</t>
  </si>
  <si>
    <t>CLEAR</t>
  </si>
  <si>
    <t>MIRAE</t>
  </si>
  <si>
    <t>LEV</t>
  </si>
  <si>
    <t>ORAMA</t>
  </si>
  <si>
    <t>AGORA</t>
  </si>
  <si>
    <t>COMMCOR</t>
  </si>
  <si>
    <t>MODAL</t>
  </si>
  <si>
    <t>SAFRA</t>
  </si>
  <si>
    <t>EASYNVEST</t>
  </si>
  <si>
    <t>WARREN</t>
  </si>
  <si>
    <t>PLANNER</t>
  </si>
  <si>
    <t>INTER</t>
  </si>
  <si>
    <t>FC STONE</t>
  </si>
  <si>
    <t>ICAP</t>
  </si>
  <si>
    <t>TERRA</t>
  </si>
  <si>
    <t>CREDIT SUISSE</t>
  </si>
  <si>
    <t>TORO</t>
  </si>
  <si>
    <t>ATIVA</t>
  </si>
  <si>
    <t>RENASCENCA</t>
  </si>
  <si>
    <t>UBS</t>
  </si>
  <si>
    <t>ITAU</t>
  </si>
  <si>
    <t>JP MORGAN</t>
  </si>
  <si>
    <t>XP</t>
  </si>
  <si>
    <t>NECTON</t>
  </si>
  <si>
    <t>BGC</t>
  </si>
  <si>
    <t>TULLETT</t>
  </si>
  <si>
    <t>MORGAN STANLEY</t>
  </si>
  <si>
    <t>GOLDMAN SACHS</t>
  </si>
  <si>
    <t>pos</t>
  </si>
  <si>
    <t>corretora</t>
  </si>
  <si>
    <t>qtd</t>
  </si>
  <si>
    <t>vol(Q)</t>
  </si>
  <si>
    <t>vol($)</t>
  </si>
  <si>
    <t>Pr. Médio(Total)</t>
  </si>
  <si>
    <t>Pr.Médio(Saldo)</t>
  </si>
  <si>
    <t>CM_CAPITAL</t>
  </si>
  <si>
    <t>C6_BANK</t>
  </si>
  <si>
    <t>NOVA_FUTURA</t>
  </si>
  <si>
    <t>BANCOS</t>
  </si>
  <si>
    <t>PF</t>
  </si>
  <si>
    <t>ESTRANGEIROS</t>
  </si>
  <si>
    <t>OUTROS</t>
  </si>
  <si>
    <t>NOME</t>
  </si>
  <si>
    <t>VOL</t>
  </si>
  <si>
    <t>CM CAPITAL</t>
  </si>
  <si>
    <t>NOVA FUTURA</t>
  </si>
  <si>
    <t>C6 BANK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</si>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</sst>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1" fillId="4" borderId="1" xfId="0" applyFont="1" applyFill="1" applyBorder="1"/>
    <xf numFmtId="3" fontId="1" fillId="4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srv.rtd">
      <tp>
        <v>-1843065</v>
        <stp/>
        <stp>PLAYERSRANKING</stp>
        <stp>WDOZ23</stp>
        <stp>90</stp>
        <stp>SALDO</stp>
        <stp>VOLFWITHFACTOR</stp>
        <tr r="E7" s="3"/>
        <tr r="E17" s="2"/>
      </tp>
      <tp>
        <v>61514800</v>
        <stp/>
        <stp>PLAYERSRANKING</stp>
        <stp>WDOZ23</stp>
        <stp>92</stp>
        <stp>SALDO</stp>
        <stp>VOLFWITHFACTOR</stp>
        <tr r="H13" s="3"/>
        <tr r="E29" s="2"/>
      </tp>
      <tp>
        <v>228625640</v>
        <stp/>
        <stp>PLAYERSRANKING</stp>
        <stp>WDOZ23</stp>
        <stp>93</stp>
        <stp>SALDO</stp>
        <stp>VOLFWITHFACTOR</stp>
        <tr r="E11" s="3"/>
        <tr r="E6" s="2"/>
      </tp>
      <tp>
        <v>4981.2567567567603</v>
        <stp/>
        <stp>PLAYERSRANKING</stp>
        <stp>WDOZ23</stp>
        <stp>90</stp>
        <stp>SALDO</stp>
        <stp>AVG_PRICE_2</stp>
        <tr r="G17" s="2"/>
      </tp>
      <tp>
        <v>4917.1369119420997</v>
        <stp/>
        <stp>PLAYERSRANKING</stp>
        <stp>WDOZ23</stp>
        <stp>40</stp>
        <stp>SALDO</stp>
        <stp>AVG_PRICE_2</stp>
        <tr r="G36" s="2"/>
      </tp>
      <tp>
        <v>329498485</v>
        <stp/>
        <stp>PLAYERSRANKING</stp>
        <stp>WDOZ23</stp>
        <stp>88</stp>
        <stp>SALDO</stp>
        <stp>VOLFWITHFACTOR</stp>
        <tr r="E6" s="3"/>
        <tr r="E5" s="2"/>
      </tp>
      <tp>
        <v>-1087552620</v>
        <stp/>
        <stp>PLAYERSRANKING</stp>
        <stp>WDOZ23</stp>
        <stp>85</stp>
        <stp>SALDO</stp>
        <stp>VOLFWITHFACTOR</stp>
        <tr r="B3" s="3"/>
        <tr r="E8" s="2"/>
      </tp>
      <tp>
        <v>4855.1539068666098</v>
        <stp/>
        <stp>PLAYERSRANKING</stp>
        <stp>WDOZ23</stp>
        <stp>92</stp>
        <stp>SALDO</stp>
        <stp>AVG_PRICE_2</stp>
        <tr r="G29" s="2"/>
      </tp>
      <tp>
        <v>5099.6699115044203</v>
        <stp/>
        <stp>PLAYERSRANKING</stp>
        <stp>WDOZ23</stp>
        <stp>72</stp>
        <stp>SALDO</stp>
        <stp>AVG_PRICE_2</stp>
        <tr r="G3" s="2"/>
      </tp>
      <tp>
        <v>4906.12925515796</v>
        <stp/>
        <stp>PLAYERSRANKING</stp>
        <stp>WDOZ23</stp>
        <stp>1982</stp>
        <stp>SALDO</stp>
        <stp>AVG_PRICE</stp>
        <tr r="F23" s="2"/>
      </tp>
      <tp>
        <v>4926.2150398620997</v>
        <stp/>
        <stp>PLAYERSRANKING</stp>
        <stp>WDOZ23</stp>
        <stp>93</stp>
        <stp>SALDO</stp>
        <stp>AVG_PRICE_2</stp>
        <tr r="G6" s="2"/>
      </tp>
      <tp>
        <v>4914.6894736842096</v>
        <stp/>
        <stp>PLAYERSRANKING</stp>
        <stp>WDOZ23</stp>
        <stp>23</stp>
        <stp>SALDO</stp>
        <stp>AVG_PRICE_2</stp>
        <tr r="G31" s="2"/>
      </tp>
      <tp>
        <v>-9211745</v>
        <stp/>
        <stp>PLAYERSRANKING</stp>
        <stp>WDOZ23</stp>
        <stp>190</stp>
        <stp>SALDO</stp>
        <stp>VOLFWITHFACTOR</stp>
        <tr r="H8" s="3"/>
        <tr r="E19" s="2"/>
      </tp>
      <tp>
        <v>4917.0477439189799</v>
        <stp/>
        <stp>PLAYERSRANKING</stp>
        <stp>WDOZ23</stp>
        <stp>85</stp>
        <stp>SALDO</stp>
        <stp>AVG_PRICE_2</stp>
        <tr r="G8" s="2"/>
      </tp>
      <tp>
        <v>6264.3194444444498</v>
        <stp/>
        <stp>PLAYERSRANKING</stp>
        <stp>WDOZ23</stp>
        <stp>15</stp>
        <stp>SALDO</stp>
        <stp>AVG_PRICE_2</stp>
        <tr r="G9" s="2"/>
      </tp>
      <tp>
        <v>5539.9130434782601</v>
        <stp/>
        <stp>PLAYERSRANKING</stp>
        <stp>WDOZ23</stp>
        <stp>45</stp>
        <stp>SALDO</stp>
        <stp>AVG_PRICE_2</stp>
        <tr r="G25" s="2"/>
      </tp>
      <tp>
        <v>4914.4139263874504</v>
        <stp/>
        <stp>PLAYERSRANKING</stp>
        <stp>WDOZ23</stp>
        <stp>16</stp>
        <stp>SALDO</stp>
        <stp>AVG_PRICE_2</stp>
        <tr r="G32" s="2"/>
      </tp>
      <tp>
        <v>4917.8615923199104</v>
        <stp/>
        <stp>PLAYERSRANKING</stp>
        <stp>WDOZ23</stp>
        <stp>3</stp>
        <stp>SALDO</stp>
        <stp>AVG_PRICE_2</stp>
        <tr r="G35" s="2"/>
      </tp>
      <tp>
        <v>4904.3591157929704</v>
        <stp/>
        <stp>PLAYERSRANKING</stp>
        <stp>WDOZ23</stp>
        <stp>27</stp>
        <stp>SALDO</stp>
        <stp>AVG_PRICE_2</stp>
        <tr r="G4" s="2"/>
      </tp>
      <tp>
        <v>2255155</v>
        <stp/>
        <stp>PLAYERSRANKING</stp>
        <stp>WDOZ23</stp>
        <stp>15</stp>
        <stp>SALDO</stp>
        <stp>VOLFWITHFACTOR</stp>
        <tr r="E9" s="3"/>
        <tr r="E9" s="2"/>
      </tp>
      <tp>
        <v>425932255</v>
        <stp/>
        <stp>PLAYERSRANKING</stp>
        <stp>WDOZ23</stp>
        <stp>16</stp>
        <stp>SALDO</stp>
        <stp>VOLFWITHFACTOR</stp>
        <tr r="B7" s="3"/>
        <tr r="H3" s="3"/>
        <tr r="E32" s="2"/>
      </tp>
      <tp>
        <v>4907.6330801310696</v>
        <stp/>
        <stp>PLAYERSRANKING</stp>
        <stp>WDOZ23</stp>
        <stp>88</stp>
        <stp>SALDO</stp>
        <stp>AVG_PRICE_2</stp>
        <tr r="G5" s="2"/>
      </tp>
      <tp>
        <v>-29334470</v>
        <stp/>
        <stp>PLAYERSRANKING</stp>
        <stp>WDOZ23</stp>
        <stp>147</stp>
        <stp>SALDO</stp>
        <stp>VOLFWITHFACTOR</stp>
        <tr r="E4" s="3"/>
        <tr r="E28" s="2"/>
      </tp>
      <tp>
        <v>29172475</v>
        <stp/>
        <stp>PLAYERSRANKING</stp>
        <stp>WDOZ23</stp>
        <stp>746</stp>
        <stp>SALDO</stp>
        <stp>VOLFWITHFACTOR</stp>
        <tr r="K6" s="3"/>
        <tr r="E12" s="2"/>
      </tp>
      <tp>
        <v>4909.8964664310997</v>
        <stp/>
        <stp>PLAYERSRANKING</stp>
        <stp>WDOZ23</stp>
        <stp>746</stp>
        <stp>SALDO</stp>
        <stp>AVG_PRICE</stp>
        <tr r="F12" s="2"/>
      </tp>
      <tp>
        <v>4903.04432624113</v>
        <stp/>
        <stp>PLAYERSRANKING</stp>
        <stp>WDOZ23</stp>
        <stp>735</stp>
        <stp>SALDO</stp>
        <stp>AVG_PRICE</stp>
        <tr r="F26" s="2"/>
      </tp>
      <tp>
        <v>4938.8475609756097</v>
        <stp/>
        <stp>PLAYERSRANKING</stp>
        <stp>WDOZ23</stp>
        <stp>39</stp>
        <stp>SALDO</stp>
        <stp>AVG_PRICE_2</stp>
        <tr r="G15" s="2"/>
      </tp>
      <tp>
        <v>4944.2567567567603</v>
        <stp/>
        <stp>PLAYERSRANKING</stp>
        <stp>WDOZ23</stp>
        <stp>59</stp>
        <stp>SALDO</stp>
        <stp>AVG_PRICE_2</stp>
        <tr r="G16" s="2"/>
      </tp>
      <tp>
        <v>4903.7858606217897</v>
        <stp/>
        <stp>PLAYERSRANKING</stp>
        <stp>WDOZ23</stp>
        <stp>4090</stp>
        <stp>SALDO</stp>
        <stp>AVG_PRICE</stp>
        <tr r="F27" s="2"/>
      </tp>
      <tp>
        <v>4904.46580506193</v>
        <stp/>
        <stp>PLAYERSRANKING</stp>
        <stp>WDOZ23</stp>
        <stp>1099</stp>
        <stp>SALDO</stp>
        <stp>AVG_PRICE</stp>
        <tr r="F22" s="2"/>
      </tp>
      <tp>
        <v>4902.3929756787602</v>
        <stp/>
        <stp>PLAYERSRANKING</stp>
        <stp>WDOZ23</stp>
        <stp>6003</stp>
        <stp>SALDO</stp>
        <stp>AVG_PRICE</stp>
        <tr r="F11" s="2"/>
      </tp>
      <tp>
        <v>12149565</v>
        <stp/>
        <stp>PLAYERSRANKING</stp>
        <stp>WDOZ23</stp>
        <stp>39</stp>
        <stp>SALDO</stp>
        <stp>VOLFWITHFACTOR</stp>
        <tr r="E3" s="3"/>
        <tr r="E15" s="2"/>
      </tp>
      <tp>
        <v>4889.6367521367501</v>
        <stp/>
        <stp>PLAYERSRANKING</stp>
        <stp>WDOZ23</stp>
        <stp>1130</stp>
        <stp>SALDO</stp>
        <stp>AVG_PRICE</stp>
        <tr r="F24" s="2"/>
      </tp>
      <tp>
        <v>-5452810</v>
        <stp/>
        <stp>PLAYERSRANKING</stp>
        <stp>WDOZ23</stp>
        <stp>262</stp>
        <stp>SALDO</stp>
        <stp>VOLFWITHFACTOR</stp>
        <tr r="K4" s="3"/>
        <tr r="E18" s="2"/>
      </tp>
      <tp>
        <v>591269535</v>
        <stp/>
        <stp>PLAYERSRANKING</stp>
        <stp>WDOZ23</stp>
        <stp>27</stp>
        <stp>SALDO</stp>
        <stp>VOLFWITHFACTOR</stp>
        <tr r="H14" s="3"/>
        <tr r="B8" s="3"/>
        <tr r="E4" s="2"/>
      </tp>
      <tp>
        <v>-289475210</v>
        <stp/>
        <stp>PLAYERSRANKING</stp>
        <stp>WDOZ23</stp>
        <stp>23</stp>
        <stp>SALDO</stp>
        <stp>VOLFWITHFACTOR</stp>
        <tr r="K3" s="3"/>
        <tr r="E31" s="2"/>
      </tp>
      <tp>
        <v>4905.7399595543502</v>
        <stp/>
        <stp>PLAYERSRANKING</stp>
        <stp>WDOZ23</stp>
        <stp>1618</stp>
        <stp>SALDO</stp>
        <stp>AVG_PRICE</stp>
        <tr r="F2" s="2"/>
      </tp>
      <tp>
        <v>-2153760</v>
        <stp/>
        <stp>PLAYERSRANKING</stp>
        <stp>WDOZ23</stp>
        <stp>115</stp>
        <stp>SALDO</stp>
        <stp>VOLFWITHFACTOR</stp>
        <tr r="K5" s="3"/>
        <tr r="E21" s="2"/>
      </tp>
      <tp>
        <v>236433630</v>
        <stp/>
        <stp>PLAYERSRANKING</stp>
        <stp>WDOZ23</stp>
        <stp>114</stp>
        <stp>SALDO</stp>
        <stp>VOLFWITHFACTOR</stp>
        <tr r="B6" s="3"/>
        <tr r="E30" s="2"/>
      </tp>
      <tp>
        <v>4916.3714049586797</v>
        <stp/>
        <stp>PLAYERSRANKING</stp>
        <stp>WDOZ23</stp>
        <stp>8</stp>
        <stp>SALDO</stp>
        <stp>AVG_PRICE_2</stp>
        <tr r="G33" s="2"/>
      </tp>
      <tp>
        <v>4906.7904461469097</v>
        <stp/>
        <stp>PLAYERSRANKING</stp>
        <stp>WDOZ23</stp>
        <stp>262</stp>
        <stp>SALDO</stp>
        <stp>AVG_PRICE</stp>
        <tr r="F18" s="2"/>
      </tp>
      <tp>
        <v>4903.2146709277904</v>
        <stp/>
        <stp>PLAYERSRANKING</stp>
        <stp>WDOZ23</stp>
        <stp>238</stp>
        <stp>SALDO</stp>
        <stp>AVG_PRICE</stp>
        <tr r="F37" s="2"/>
      </tp>
      <tp>
        <v>-1829375</v>
        <stp/>
        <stp>PLAYERSRANKING</stp>
        <stp>WDOZ23</stp>
        <stp>59</stp>
        <stp>SALDO</stp>
        <stp>VOLFWITHFACTOR</stp>
        <tr r="B13" s="3"/>
        <tr r="E16" s="2"/>
      </tp>
      <tp>
        <v>4903.5533284132798</v>
        <stp/>
        <stp>PLAYERSRANKING</stp>
        <stp>WDOZ23</stp>
        <stp>3701</stp>
        <stp>SALDO</stp>
        <stp>AVG_PRICE</stp>
        <tr r="F13" s="2"/>
      </tp>
      <tp>
        <v>-17022765</v>
        <stp/>
        <stp>PLAYERSRANKING</stp>
        <stp>WDOZ23</stp>
        <stp>308</stp>
        <stp>SALDO</stp>
        <stp>VOLFWITHFACTOR</stp>
        <tr r="E5" s="3"/>
        <tr r="E14" s="2"/>
      </tp>
      <tp>
        <v>-95013515</v>
        <stp/>
        <stp>PLAYERSRANKING</stp>
        <stp>WDOZ23</stp>
        <stp>107</stp>
        <stp>SALDO</stp>
        <stp>VOLFWITHFACTOR</stp>
        <tr r="E13" s="3"/>
        <tr r="E10" s="2"/>
      </tp>
      <tp>
        <v>4904.5116132551302</v>
        <stp/>
        <stp>PLAYERSRANKING</stp>
        <stp>WDOZ23</stp>
        <stp>308</stp>
        <stp>SALDO</stp>
        <stp>AVG_PRICE</stp>
        <tr r="F14" s="2"/>
      </tp>
      <tp>
        <v>2548360</v>
        <stp/>
        <stp>PLAYERSRANKING</stp>
        <stp>WDOZ23</stp>
        <stp>45</stp>
        <stp>SALDO</stp>
        <stp>VOLFWITHFACTOR</stp>
        <tr r="B4" s="3"/>
        <tr r="H9" s="3"/>
        <tr r="E25" s="2"/>
      </tp>
      <tp>
        <v>-81526130</v>
        <stp/>
        <stp>PLAYERSRANKING</stp>
        <stp>WDOZ23</stp>
        <stp>40</stp>
        <stp>SALDO</stp>
        <stp>VOLFWITHFACTOR</stp>
        <tr r="H4" s="3"/>
        <tr r="E36" s="2"/>
      </tp>
      <tp>
        <v>-111754850</v>
        <stp/>
        <stp>PLAYERSRANKING</stp>
        <stp>WDOZ23</stp>
        <stp>238</stp>
        <stp>SALDO</stp>
        <stp>VOLFWITHFACTOR</stp>
        <tr r="H10" s="3"/>
        <tr r="B5" s="3"/>
        <tr r="E37" s="2"/>
      </tp>
      <tp>
        <v>-492940</v>
        <stp/>
        <stp>PLAYERSRANKING</stp>
        <stp>WDOZ23</stp>
        <stp>735</stp>
        <stp>SALDO</stp>
        <stp>VOLFWITHFACTOR</stp>
        <tr r="H5" s="3"/>
        <tr r="E26" s="2"/>
      </tp>
      <tp>
        <v>-28813135</v>
        <stp/>
        <stp>PLAYERSRANKING</stp>
        <stp>WDOZ23</stp>
        <stp>72</stp>
        <stp>SALDO</stp>
        <stp>VOLFWITHFACTOR</stp>
        <tr r="B10" s="3"/>
        <tr r="E3" s="2"/>
      </tp>
      <tp>
        <v>-2600</v>
        <stp/>
        <stp>PLAYERSRANKING</stp>
        <stp>WDOZ23</stp>
        <stp>129</stp>
        <stp>SALDO</stp>
        <stp>VOLFWITHFACTOR</stp>
        <tr r="E20" s="2"/>
      </tp>
      <tp>
        <v>-517727010</v>
        <stp/>
        <stp>PLAYERSRANKING</stp>
        <stp>WDOZ23</stp>
        <stp>127</stp>
        <stp>SALDO</stp>
        <stp>VOLFWITHFACTOR</stp>
        <tr r="B11" s="3"/>
        <tr r="H7" s="3"/>
        <tr r="E38" s="2"/>
      </tp>
      <tp>
        <v>338981905</v>
        <stp/>
        <stp>PLAYERSRANKING</stp>
        <stp>WDOZ23</stp>
        <stp>122</stp>
        <stp>SALDO</stp>
        <stp>VOLFWITHFACTOR</stp>
        <tr r="H12" s="3"/>
        <tr r="E34" s="2"/>
      </tp>
      <tp>
        <v>-65583760</v>
        <stp/>
        <stp>PLAYERSRANKING</stp>
        <stp>WDOZ23</stp>
        <stp>120</stp>
        <stp>SALDO</stp>
        <stp>VOLFWITHFACTOR</stp>
        <tr r="E8" s="3"/>
        <tr r="E7" s="2"/>
      </tp>
      <tp>
        <v>4902.8490019317496</v>
        <stp/>
        <stp>PLAYERSRANKING</stp>
        <stp>WDOZ23</stp>
        <stp>190</stp>
        <stp>SALDO</stp>
        <stp>AVG_PRICE</stp>
        <tr r="F19" s="2"/>
      </tp>
      <tp>
        <v>4899.73042051636</v>
        <stp/>
        <stp>PLAYERSRANKING</stp>
        <stp>WDOZ23</stp>
        <stp>147</stp>
        <stp>SALDO</stp>
        <stp>AVG_PRICE</stp>
        <tr r="F28" s="2"/>
      </tp>
      <tp>
        <v>4906.5161683691003</v>
        <stp/>
        <stp>PLAYERSRANKING</stp>
        <stp>WDOZ23</stp>
        <stp>107</stp>
        <stp>SALDO</stp>
        <stp>AVG_PRICE</stp>
        <tr r="F10" s="2"/>
      </tp>
      <tp>
        <v>4910.0162085975999</v>
        <stp/>
        <stp>PLAYERSRANKING</stp>
        <stp>WDOZ23</stp>
        <stp>115</stp>
        <stp>SALDO</stp>
        <stp>AVG_PRICE</stp>
        <tr r="F21" s="2"/>
      </tp>
      <tp>
        <v>4909.8110037548104</v>
        <stp/>
        <stp>PLAYERSRANKING</stp>
        <stp>WDOZ23</stp>
        <stp>114</stp>
        <stp>SALDO</stp>
        <stp>AVG_PRICE</stp>
        <tr r="F30" s="2"/>
      </tp>
      <tp>
        <v>4910.1630793199402</v>
        <stp/>
        <stp>PLAYERSRANKING</stp>
        <stp>WDOZ23</stp>
        <stp>122</stp>
        <stp>SALDO</stp>
        <stp>AVG_PRICE</stp>
        <tr r="F34" s="2"/>
      </tp>
      <tp>
        <v>4905.2292306998997</v>
        <stp/>
        <stp>PLAYERSRANKING</stp>
        <stp>WDOZ23</stp>
        <stp>120</stp>
        <stp>SALDO</stp>
        <stp>AVG_PRICE</stp>
        <tr r="F7" s="2"/>
      </tp>
      <tp>
        <v>4902.8853798965001</v>
        <stp/>
        <stp>PLAYERSRANKING</stp>
        <stp>WDOZ23</stp>
        <stp>127</stp>
        <stp>SALDO</stp>
        <stp>AVG_PRICE</stp>
        <tr r="F38" s="2"/>
      </tp>
      <tp>
        <v>4898.6499999999996</v>
        <stp/>
        <stp>PLAYERSRANKING</stp>
        <stp>WDOZ23</stp>
        <stp>129</stp>
        <stp>SALDO</stp>
        <stp>AVG_PRICE</stp>
        <tr r="F20" s="2"/>
      </tp>
      <tp>
        <v>-387</v>
        <stp/>
        <stp>PLAYERSRANKING</stp>
        <stp>WDOZ23</stp>
        <stp>3701</stp>
        <stp>SALDO</stp>
        <stp>VOLQ</stp>
        <tr r="D13" s="2"/>
      </tp>
      <tp>
        <v>-374</v>
        <stp/>
        <stp>PLAYERSRANKING</stp>
        <stp>WDOZ23</stp>
        <stp>1982</stp>
        <stp>SALDO</stp>
        <stp>VOLQ</stp>
        <tr r="D23" s="2"/>
      </tp>
      <tp>
        <v>-1734</v>
        <stp/>
        <stp>PLAYERSRANKING</stp>
        <stp>WDOZ23</stp>
        <stp>1099</stp>
        <stp>SALDO</stp>
        <stp>VOLQ</stp>
        <tr r="D22" s="2"/>
      </tp>
      <tp>
        <v>83</v>
        <stp/>
        <stp>PLAYERSRANKING</stp>
        <stp>WDOZ23</stp>
        <stp>1130</stp>
        <stp>SALDO</stp>
        <stp>VOLQ</stp>
        <tr r="D24" s="2"/>
      </tp>
      <tp>
        <v>2928</v>
        <stp/>
        <stp>PLAYERSRANKING</stp>
        <stp>WDOZ23</stp>
        <stp>1618</stp>
        <stp>SALDO</stp>
        <stp>VOLQ</stp>
        <tr r="D2" s="2"/>
      </tp>
      <tp>
        <v>17</v>
        <stp/>
        <stp>PLAYERSRANKING</stp>
        <stp>WDOZ23</stp>
        <stp>735</stp>
        <stp>SALDO</stp>
        <stp>QUANTITY</stp>
        <tr r="C26" s="2"/>
      </tp>
      <tp>
        <v>355</v>
        <stp/>
        <stp>PLAYERSRANKING</stp>
        <stp>WDOZ23</stp>
        <stp>147</stp>
        <stp>SALDO</stp>
        <stp>QUANTITY</stp>
        <tr r="C28" s="2"/>
      </tp>
      <tp>
        <v>1938</v>
        <stp/>
        <stp>PLAYERSRANKING</stp>
        <stp>WDOZ23</stp>
        <stp>122</stp>
        <stp>SALDO</stp>
        <stp>QUANTITY</stp>
        <tr r="C34" s="2"/>
      </tp>
      <tp>
        <v>-3414</v>
        <stp/>
        <stp>PLAYERSRANKING</stp>
        <stp>WDOZ23</stp>
        <stp>120</stp>
        <stp>SALDO</stp>
        <stp>QUANTITY</stp>
        <tr r="C7" s="2"/>
      </tp>
      <tp>
        <v>-2529</v>
        <stp/>
        <stp>PLAYERSRANKING</stp>
        <stp>WDOZ23</stp>
        <stp>127</stp>
        <stp>SALDO</stp>
        <stp>QUANTITY</stp>
        <tr r="C38" s="2"/>
      </tp>
      <tp>
        <v>244</v>
        <stp/>
        <stp>PLAYERSRANKING</stp>
        <stp>WDOZ23</stp>
        <stp>114</stp>
        <stp>SALDO</stp>
        <stp>QUANTITY</stp>
        <tr r="C30" s="2"/>
      </tp>
      <tp>
        <v>-84</v>
        <stp/>
        <stp>PLAYERSRANKING</stp>
        <stp>WDOZ23</stp>
        <stp>115</stp>
        <stp>SALDO</stp>
        <stp>QUANTITY</stp>
        <tr r="C21" s="2"/>
      </tp>
      <tp>
        <v>-218</v>
        <stp/>
        <stp>PLAYERSRANKING</stp>
        <stp>WDOZ23</stp>
        <stp>238</stp>
        <stp>SALDO</stp>
        <stp>QUANTITY</stp>
        <tr r="C37" s="2"/>
      </tp>
      <tp>
        <v>1765</v>
        <stp/>
        <stp>PLAYERSRANKING</stp>
        <stp>WDOZ23</stp>
        <stp>6003</stp>
        <stp>SALDO</stp>
        <stp>VOLQ</stp>
        <tr r="D11" s="2"/>
      </tp>
      <tp>
        <v>-298</v>
        <stp/>
        <stp>PLAYERSRANKING</stp>
        <stp>WDOZ23</stp>
        <stp>4090</stp>
        <stp>SALDO</stp>
        <stp>VOLQ</stp>
        <tr r="D27" s="2"/>
      </tp>
      <tp>
        <v>-13854</v>
        <stp/>
        <stp>PLAYERSRANKING</stp>
        <stp>WDOZ23</stp>
        <stp>3</stp>
        <stp>SALDO</stp>
        <stp>VOLQ</stp>
        <tr r="D35" s="2"/>
      </tp>
      <tp>
        <v>15125</v>
        <stp/>
        <stp>PLAYERSRANKING</stp>
        <stp>WDOZ23</stp>
        <stp>8</stp>
        <stp>SALDO</stp>
        <stp>VOLQ</stp>
        <tr r="D33" s="2"/>
      </tp>
      <tp>
        <v>-558</v>
        <stp/>
        <stp>PLAYERSRANKING</stp>
        <stp>WDOZ23</stp>
        <stp>23</stp>
        <stp>SALDO</stp>
        <stp>QUANTITY</stp>
        <tr r="C31" s="2"/>
      </tp>
      <tp>
        <v>2135</v>
        <stp/>
        <stp>PLAYERSRANKING</stp>
        <stp>WDOZ23</stp>
        <stp>27</stp>
        <stp>SALDO</stp>
        <stp>QUANTITY</stp>
        <tr r="C4" s="2"/>
      </tp>
      <tp>
        <v>1454</v>
        <stp/>
        <stp>PLAYERSRANKING</stp>
        <stp>WDOZ23</stp>
        <stp>16</stp>
        <stp>SALDO</stp>
        <stp>QUANTITY</stp>
        <tr r="C32" s="2"/>
      </tp>
      <tp>
        <v>150</v>
        <stp/>
        <stp>PLAYERSRANKING</stp>
        <stp>WDOZ23</stp>
        <stp>72</stp>
        <stp>SALDO</stp>
        <stp>QUANTITY</stp>
        <tr r="C3" s="2"/>
      </tp>
      <tp>
        <v>607</v>
        <stp/>
        <stp>PLAYERSRANKING</stp>
        <stp>WDOZ23</stp>
        <stp>40</stp>
        <stp>SALDO</stp>
        <stp>QUANTITY</stp>
        <tr r="C36" s="2"/>
      </tp>
      <tp>
        <v>1190</v>
        <stp/>
        <stp>PLAYERSRANKING</stp>
        <stp>WDOZ23</stp>
        <stp>45</stp>
        <stp>SALDO</stp>
        <stp>QUANTITY</stp>
        <tr r="C25" s="2"/>
      </tp>
      <tp>
        <v>-3514</v>
        <stp/>
        <stp>PLAYERSRANKING</stp>
        <stp>WDOZ23</stp>
        <stp>85</stp>
        <stp>SALDO</stp>
        <stp>QUANTITY</stp>
        <tr r="C8" s="2"/>
      </tp>
      <tp>
        <v>831</v>
        <stp/>
        <stp>PLAYERSRANKING</stp>
        <stp>WDOZ23</stp>
        <stp>88</stp>
        <stp>SALDO</stp>
        <stp>QUANTITY</stp>
        <tr r="C5" s="2"/>
      </tp>
      <tp>
        <v>1064</v>
        <stp/>
        <stp>PLAYERSRANKING</stp>
        <stp>WDOZ23</stp>
        <stp>93</stp>
        <stp>SALDO</stp>
        <stp>QUANTITY</stp>
        <tr r="C6" s="2"/>
      </tp>
      <tp>
        <v>-5</v>
        <stp/>
        <stp>PLAYERSRANKING</stp>
        <stp>WDOZ23</stp>
        <stp>92</stp>
        <stp>SALDO</stp>
        <stp>QUANTITY</stp>
        <tr r="C29" s="2"/>
      </tp>
      <tp>
        <v>-4</v>
        <stp/>
        <stp>PLAYERSRANKING</stp>
        <stp>WDOZ23</stp>
        <stp>1130</stp>
        <stp>SALDO</stp>
        <stp>QUANTITY</stp>
        <tr r="C24" s="2"/>
      </tp>
      <tp>
        <v>-93</v>
        <stp/>
        <stp>PLAYERSRANKING</stp>
        <stp>WDOZ23</stp>
        <stp>1099</stp>
        <stp>SALDO</stp>
        <stp>QUANTITY</stp>
        <tr r="C22" s="2"/>
      </tp>
      <tp>
        <v>-124</v>
        <stp/>
        <stp>PLAYERSRANKING</stp>
        <stp>WDOZ23</stp>
        <stp>1982</stp>
        <stp>SALDO</stp>
        <stp>QUANTITY</stp>
        <tr r="C23" s="2"/>
      </tp>
      <tp>
        <v>4905.6715629522396</v>
        <stp/>
        <stp>PLAYERSRANKING</stp>
        <stp>WDOZ23</stp>
        <stp>122</stp>
        <stp>SALDO</stp>
        <stp>AVG_PRICE_2</stp>
        <tr r="G34" s="2"/>
      </tp>
      <tp>
        <v>4912.4414414414396</v>
        <stp/>
        <stp>PLAYERSRANKING</stp>
        <stp>WDOZ23</stp>
        <stp>262</stp>
        <stp>SALDO</stp>
        <stp>AVG_PRICE_2</stp>
        <tr r="G18" s="2"/>
      </tp>
      <tp>
        <v>4979.3216216216197</v>
        <stp/>
        <stp>PLAYERSRANKING</stp>
        <stp>WDOZ23</stp>
        <stp>190</stp>
        <stp>SALDO</stp>
        <stp>AVG_PRICE_2</stp>
        <tr r="G19" s="2"/>
      </tp>
      <tp>
        <v>4942.2577241898998</v>
        <stp/>
        <stp>PLAYERSRANKING</stp>
        <stp>WDOZ23</stp>
        <stp>120</stp>
        <stp>SALDO</stp>
        <stp>AVG_PRICE_2</stp>
        <tr r="G7" s="2"/>
      </tp>
      <tp>
        <v>4739.00969305331</v>
        <stp/>
        <stp>PLAYERSRANKING</stp>
        <stp>WDOZ23</stp>
        <stp>147</stp>
        <stp>SALDO</stp>
        <stp>AVG_PRICE_2</stp>
        <tr r="G28" s="2"/>
      </tp>
      <tp>
        <v>4905.5051165434897</v>
        <stp/>
        <stp>PLAYERSRANKING</stp>
        <stp>WDOZ23</stp>
        <stp>127</stp>
        <stp>SALDO</stp>
        <stp>AVG_PRICE_2</stp>
        <tr r="G38" s="2"/>
      </tp>
      <tp>
        <v>4887.5264917695504</v>
        <stp/>
        <stp>PLAYERSRANKING</stp>
        <stp>WDOZ23</stp>
        <stp>107</stp>
        <stp>SALDO</stp>
        <stp>AVG_PRICE_2</stp>
        <tr r="G10" s="2"/>
      </tp>
      <tp>
        <v>275</v>
        <stp/>
        <stp>PLAYERSRANKING</stp>
        <stp>WDOZ23</stp>
        <stp>4090</stp>
        <stp>SALDO</stp>
        <stp>QUANTITY</stp>
        <tr r="C27" s="2"/>
      </tp>
      <tp>
        <v>4919.4730185497501</v>
        <stp/>
        <stp>PLAYERSRANKING</stp>
        <stp>WDOZ23</stp>
        <stp>746</stp>
        <stp>SALDO</stp>
        <stp>AVG_PRICE_2</stp>
        <tr r="G12" s="2"/>
      </tp>
      <tp>
        <v>-18336785</v>
        <stp/>
        <stp>PLAYERSRANKING</stp>
        <stp>WDOZ23</stp>
        <stp>1982</stp>
        <stp>SALDO</stp>
        <stp>VOLFWITHFACTOR</stp>
        <tr r="E10" s="3"/>
        <tr r="E23" s="2"/>
      </tp>
      <tp>
        <v>4929.3999999999996</v>
        <stp/>
        <stp>PLAYERSRANKING</stp>
        <stp>WDOZ23</stp>
        <stp>735</stp>
        <stp>SALDO</stp>
        <stp>AVG_PRICE_2</stp>
        <tr r="G26" s="2"/>
      </tp>
      <tp>
        <v>4894.9090909090901</v>
        <stp/>
        <stp>PLAYERSRANKING</stp>
        <stp>WDOZ23</stp>
        <stp>115</stp>
        <stp>SALDO</stp>
        <stp>AVG_PRICE_2</stp>
        <tr r="G21" s="2"/>
      </tp>
      <tp>
        <v>-85398950</v>
        <stp/>
        <stp>PLAYERSRANKING</stp>
        <stp>WDOZ23</stp>
        <stp>1099</stp>
        <stp>SALDO</stp>
        <stp>VOLFWITHFACTOR</stp>
        <tr r="B14" s="3"/>
        <tr r="E22" s="2"/>
      </tp>
      <tp>
        <v>-14870295</v>
        <stp/>
        <stp>PLAYERSRANKING</stp>
        <stp>WDOZ23</stp>
        <stp>4090</stp>
        <stp>SALDO</stp>
        <stp>VOLFWITHFACTOR</stp>
        <tr r="E14" s="3"/>
        <tr r="E27" s="2"/>
      </tp>
      <tp>
        <v>593</v>
        <stp/>
        <stp>PLAYERSRANKING</stp>
        <stp>WDOZ23</stp>
        <stp>746</stp>
        <stp>SALDO</stp>
        <stp>VOLQ</stp>
        <tr r="D12" s="2"/>
      </tp>
      <tp>
        <v>-10</v>
        <stp/>
        <stp>PLAYERSRANKING</stp>
        <stp>WDOZ23</stp>
        <stp>735</stp>
        <stp>SALDO</stp>
        <stp>VOLQ</stp>
        <tr r="D26" s="2"/>
      </tp>
      <tp>
        <v>-185</v>
        <stp/>
        <stp>PLAYERSRANKING</stp>
        <stp>WDOZ23</stp>
        <stp>190</stp>
        <stp>SALDO</stp>
        <stp>VOLQ</stp>
        <tr r="D19" s="2"/>
      </tp>
      <tp>
        <v>-619</v>
        <stp/>
        <stp>PLAYERSRANKING</stp>
        <stp>WDOZ23</stp>
        <stp>147</stp>
        <stp>SALDO</stp>
        <stp>VOLQ</stp>
        <tr r="D28" s="2"/>
      </tp>
      <tp>
        <v>-1944</v>
        <stp/>
        <stp>PLAYERSRANKING</stp>
        <stp>WDOZ23</stp>
        <stp>107</stp>
        <stp>SALDO</stp>
        <stp>VOLQ</stp>
        <tr r="D10" s="2"/>
      </tp>
      <tp>
        <v>-44</v>
        <stp/>
        <stp>PLAYERSRANKING</stp>
        <stp>WDOZ23</stp>
        <stp>115</stp>
        <stp>SALDO</stp>
        <stp>VOLQ</stp>
        <tr r="D21" s="2"/>
      </tp>
      <tp>
        <v>4754</v>
        <stp/>
        <stp>PLAYERSRANKING</stp>
        <stp>WDOZ23</stp>
        <stp>114</stp>
        <stp>SALDO</stp>
        <stp>VOLQ</stp>
        <tr r="D30" s="2"/>
      </tp>
      <tp>
        <v>-1327</v>
        <stp/>
        <stp>PLAYERSRANKING</stp>
        <stp>WDOZ23</stp>
        <stp>120</stp>
        <stp>SALDO</stp>
        <stp>VOLQ</stp>
        <tr r="D7" s="2"/>
      </tp>
      <tp>
        <v>6910</v>
        <stp/>
        <stp>PLAYERSRANKING</stp>
        <stp>WDOZ23</stp>
        <stp>122</stp>
        <stp>SALDO</stp>
        <stp>VOLQ</stp>
        <tr r="D34" s="2"/>
      </tp>
      <tp>
        <v>-10554</v>
        <stp/>
        <stp>PLAYERSRANKING</stp>
        <stp>WDOZ23</stp>
        <stp>127</stp>
        <stp>SALDO</stp>
        <stp>VOLQ</stp>
        <tr r="D38" s="2"/>
      </tp>
      <tp>
        <v>0</v>
        <stp/>
        <stp>PLAYERSRANKING</stp>
        <stp>WDOZ23</stp>
        <stp>129</stp>
        <stp>SALDO</stp>
        <stp>VOLQ</stp>
        <tr r="D20" s="2"/>
      </tp>
      <tp>
        <v>-111</v>
        <stp/>
        <stp>PLAYERSRANKING</stp>
        <stp>WDOZ23</stp>
        <stp>262</stp>
        <stp>SALDO</stp>
        <stp>VOLQ</stp>
        <tr r="D18" s="2"/>
      </tp>
      <tp>
        <v>-2308</v>
        <stp/>
        <stp>PLAYERSRANKING</stp>
        <stp>WDOZ23</stp>
        <stp>238</stp>
        <stp>SALDO</stp>
        <stp>VOLQ</stp>
        <tr r="D37" s="2"/>
      </tp>
      <tp>
        <v>-345</v>
        <stp/>
        <stp>PLAYERSRANKING</stp>
        <stp>WDOZ23</stp>
        <stp>308</stp>
        <stp>SALDO</stp>
        <stp>VOLQ</stp>
        <tr r="D14" s="2"/>
      </tp>
      <tp>
        <v>4973.36201093816</v>
        <stp/>
        <stp>PLAYERSRANKING</stp>
        <stp>WDOZ23</stp>
        <stp>114</stp>
        <stp>SALDO</stp>
        <stp>AVG_PRICE_2</stp>
        <tr r="G30" s="2"/>
      </tp>
      <tp>
        <v>4899.3</v>
        <stp/>
        <stp>PLAYERSRANKING</stp>
        <stp>WDOZ23</stp>
        <stp>129</stp>
        <stp>SALDO</stp>
        <stp>AVG_PRICE_2</stp>
        <tr r="G20" s="2"/>
      </tp>
      <tp>
        <v>4842.0645580589298</v>
        <stp/>
        <stp>PLAYERSRANKING</stp>
        <stp>WDOZ23</stp>
        <stp>238</stp>
        <stp>SALDO</stp>
        <stp>AVG_PRICE_2</stp>
        <tr r="G37" s="2"/>
      </tp>
      <tp>
        <v>4934.1347826087003</v>
        <stp/>
        <stp>PLAYERSRANKING</stp>
        <stp>WDOZ23</stp>
        <stp>308</stp>
        <stp>SALDO</stp>
        <stp>AVG_PRICE_2</stp>
        <tr r="G14" s="2"/>
      </tp>
      <tp>
        <v>4059125</v>
        <stp/>
        <stp>PLAYERSRANKING</stp>
        <stp>WDOZ23</stp>
        <stp>1130</stp>
        <stp>SALDO</stp>
        <stp>VOLFWITHFACTOR</stp>
        <tr r="K7" s="3"/>
        <tr r="E24" s="2"/>
      </tp>
      <tp>
        <v>85917775</v>
        <stp/>
        <stp>PLAYERSRANKING</stp>
        <stp>WDOZ23</stp>
        <stp>6003</stp>
        <stp>SALDO</stp>
        <stp>VOLFWITHFACTOR</stp>
        <tr r="B12" s="3"/>
        <tr r="E11" s="2"/>
      </tp>
      <tp>
        <v>-18927450</v>
        <stp/>
        <stp>PLAYERSRANKING</stp>
        <stp>WDOZ23</stp>
        <stp>3701</stp>
        <stp>SALDO</stp>
        <stp>VOLFWITHFACTOR</stp>
        <tr r="E12" s="3"/>
        <tr r="E13" s="2"/>
      </tp>
      <tp>
        <v>141792140</v>
        <stp/>
        <stp>PLAYERSRANKING</stp>
        <stp>WDOZ23</stp>
        <stp>1618</stp>
        <stp>SALDO</stp>
        <stp>VOLFWITHFACTOR</stp>
        <tr r="H6" s="3"/>
        <tr r="E2" s="2"/>
      </tp>
      <tp>
        <v>4904.4950775461302</v>
        <stp/>
        <stp>PLAYERSRANKING</stp>
        <stp>WDOZ23</stp>
        <stp>85</stp>
        <stp>SALDO</stp>
        <stp>AVG_PRICE</stp>
        <tr r="F8" s="2"/>
      </tp>
      <tp>
        <v>4905.6098660767902</v>
        <stp/>
        <stp>PLAYERSRANKING</stp>
        <stp>WDOZ23</stp>
        <stp>88</stp>
        <stp>SALDO</stp>
        <stp>AVG_PRICE</stp>
        <tr r="F5" s="2"/>
      </tp>
      <tp>
        <v>4907.3856308218001</v>
        <stp/>
        <stp>PLAYERSRANKING</stp>
        <stp>WDOZ23</stp>
        <stp>90</stp>
        <stp>SALDO</stp>
        <stp>AVG_PRICE</stp>
        <tr r="F17" s="2"/>
      </tp>
      <tp>
        <v>4904.3537595710304</v>
        <stp/>
        <stp>PLAYERSRANKING</stp>
        <stp>WDOZ23</stp>
        <stp>92</stp>
        <stp>SALDO</stp>
        <stp>AVG_PRICE</stp>
        <tr r="F29" s="2"/>
      </tp>
      <tp>
        <v>4906.5093899497897</v>
        <stp/>
        <stp>PLAYERSRANKING</stp>
        <stp>WDOZ23</stp>
        <stp>93</stp>
        <stp>SALDO</stp>
        <stp>AVG_PRICE</stp>
        <tr r="F6" s="2"/>
      </tp>
      <tp>
        <v>4908.1109766277104</v>
        <stp/>
        <stp>PLAYERSRANKING</stp>
        <stp>WDOZ23</stp>
        <stp>15</stp>
        <stp>SALDO</stp>
        <stp>AVG_PRICE</stp>
        <tr r="F9" s="2"/>
      </tp>
      <tp>
        <v>4905.1949695015901</v>
        <stp/>
        <stp>PLAYERSRANKING</stp>
        <stp>WDOZ23</stp>
        <stp>16</stp>
        <stp>SALDO</stp>
        <stp>AVG_PRICE</stp>
        <tr r="F32" s="2"/>
      </tp>
      <tp>
        <v>4910.2245938196902</v>
        <stp/>
        <stp>PLAYERSRANKING</stp>
        <stp>WDOZ23</stp>
        <stp>23</stp>
        <stp>SALDO</stp>
        <stp>AVG_PRICE</stp>
        <tr r="F31" s="2"/>
      </tp>
      <tp>
        <v>4904.0205218253104</v>
        <stp/>
        <stp>PLAYERSRANKING</stp>
        <stp>WDOZ23</stp>
        <stp>27</stp>
        <stp>SALDO</stp>
        <stp>AVG_PRICE</stp>
        <tr r="F4" s="2"/>
      </tp>
      <tp>
        <v>4908.4539326581598</v>
        <stp/>
        <stp>PLAYERSRANKING</stp>
        <stp>WDOZ23</stp>
        <stp>39</stp>
        <stp>SALDO</stp>
        <stp>AVG_PRICE</stp>
        <tr r="F15" s="2"/>
      </tp>
      <tp>
        <v>4903.27828333462</v>
        <stp/>
        <stp>PLAYERSRANKING</stp>
        <stp>WDOZ23</stp>
        <stp>40</stp>
        <stp>SALDO</stp>
        <stp>AVG_PRICE</stp>
        <tr r="F36" s="2"/>
      </tp>
      <tp>
        <v>4910.9523573201004</v>
        <stp/>
        <stp>PLAYERSRANKING</stp>
        <stp>WDOZ23</stp>
        <stp>45</stp>
        <stp>SALDO</stp>
        <stp>AVG_PRICE</stp>
        <tr r="F25" s="2"/>
      </tp>
      <tp>
        <v>4906.3760233918101</v>
        <stp/>
        <stp>PLAYERSRANKING</stp>
        <stp>WDOZ23</stp>
        <stp>59</stp>
        <stp>SALDO</stp>
        <stp>AVG_PRICE</stp>
        <tr r="F16" s="2"/>
      </tp>
      <tp>
        <v>4905.5065182062099</v>
        <stp/>
        <stp>PLAYERSRANKING</stp>
        <stp>WDOZ23</stp>
        <stp>72</stp>
        <stp>SALDO</stp>
        <stp>AVG_PRICE</stp>
        <tr r="F3" s="2"/>
      </tp>
      <tp>
        <v>743601175</v>
        <stp/>
        <stp>PLAYERSRANKING</stp>
        <stp>WDOZ23</stp>
        <stp>8</stp>
        <stp>SALDO</stp>
        <stp>VOLFWITHFACTOR</stp>
        <tr r="H11" s="3"/>
        <tr r="E33" s="2"/>
      </tp>
      <tp>
        <v>-681320545</v>
        <stp/>
        <stp>PLAYERSRANKING</stp>
        <stp>WDOZ23</stp>
        <stp>3</stp>
        <stp>SALDO</stp>
        <stp>VOLFWITHFACTOR</stp>
        <tr r="B9" s="3"/>
        <tr r="E15" s="3"/>
        <tr r="E35" s="2"/>
      </tp>
      <tp>
        <v>4902.8836898395703</v>
        <stp/>
        <stp>PLAYERSRANKING</stp>
        <stp>WDOZ23</stp>
        <stp>1982</stp>
        <stp>SALDO</stp>
        <stp>AVG_PRICE_2</stp>
        <tr r="G23" s="2"/>
      </tp>
      <tp>
        <v>4867.8626062322901</v>
        <stp/>
        <stp>PLAYERSRANKING</stp>
        <stp>WDOZ23</stp>
        <stp>6003</stp>
        <stp>SALDO</stp>
        <stp>AVG_PRICE_2</stp>
        <tr r="G11" s="2"/>
      </tp>
      <tp>
        <v>-22118</v>
        <stp/>
        <stp>PLAYERSRANKING</stp>
        <stp>WDOZ23</stp>
        <stp>85</stp>
        <stp>SALDO</stp>
        <stp>VOLQ</stp>
        <tr r="D8" s="2"/>
      </tp>
      <tp>
        <v>6714</v>
        <stp/>
        <stp>PLAYERSRANKING</stp>
        <stp>WDOZ23</stp>
        <stp>88</stp>
        <stp>SALDO</stp>
        <stp>VOLQ</stp>
        <tr r="D5" s="2"/>
      </tp>
      <tp>
        <v>1267</v>
        <stp/>
        <stp>PLAYERSRANKING</stp>
        <stp>WDOZ23</stp>
        <stp>92</stp>
        <stp>SALDO</stp>
        <stp>VOLQ</stp>
        <tr r="D29" s="2"/>
      </tp>
      <tp>
        <v>4641</v>
        <stp/>
        <stp>PLAYERSRANKING</stp>
        <stp>WDOZ23</stp>
        <stp>93</stp>
        <stp>SALDO</stp>
        <stp>VOLQ</stp>
        <tr r="D6" s="2"/>
      </tp>
      <tp>
        <v>-37</v>
        <stp/>
        <stp>PLAYERSRANKING</stp>
        <stp>WDOZ23</stp>
        <stp>90</stp>
        <stp>SALDO</stp>
        <stp>VOLQ</stp>
        <tr r="D17" s="2"/>
      </tp>
      <tp>
        <v>8667</v>
        <stp/>
        <stp>PLAYERSRANKING</stp>
        <stp>WDOZ23</stp>
        <stp>16</stp>
        <stp>SALDO</stp>
        <stp>VOLQ</stp>
        <tr r="D32" s="2"/>
      </tp>
      <tp>
        <v>36</v>
        <stp/>
        <stp>PLAYERSRANKING</stp>
        <stp>WDOZ23</stp>
        <stp>15</stp>
        <stp>SALDO</stp>
        <stp>VOLQ</stp>
        <tr r="D9" s="2"/>
      </tp>
      <tp>
        <v>-5890</v>
        <stp/>
        <stp>PLAYERSRANKING</stp>
        <stp>WDOZ23</stp>
        <stp>23</stp>
        <stp>SALDO</stp>
        <stp>VOLQ</stp>
        <tr r="D31" s="2"/>
      </tp>
      <tp>
        <v>12056</v>
        <stp/>
        <stp>PLAYERSRANKING</stp>
        <stp>WDOZ23</stp>
        <stp>27</stp>
        <stp>SALDO</stp>
        <stp>VOLQ</stp>
        <tr r="D4" s="2"/>
      </tp>
      <tp>
        <v>246</v>
        <stp/>
        <stp>PLAYERSRANKING</stp>
        <stp>WDOZ23</stp>
        <stp>39</stp>
        <stp>SALDO</stp>
        <stp>VOLQ</stp>
        <tr r="D15" s="2"/>
      </tp>
      <tp>
        <v>-1658</v>
        <stp/>
        <stp>PLAYERSRANKING</stp>
        <stp>WDOZ23</stp>
        <stp>40</stp>
        <stp>SALDO</stp>
        <stp>VOLQ</stp>
        <tr r="D36" s="2"/>
      </tp>
      <tp>
        <v>46</v>
        <stp/>
        <stp>PLAYERSRANKING</stp>
        <stp>WDOZ23</stp>
        <stp>45</stp>
        <stp>SALDO</stp>
        <stp>VOLQ</stp>
        <tr r="D25" s="2"/>
      </tp>
      <tp>
        <v>-37</v>
        <stp/>
        <stp>PLAYERSRANKING</stp>
        <stp>WDOZ23</stp>
        <stp>59</stp>
        <stp>SALDO</stp>
        <stp>VOLQ</stp>
        <tr r="D16" s="2"/>
      </tp>
      <tp>
        <v>-565</v>
        <stp/>
        <stp>PLAYERSRANKING</stp>
        <stp>WDOZ23</stp>
        <stp>72</stp>
        <stp>SALDO</stp>
        <stp>VOLQ</stp>
        <tr r="D3" s="2"/>
      </tp>
      <tp>
        <v>4990.0318791946302</v>
        <stp/>
        <stp>PLAYERSRANKING</stp>
        <stp>WDOZ23</stp>
        <stp>4090</stp>
        <stp>SALDO</stp>
        <stp>AVG_PRICE_2</stp>
        <tr r="G27" s="2"/>
      </tp>
      <tp>
        <v>4890.5120481927697</v>
        <stp/>
        <stp>PLAYERSRANKING</stp>
        <stp>WDOZ23</stp>
        <stp>1130</stp>
        <stp>SALDO</stp>
        <stp>AVG_PRICE_2</stp>
        <tr r="G24" s="2"/>
      </tp>
      <tp>
        <v>4890.8139534883703</v>
        <stp/>
        <stp>PLAYERSRANKING</stp>
        <stp>WDOZ23</stp>
        <stp>3701</stp>
        <stp>SALDO</stp>
        <stp>AVG_PRICE_2</stp>
        <tr r="G13" s="2"/>
      </tp>
      <tp>
        <v>4842.6277322404403</v>
        <stp/>
        <stp>PLAYERSRANKING</stp>
        <stp>WDOZ23</stp>
        <stp>1618</stp>
        <stp>SALDO</stp>
        <stp>AVG_PRICE_2</stp>
        <tr r="G2" s="2"/>
      </tp>
      <tp>
        <v>4924.9682814302196</v>
        <stp/>
        <stp>PLAYERSRANKING</stp>
        <stp>WDOZ23</stp>
        <stp>1099</stp>
        <stp>SALDO</stp>
        <stp>AVG_PRICE_2</stp>
        <tr r="G22" s="2"/>
      </tp>
      <tp>
        <v>-2792</v>
        <stp/>
        <stp>PLAYERSRANKING</stp>
        <stp>WDOZ23</stp>
        <stp>3</stp>
        <stp>SALDO</stp>
        <stp>QUANTITY</stp>
        <tr r="C35" s="2"/>
      </tp>
      <tp>
        <v>537</v>
        <stp/>
        <stp>PLAYERSRANKING</stp>
        <stp>WDOZ23</stp>
        <stp>8</stp>
        <stp>SALDO</stp>
        <stp>QUANTITY</stp>
        <tr r="C33" s="2"/>
      </tp>
      <tp>
        <v>4905.1137988780702</v>
        <stp/>
        <stp>PLAYERSRANKING</stp>
        <stp>WDOZ23</stp>
        <stp>3</stp>
        <stp>SALDO</stp>
        <stp>AVG_PRICE</stp>
        <tr r="F35" s="2"/>
      </tp>
      <tp>
        <v>4905.0166022838202</v>
        <stp/>
        <stp>PLAYERSRANKING</stp>
        <stp>WDOZ23</stp>
        <stp>8</stp>
        <stp>SALDO</stp>
        <stp>AVG_PRICE</stp>
        <tr r="F3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9" sqref="B9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v>2.6</v>
      </c>
    </row>
    <row r="3" spans="1:2" x14ac:dyDescent="0.25">
      <c r="A3" t="s">
        <v>3</v>
      </c>
      <c r="B3">
        <v>2.74</v>
      </c>
    </row>
    <row r="4" spans="1:2" x14ac:dyDescent="0.25">
      <c r="A4" t="s">
        <v>2</v>
      </c>
      <c r="B4">
        <v>4.3</v>
      </c>
    </row>
    <row r="5" spans="1:2" x14ac:dyDescent="0.25">
      <c r="A5" t="s">
        <v>5</v>
      </c>
      <c r="B5">
        <v>8.6</v>
      </c>
    </row>
    <row r="6" spans="1:2" x14ac:dyDescent="0.25">
      <c r="A6" t="s">
        <v>6</v>
      </c>
      <c r="B6">
        <v>3.6</v>
      </c>
    </row>
    <row r="7" spans="1:2" x14ac:dyDescent="0.25">
      <c r="A7" t="s">
        <v>7</v>
      </c>
      <c r="B7">
        <v>9.3000000000000007</v>
      </c>
    </row>
    <row r="8" spans="1:2" x14ac:dyDescent="0.25">
      <c r="A8" t="s">
        <v>8</v>
      </c>
      <c r="B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B7" sqref="B7"/>
    </sheetView>
  </sheetViews>
  <sheetFormatPr defaultRowHeight="15" x14ac:dyDescent="0.25"/>
  <cols>
    <col min="1" max="1" width="4.140625" bestFit="1" customWidth="1"/>
    <col min="2" max="2" width="17.5703125" bestFit="1" customWidth="1"/>
    <col min="3" max="3" width="5.7109375" bestFit="1" customWidth="1"/>
    <col min="4" max="4" width="6.7109375" bestFit="1" customWidth="1"/>
    <col min="5" max="5" width="11" bestFit="1" customWidth="1"/>
    <col min="6" max="7" width="15.5703125" bestFit="1" customWidth="1"/>
  </cols>
  <sheetData>
    <row r="1" spans="1: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>
        <v>1</v>
      </c>
      <c r="B2" t="s">
        <v>9</v>
      </c>
      <c r="C2">
        <v>60</v>
      </c>
      <c r="D2">
        <f>RTD("srv.rtd","","PLAYERSRANKING","WDOZ23","1618","SALDO","VOLQ")</f>
        <v>2928</v>
      </c>
      <c r="E2">
        <f>RTD("srv.rtd","","PLAYERSRANKING","WDOZ23","1618","SALDO","VOLFWITHFACTOR")</f>
        <v>141792140</v>
      </c>
      <c r="F2">
        <f>RTD("srv.rtd","","PLAYERSRANKING","WDOZ23","1618","SALDO","AVG_PRICE")</f>
        <v>4905.7399595543502</v>
      </c>
      <c r="G2">
        <f>RTD("srv.rtd","","PLAYERSRANKING","WDOZ23","1618","SALDO","AVG_PRICE_2")</f>
        <v>4842.6277322404403</v>
      </c>
    </row>
    <row r="3" spans="1:7" x14ac:dyDescent="0.25">
      <c r="A3">
        <v>2</v>
      </c>
      <c r="B3" t="s">
        <v>10</v>
      </c>
      <c r="C3">
        <f>RTD("srv.rtd","","PLAYERSRANKING","WDOZ23","72","SALDO","QUANTITY")</f>
        <v>150</v>
      </c>
      <c r="D3">
        <f>RTD("srv.rtd","","PLAYERSRANKING","WDOZ23","72","SALDO","VOLQ")</f>
        <v>-565</v>
      </c>
      <c r="E3">
        <f>RTD("srv.rtd","","PLAYERSRANKING","WDOZ23","72","SALDO","VOLFWITHFACTOR")</f>
        <v>-28813135</v>
      </c>
      <c r="F3">
        <f>RTD("srv.rtd","","PLAYERSRANKING","WDOZ23","72","SALDO","AVG_PRICE")</f>
        <v>4905.5065182062099</v>
      </c>
      <c r="G3">
        <f>RTD("srv.rtd","","PLAYERSRANKING","WDOZ23","72","SALDO","AVG_PRICE_2")</f>
        <v>5099.6699115044203</v>
      </c>
    </row>
    <row r="4" spans="1:7" x14ac:dyDescent="0.25">
      <c r="A4">
        <v>3</v>
      </c>
      <c r="B4" t="s">
        <v>11</v>
      </c>
      <c r="C4">
        <f>RTD("srv.rtd","","PLAYERSRANKING","WDOZ23","27","SALDO","QUANTITY")</f>
        <v>2135</v>
      </c>
      <c r="D4">
        <f>RTD("srv.rtd","","PLAYERSRANKING","WDOZ23","27","SALDO","VOLQ")</f>
        <v>12056</v>
      </c>
      <c r="E4">
        <f>RTD("srv.rtd","","PLAYERSRANKING","WDOZ23","27","SALDO","VOLFWITHFACTOR")</f>
        <v>591269535</v>
      </c>
      <c r="F4">
        <f>RTD("srv.rtd","","PLAYERSRANKING","WDOZ23","27","SALDO","AVG_PRICE")</f>
        <v>4904.0205218253104</v>
      </c>
      <c r="G4">
        <f>RTD("srv.rtd","","PLAYERSRANKING","WDOZ23","27","SALDO","AVG_PRICE_2")</f>
        <v>4904.3591157929704</v>
      </c>
    </row>
    <row r="5" spans="1:7" x14ac:dyDescent="0.25">
      <c r="A5">
        <v>4</v>
      </c>
      <c r="B5" t="s">
        <v>50</v>
      </c>
      <c r="C5">
        <f>RTD("srv.rtd","","PLAYERSRANKING","WDOZ23","88","SALDO","QUANTITY")</f>
        <v>831</v>
      </c>
      <c r="D5">
        <f>RTD("srv.rtd","","PLAYERSRANKING","WDOZ23","88","SALDO","VOLQ")</f>
        <v>6714</v>
      </c>
      <c r="E5">
        <f>RTD("srv.rtd","","PLAYERSRANKING","WDOZ23","88","SALDO","VOLFWITHFACTOR")</f>
        <v>329498485</v>
      </c>
      <c r="F5">
        <f>RTD("srv.rtd","","PLAYERSRANKING","WDOZ23","88","SALDO","AVG_PRICE")</f>
        <v>4905.6098660767902</v>
      </c>
      <c r="G5">
        <f>RTD("srv.rtd","","PLAYERSRANKING","WDOZ23","88","SALDO","AVG_PRICE_2")</f>
        <v>4907.6330801310696</v>
      </c>
    </row>
    <row r="6" spans="1:7" x14ac:dyDescent="0.25">
      <c r="A6">
        <v>5</v>
      </c>
      <c r="B6" t="s">
        <v>52</v>
      </c>
      <c r="C6">
        <f>RTD("srv.rtd","","PLAYERSRANKING","WDOZ23","93","SALDO","QUANTITY")</f>
        <v>1064</v>
      </c>
      <c r="D6">
        <f>RTD("srv.rtd","","PLAYERSRANKING","WDOZ23","93","SALDO","VOLQ")</f>
        <v>4641</v>
      </c>
      <c r="E6">
        <f>RTD("srv.rtd","","PLAYERSRANKING","WDOZ23","93","SALDO","VOLFWITHFACTOR")</f>
        <v>228625640</v>
      </c>
      <c r="F6">
        <f>RTD("srv.rtd","","PLAYERSRANKING","WDOZ23","93","SALDO","AVG_PRICE")</f>
        <v>4906.5093899497897</v>
      </c>
      <c r="G6">
        <f>RTD("srv.rtd","","PLAYERSRANKING","WDOZ23","93","SALDO","AVG_PRICE_2")</f>
        <v>4926.2150398620997</v>
      </c>
    </row>
    <row r="7" spans="1:7" x14ac:dyDescent="0.25">
      <c r="A7">
        <v>6</v>
      </c>
      <c r="B7" t="s">
        <v>12</v>
      </c>
      <c r="C7">
        <f>RTD("srv.rtd","","PLAYERSRANKING","WDOZ23","120","SALDO","QUANTITY")</f>
        <v>-3414</v>
      </c>
      <c r="D7">
        <f>RTD("srv.rtd","","PLAYERSRANKING","WDOZ23","120","SALDO","VOLQ")</f>
        <v>-1327</v>
      </c>
      <c r="E7">
        <f>RTD("srv.rtd","","PLAYERSRANKING","WDOZ23","120","SALDO","VOLFWITHFACTOR")</f>
        <v>-65583760</v>
      </c>
      <c r="F7">
        <f>RTD("srv.rtd","","PLAYERSRANKING","WDOZ23","120","SALDO","AVG_PRICE")</f>
        <v>4905.2292306998997</v>
      </c>
      <c r="G7">
        <f>RTD("srv.rtd","","PLAYERSRANKING","WDOZ23","120","SALDO","AVG_PRICE_2")</f>
        <v>4942.2577241898998</v>
      </c>
    </row>
    <row r="8" spans="1:7" x14ac:dyDescent="0.25">
      <c r="A8">
        <v>7</v>
      </c>
      <c r="B8" t="s">
        <v>14</v>
      </c>
      <c r="C8">
        <f>RTD("srv.rtd","","PLAYERSRANKING","WDOZ23","85","SALDO","QUANTITY")</f>
        <v>-3514</v>
      </c>
      <c r="D8">
        <f>RTD("srv.rtd","","PLAYERSRANKING","WDOZ23","85","SALDO","VOLQ")</f>
        <v>-22118</v>
      </c>
      <c r="E8">
        <f>RTD("srv.rtd","","PLAYERSRANKING","WDOZ23","85","SALDO","VOLFWITHFACTOR")</f>
        <v>-1087552620</v>
      </c>
      <c r="F8">
        <f>RTD("srv.rtd","","PLAYERSRANKING","WDOZ23","85","SALDO","AVG_PRICE")</f>
        <v>4904.4950775461302</v>
      </c>
      <c r="G8">
        <f>RTD("srv.rtd","","PLAYERSRANKING","WDOZ23","85","SALDO","AVG_PRICE_2")</f>
        <v>4917.0477439189799</v>
      </c>
    </row>
    <row r="9" spans="1:7" x14ac:dyDescent="0.25">
      <c r="A9">
        <v>8</v>
      </c>
      <c r="B9" t="s">
        <v>13</v>
      </c>
      <c r="C9">
        <v>2</v>
      </c>
      <c r="D9">
        <f>RTD("srv.rtd","","PLAYERSRANKING","WDOZ23","15","SALDO","VOLQ")</f>
        <v>36</v>
      </c>
      <c r="E9">
        <f>RTD("srv.rtd","","PLAYERSRANKING","WDOZ23","15","SALDO","VOLFWITHFACTOR")</f>
        <v>2255155</v>
      </c>
      <c r="F9">
        <f>RTD("srv.rtd","","PLAYERSRANKING","WDOZ23","15","SALDO","AVG_PRICE")</f>
        <v>4908.1109766277104</v>
      </c>
      <c r="G9">
        <f>RTD("srv.rtd","","PLAYERSRANKING","WDOZ23","15","SALDO","AVG_PRICE_2")</f>
        <v>6264.3194444444498</v>
      </c>
    </row>
    <row r="10" spans="1:7" x14ac:dyDescent="0.25">
      <c r="A10">
        <v>9</v>
      </c>
      <c r="B10" t="s">
        <v>29</v>
      </c>
      <c r="C10">
        <v>5</v>
      </c>
      <c r="D10">
        <f>RTD("srv.rtd","","PLAYERSRANKING","WDOZ23","107","SALDO","VOLQ")</f>
        <v>-1944</v>
      </c>
      <c r="E10">
        <f>RTD("srv.rtd","","PLAYERSRANKING","WDOZ23","107","SALDO","VOLFWITHFACTOR")</f>
        <v>-95013515</v>
      </c>
      <c r="F10">
        <f>RTD("srv.rtd","","PLAYERSRANKING","WDOZ23","107","SALDO","AVG_PRICE")</f>
        <v>4906.5161683691003</v>
      </c>
      <c r="G10">
        <f>RTD("srv.rtd","","PLAYERSRANKING","WDOZ23","107","SALDO","AVG_PRICE_2")</f>
        <v>4887.5264917695504</v>
      </c>
    </row>
    <row r="11" spans="1:7" x14ac:dyDescent="0.25">
      <c r="A11">
        <v>10</v>
      </c>
      <c r="B11" t="s">
        <v>51</v>
      </c>
      <c r="C11">
        <v>4</v>
      </c>
      <c r="D11">
        <f>RTD("srv.rtd","","PLAYERSRANKING","WDOZ23","6003","SALDO","VOLQ")</f>
        <v>1765</v>
      </c>
      <c r="E11">
        <f>RTD("srv.rtd","","PLAYERSRANKING","WDOZ23","6003","SALDO","VOLFWITHFACTOR")</f>
        <v>85917775</v>
      </c>
      <c r="F11">
        <f>RTD("srv.rtd","","PLAYERSRANKING","WDOZ23","6003","SALDO","AVG_PRICE")</f>
        <v>4902.3929756787602</v>
      </c>
      <c r="G11">
        <f>RTD("srv.rtd","","PLAYERSRANKING","WDOZ23","6003","SALDO","AVG_PRICE_2")</f>
        <v>4867.8626062322901</v>
      </c>
    </row>
    <row r="12" spans="1:7" x14ac:dyDescent="0.25">
      <c r="A12">
        <v>11</v>
      </c>
      <c r="B12" t="s">
        <v>17</v>
      </c>
      <c r="C12">
        <v>1</v>
      </c>
      <c r="D12">
        <f>RTD("srv.rtd","","PLAYERSRANKING","WDOZ23","746","SALDO","VOLQ")</f>
        <v>593</v>
      </c>
      <c r="E12">
        <f>RTD("srv.rtd","","PLAYERSRANKING","WDOZ23","746","SALDO","VOLFWITHFACTOR")</f>
        <v>29172475</v>
      </c>
      <c r="F12">
        <f>RTD("srv.rtd","","PLAYERSRANKING","WDOZ23","746","SALDO","AVG_PRICE")</f>
        <v>4909.8964664310997</v>
      </c>
      <c r="G12">
        <f>RTD("srv.rtd","","PLAYERSRANKING","WDOZ23","746","SALDO","AVG_PRICE_2")</f>
        <v>4919.4730185497501</v>
      </c>
    </row>
    <row r="13" spans="1:7" x14ac:dyDescent="0.25">
      <c r="A13">
        <v>12</v>
      </c>
      <c r="B13" t="s">
        <v>18</v>
      </c>
      <c r="C13">
        <v>5</v>
      </c>
      <c r="D13">
        <f>RTD("srv.rtd","","PLAYERSRANKING","WDOZ23","3701","SALDO","VOLQ")</f>
        <v>-387</v>
      </c>
      <c r="E13">
        <f>RTD("srv.rtd","","PLAYERSRANKING","WDOZ23","3701","SALDO","VOLFWITHFACTOR")</f>
        <v>-18927450</v>
      </c>
      <c r="F13">
        <f>RTD("srv.rtd","","PLAYERSRANKING","WDOZ23","3701","SALDO","AVG_PRICE")</f>
        <v>4903.5533284132798</v>
      </c>
      <c r="G13">
        <f>RTD("srv.rtd","","PLAYERSRANKING","WDOZ23","3701","SALDO","AVG_PRICE_2")</f>
        <v>4890.8139534883703</v>
      </c>
    </row>
    <row r="14" spans="1:7" x14ac:dyDescent="0.25">
      <c r="A14">
        <v>13</v>
      </c>
      <c r="B14" t="s">
        <v>15</v>
      </c>
      <c r="C14">
        <v>6</v>
      </c>
      <c r="D14">
        <f>RTD("srv.rtd","","PLAYERSRANKING","WDOZ23","308","SALDO","VOLQ")</f>
        <v>-345</v>
      </c>
      <c r="E14">
        <f>RTD("srv.rtd","","PLAYERSRANKING","WDOZ23","308","SALDO","VOLFWITHFACTOR")</f>
        <v>-17022765</v>
      </c>
      <c r="F14">
        <f>RTD("srv.rtd","","PLAYERSRANKING","WDOZ23","308","SALDO","AVG_PRICE")</f>
        <v>4904.5116132551302</v>
      </c>
      <c r="G14">
        <f>RTD("srv.rtd","","PLAYERSRANKING","WDOZ23","308","SALDO","AVG_PRICE_2")</f>
        <v>4934.1347826087003</v>
      </c>
    </row>
    <row r="15" spans="1:7" x14ac:dyDescent="0.25">
      <c r="A15">
        <v>14</v>
      </c>
      <c r="B15" t="s">
        <v>19</v>
      </c>
      <c r="C15">
        <v>8</v>
      </c>
      <c r="D15">
        <f>RTD("srv.rtd","","PLAYERSRANKING","WDOZ23","39","SALDO","VOLQ")</f>
        <v>246</v>
      </c>
      <c r="E15">
        <f>RTD("srv.rtd","","PLAYERSRANKING","WDOZ23","39","SALDO","VOLFWITHFACTOR")</f>
        <v>12149565</v>
      </c>
      <c r="F15">
        <f>RTD("srv.rtd","","PLAYERSRANKING","WDOZ23","39","SALDO","AVG_PRICE")</f>
        <v>4908.4539326581598</v>
      </c>
      <c r="G15">
        <f>RTD("srv.rtd","","PLAYERSRANKING","WDOZ23","39","SALDO","AVG_PRICE_2")</f>
        <v>4938.8475609756097</v>
      </c>
    </row>
    <row r="16" spans="1:7" x14ac:dyDescent="0.25">
      <c r="A16">
        <v>15</v>
      </c>
      <c r="B16" t="s">
        <v>22</v>
      </c>
      <c r="C16">
        <v>7</v>
      </c>
      <c r="D16">
        <f>RTD("srv.rtd","","PLAYERSRANKING","WDOZ23","59","SALDO","VOLQ")</f>
        <v>-37</v>
      </c>
      <c r="E16">
        <f>RTD("srv.rtd","","PLAYERSRANKING","WDOZ23","59","SALDO","VOLFWITHFACTOR")</f>
        <v>-1829375</v>
      </c>
      <c r="F16">
        <f>RTD("srv.rtd","","PLAYERSRANKING","WDOZ23","59","SALDO","AVG_PRICE")</f>
        <v>4906.3760233918101</v>
      </c>
      <c r="G16">
        <f>RTD("srv.rtd","","PLAYERSRANKING","WDOZ23","59","SALDO","AVG_PRICE_2")</f>
        <v>4944.2567567567603</v>
      </c>
    </row>
    <row r="17" spans="1:7" x14ac:dyDescent="0.25">
      <c r="A17">
        <v>16</v>
      </c>
      <c r="B17" t="s">
        <v>23</v>
      </c>
      <c r="C17">
        <v>1</v>
      </c>
      <c r="D17">
        <f>RTD("srv.rtd","","PLAYERSRANKING","WDOZ23","90","SALDO","VOLQ")</f>
        <v>-37</v>
      </c>
      <c r="E17">
        <f>RTD("srv.rtd","","PLAYERSRANKING","WDOZ23","90","SALDO","VOLFWITHFACTOR")</f>
        <v>-1843065</v>
      </c>
      <c r="F17">
        <f>RTD("srv.rtd","","PLAYERSRANKING","WDOZ23","90","SALDO","AVG_PRICE")</f>
        <v>4907.3856308218001</v>
      </c>
      <c r="G17">
        <f>RTD("srv.rtd","","PLAYERSRANKING","WDOZ23","90","SALDO","AVG_PRICE_2")</f>
        <v>4981.2567567567603</v>
      </c>
    </row>
    <row r="18" spans="1:7" x14ac:dyDescent="0.25">
      <c r="A18">
        <v>17</v>
      </c>
      <c r="B18" t="s">
        <v>16</v>
      </c>
      <c r="C18">
        <v>2</v>
      </c>
      <c r="D18">
        <f>RTD("srv.rtd","","PLAYERSRANKING","WDOZ23","262","SALDO","VOLQ")</f>
        <v>-111</v>
      </c>
      <c r="E18">
        <f>RTD("srv.rtd","","PLAYERSRANKING","WDOZ23","262","SALDO","VOLFWITHFACTOR")</f>
        <v>-5452810</v>
      </c>
      <c r="F18">
        <f>RTD("srv.rtd","","PLAYERSRANKING","WDOZ23","262","SALDO","AVG_PRICE")</f>
        <v>4906.7904461469097</v>
      </c>
      <c r="G18">
        <f>RTD("srv.rtd","","PLAYERSRANKING","WDOZ23","262","SALDO","AVG_PRICE_2")</f>
        <v>4912.4414414414396</v>
      </c>
    </row>
    <row r="19" spans="1:7" x14ac:dyDescent="0.25">
      <c r="A19">
        <v>18</v>
      </c>
      <c r="B19" t="s">
        <v>24</v>
      </c>
      <c r="C19">
        <v>3</v>
      </c>
      <c r="D19">
        <f>RTD("srv.rtd","","PLAYERSRANKING","WDOZ23","190","SALDO","VOLQ")</f>
        <v>-185</v>
      </c>
      <c r="E19">
        <f>RTD("srv.rtd","","PLAYERSRANKING","WDOZ23","190","SALDO","VOLFWITHFACTOR")</f>
        <v>-9211745</v>
      </c>
      <c r="F19">
        <f>RTD("srv.rtd","","PLAYERSRANKING","WDOZ23","190","SALDO","AVG_PRICE")</f>
        <v>4902.8490019317496</v>
      </c>
      <c r="G19">
        <f>RTD("srv.rtd","","PLAYERSRANKING","WDOZ23","190","SALDO","AVG_PRICE_2")</f>
        <v>4979.3216216216197</v>
      </c>
    </row>
    <row r="20" spans="1:7" x14ac:dyDescent="0.25">
      <c r="A20">
        <v>19</v>
      </c>
      <c r="B20" t="s">
        <v>25</v>
      </c>
      <c r="C20">
        <v>2</v>
      </c>
      <c r="D20">
        <f>RTD("srv.rtd","","PLAYERSRANKING","WDOZ23","129","SALDO","VOLQ")</f>
        <v>0</v>
      </c>
      <c r="E20">
        <f>RTD("srv.rtd","","PLAYERSRANKING","WDOZ23","129","SALDO","VOLFWITHFACTOR")</f>
        <v>-2600</v>
      </c>
      <c r="F20">
        <f>RTD("srv.rtd","","PLAYERSRANKING","WDOZ23","129","SALDO","AVG_PRICE")</f>
        <v>4898.6499999999996</v>
      </c>
      <c r="G20">
        <f>RTD("srv.rtd","","PLAYERSRANKING","WDOZ23","129","SALDO","AVG_PRICE_2")</f>
        <v>4899.3</v>
      </c>
    </row>
    <row r="21" spans="1:7" x14ac:dyDescent="0.25">
      <c r="A21">
        <v>20</v>
      </c>
      <c r="B21" t="s">
        <v>20</v>
      </c>
      <c r="C21">
        <f>RTD("srv.rtd","","PLAYERSRANKING","WDOZ23","115","SALDO","QUANTITY")</f>
        <v>-84</v>
      </c>
      <c r="D21">
        <f>RTD("srv.rtd","","PLAYERSRANKING","WDOZ23","115","SALDO","VOLQ")</f>
        <v>-44</v>
      </c>
      <c r="E21">
        <f>RTD("srv.rtd","","PLAYERSRANKING","WDOZ23","115","SALDO","VOLFWITHFACTOR")</f>
        <v>-2153760</v>
      </c>
      <c r="F21">
        <f>RTD("srv.rtd","","PLAYERSRANKING","WDOZ23","115","SALDO","AVG_PRICE")</f>
        <v>4910.0162085975999</v>
      </c>
      <c r="G21">
        <f>RTD("srv.rtd","","PLAYERSRANKING","WDOZ23","115","SALDO","AVG_PRICE_2")</f>
        <v>4894.9090909090901</v>
      </c>
    </row>
    <row r="22" spans="1:7" x14ac:dyDescent="0.25">
      <c r="A22">
        <v>21</v>
      </c>
      <c r="B22" t="s">
        <v>26</v>
      </c>
      <c r="C22">
        <f>RTD("srv.rtd","","PLAYERSRANKING","WDOZ23","1099","SALDO","QUANTITY")</f>
        <v>-93</v>
      </c>
      <c r="D22">
        <f>RTD("srv.rtd","","PLAYERSRANKING","WDOZ23","1099","SALDO","VOLQ")</f>
        <v>-1734</v>
      </c>
      <c r="E22">
        <f>RTD("srv.rtd","","PLAYERSRANKING","WDOZ23","1099","SALDO","VOLFWITHFACTOR")</f>
        <v>-85398950</v>
      </c>
      <c r="F22">
        <f>RTD("srv.rtd","","PLAYERSRANKING","WDOZ23","1099","SALDO","AVG_PRICE")</f>
        <v>4904.46580506193</v>
      </c>
      <c r="G22">
        <f>RTD("srv.rtd","","PLAYERSRANKING","WDOZ23","1099","SALDO","AVG_PRICE_2")</f>
        <v>4924.9682814302196</v>
      </c>
    </row>
    <row r="23" spans="1:7" x14ac:dyDescent="0.25">
      <c r="A23">
        <v>22</v>
      </c>
      <c r="B23" t="s">
        <v>21</v>
      </c>
      <c r="C23">
        <f>RTD("srv.rtd","","PLAYERSRANKING","WDOZ23","1982","SALDO","QUANTITY")</f>
        <v>-124</v>
      </c>
      <c r="D23">
        <f>RTD("srv.rtd","","PLAYERSRANKING","WDOZ23","1982","SALDO","VOLQ")</f>
        <v>-374</v>
      </c>
      <c r="E23">
        <f>RTD("srv.rtd","","PLAYERSRANKING","WDOZ23","1982","SALDO","VOLFWITHFACTOR")</f>
        <v>-18336785</v>
      </c>
      <c r="F23">
        <f>RTD("srv.rtd","","PLAYERSRANKING","WDOZ23","1982","SALDO","AVG_PRICE")</f>
        <v>4906.12925515796</v>
      </c>
      <c r="G23">
        <f>RTD("srv.rtd","","PLAYERSRANKING","WDOZ23","1982","SALDO","AVG_PRICE_2")</f>
        <v>4902.8836898395703</v>
      </c>
    </row>
    <row r="24" spans="1:7" x14ac:dyDescent="0.25">
      <c r="A24">
        <v>23</v>
      </c>
      <c r="B24" t="s">
        <v>27</v>
      </c>
      <c r="C24">
        <f>RTD("srv.rtd","","PLAYERSRANKING","WDOZ23","1130","SALDO","QUANTITY")</f>
        <v>-4</v>
      </c>
      <c r="D24">
        <f>RTD("srv.rtd","","PLAYERSRANKING","WDOZ23","1130","SALDO","VOLQ")</f>
        <v>83</v>
      </c>
      <c r="E24">
        <f>RTD("srv.rtd","","PLAYERSRANKING","WDOZ23","1130","SALDO","VOLFWITHFACTOR")</f>
        <v>4059125</v>
      </c>
      <c r="F24">
        <f>RTD("srv.rtd","","PLAYERSRANKING","WDOZ23","1130","SALDO","AVG_PRICE")</f>
        <v>4889.6367521367501</v>
      </c>
      <c r="G24">
        <f>RTD("srv.rtd","","PLAYERSRANKING","WDOZ23","1130","SALDO","AVG_PRICE_2")</f>
        <v>4890.5120481927697</v>
      </c>
    </row>
    <row r="25" spans="1:7" x14ac:dyDescent="0.25">
      <c r="A25">
        <v>24</v>
      </c>
      <c r="B25" t="s">
        <v>30</v>
      </c>
      <c r="C25">
        <f>RTD("srv.rtd","","PLAYERSRANKING","WDOZ23","45","SALDO","QUANTITY")</f>
        <v>1190</v>
      </c>
      <c r="D25">
        <f>RTD("srv.rtd","","PLAYERSRANKING","WDOZ23","45","SALDO","VOLQ")</f>
        <v>46</v>
      </c>
      <c r="E25">
        <f>RTD("srv.rtd","","PLAYERSRANKING","WDOZ23","45","SALDO","VOLFWITHFACTOR")</f>
        <v>2548360</v>
      </c>
      <c r="F25">
        <f>RTD("srv.rtd","","PLAYERSRANKING","WDOZ23","45","SALDO","AVG_PRICE")</f>
        <v>4910.9523573201004</v>
      </c>
      <c r="G25">
        <f>RTD("srv.rtd","","PLAYERSRANKING","WDOZ23","45","SALDO","AVG_PRICE_2")</f>
        <v>5539.9130434782601</v>
      </c>
    </row>
    <row r="26" spans="1:7" x14ac:dyDescent="0.25">
      <c r="A26">
        <v>25</v>
      </c>
      <c r="B26" t="s">
        <v>28</v>
      </c>
      <c r="C26">
        <f>RTD("srv.rtd","","PLAYERSRANKING","WDOZ23","735","SALDO","QUANTITY")</f>
        <v>17</v>
      </c>
      <c r="D26">
        <f>RTD("srv.rtd","","PLAYERSRANKING","WDOZ23","735","SALDO","VOLQ")</f>
        <v>-10</v>
      </c>
      <c r="E26">
        <f>RTD("srv.rtd","","PLAYERSRANKING","WDOZ23","735","SALDO","VOLFWITHFACTOR")</f>
        <v>-492940</v>
      </c>
      <c r="F26">
        <f>RTD("srv.rtd","","PLAYERSRANKING","WDOZ23","735","SALDO","AVG_PRICE")</f>
        <v>4903.04432624113</v>
      </c>
      <c r="G26">
        <f>RTD("srv.rtd","","PLAYERSRANKING","WDOZ23","735","SALDO","AVG_PRICE_2")</f>
        <v>4929.3999999999996</v>
      </c>
    </row>
    <row r="27" spans="1:7" x14ac:dyDescent="0.25">
      <c r="A27">
        <v>26</v>
      </c>
      <c r="B27" t="s">
        <v>31</v>
      </c>
      <c r="C27">
        <f>RTD("srv.rtd","","PLAYERSRANKING","WDOZ23","4090","SALDO","QUANTITY")</f>
        <v>275</v>
      </c>
      <c r="D27">
        <f>RTD("srv.rtd","","PLAYERSRANKING","WDOZ23","4090","SALDO","VOLQ")</f>
        <v>-298</v>
      </c>
      <c r="E27">
        <f>RTD("srv.rtd","","PLAYERSRANKING","WDOZ23","4090","SALDO","VOLFWITHFACTOR")</f>
        <v>-14870295</v>
      </c>
      <c r="F27">
        <f>RTD("srv.rtd","","PLAYERSRANKING","WDOZ23","4090","SALDO","AVG_PRICE")</f>
        <v>4903.7858606217897</v>
      </c>
      <c r="G27">
        <f>RTD("srv.rtd","","PLAYERSRANKING","WDOZ23","4090","SALDO","AVG_PRICE_2")</f>
        <v>4990.0318791946302</v>
      </c>
    </row>
    <row r="28" spans="1:7" x14ac:dyDescent="0.25">
      <c r="A28">
        <v>27</v>
      </c>
      <c r="B28" t="s">
        <v>32</v>
      </c>
      <c r="C28">
        <f>RTD("srv.rtd","","PLAYERSRANKING","WDOZ23","147","SALDO","QUANTITY")</f>
        <v>355</v>
      </c>
      <c r="D28">
        <f>RTD("srv.rtd","","PLAYERSRANKING","WDOZ23","147","SALDO","VOLQ")</f>
        <v>-619</v>
      </c>
      <c r="E28">
        <f>RTD("srv.rtd","","PLAYERSRANKING","WDOZ23","147","SALDO","VOLFWITHFACTOR")</f>
        <v>-29334470</v>
      </c>
      <c r="F28">
        <f>RTD("srv.rtd","","PLAYERSRANKING","WDOZ23","147","SALDO","AVG_PRICE")</f>
        <v>4899.73042051636</v>
      </c>
      <c r="G28">
        <f>RTD("srv.rtd","","PLAYERSRANKING","WDOZ23","147","SALDO","AVG_PRICE_2")</f>
        <v>4739.00969305331</v>
      </c>
    </row>
    <row r="29" spans="1:7" x14ac:dyDescent="0.25">
      <c r="A29">
        <v>28</v>
      </c>
      <c r="B29" t="s">
        <v>33</v>
      </c>
      <c r="C29">
        <f>RTD("srv.rtd","","PLAYERSRANKING","WDOZ23","92","SALDO","QUANTITY")</f>
        <v>-5</v>
      </c>
      <c r="D29">
        <f>RTD("srv.rtd","","PLAYERSRANKING","WDOZ23","92","SALDO","VOLQ")</f>
        <v>1267</v>
      </c>
      <c r="E29">
        <f>RTD("srv.rtd","","PLAYERSRANKING","WDOZ23","92","SALDO","VOLFWITHFACTOR")</f>
        <v>61514800</v>
      </c>
      <c r="F29">
        <f>RTD("srv.rtd","","PLAYERSRANKING","WDOZ23","92","SALDO","AVG_PRICE")</f>
        <v>4904.3537595710304</v>
      </c>
      <c r="G29">
        <f>RTD("srv.rtd","","PLAYERSRANKING","WDOZ23","92","SALDO","AVG_PRICE_2")</f>
        <v>4855.1539068666098</v>
      </c>
    </row>
    <row r="30" spans="1:7" x14ac:dyDescent="0.25">
      <c r="A30">
        <v>29</v>
      </c>
      <c r="B30" t="s">
        <v>35</v>
      </c>
      <c r="C30">
        <f>RTD("srv.rtd","","PLAYERSRANKING","WDOZ23","114","SALDO","QUANTITY")</f>
        <v>244</v>
      </c>
      <c r="D30">
        <f>RTD("srv.rtd","","PLAYERSRANKING","WDOZ23","114","SALDO","VOLQ")</f>
        <v>4754</v>
      </c>
      <c r="E30">
        <f>RTD("srv.rtd","","PLAYERSRANKING","WDOZ23","114","SALDO","VOLFWITHFACTOR")</f>
        <v>236433630</v>
      </c>
      <c r="F30">
        <f>RTD("srv.rtd","","PLAYERSRANKING","WDOZ23","114","SALDO","AVG_PRICE")</f>
        <v>4909.8110037548104</v>
      </c>
      <c r="G30">
        <f>RTD("srv.rtd","","PLAYERSRANKING","WDOZ23","114","SALDO","AVG_PRICE_2")</f>
        <v>4973.36201093816</v>
      </c>
    </row>
    <row r="31" spans="1:7" x14ac:dyDescent="0.25">
      <c r="A31">
        <v>30</v>
      </c>
      <c r="B31" t="s">
        <v>38</v>
      </c>
      <c r="C31">
        <f>RTD("srv.rtd","","PLAYERSRANKING","WDOZ23","23","SALDO","QUANTITY")</f>
        <v>-558</v>
      </c>
      <c r="D31">
        <f>RTD("srv.rtd","","PLAYERSRANKING","WDOZ23","23","SALDO","VOLQ")</f>
        <v>-5890</v>
      </c>
      <c r="E31">
        <f>RTD("srv.rtd","","PLAYERSRANKING","WDOZ23","23","SALDO","VOLFWITHFACTOR")</f>
        <v>-289475210</v>
      </c>
      <c r="F31">
        <f>RTD("srv.rtd","","PLAYERSRANKING","WDOZ23","23","SALDO","AVG_PRICE")</f>
        <v>4910.2245938196902</v>
      </c>
      <c r="G31">
        <f>RTD("srv.rtd","","PLAYERSRANKING","WDOZ23","23","SALDO","AVG_PRICE_2")</f>
        <v>4914.6894736842096</v>
      </c>
    </row>
    <row r="32" spans="1:7" x14ac:dyDescent="0.25">
      <c r="A32">
        <v>31</v>
      </c>
      <c r="B32" t="s">
        <v>36</v>
      </c>
      <c r="C32">
        <f>RTD("srv.rtd","","PLAYERSRANKING","WDOZ23","16","SALDO","QUANTITY")</f>
        <v>1454</v>
      </c>
      <c r="D32">
        <f>RTD("srv.rtd","","PLAYERSRANKING","WDOZ23","16","SALDO","VOLQ")</f>
        <v>8667</v>
      </c>
      <c r="E32">
        <f>RTD("srv.rtd","","PLAYERSRANKING","WDOZ23","16","SALDO","VOLFWITHFACTOR")</f>
        <v>425932255</v>
      </c>
      <c r="F32">
        <f>RTD("srv.rtd","","PLAYERSRANKING","WDOZ23","16","SALDO","AVG_PRICE")</f>
        <v>4905.1949695015901</v>
      </c>
      <c r="G32">
        <f>RTD("srv.rtd","","PLAYERSRANKING","WDOZ23","16","SALDO","AVG_PRICE_2")</f>
        <v>4914.4139263874504</v>
      </c>
    </row>
    <row r="33" spans="1:7" x14ac:dyDescent="0.25">
      <c r="A33">
        <v>32</v>
      </c>
      <c r="B33" t="s">
        <v>34</v>
      </c>
      <c r="C33">
        <f>RTD("srv.rtd","","PLAYERSRANKING","WDOZ23","8","SALDO","QUANTITY")</f>
        <v>537</v>
      </c>
      <c r="D33">
        <f>RTD("srv.rtd","","PLAYERSRANKING","WDOZ23","8","SALDO","VOLQ")</f>
        <v>15125</v>
      </c>
      <c r="E33">
        <f>RTD("srv.rtd","","PLAYERSRANKING","WDOZ23","8","SALDO","VOLFWITHFACTOR")</f>
        <v>743601175</v>
      </c>
      <c r="F33">
        <f>RTD("srv.rtd","","PLAYERSRANKING","WDOZ23","8","SALDO","AVG_PRICE")</f>
        <v>4905.0166022838202</v>
      </c>
      <c r="G33">
        <f>RTD("srv.rtd","","PLAYERSRANKING","WDOZ23","8","SALDO","AVG_PRICE_2")</f>
        <v>4916.3714049586797</v>
      </c>
    </row>
    <row r="34" spans="1:7" x14ac:dyDescent="0.25">
      <c r="A34">
        <v>33</v>
      </c>
      <c r="B34" t="s">
        <v>39</v>
      </c>
      <c r="C34">
        <f>RTD("srv.rtd","","PLAYERSRANKING","WDOZ23","122","SALDO","QUANTITY")</f>
        <v>1938</v>
      </c>
      <c r="D34">
        <f>RTD("srv.rtd","","PLAYERSRANKING","WDOZ23","122","SALDO","VOLQ")</f>
        <v>6910</v>
      </c>
      <c r="E34">
        <f>RTD("srv.rtd","","PLAYERSRANKING","WDOZ23","122","SALDO","VOLFWITHFACTOR")</f>
        <v>338981905</v>
      </c>
      <c r="F34">
        <f>RTD("srv.rtd","","PLAYERSRANKING","WDOZ23","122","SALDO","AVG_PRICE")</f>
        <v>4910.1630793199402</v>
      </c>
      <c r="G34">
        <f>RTD("srv.rtd","","PLAYERSRANKING","WDOZ23","122","SALDO","AVG_PRICE_2")</f>
        <v>4905.6715629522396</v>
      </c>
    </row>
    <row r="35" spans="1:7" x14ac:dyDescent="0.25">
      <c r="A35">
        <v>34</v>
      </c>
      <c r="B35" t="s">
        <v>37</v>
      </c>
      <c r="C35">
        <f>RTD("srv.rtd","","PLAYERSRANKING","WDOZ23","3","SALDO","QUANTITY")</f>
        <v>-2792</v>
      </c>
      <c r="D35">
        <f>RTD("srv.rtd","","PLAYERSRANKING","WDOZ23","3","SALDO","VOLQ")</f>
        <v>-13854</v>
      </c>
      <c r="E35">
        <f>RTD("srv.rtd","","PLAYERSRANKING","WDOZ23","3","SALDO","VOLFWITHFACTOR")</f>
        <v>-681320545</v>
      </c>
      <c r="F35">
        <f>RTD("srv.rtd","","PLAYERSRANKING","WDOZ23","3","SALDO","AVG_PRICE")</f>
        <v>4905.1137988780702</v>
      </c>
      <c r="G35">
        <f>RTD("srv.rtd","","PLAYERSRANKING","WDOZ23","3","SALDO","AVG_PRICE_2")</f>
        <v>4917.8615923199104</v>
      </c>
    </row>
    <row r="36" spans="1:7" x14ac:dyDescent="0.25">
      <c r="A36">
        <v>35</v>
      </c>
      <c r="B36" t="s">
        <v>41</v>
      </c>
      <c r="C36">
        <f>RTD("srv.rtd","","PLAYERSRANKING","WDOZ23","40","SALDO","QUANTITY")</f>
        <v>607</v>
      </c>
      <c r="D36">
        <f>RTD("srv.rtd","","PLAYERSRANKING","WDOZ23","40","SALDO","VOLQ")</f>
        <v>-1658</v>
      </c>
      <c r="E36">
        <f>RTD("srv.rtd","","PLAYERSRANKING","WDOZ23","40","SALDO","VOLFWITHFACTOR")</f>
        <v>-81526130</v>
      </c>
      <c r="F36">
        <f>RTD("srv.rtd","","PLAYERSRANKING","WDOZ23","40","SALDO","AVG_PRICE")</f>
        <v>4903.27828333462</v>
      </c>
      <c r="G36">
        <f>RTD("srv.rtd","","PLAYERSRANKING","WDOZ23","40","SALDO","AVG_PRICE_2")</f>
        <v>4917.1369119420997</v>
      </c>
    </row>
    <row r="37" spans="1:7" x14ac:dyDescent="0.25">
      <c r="A37">
        <v>36</v>
      </c>
      <c r="B37" t="s">
        <v>42</v>
      </c>
      <c r="C37">
        <f>RTD("srv.rtd","","PLAYERSRANKING","WDOZ23","238","SALDO","QUANTITY")</f>
        <v>-218</v>
      </c>
      <c r="D37">
        <f>RTD("srv.rtd","","PLAYERSRANKING","WDOZ23","238","SALDO","VOLQ")</f>
        <v>-2308</v>
      </c>
      <c r="E37">
        <f>RTD("srv.rtd","","PLAYERSRANKING","WDOZ23","238","SALDO","VOLFWITHFACTOR")</f>
        <v>-111754850</v>
      </c>
      <c r="F37">
        <f>RTD("srv.rtd","","PLAYERSRANKING","WDOZ23","238","SALDO","AVG_PRICE")</f>
        <v>4903.2146709277904</v>
      </c>
      <c r="G37">
        <f>RTD("srv.rtd","","PLAYERSRANKING","WDOZ23","238","SALDO","AVG_PRICE_2")</f>
        <v>4842.0645580589298</v>
      </c>
    </row>
    <row r="38" spans="1:7" x14ac:dyDescent="0.25">
      <c r="A38">
        <v>37</v>
      </c>
      <c r="B38" t="s">
        <v>40</v>
      </c>
      <c r="C38">
        <f>RTD("srv.rtd","","PLAYERSRANKING","WDOZ23","127","SALDO","QUANTITY")</f>
        <v>-2529</v>
      </c>
      <c r="D38">
        <f>RTD("srv.rtd","","PLAYERSRANKING","WDOZ23","127","SALDO","VOLQ")</f>
        <v>-10554</v>
      </c>
      <c r="E38">
        <f>RTD("srv.rtd","","PLAYERSRANKING","WDOZ23","127","SALDO","VOLFWITHFACTOR")</f>
        <v>-517727010</v>
      </c>
      <c r="F38">
        <f>RTD("srv.rtd","","PLAYERSRANKING","WDOZ23","127","SALDO","AVG_PRICE")</f>
        <v>4902.8853798965001</v>
      </c>
      <c r="G38">
        <f>RTD("srv.rtd","","PLAYERSRANKING","WDOZ23","127","SALDO","AVG_PRICE_2")</f>
        <v>4905.5051165434897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EB5D-04B6-4809-962F-2161724516F5}">
  <dimension ref="A1:K26"/>
  <sheetViews>
    <sheetView tabSelected="1" workbookViewId="0">
      <selection activeCell="B6" sqref="B6"/>
    </sheetView>
  </sheetViews>
  <sheetFormatPr defaultRowHeight="15" x14ac:dyDescent="0.25"/>
  <cols>
    <col min="1" max="1" width="16.5703125" bestFit="1" customWidth="1"/>
    <col min="2" max="2" width="14.5703125" bestFit="1" customWidth="1"/>
    <col min="4" max="4" width="14" bestFit="1" customWidth="1"/>
    <col min="5" max="5" width="13.5703125" bestFit="1" customWidth="1"/>
    <col min="7" max="7" width="17.5703125" bestFit="1" customWidth="1"/>
    <col min="8" max="8" width="13.85546875" bestFit="1" customWidth="1"/>
    <col min="10" max="10" width="10.7109375" bestFit="1" customWidth="1"/>
    <col min="11" max="11" width="13.5703125" bestFit="1" customWidth="1"/>
  </cols>
  <sheetData>
    <row r="1" spans="1:11" x14ac:dyDescent="0.25">
      <c r="A1" s="1" t="s">
        <v>53</v>
      </c>
      <c r="B1" s="1"/>
      <c r="D1" s="1" t="s">
        <v>54</v>
      </c>
      <c r="E1" s="1"/>
      <c r="G1" s="1" t="s">
        <v>55</v>
      </c>
      <c r="H1" s="1"/>
      <c r="J1" s="1" t="s">
        <v>56</v>
      </c>
      <c r="K1" s="1"/>
    </row>
    <row r="2" spans="1:11" x14ac:dyDescent="0.25">
      <c r="A2" s="2" t="s">
        <v>57</v>
      </c>
      <c r="B2" s="3" t="s">
        <v>58</v>
      </c>
      <c r="D2" s="2" t="s">
        <v>57</v>
      </c>
      <c r="E2" s="3" t="s">
        <v>58</v>
      </c>
      <c r="G2" s="2" t="s">
        <v>57</v>
      </c>
      <c r="H2" s="3" t="s">
        <v>58</v>
      </c>
      <c r="J2" s="2" t="s">
        <v>57</v>
      </c>
      <c r="K2" s="3" t="s">
        <v>58</v>
      </c>
    </row>
    <row r="3" spans="1:11" x14ac:dyDescent="0.25">
      <c r="A3" s="4" t="s">
        <v>14</v>
      </c>
      <c r="B3" s="5">
        <f>RTD("srv.rtd","","PLAYERSRANKING","WDOZ23","85","SALDO","VOLFWITHFACTOR")*10</f>
        <v>-10875526200</v>
      </c>
      <c r="D3" s="4" t="s">
        <v>19</v>
      </c>
      <c r="E3" s="5">
        <f>RTD("srv.rtd","","PLAYERSRANKING","WDOZ23","39","SALDO","VOLFWITHFACTOR")*10</f>
        <v>121495650</v>
      </c>
      <c r="G3" s="4" t="s">
        <v>36</v>
      </c>
      <c r="H3" s="5">
        <f>RTD("srv.rtd","","PLAYERSRANKING","WDOZ23","16","SALDO","VOLFWITHFACTOR")*10</f>
        <v>4259322550</v>
      </c>
      <c r="J3" s="4" t="s">
        <v>38</v>
      </c>
      <c r="K3" s="5">
        <f>RTD("srv.rtd","","PLAYERSRANKING","WDOZ23","23","SALDO","VOLFWITHFACTOR")*10</f>
        <v>-2894752100</v>
      </c>
    </row>
    <row r="4" spans="1:11" x14ac:dyDescent="0.25">
      <c r="A4" s="4" t="s">
        <v>30</v>
      </c>
      <c r="B4" s="5">
        <f>RTD("srv.rtd","","PLAYERSRANKING","WDOZ23","45","SALDO","VOLFWITHFACTOR")*10</f>
        <v>25483600</v>
      </c>
      <c r="D4" s="4" t="s">
        <v>32</v>
      </c>
      <c r="E4" s="5">
        <f>RTD("srv.rtd","","PLAYERSRANKING","WDOZ23","147","SALDO","VOLFWITHFACTOR")*10</f>
        <v>-293344700</v>
      </c>
      <c r="G4" s="4" t="s">
        <v>41</v>
      </c>
      <c r="H4" s="5">
        <f>RTD("srv.rtd","","PLAYERSRANKING","WDOZ23","40","SALDO","VOLFWITHFACTOR")*10</f>
        <v>-815261300</v>
      </c>
      <c r="J4" s="4" t="s">
        <v>16</v>
      </c>
      <c r="K4" s="5">
        <f>RTD("srv.rtd","","PLAYERSRANKING","WDOZ23","262","SALDO","VOLFWITHFACTOR")*10</f>
        <v>-54528100</v>
      </c>
    </row>
    <row r="5" spans="1:11" x14ac:dyDescent="0.25">
      <c r="A5" s="4" t="s">
        <v>42</v>
      </c>
      <c r="B5" s="5">
        <f>RTD("srv.rtd","","PLAYERSRANKING","WDOZ23","238","SALDO","VOLFWITHFACTOR")*10</f>
        <v>-1117548500</v>
      </c>
      <c r="D5" s="4" t="s">
        <v>15</v>
      </c>
      <c r="E5" s="5">
        <f>RTD("srv.rtd","","PLAYERSRANKING","WDOZ23","308","SALDO","VOLFWITHFACTOR")*10</f>
        <v>-170227650</v>
      </c>
      <c r="G5" s="4" t="s">
        <v>28</v>
      </c>
      <c r="H5" s="5">
        <f>RTD("srv.rtd","","PLAYERSRANKING","WDOZ23","735","SALDO","VOLFWITHFACTOR")*10</f>
        <v>-4929400</v>
      </c>
      <c r="J5" s="4" t="s">
        <v>20</v>
      </c>
      <c r="K5" s="5">
        <f>RTD("srv.rtd","","PLAYERSRANKING","WDOZ23","115","SALDO","VOLFWITHFACTOR")*10</f>
        <v>-21537600</v>
      </c>
    </row>
    <row r="6" spans="1:11" x14ac:dyDescent="0.25">
      <c r="A6" s="4" t="s">
        <v>35</v>
      </c>
      <c r="B6" s="5">
        <f>RTD("srv.rtd","","PLAYERSRANKING","WDOZ23","114","SALDO","VOLFWITHFACTOR")*10</f>
        <v>2364336300</v>
      </c>
      <c r="D6" s="4" t="s">
        <v>59</v>
      </c>
      <c r="E6" s="5">
        <f>RTD("srv.rtd","","PLAYERSRANKING","WDOZ23","88","SALDO","VOLFWITHFACTOR")*10</f>
        <v>3294984850</v>
      </c>
      <c r="G6" s="4" t="s">
        <v>9</v>
      </c>
      <c r="H6" s="5">
        <f>RTD("srv.rtd","","PLAYERSRANKING","WDOZ23","1618","SALDO","VOLFWITHFACTOR")*10</f>
        <v>1417921400</v>
      </c>
      <c r="J6" s="4" t="s">
        <v>17</v>
      </c>
      <c r="K6" s="5">
        <f>RTD("srv.rtd","","PLAYERSRANKING","WDOZ23","746","SALDO","VOLFWITHFACTOR")*10</f>
        <v>291724750</v>
      </c>
    </row>
    <row r="7" spans="1:11" x14ac:dyDescent="0.25">
      <c r="A7" s="4" t="s">
        <v>36</v>
      </c>
      <c r="B7" s="5">
        <f>RTD("srv.rtd","","PLAYERSRANKING","WDOZ23","16","SALDO","VOLFWITHFACTOR")*10</f>
        <v>4259322550</v>
      </c>
      <c r="D7" s="4" t="s">
        <v>23</v>
      </c>
      <c r="E7" s="5">
        <f>RTD("srv.rtd","","PLAYERSRANKING","WDOZ23","90","SALDO","VOLFWITHFACTOR")*10</f>
        <v>-18430650</v>
      </c>
      <c r="G7" s="4" t="s">
        <v>40</v>
      </c>
      <c r="H7" s="5">
        <f>RTD("srv.rtd","","PLAYERSRANKING","WDOZ23","127","SALDO","VOLFWITHFACTOR")*10</f>
        <v>-5177270100</v>
      </c>
      <c r="J7" s="4" t="s">
        <v>27</v>
      </c>
      <c r="K7" s="5">
        <f>RTD("srv.rtd","","PLAYERSRANKING","WDOZ23","1130","SALDO","VOLFWITHFACTOR")*10</f>
        <v>40591250</v>
      </c>
    </row>
    <row r="8" spans="1:11" x14ac:dyDescent="0.25">
      <c r="A8" s="4" t="s">
        <v>11</v>
      </c>
      <c r="B8" s="5">
        <f>RTD("srv.rtd","","PLAYERSRANKING","WDOZ23","27","SALDO","VOLFWITHFACTOR")*10</f>
        <v>5912695350</v>
      </c>
      <c r="D8" s="4" t="s">
        <v>12</v>
      </c>
      <c r="E8" s="5">
        <f>RTD("srv.rtd","","PLAYERSRANKING","WDOZ23","120","SALDO","VOLFWITHFACTOR")*10</f>
        <v>-655837600</v>
      </c>
      <c r="G8" s="4" t="s">
        <v>24</v>
      </c>
      <c r="H8" s="5">
        <f>RTD("srv.rtd","","PLAYERSRANKING","WDOZ23","190","SALDO","VOLFWITHFACTOR")*10</f>
        <v>-92117450</v>
      </c>
      <c r="K8" s="6"/>
    </row>
    <row r="9" spans="1:11" x14ac:dyDescent="0.25">
      <c r="A9" s="4" t="s">
        <v>37</v>
      </c>
      <c r="B9" s="5">
        <f>RTD("srv.rtd","","PLAYERSRANKING","WDOZ23","3","SALDO","VOLFWITHFACTOR")*10</f>
        <v>-6813205450</v>
      </c>
      <c r="D9" s="4" t="s">
        <v>13</v>
      </c>
      <c r="E9" s="5">
        <f>RTD("srv.rtd","","PLAYERSRANKING","WDOZ23","15","SALDO","VOLFWITHFACTOR")*10</f>
        <v>22551550</v>
      </c>
      <c r="G9" s="4" t="s">
        <v>30</v>
      </c>
      <c r="H9" s="5">
        <f>RTD("srv.rtd","","PLAYERSRANKING","WDOZ23","45","SALDO","VOLFWITHFACTOR")*10</f>
        <v>25483600</v>
      </c>
      <c r="K9" s="6"/>
    </row>
    <row r="10" spans="1:11" x14ac:dyDescent="0.25">
      <c r="A10" s="4" t="s">
        <v>10</v>
      </c>
      <c r="B10" s="5">
        <f>RTD("srv.rtd","","PLAYERSRANKING","WDOZ23","72","SALDO","VOLFWITHFACTOR")*10</f>
        <v>-288131350</v>
      </c>
      <c r="D10" s="4" t="s">
        <v>21</v>
      </c>
      <c r="E10" s="5">
        <f>RTD("srv.rtd","","PLAYERSRANKING","WDOZ23","1982","SALDO","VOLFWITHFACTOR")*10</f>
        <v>-183367850</v>
      </c>
      <c r="G10" s="4" t="s">
        <v>42</v>
      </c>
      <c r="H10" s="5">
        <f>RTD("srv.rtd","","PLAYERSRANKING","WDOZ23","238","SALDO","VOLFWITHFACTOR")*10</f>
        <v>-1117548500</v>
      </c>
      <c r="K10" s="6"/>
    </row>
    <row r="11" spans="1:11" x14ac:dyDescent="0.25">
      <c r="A11" s="4" t="s">
        <v>40</v>
      </c>
      <c r="B11" s="5">
        <f>RTD("srv.rtd","","PLAYERSRANKING","WDOZ23","127","SALDO","VOLFWITHFACTOR")*10</f>
        <v>-5177270100</v>
      </c>
      <c r="D11" s="4" t="s">
        <v>60</v>
      </c>
      <c r="E11" s="5">
        <f>RTD("srv.rtd","","PLAYERSRANKING","WDOZ23","93","SALDO","VOLFWITHFACTOR")*10</f>
        <v>2286256400</v>
      </c>
      <c r="G11" s="4" t="s">
        <v>34</v>
      </c>
      <c r="H11" s="5">
        <f>RTD("srv.rtd","","PLAYERSRANKING","WDOZ23","8","SALDO","VOLFWITHFACTOR")*10</f>
        <v>7436011750</v>
      </c>
      <c r="K11" s="6"/>
    </row>
    <row r="12" spans="1:11" x14ac:dyDescent="0.25">
      <c r="A12" s="4" t="s">
        <v>61</v>
      </c>
      <c r="B12" s="5">
        <f>RTD("srv.rtd","","PLAYERSRANKING","WDOZ23","6003","SALDO","VOLFWITHFACTOR")*10</f>
        <v>859177750</v>
      </c>
      <c r="D12" s="4" t="s">
        <v>18</v>
      </c>
      <c r="E12" s="5">
        <f>RTD("srv.rtd","","PLAYERSRANKING","WDOZ23","3701","SALDO","VOLFWITHFACTOR")*10</f>
        <v>-189274500</v>
      </c>
      <c r="G12" s="4" t="s">
        <v>39</v>
      </c>
      <c r="H12" s="5">
        <f>RTD("srv.rtd","","PLAYERSRANKING","WDOZ23","122","SALDO","VOLFWITHFACTOR")*10</f>
        <v>3389819050</v>
      </c>
      <c r="K12" s="6"/>
    </row>
    <row r="13" spans="1:11" x14ac:dyDescent="0.25">
      <c r="A13" s="4" t="s">
        <v>22</v>
      </c>
      <c r="B13" s="5">
        <f>RTD("srv.rtd","","PLAYERSRANKING","WDOZ23","59","SALDO","VOLFWITHFACTOR")*10</f>
        <v>-18293750</v>
      </c>
      <c r="D13" s="4" t="s">
        <v>29</v>
      </c>
      <c r="E13" s="5">
        <f>RTD("srv.rtd","","PLAYERSRANKING","WDOZ23","107","SALDO","VOLFWITHFACTOR")*10</f>
        <v>-950135150</v>
      </c>
      <c r="G13" s="4" t="s">
        <v>33</v>
      </c>
      <c r="H13" s="5">
        <f>RTD("srv.rtd","","PLAYERSRANKING","WDOZ23","92","SALDO","VOLFWITHFACTOR")*10</f>
        <v>615148000</v>
      </c>
      <c r="K13" s="6"/>
    </row>
    <row r="14" spans="1:11" x14ac:dyDescent="0.25">
      <c r="A14" s="4" t="s">
        <v>26</v>
      </c>
      <c r="B14" s="5">
        <f>RTD("srv.rtd","","PLAYERSRANKING","WDOZ23","1099","SALDO","VOLFWITHFACTOR")*10</f>
        <v>-853989500</v>
      </c>
      <c r="D14" s="4" t="s">
        <v>31</v>
      </c>
      <c r="E14" s="5">
        <f>RTD("srv.rtd","","PLAYERSRANKING","WDOZ23","4090","SALDO","VOLFWITHFACTOR")*10</f>
        <v>-148702950</v>
      </c>
      <c r="G14" s="4" t="s">
        <v>11</v>
      </c>
      <c r="H14" s="5">
        <f>RTD("srv.rtd","","PLAYERSRANKING","WDOZ23","27","SALDO","VOLFWITHFACTOR")*10</f>
        <v>5912695350</v>
      </c>
      <c r="K14" s="6"/>
    </row>
    <row r="15" spans="1:11" x14ac:dyDescent="0.25">
      <c r="B15" s="6"/>
      <c r="D15" s="4" t="s">
        <v>37</v>
      </c>
      <c r="E15" s="5">
        <f>RTD("srv.rtd","","PLAYERSRANKING","WDOZ23","3","SALDO","VOLFWITHFACTOR")*10</f>
        <v>-6813205450</v>
      </c>
      <c r="H15" s="6"/>
      <c r="K15" s="6"/>
    </row>
    <row r="16" spans="1:11" x14ac:dyDescent="0.25">
      <c r="B16" s="6"/>
      <c r="E16" s="6"/>
      <c r="H16" s="6"/>
      <c r="K16" s="6"/>
    </row>
    <row r="17" spans="1:11" x14ac:dyDescent="0.25">
      <c r="A17" s="4" t="s">
        <v>62</v>
      </c>
      <c r="B17" s="5">
        <f>SUM(B3:B16)</f>
        <v>-11722949300</v>
      </c>
      <c r="D17" s="4" t="s">
        <v>62</v>
      </c>
      <c r="E17" s="5">
        <f>SUM(E3:E16)</f>
        <v>-3697238050</v>
      </c>
      <c r="G17" s="4" t="s">
        <v>62</v>
      </c>
      <c r="H17" s="5">
        <f>SUM(H3:H16)</f>
        <v>15849274950</v>
      </c>
      <c r="J17" s="4" t="s">
        <v>62</v>
      </c>
      <c r="K17" s="5">
        <f>SUM(K3:K16)</f>
        <v>-2638501800</v>
      </c>
    </row>
    <row r="18" spans="1:11" x14ac:dyDescent="0.25">
      <c r="B18" s="6"/>
      <c r="E18" s="6"/>
      <c r="H18" s="6"/>
      <c r="K18" s="6"/>
    </row>
    <row r="19" spans="1:11" x14ac:dyDescent="0.25">
      <c r="B19" s="6"/>
      <c r="E19" s="6"/>
      <c r="H19" s="6"/>
      <c r="K19" s="6"/>
    </row>
    <row r="20" spans="1:11" x14ac:dyDescent="0.25">
      <c r="B20" s="6"/>
      <c r="E20" s="6"/>
      <c r="H20" s="6"/>
      <c r="K20" s="6"/>
    </row>
    <row r="21" spans="1:11" x14ac:dyDescent="0.25">
      <c r="B21" s="6"/>
      <c r="E21" s="6"/>
      <c r="H21" s="6"/>
      <c r="K21" s="6"/>
    </row>
    <row r="22" spans="1:11" x14ac:dyDescent="0.25">
      <c r="B22" s="6"/>
      <c r="E22" s="6"/>
      <c r="H22" s="6"/>
      <c r="K22" s="6"/>
    </row>
    <row r="23" spans="1:11" x14ac:dyDescent="0.25">
      <c r="A23" s="7" t="s">
        <v>53</v>
      </c>
      <c r="B23" s="8">
        <v>2</v>
      </c>
      <c r="C23" s="9" t="str">
        <f>IF(B23&gt;0,"COMPRADOS","VENDIDOS")</f>
        <v>COMPRADOS</v>
      </c>
      <c r="D23" s="10"/>
      <c r="E23" s="6"/>
      <c r="H23" s="6"/>
      <c r="K23" s="6"/>
    </row>
    <row r="24" spans="1:11" x14ac:dyDescent="0.25">
      <c r="A24" s="7" t="s">
        <v>54</v>
      </c>
      <c r="B24" s="8">
        <f>E17</f>
        <v>-3697238050</v>
      </c>
      <c r="C24" s="9" t="str">
        <f t="shared" ref="C24:C26" si="0">IF(B24&gt;0,"COMPRADOS","VENDIDOS")</f>
        <v>VENDIDOS</v>
      </c>
      <c r="D24" s="10"/>
      <c r="E24" s="6"/>
      <c r="H24" s="6"/>
      <c r="K24" s="6"/>
    </row>
    <row r="25" spans="1:11" x14ac:dyDescent="0.25">
      <c r="A25" s="7" t="s">
        <v>55</v>
      </c>
      <c r="B25" s="8">
        <f>H17</f>
        <v>15849274950</v>
      </c>
      <c r="C25" s="9" t="str">
        <f t="shared" si="0"/>
        <v>COMPRADOS</v>
      </c>
      <c r="D25" s="10"/>
      <c r="E25" s="6"/>
      <c r="H25" s="6"/>
      <c r="K25" s="6"/>
    </row>
    <row r="26" spans="1:11" x14ac:dyDescent="0.25">
      <c r="A26" s="7" t="s">
        <v>56</v>
      </c>
      <c r="B26" s="8">
        <f>K17</f>
        <v>-2638501800</v>
      </c>
      <c r="C26" s="9" t="str">
        <f t="shared" si="0"/>
        <v>VENDIDOS</v>
      </c>
      <c r="D26" s="10"/>
      <c r="E26" s="6"/>
      <c r="H26" s="6"/>
      <c r="K26" s="6"/>
    </row>
  </sheetData>
  <mergeCells count="8">
    <mergeCell ref="C25:D25"/>
    <mergeCell ref="C26:D26"/>
    <mergeCell ref="A1:B1"/>
    <mergeCell ref="D1:E1"/>
    <mergeCell ref="G1:H1"/>
    <mergeCell ref="J1:K1"/>
    <mergeCell ref="C23:D23"/>
    <mergeCell ref="C24:D24"/>
  </mergeCells>
  <conditionalFormatting sqref="B3:B14">
    <cfRule type="expression" dxfId="17" priority="15">
      <formula>B3&lt;0</formula>
    </cfRule>
    <cfRule type="expression" dxfId="16" priority="16">
      <formula>B3&gt;0</formula>
    </cfRule>
  </conditionalFormatting>
  <conditionalFormatting sqref="B17">
    <cfRule type="expression" dxfId="15" priority="13">
      <formula>B17&lt;0</formula>
    </cfRule>
    <cfRule type="expression" dxfId="14" priority="14">
      <formula>B17&gt;0</formula>
    </cfRule>
  </conditionalFormatting>
  <conditionalFormatting sqref="C23:D26">
    <cfRule type="expression" dxfId="13" priority="17">
      <formula>B23&lt;0</formula>
    </cfRule>
    <cfRule type="expression" dxfId="12" priority="18">
      <formula>B23&gt;0</formula>
    </cfRule>
  </conditionalFormatting>
  <conditionalFormatting sqref="E3:E15">
    <cfRule type="expression" dxfId="11" priority="5">
      <formula>E3&lt;0</formula>
    </cfRule>
    <cfRule type="expression" dxfId="10" priority="6">
      <formula>E3&gt;0</formula>
    </cfRule>
  </conditionalFormatting>
  <conditionalFormatting sqref="E17">
    <cfRule type="expression" dxfId="9" priority="11">
      <formula>E17&lt;0</formula>
    </cfRule>
    <cfRule type="expression" dxfId="8" priority="12">
      <formula>E17&gt;0</formula>
    </cfRule>
  </conditionalFormatting>
  <conditionalFormatting sqref="H3:H14">
    <cfRule type="expression" dxfId="7" priority="3">
      <formula>H3&lt;0</formula>
    </cfRule>
    <cfRule type="expression" dxfId="6" priority="4">
      <formula>H3&gt;0</formula>
    </cfRule>
  </conditionalFormatting>
  <conditionalFormatting sqref="H17">
    <cfRule type="expression" dxfId="5" priority="9">
      <formula>H17&lt;0</formula>
    </cfRule>
    <cfRule type="expression" dxfId="4" priority="10">
      <formula>H17&gt;0</formula>
    </cfRule>
  </conditionalFormatting>
  <conditionalFormatting sqref="K3:K7">
    <cfRule type="expression" dxfId="3" priority="1">
      <formula>K3&lt;0</formula>
    </cfRule>
    <cfRule type="expression" dxfId="2" priority="2">
      <formula>K3&gt;0</formula>
    </cfRule>
  </conditionalFormatting>
  <conditionalFormatting sqref="K17">
    <cfRule type="expression" dxfId="1" priority="7">
      <formula>K17&lt;0</formula>
    </cfRule>
    <cfRule type="expression" dxfId="0" priority="8">
      <formula>K17&gt;0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...</cp:lastModifiedBy>
  <dcterms:created xsi:type="dcterms:W3CDTF">2015-06-05T18:17:20Z</dcterms:created>
  <dcterms:modified xsi:type="dcterms:W3CDTF">2023-11-09T01:05:17Z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2023-11-02T19:10:50Z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882b784a-4d33-4a8f-a29f-41ecf7e7ec0a</vt:lpwstr>
  </property>
  <property fmtid="{D5CDD505-2E9C-101B-9397-08002B2CF9AE}" pid="7" name="MSIP_Label_defa4170-0d19-0005-0004-bc88714345d2_ActionId">
    <vt:lpwstr>68fdc5a5-2a7e-4fbb-bd71-bb5d58fd9ec0</vt:lpwstr>
  </property>
  <property fmtid="{D5CDD505-2E9C-101B-9397-08002B2CF9AE}" pid="8" name="MSIP_Label_defa4170-0d19-0005-0004-bc88714345d2_ContentBits">
    <vt:lpwstr>0</vt:lpwstr>
  </property>
</Properties>
</file>