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8d2e6b5b813af4a/Área de Trabalho/Projects/Commercial Mortgage Model - OCC/"/>
    </mc:Choice>
  </mc:AlternateContent>
  <xr:revisionPtr revIDLastSave="225" documentId="13_ncr:1_{4B5A18E5-4894-45F2-BFFC-FF0B8ED0CEA2}" xr6:coauthVersionLast="47" xr6:coauthVersionMax="47" xr10:uidLastSave="{46F22AAC-089E-4486-A15B-8DB0919CEC94}"/>
  <workbookProtection workbookAlgorithmName="SHA-512" workbookHashValue="3bHwZU2oTngV69pzElIXz6nXnJ1vSarfv+ENS9YPeic1Mzly7Maswr5YZPrx/Mvi20pbZho9ed4j7r0gl3fn6A==" workbookSaltValue="+KVr+/r3o3ndbI7UKEK9yw==" workbookSpinCount="100000" lockStructure="1"/>
  <bookViews>
    <workbookView xWindow="-120" yWindow="-120" windowWidth="29040" windowHeight="15720" activeTab="4" xr2:uid="{00000000-000D-0000-FFFF-FFFF00000000}"/>
  </bookViews>
  <sheets>
    <sheet name="Cover Page" sheetId="3" r:id="rId1"/>
    <sheet name="Rent Roll" sheetId="1" r:id="rId2"/>
    <sheet name="Analysis" sheetId="6" r:id="rId3"/>
    <sheet name="Risk Rating" sheetId="10" r:id="rId4"/>
    <sheet name="Pricing" sheetId="11" r:id="rId5"/>
    <sheet name="Admin" sheetId="4" r:id="rId6"/>
  </sheets>
  <externalReferences>
    <externalReference r:id="rId7"/>
  </externalReferences>
  <definedNames>
    <definedName name="_xlnm._FilterDatabase" localSheetId="4" hidden="1">Pricing!$A$1:$A$2</definedName>
    <definedName name="Actual_op._exp.">#REF!</definedName>
    <definedName name="Amortization_months">#REF!</definedName>
    <definedName name="Base_Rental_Income">#REF!</definedName>
    <definedName name="CIQWBGuid" hidden="1">"2cd8126d-26c3-430c-b7fa-a069e3a1fc62"</definedName>
    <definedName name="Debt_service_requirement">#REF!</definedName>
    <definedName name="DSCR">#REF!</definedName>
    <definedName name="Effective_Gross_Income">#REF!</definedName>
    <definedName name="Expense_Sub_Total">#REF!</definedName>
    <definedName name="Gross_Incom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4" hidden="1">43412.7003240741</definedName>
    <definedName name="IQ_NAMES_REVISION_DATE_" localSheetId="3" hidden="1">43412.7003240741</definedName>
    <definedName name="IQ_NAMES_REVISION_DATE_" hidden="1">"05/28/2019 19:20:36"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oan_amount">#REF!</definedName>
    <definedName name="Management_fee">#REF!</definedName>
    <definedName name="Management_fee_rate">#REF!</definedName>
    <definedName name="Market_Cap">#REF!</definedName>
    <definedName name="Min._DSCR">#REF!</definedName>
    <definedName name="months_free">'[1]Sensitivity analyses'!$H$43</definedName>
    <definedName name="Net_Operating_Income__NOI">#REF!</definedName>
    <definedName name="NRA_sf">#REF!</definedName>
    <definedName name="Operating_Expenses">#REF!</definedName>
    <definedName name="Other">#REF!</definedName>
    <definedName name="Payments_per_year">#REF!</definedName>
    <definedName name="_xlnm.Print_Area" localSheetId="0">'Cover Page'!$A$1:$L$26</definedName>
    <definedName name="Property_Value___NOI">#REF!</definedName>
    <definedName name="Rate">#REF!</definedName>
    <definedName name="Recoveries">#REF!</definedName>
    <definedName name="Stabilize_op_exp_PSF_assumpt">#REF!</definedName>
    <definedName name="Structural_reserve_1.5">#REF!</definedName>
    <definedName name="Structural_reserve_rate">#REF!</definedName>
    <definedName name="Term">#REF!</definedName>
    <definedName name="Test_rate">#REF!</definedName>
    <definedName name="Vacancy_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0" i="6" l="1"/>
  <c r="B17" i="11"/>
  <c r="D9" i="6"/>
  <c r="D12" i="6" s="1"/>
  <c r="C8" i="10" l="1"/>
  <c r="D8" i="10" s="1" a="1"/>
  <c r="D8" i="10" s="1"/>
  <c r="C7" i="10"/>
  <c r="D7" i="10" s="1" a="1"/>
  <c r="D7" i="10" s="1"/>
  <c r="O16" i="1" l="1"/>
  <c r="O17" i="1"/>
  <c r="O18" i="1"/>
  <c r="O19" i="1"/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B18" i="11" l="1"/>
  <c r="B20" i="11"/>
  <c r="B19" i="11"/>
  <c r="B14" i="11"/>
  <c r="F14" i="11"/>
  <c r="E35" i="6"/>
  <c r="E28" i="6"/>
  <c r="E24" i="6"/>
  <c r="E27" i="6" s="1"/>
  <c r="B15" i="11" l="1"/>
  <c r="F15" i="11"/>
  <c r="H16" i="10"/>
  <c r="G16" i="10" s="1"/>
  <c r="E16" i="10" s="1"/>
  <c r="J23" i="10"/>
  <c r="K17" i="10" l="1"/>
  <c r="D16" i="10"/>
  <c r="C16" i="10" s="1"/>
  <c r="K22" i="10"/>
  <c r="K20" i="10"/>
  <c r="E10" i="10" s="1"/>
  <c r="K21" i="10"/>
  <c r="K18" i="10"/>
  <c r="K19" i="10"/>
  <c r="E7" i="10" s="1"/>
  <c r="E8" i="10" l="1"/>
  <c r="J40" i="6"/>
  <c r="G43" i="6" l="1"/>
  <c r="I42" i="6" l="1"/>
  <c r="O34" i="6"/>
  <c r="I41" i="6" l="1"/>
  <c r="C81" i="6" l="1"/>
  <c r="C82" i="6" s="1"/>
  <c r="C83" i="6" s="1"/>
  <c r="C84" i="6" s="1"/>
  <c r="C85" i="6" s="1"/>
  <c r="C86" i="6" s="1"/>
  <c r="C87" i="6" s="1"/>
  <c r="C88" i="6" s="1"/>
  <c r="G38" i="6"/>
  <c r="G69" i="6"/>
  <c r="G70" i="6" s="1"/>
  <c r="G71" i="6" s="1"/>
  <c r="G72" i="6" s="1"/>
  <c r="G73" i="6" s="1"/>
  <c r="G74" i="6" s="1"/>
  <c r="G75" i="6" s="1"/>
  <c r="G76" i="6" s="1"/>
  <c r="C69" i="6"/>
  <c r="C70" i="6" s="1"/>
  <c r="C71" i="6" s="1"/>
  <c r="C72" i="6" s="1"/>
  <c r="C73" i="6" s="1"/>
  <c r="C74" i="6" s="1"/>
  <c r="C75" i="6" s="1"/>
  <c r="C76" i="6" s="1"/>
  <c r="O37" i="6" l="1"/>
  <c r="N37" i="6"/>
  <c r="I46" i="6"/>
  <c r="J46" i="6" l="1"/>
  <c r="G55" i="6"/>
  <c r="G56" i="6"/>
  <c r="G53" i="6"/>
  <c r="G57" i="6"/>
  <c r="G54" i="6"/>
  <c r="N34" i="6"/>
  <c r="N20" i="1" l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E20" i="1"/>
  <c r="O15" i="1" l="1"/>
  <c r="O14" i="1"/>
  <c r="O13" i="1"/>
  <c r="O9" i="1"/>
  <c r="O8" i="1"/>
  <c r="O6" i="1"/>
  <c r="O7" i="1"/>
  <c r="O5" i="1"/>
  <c r="O10" i="1"/>
  <c r="D57" i="6" s="1"/>
  <c r="O11" i="1"/>
  <c r="O12" i="1"/>
  <c r="K20" i="1"/>
  <c r="J61" i="6"/>
  <c r="D61" i="6"/>
  <c r="H55" i="6"/>
  <c r="D53" i="6"/>
  <c r="H53" i="6"/>
  <c r="H54" i="6"/>
  <c r="H56" i="6"/>
  <c r="H57" i="6"/>
  <c r="C61" i="6" s="1"/>
  <c r="M20" i="1"/>
  <c r="J36" i="6"/>
  <c r="I36" i="6"/>
  <c r="D54" i="6" l="1"/>
  <c r="J34" i="6"/>
  <c r="O20" i="1"/>
  <c r="P19" i="1" s="1"/>
  <c r="D55" i="6"/>
  <c r="J20" i="1"/>
  <c r="I34" i="6"/>
  <c r="I35" i="6"/>
  <c r="J35" i="6"/>
  <c r="L20" i="1"/>
  <c r="D56" i="6"/>
  <c r="J37" i="6" l="1"/>
  <c r="J38" i="6" s="1"/>
  <c r="E55" i="6"/>
  <c r="P15" i="1"/>
  <c r="P9" i="1"/>
  <c r="I53" i="6" s="1"/>
  <c r="J60" i="6"/>
  <c r="C6" i="10" s="1"/>
  <c r="D6" i="10" s="1" a="1"/>
  <c r="D6" i="10" s="1"/>
  <c r="P12" i="1"/>
  <c r="E56" i="6"/>
  <c r="P16" i="1"/>
  <c r="P5" i="1"/>
  <c r="E54" i="6"/>
  <c r="P18" i="1"/>
  <c r="P11" i="1"/>
  <c r="E53" i="6"/>
  <c r="P8" i="1"/>
  <c r="P14" i="1"/>
  <c r="E57" i="6"/>
  <c r="P10" i="1"/>
  <c r="I57" i="6" s="1"/>
  <c r="D60" i="6"/>
  <c r="P13" i="1"/>
  <c r="P7" i="1"/>
  <c r="P6" i="1"/>
  <c r="P17" i="1"/>
  <c r="I37" i="6"/>
  <c r="I38" i="6" s="1"/>
  <c r="I54" i="6" l="1"/>
  <c r="J39" i="6"/>
  <c r="J43" i="6" s="1"/>
  <c r="E61" i="6"/>
  <c r="G61" i="6" s="1"/>
  <c r="H61" i="6" s="1"/>
  <c r="I61" i="6" s="1"/>
  <c r="C60" i="6"/>
  <c r="E60" i="6" s="1"/>
  <c r="G60" i="6" s="1"/>
  <c r="H60" i="6" s="1"/>
  <c r="I60" i="6" s="1"/>
  <c r="J41" i="6"/>
  <c r="J42" i="6"/>
  <c r="I39" i="6"/>
  <c r="I44" i="6" s="1"/>
  <c r="I45" i="6" s="1"/>
  <c r="N35" i="6" s="1"/>
  <c r="N38" i="6" s="1"/>
  <c r="I55" i="6"/>
  <c r="P20" i="1"/>
  <c r="I56" i="6"/>
  <c r="J62" i="6"/>
  <c r="E6" i="10"/>
  <c r="J44" i="6" l="1"/>
  <c r="J45" i="6" s="1"/>
  <c r="J47" i="6" s="1"/>
  <c r="C9" i="10" s="1"/>
  <c r="D9" i="10" s="1" a="1"/>
  <c r="D9" i="10" s="1"/>
  <c r="E9" i="10" s="1"/>
  <c r="D70" i="6"/>
  <c r="E70" i="6" s="1"/>
  <c r="D74" i="6"/>
  <c r="E74" i="6" s="1"/>
  <c r="D75" i="6"/>
  <c r="E75" i="6" s="1"/>
  <c r="D71" i="6"/>
  <c r="E71" i="6" s="1"/>
  <c r="D68" i="6"/>
  <c r="E68" i="6" s="1"/>
  <c r="D69" i="6"/>
  <c r="E69" i="6" s="1"/>
  <c r="N39" i="6"/>
  <c r="N36" i="6"/>
  <c r="I47" i="6"/>
  <c r="D76" i="6"/>
  <c r="E76" i="6" s="1"/>
  <c r="D73" i="6"/>
  <c r="E73" i="6" s="1"/>
  <c r="D72" i="6"/>
  <c r="E72" i="6" s="1"/>
  <c r="C5" i="10"/>
  <c r="D5" i="10" s="1" a="1"/>
  <c r="D5" i="10" s="1"/>
  <c r="E5" i="10" s="1"/>
  <c r="H70" i="6" l="1"/>
  <c r="I70" i="6" s="1"/>
  <c r="D86" i="6"/>
  <c r="E86" i="6" s="1"/>
  <c r="H69" i="6"/>
  <c r="I69" i="6" s="1"/>
  <c r="D81" i="6"/>
  <c r="E81" i="6" s="1"/>
  <c r="D84" i="6"/>
  <c r="E84" i="6" s="1"/>
  <c r="O39" i="6"/>
  <c r="O36" i="6"/>
  <c r="D88" i="6"/>
  <c r="E88" i="6" s="1"/>
  <c r="D80" i="6"/>
  <c r="E80" i="6" s="1"/>
  <c r="D87" i="6"/>
  <c r="E87" i="6" s="1"/>
  <c r="H76" i="6"/>
  <c r="I76" i="6" s="1"/>
  <c r="H75" i="6"/>
  <c r="I75" i="6" s="1"/>
  <c r="H68" i="6"/>
  <c r="I68" i="6" s="1"/>
  <c r="D85" i="6"/>
  <c r="E85" i="6" s="1"/>
  <c r="H71" i="6"/>
  <c r="I71" i="6" s="1"/>
  <c r="H74" i="6"/>
  <c r="I74" i="6" s="1"/>
  <c r="D82" i="6"/>
  <c r="E82" i="6" s="1"/>
  <c r="H72" i="6"/>
  <c r="I72" i="6" s="1"/>
  <c r="O35" i="6"/>
  <c r="O38" i="6" s="1"/>
  <c r="B22" i="11" s="1"/>
  <c r="D83" i="6"/>
  <c r="E83" i="6" s="1"/>
  <c r="H73" i="6"/>
  <c r="I73" i="6" s="1"/>
  <c r="E11" i="10"/>
  <c r="B10" i="11" l="1"/>
  <c r="B21" i="11"/>
  <c r="B23" i="11" s="1"/>
  <c r="F16" i="11"/>
  <c r="F17" i="11" s="1"/>
  <c r="E12" i="10"/>
  <c r="B5" i="11" s="1"/>
  <c r="B16" i="11"/>
  <c r="F23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L4" authorId="0" shapeId="0" xr:uid="{707FFDD1-F8D9-45C4-B4F3-418EF79CB104}">
      <text>
        <r>
          <rPr>
            <sz val="9"/>
            <color rgb="FF000000"/>
            <rFont val="Tahoma"/>
            <family val="2"/>
          </rPr>
          <t>Expenses paid for by the tenant (e.g. maintenance, insurance, property taxes).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I52" authorId="0" shapeId="0" xr:uid="{6EF7562E-962B-4BEE-95B6-86E7D44900E6}">
      <text>
        <r>
          <rPr>
            <sz val="9"/>
            <color rgb="FF000000"/>
            <rFont val="Tahoma"/>
            <family val="2"/>
          </rPr>
          <t xml:space="preserve">Calculated using % of revenue.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B17" authorId="0" shapeId="0" xr:uid="{349C6439-E9A2-4E05-864A-4A9200360085}">
      <text>
        <r>
          <rPr>
            <sz val="9"/>
            <color rgb="FF000000"/>
            <rFont val="Tahoma"/>
            <family val="2"/>
          </rPr>
          <t xml:space="preserve">Based on a weighted average of tenant type and tenant quality scores.
</t>
        </r>
      </text>
    </comment>
    <comment ref="B18" authorId="0" shapeId="0" xr:uid="{991D5DBB-B03D-469E-8551-5CAFD54514E8}">
      <text>
        <r>
          <rPr>
            <sz val="9"/>
            <color rgb="FF000000"/>
            <rFont val="Tahoma"/>
            <family val="2"/>
          </rPr>
          <t>Based on % of tenants with leases expiring after 5 years.</t>
        </r>
      </text>
    </comment>
    <comment ref="B19" authorId="0" shapeId="0" xr:uid="{341B7874-2C68-423E-94A3-569C5FBC9EB4}">
      <text>
        <r>
          <rPr>
            <sz val="9"/>
            <color rgb="FF000000"/>
            <rFont val="Tahoma"/>
            <family val="2"/>
          </rPr>
          <t>Based on level of deferred building maintenance.</t>
        </r>
      </text>
    </comment>
    <comment ref="B20" authorId="0" shapeId="0" xr:uid="{AA42850F-4AAB-47BD-AF90-C250203AE3D0}">
      <text>
        <r>
          <rPr>
            <sz val="9"/>
            <color rgb="FF000000"/>
            <rFont val="Tahoma"/>
            <family val="2"/>
          </rPr>
          <t>Based on population of building location.</t>
        </r>
      </text>
    </comment>
    <comment ref="B21" authorId="0" shapeId="0" xr:uid="{A02CBE24-6BD0-4116-BFBE-54B37996F01F}">
      <text>
        <r>
          <rPr>
            <sz val="9"/>
            <color rgb="FF000000"/>
            <rFont val="Tahoma"/>
            <family val="2"/>
          </rPr>
          <t>Based on normalized DSCR.</t>
        </r>
      </text>
    </comment>
    <comment ref="B22" authorId="0" shapeId="0" xr:uid="{CD2F28FA-3F3E-4224-B142-64E417A243D0}">
      <text>
        <r>
          <rPr>
            <sz val="9"/>
            <color rgb="FF000000"/>
            <rFont val="Tahoma"/>
            <family val="2"/>
          </rPr>
          <t>Based on guarantees, and % of total funded debt covered by assets pledged by guarantees.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<sst xmlns="http://schemas.openxmlformats.org/spreadsheetml/2006/main" count="324" uniqueCount="227">
  <si>
    <t>© Corporate Finance Institute®. All rights reserved.</t>
  </si>
  <si>
    <t>https://corporatefinanceinstitute.com/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</si>
  <si>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</si>
  <si>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</si>
  <si>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</si>
  <si>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</si>
  <si>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</si>
  <si>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</si>
  <si>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</si>
  <si>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</si>
  <si>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Unit #</t>
  </si>
  <si>
    <t>Tenant</t>
  </si>
  <si>
    <t>Tenant Type</t>
  </si>
  <si>
    <t>Lease Type</t>
  </si>
  <si>
    <t>Annual Rental Income</t>
  </si>
  <si>
    <t>Total Annual Income</t>
  </si>
  <si>
    <t>Lease 
Term (yrs)</t>
  </si>
  <si>
    <t>Lease 
Type</t>
  </si>
  <si>
    <t>Annual Other income</t>
  </si>
  <si>
    <t>Lease Rate            ($/sqft)</t>
  </si>
  <si>
    <t>Recoveries ($/sqft)</t>
  </si>
  <si>
    <t>Tenant
 Type</t>
  </si>
  <si>
    <t>Annual Recoveries</t>
  </si>
  <si>
    <t xml:space="preserve">Expiry 
Date </t>
  </si>
  <si>
    <t>National</t>
  </si>
  <si>
    <t>Regional</t>
  </si>
  <si>
    <t>Local</t>
  </si>
  <si>
    <t>Triple Net</t>
  </si>
  <si>
    <t>Double Net</t>
  </si>
  <si>
    <t>Single Net</t>
  </si>
  <si>
    <t>Gross</t>
  </si>
  <si>
    <t>Leased Area (sqft)</t>
  </si>
  <si>
    <t>Tenant Inducements 
&amp; Comments</t>
  </si>
  <si>
    <t>Month-to-Month</t>
  </si>
  <si>
    <t>Property Description</t>
  </si>
  <si>
    <t>Borrower:</t>
  </si>
  <si>
    <t>Date:</t>
  </si>
  <si>
    <t>Zoning</t>
  </si>
  <si>
    <t>Land Use Classification</t>
  </si>
  <si>
    <t>Year Built</t>
  </si>
  <si>
    <t>Comments</t>
  </si>
  <si>
    <t>Retail - Standalone</t>
  </si>
  <si>
    <t>Effective Age</t>
  </si>
  <si>
    <t>Actual Age</t>
  </si>
  <si>
    <t>Economic Life</t>
  </si>
  <si>
    <t>Remaining Economic Life</t>
  </si>
  <si>
    <t>Land Size</t>
  </si>
  <si>
    <t>Net Rentable Area</t>
  </si>
  <si>
    <t>Actual</t>
  </si>
  <si>
    <t>Debt Service Coverage Ratio</t>
  </si>
  <si>
    <t>Base Rental Income</t>
  </si>
  <si>
    <t>Recoveries</t>
  </si>
  <si>
    <t>Other</t>
  </si>
  <si>
    <t>Gross Income</t>
  </si>
  <si>
    <t>Effective Gross Income</t>
  </si>
  <si>
    <t>Expense Sub Total</t>
  </si>
  <si>
    <t>Net Operating Income (NOI)</t>
  </si>
  <si>
    <t>DSCR</t>
  </si>
  <si>
    <t>Assumptions</t>
  </si>
  <si>
    <t>Actual Expenses</t>
  </si>
  <si>
    <t>Actual Management Fee</t>
  </si>
  <si>
    <t>Loan-to-Value Assumptions</t>
  </si>
  <si>
    <t>Management Fee</t>
  </si>
  <si>
    <t>Market Cap Rate</t>
  </si>
  <si>
    <t>Economic Life - Actual Age</t>
  </si>
  <si>
    <t>Current Year - Built In Year</t>
  </si>
  <si>
    <t>Per Appraisal</t>
  </si>
  <si>
    <t>Should mirror rent roll rentable area.</t>
  </si>
  <si>
    <t>Cap Rate</t>
  </si>
  <si>
    <t>Property Value @ NOI</t>
  </si>
  <si>
    <t>NOI per Sqft (NRA)</t>
  </si>
  <si>
    <t>Loan Amount</t>
  </si>
  <si>
    <t>LTV</t>
  </si>
  <si>
    <t>Loan-to-Value (LTV)</t>
  </si>
  <si>
    <t>Max Supportable Loan</t>
  </si>
  <si>
    <t>Proposed Loan Terms</t>
  </si>
  <si>
    <t>Payments per Year</t>
  </si>
  <si>
    <t>Amortization</t>
  </si>
  <si>
    <t>Term</t>
  </si>
  <si>
    <t>Minimum DSCR</t>
  </si>
  <si>
    <t>Tenant Analysis</t>
  </si>
  <si>
    <t>Sqft</t>
  </si>
  <si>
    <t>% Income</t>
  </si>
  <si>
    <t>$ Income</t>
  </si>
  <si>
    <t>Vacant</t>
  </si>
  <si>
    <t>% Sqft</t>
  </si>
  <si>
    <t>&lt;1 Year</t>
  </si>
  <si>
    <t>2 Years</t>
  </si>
  <si>
    <t>3 Years</t>
  </si>
  <si>
    <t>4 Years</t>
  </si>
  <si>
    <t>5 Years</t>
  </si>
  <si>
    <t>&gt; 5 Years</t>
  </si>
  <si>
    <t>Annual Income</t>
  </si>
  <si>
    <t>Calculations</t>
  </si>
  <si>
    <t>Sensitivity Analysis</t>
  </si>
  <si>
    <t>Property Value</t>
  </si>
  <si>
    <t>LTV (Actual NOI)</t>
  </si>
  <si>
    <t>Vacancy Rate</t>
  </si>
  <si>
    <t>Stabilized NOI</t>
  </si>
  <si>
    <t>Test Cap Rate</t>
  </si>
  <si>
    <t>CAPEX Reserve</t>
  </si>
  <si>
    <t>Repairs &amp; Maintenance</t>
  </si>
  <si>
    <t>Actual Repairs &amp; Maintenance</t>
  </si>
  <si>
    <t>Tenant Quality</t>
  </si>
  <si>
    <t>Lease Maturity</t>
  </si>
  <si>
    <t>Debt Service Obligation</t>
  </si>
  <si>
    <t>Test Interest Rate</t>
  </si>
  <si>
    <t>Months Left 
On Lease</t>
  </si>
  <si>
    <t>Normalized</t>
  </si>
  <si>
    <t>Property Type</t>
  </si>
  <si>
    <t>LTV (Normalized NOI)</t>
  </si>
  <si>
    <t>Minimum DSC</t>
  </si>
  <si>
    <t>Industrial - Light</t>
  </si>
  <si>
    <t>Industrial - Heavy</t>
  </si>
  <si>
    <t>Office</t>
  </si>
  <si>
    <t>Multi-Family Residential</t>
  </si>
  <si>
    <t>Special Use</t>
  </si>
  <si>
    <t>Modified Gross</t>
  </si>
  <si>
    <t>Percentage</t>
  </si>
  <si>
    <t>Government</t>
  </si>
  <si>
    <t>Level of Deferred Maintenance</t>
  </si>
  <si>
    <t>Depreciation &amp; Amortization</t>
  </si>
  <si>
    <t>Interest</t>
  </si>
  <si>
    <t>Total Expenses (per Income Statement)</t>
  </si>
  <si>
    <t>Operating Expenses</t>
  </si>
  <si>
    <t>Weight by Income</t>
  </si>
  <si>
    <t>Password to Unlock Admin:</t>
  </si>
  <si>
    <t>CFIUNLOCK</t>
  </si>
  <si>
    <t>% Wt.</t>
  </si>
  <si>
    <t>© Corporate Finance Institute. All rights reserved.</t>
  </si>
  <si>
    <t>Risk Rating</t>
  </si>
  <si>
    <t>Score</t>
  </si>
  <si>
    <t>Weighting</t>
  </si>
  <si>
    <t>Rating</t>
  </si>
  <si>
    <t>Total</t>
  </si>
  <si>
    <t>Probability of Default</t>
  </si>
  <si>
    <t>Very Low Risk</t>
  </si>
  <si>
    <t>Low Risk</t>
  </si>
  <si>
    <t>Moderate Risk</t>
  </si>
  <si>
    <t>Cautionary</t>
  </si>
  <si>
    <t>Unsatisfactory</t>
  </si>
  <si>
    <t>Unacceptable</t>
  </si>
  <si>
    <t>Amortization should be lower than the remaining economic life of the property. Test interest rate is higher than actual rates extended to clients.</t>
  </si>
  <si>
    <t>Location</t>
  </si>
  <si>
    <t>Decision Rule</t>
  </si>
  <si>
    <t>Wt</t>
  </si>
  <si>
    <t>% Wt</t>
  </si>
  <si>
    <t>Risk Rating Criteria Scorecard</t>
  </si>
  <si>
    <t>Building Condition</t>
  </si>
  <si>
    <t>Cash Flow Coverage</t>
  </si>
  <si>
    <t>Guarantees &amp; Access to Capital</t>
  </si>
  <si>
    <t>No Guarantees</t>
  </si>
  <si>
    <t>&lt;10% of Total Funded Debt</t>
  </si>
  <si>
    <t>10-30% of Total Funded Debt</t>
  </si>
  <si>
    <t>50-70% of Total Funded Debt</t>
  </si>
  <si>
    <t>30-50% of Total Funded Debt</t>
  </si>
  <si>
    <t>&gt;70% Total Funded Debt</t>
  </si>
  <si>
    <t>-</t>
  </si>
  <si>
    <t>Risk Rating Score</t>
  </si>
  <si>
    <t>Wt. Rating</t>
  </si>
  <si>
    <t>Rating Input</t>
  </si>
  <si>
    <t>Expense Normalization</t>
  </si>
  <si>
    <t>Rural (&lt;10,000)</t>
  </si>
  <si>
    <t>Small Metro (10,000 - 100,000)</t>
  </si>
  <si>
    <t>Metro (100,000 - 1MM)</t>
  </si>
  <si>
    <t>Large Metro (1MM+)</t>
  </si>
  <si>
    <t>Based on census metropolitan population data</t>
  </si>
  <si>
    <t>Recommended Amortization</t>
  </si>
  <si>
    <t>Test Vacancy</t>
  </si>
  <si>
    <t>&lt;1.00</t>
  </si>
  <si>
    <t>Max Interest Term</t>
  </si>
  <si>
    <t>Notes on Personal or Corporate Guarantees:</t>
  </si>
  <si>
    <t>Notes on Building Condition:</t>
  </si>
  <si>
    <t>Notes on Environmental Condition:</t>
  </si>
  <si>
    <t>Cash Flow Coverage (DSCR)</t>
  </si>
  <si>
    <t>New</t>
  </si>
  <si>
    <t>Nearly New</t>
  </si>
  <si>
    <t>Some Deferrals</t>
  </si>
  <si>
    <t>Significant Deferrals</t>
  </si>
  <si>
    <t>General Assumptions</t>
  </si>
  <si>
    <t>Loss Given Default</t>
  </si>
  <si>
    <t>General Fees</t>
  </si>
  <si>
    <t>General Expenses</t>
  </si>
  <si>
    <t>Capital Requirement</t>
  </si>
  <si>
    <t>Commercial Mortgage</t>
  </si>
  <si>
    <t/>
  </si>
  <si>
    <t>Allocated Capital</t>
  </si>
  <si>
    <t>Projected Average Amount Outstanding</t>
  </si>
  <si>
    <t>Capital Ratio</t>
  </si>
  <si>
    <t>Adjusted Capital</t>
  </si>
  <si>
    <t>Interest Rate</t>
  </si>
  <si>
    <t>Cost of Funds (COF)</t>
  </si>
  <si>
    <t>Default Probability</t>
  </si>
  <si>
    <t>Loss Given Default (LGD)</t>
  </si>
  <si>
    <t>Risk-Adjusted Return</t>
  </si>
  <si>
    <t>RAROC</t>
  </si>
  <si>
    <t>Normalized Loan-to-Value</t>
  </si>
  <si>
    <t>Spread over COF</t>
  </si>
  <si>
    <t>NA</t>
  </si>
  <si>
    <t>LTV = 0-20%</t>
  </si>
  <si>
    <t>LTV = 20-40%</t>
  </si>
  <si>
    <t>LTV = 40-60%</t>
  </si>
  <si>
    <t>LTV = 60-75%</t>
  </si>
  <si>
    <t>Client Interest Rate</t>
  </si>
  <si>
    <t>Recommended Grid Pricing</t>
  </si>
  <si>
    <t>Parameters</t>
  </si>
  <si>
    <t>Rent Roll</t>
  </si>
  <si>
    <t>Analysis</t>
  </si>
  <si>
    <t>Pricing</t>
  </si>
  <si>
    <t>Model Admin</t>
  </si>
  <si>
    <t>Commercial Mortgage Model</t>
  </si>
  <si>
    <t>Vacancy Allowance</t>
  </si>
  <si>
    <t>Commercial Real Property</t>
  </si>
  <si>
    <t>Orlando Commerce Center</t>
  </si>
  <si>
    <t xml:space="preserve">Anchor Retail </t>
  </si>
  <si>
    <t>Class A Office</t>
  </si>
  <si>
    <t>Medical Center</t>
  </si>
  <si>
    <t>Fitness / Gym</t>
  </si>
  <si>
    <t>National Restaurant (endcap)</t>
  </si>
  <si>
    <t>Fast Casual</t>
  </si>
  <si>
    <t>Local Retail</t>
  </si>
  <si>
    <t>Bank (branch)</t>
  </si>
  <si>
    <t>Flex / Light industrial</t>
  </si>
  <si>
    <t>Small office suites (aggregate)</t>
  </si>
  <si>
    <t>Kiosk / small retail</t>
  </si>
  <si>
    <t>Retail - Shopping Center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</si>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</sst>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* #,##0.00_-;\-* #,##0.00_-;_-* &quot;-&quot;??_-;_-@_-"/>
    <numFmt numFmtId="166" formatCode="_-* #,##0_-;\(#,##0\)_-;_-* &quot;-&quot;_-;_-@_-"/>
    <numFmt numFmtId="167" formatCode="_ * #,##0_ ;_ * \-#,##0_ ;_ * &quot;-&quot;??_ ;_ @_ "/>
    <numFmt numFmtId="168" formatCode="&quot;$&quot;#,##0.0"/>
    <numFmt numFmtId="169" formatCode="0.0%"/>
    <numFmt numFmtId="170" formatCode="_(* #,##0_);_(* \(#,##0\);_(* &quot;-&quot;??_);_(@_)"/>
    <numFmt numFmtId="171" formatCode="mmm/dd/yyyy"/>
    <numFmt numFmtId="172" formatCode="&quot;$&quot;#,##0.00"/>
    <numFmt numFmtId="173" formatCode="##\ &quot;Years&quot;"/>
    <numFmt numFmtId="174" formatCode="##&quot; Sqft&quot;"/>
    <numFmt numFmtId="175" formatCode="##&quot; Months&quot;"/>
    <numFmt numFmtId="176" formatCode="&quot;$&quot;#,##0"/>
    <numFmt numFmtId="177" formatCode="&quot;$&quot;#,##0.0000"/>
    <numFmt numFmtId="178" formatCode="_-* #,##0_-;\-* #,##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8"/>
      <color theme="0"/>
      <name val="Arial Narrow"/>
      <family val="2"/>
    </font>
    <font>
      <sz val="12"/>
      <color theme="1"/>
      <name val="Arial Narrow"/>
      <family val="2"/>
    </font>
    <font>
      <sz val="11"/>
      <color theme="2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u/>
      <sz val="12"/>
      <color rgb="FF0070C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u/>
      <sz val="11"/>
      <color theme="10"/>
      <name val="Calibri"/>
      <family val="2"/>
    </font>
    <font>
      <sz val="11"/>
      <color rgb="FF0000FF"/>
      <name val="Arial Narrow"/>
      <family val="2"/>
    </font>
    <font>
      <sz val="12"/>
      <color theme="0"/>
      <name val="Arial Narrow"/>
      <family val="2"/>
    </font>
    <font>
      <b/>
      <sz val="14"/>
      <color theme="0"/>
      <name val="Arial Narrow"/>
      <family val="2"/>
    </font>
    <font>
      <u/>
      <sz val="11"/>
      <color rgb="FF0000FF"/>
      <name val="Arial Narrow"/>
      <family val="2"/>
    </font>
    <font>
      <sz val="9"/>
      <color rgb="FF000000"/>
      <name val="Tahoma"/>
      <family val="2"/>
    </font>
    <font>
      <i/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i/>
      <sz val="11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5A2AF"/>
        <bgColor indexed="64"/>
      </patternFill>
    </fill>
    <fill>
      <patternFill patternType="solid">
        <fgColor rgb="FFD4FED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276E"/>
        <bgColor indexed="64"/>
      </patternFill>
    </fill>
    <fill>
      <patternFill patternType="solid">
        <fgColor rgb="FFF57A1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 tint="0.59999389629810485"/>
      </right>
      <top/>
      <bottom/>
      <diagonal/>
    </border>
    <border>
      <left style="thin">
        <color theme="1" tint="0.59999389629810485"/>
      </left>
      <right style="thin">
        <color theme="1" tint="0.59999389629810485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 tint="0.59999389629810485"/>
      </left>
      <right/>
      <top/>
      <bottom/>
      <diagonal/>
    </border>
    <border>
      <left style="thin">
        <color theme="0"/>
      </left>
      <right style="thin">
        <color theme="1" tint="0.59999389629810485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horizontal="left" indent="1"/>
    </xf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2">
    <xf numFmtId="0" fontId="0" fillId="0" borderId="0" xfId="0"/>
    <xf numFmtId="0" fontId="7" fillId="0" borderId="0" xfId="0" applyFont="1"/>
    <xf numFmtId="0" fontId="2" fillId="3" borderId="0" xfId="11" applyFont="1" applyFill="1"/>
    <xf numFmtId="0" fontId="2" fillId="0" borderId="0" xfId="11" applyFont="1"/>
    <xf numFmtId="0" fontId="8" fillId="0" borderId="0" xfId="11" applyFont="1" applyProtection="1">
      <protection locked="0"/>
    </xf>
    <xf numFmtId="0" fontId="9" fillId="0" borderId="0" xfId="11" applyFont="1" applyAlignment="1">
      <alignment horizontal="right"/>
    </xf>
    <xf numFmtId="0" fontId="2" fillId="0" borderId="1" xfId="11" applyFont="1" applyBorder="1"/>
    <xf numFmtId="0" fontId="12" fillId="0" borderId="0" xfId="13" applyFont="1"/>
    <xf numFmtId="0" fontId="13" fillId="2" borderId="0" xfId="11" applyFont="1" applyFill="1"/>
    <xf numFmtId="0" fontId="2" fillId="2" borderId="0" xfId="11" applyFont="1" applyFill="1"/>
    <xf numFmtId="0" fontId="2" fillId="4" borderId="0" xfId="11" applyFont="1" applyFill="1"/>
    <xf numFmtId="166" fontId="14" fillId="5" borderId="0" xfId="1" applyNumberFormat="1" applyFont="1" applyFill="1"/>
    <xf numFmtId="166" fontId="15" fillId="5" borderId="0" xfId="1" applyNumberFormat="1" applyFont="1" applyFill="1"/>
    <xf numFmtId="166" fontId="15" fillId="5" borderId="0" xfId="1" applyNumberFormat="1" applyFont="1" applyFill="1" applyAlignment="1">
      <alignment horizontal="center"/>
    </xf>
    <xf numFmtId="0" fontId="2" fillId="0" borderId="0" xfId="0" applyFont="1"/>
    <xf numFmtId="0" fontId="18" fillId="0" borderId="0" xfId="0" applyFont="1"/>
    <xf numFmtId="0" fontId="3" fillId="0" borderId="0" xfId="0" applyFont="1"/>
    <xf numFmtId="0" fontId="15" fillId="0" borderId="0" xfId="0" applyFont="1"/>
    <xf numFmtId="0" fontId="19" fillId="0" borderId="0" xfId="10" applyFont="1"/>
    <xf numFmtId="0" fontId="20" fillId="5" borderId="0" xfId="0" applyFont="1" applyFill="1" applyAlignment="1">
      <alignment vertical="center"/>
    </xf>
    <xf numFmtId="0" fontId="18" fillId="6" borderId="0" xfId="0" applyFont="1" applyFill="1"/>
    <xf numFmtId="0" fontId="21" fillId="0" borderId="0" xfId="0" applyFont="1"/>
    <xf numFmtId="0" fontId="17" fillId="6" borderId="0" xfId="0" applyFont="1" applyFill="1" applyAlignment="1">
      <alignment horizontal="center" wrapText="1"/>
    </xf>
    <xf numFmtId="166" fontId="15" fillId="5" borderId="0" xfId="1" applyNumberFormat="1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67" fontId="15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7" fillId="5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168" fontId="18" fillId="0" borderId="0" xfId="0" applyNumberFormat="1" applyFont="1" applyAlignment="1">
      <alignment horizontal="center"/>
    </xf>
    <xf numFmtId="169" fontId="21" fillId="0" borderId="0" xfId="14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7" fontId="15" fillId="0" borderId="0" xfId="1" applyNumberFormat="1" applyFont="1" applyAlignment="1">
      <alignment horizontal="center"/>
    </xf>
    <xf numFmtId="0" fontId="18" fillId="7" borderId="0" xfId="0" applyFont="1" applyFill="1"/>
    <xf numFmtId="0" fontId="17" fillId="6" borderId="2" xfId="0" applyFont="1" applyFill="1" applyBorder="1" applyAlignment="1">
      <alignment wrapText="1"/>
    </xf>
    <xf numFmtId="0" fontId="17" fillId="6" borderId="2" xfId="0" applyFont="1" applyFill="1" applyBorder="1" applyAlignment="1">
      <alignment horizontal="center" wrapText="1"/>
    </xf>
    <xf numFmtId="0" fontId="17" fillId="6" borderId="2" xfId="0" applyFont="1" applyFill="1" applyBorder="1" applyAlignment="1">
      <alignment horizontal="right" wrapText="1"/>
    </xf>
    <xf numFmtId="170" fontId="17" fillId="6" borderId="2" xfId="1" applyNumberFormat="1" applyFont="1" applyFill="1" applyBorder="1" applyAlignment="1">
      <alignment horizontal="right" wrapText="1"/>
    </xf>
    <xf numFmtId="172" fontId="18" fillId="0" borderId="3" xfId="0" applyNumberFormat="1" applyFont="1" applyBorder="1"/>
    <xf numFmtId="172" fontId="18" fillId="7" borderId="3" xfId="0" applyNumberFormat="1" applyFont="1" applyFill="1" applyBorder="1"/>
    <xf numFmtId="172" fontId="17" fillId="6" borderId="2" xfId="0" applyNumberFormat="1" applyFont="1" applyFill="1" applyBorder="1" applyAlignment="1">
      <alignment horizontal="right" wrapText="1"/>
    </xf>
    <xf numFmtId="0" fontId="17" fillId="6" borderId="0" xfId="0" applyFont="1" applyFill="1" applyAlignment="1">
      <alignment horizontal="right" wrapText="1"/>
    </xf>
    <xf numFmtId="0" fontId="18" fillId="7" borderId="0" xfId="0" applyFont="1" applyFill="1" applyAlignment="1">
      <alignment horizontal="left"/>
    </xf>
    <xf numFmtId="166" fontId="14" fillId="5" borderId="0" xfId="1" applyNumberFormat="1" applyFont="1" applyFill="1" applyAlignment="1">
      <alignment horizontal="left"/>
    </xf>
    <xf numFmtId="0" fontId="20" fillId="5" borderId="0" xfId="0" applyFont="1" applyFill="1" applyAlignment="1">
      <alignment horizontal="left" vertical="center"/>
    </xf>
    <xf numFmtId="0" fontId="18" fillId="6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15" fillId="5" borderId="0" xfId="1" applyNumberFormat="1" applyFont="1" applyFill="1" applyAlignment="1">
      <alignment horizontal="left"/>
    </xf>
    <xf numFmtId="0" fontId="17" fillId="5" borderId="0" xfId="0" applyFont="1" applyFill="1" applyAlignment="1">
      <alignment horizontal="right"/>
    </xf>
    <xf numFmtId="0" fontId="17" fillId="6" borderId="0" xfId="0" applyFont="1" applyFill="1" applyAlignment="1">
      <alignment horizontal="right"/>
    </xf>
    <xf numFmtId="0" fontId="2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0" xfId="0" applyFont="1" applyAlignment="1">
      <alignment horizontal="right"/>
    </xf>
    <xf numFmtId="10" fontId="2" fillId="0" borderId="4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23" fillId="0" borderId="3" xfId="0" applyFont="1" applyBorder="1"/>
    <xf numFmtId="174" fontId="18" fillId="0" borderId="0" xfId="1" applyNumberFormat="1" applyFont="1" applyBorder="1" applyAlignment="1"/>
    <xf numFmtId="0" fontId="2" fillId="0" borderId="0" xfId="0" applyFont="1" applyAlignment="1">
      <alignment horizontal="left" vertical="top"/>
    </xf>
    <xf numFmtId="174" fontId="23" fillId="0" borderId="0" xfId="1" applyNumberFormat="1" applyFont="1" applyBorder="1" applyAlignment="1"/>
    <xf numFmtId="0" fontId="17" fillId="8" borderId="0" xfId="0" applyFont="1" applyFill="1" applyAlignment="1">
      <alignment horizontal="left"/>
    </xf>
    <xf numFmtId="0" fontId="17" fillId="8" borderId="0" xfId="0" applyFont="1" applyFill="1" applyAlignment="1">
      <alignment horizontal="right"/>
    </xf>
    <xf numFmtId="0" fontId="13" fillId="8" borderId="0" xfId="0" applyFont="1" applyFill="1" applyAlignment="1">
      <alignment horizontal="left"/>
    </xf>
    <xf numFmtId="172" fontId="2" fillId="0" borderId="0" xfId="0" applyNumberFormat="1" applyFont="1" applyAlignment="1">
      <alignment horizontal="right"/>
    </xf>
    <xf numFmtId="10" fontId="2" fillId="0" borderId="0" xfId="14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10" fontId="2" fillId="0" borderId="0" xfId="0" applyNumberFormat="1" applyFont="1" applyAlignment="1">
      <alignment horizontal="left"/>
    </xf>
    <xf numFmtId="10" fontId="23" fillId="0" borderId="3" xfId="0" applyNumberFormat="1" applyFont="1" applyBorder="1"/>
    <xf numFmtId="175" fontId="23" fillId="0" borderId="3" xfId="0" applyNumberFormat="1" applyFont="1" applyBorder="1"/>
    <xf numFmtId="176" fontId="2" fillId="0" borderId="0" xfId="0" applyNumberFormat="1" applyFont="1" applyAlignment="1">
      <alignment horizontal="right"/>
    </xf>
    <xf numFmtId="176" fontId="23" fillId="0" borderId="3" xfId="0" applyNumberFormat="1" applyFont="1" applyBorder="1"/>
    <xf numFmtId="176" fontId="18" fillId="0" borderId="3" xfId="0" applyNumberFormat="1" applyFont="1" applyBorder="1"/>
    <xf numFmtId="176" fontId="2" fillId="0" borderId="4" xfId="0" applyNumberFormat="1" applyFont="1" applyBorder="1" applyAlignment="1">
      <alignment horizontal="right"/>
    </xf>
    <xf numFmtId="176" fontId="9" fillId="0" borderId="0" xfId="0" applyNumberFormat="1" applyFont="1" applyAlignment="1">
      <alignment horizontal="right"/>
    </xf>
    <xf numFmtId="176" fontId="9" fillId="0" borderId="4" xfId="0" applyNumberFormat="1" applyFont="1" applyBorder="1" applyAlignment="1">
      <alignment horizontal="right"/>
    </xf>
    <xf numFmtId="176" fontId="9" fillId="0" borderId="5" xfId="0" applyNumberFormat="1" applyFont="1" applyBorder="1" applyAlignment="1">
      <alignment horizontal="right"/>
    </xf>
    <xf numFmtId="0" fontId="18" fillId="8" borderId="0" xfId="0" applyFont="1" applyFill="1" applyAlignment="1">
      <alignment horizontal="left"/>
    </xf>
    <xf numFmtId="0" fontId="17" fillId="8" borderId="2" xfId="0" applyFont="1" applyFill="1" applyBorder="1" applyAlignment="1">
      <alignment horizontal="center" wrapText="1"/>
    </xf>
    <xf numFmtId="0" fontId="17" fillId="0" borderId="0" xfId="0" applyFont="1" applyAlignment="1">
      <alignment horizontal="left"/>
    </xf>
    <xf numFmtId="10" fontId="23" fillId="0" borderId="0" xfId="0" applyNumberFormat="1" applyFont="1" applyAlignment="1">
      <alignment horizontal="right"/>
    </xf>
    <xf numFmtId="176" fontId="23" fillId="0" borderId="0" xfId="0" applyNumberFormat="1" applyFont="1" applyAlignment="1">
      <alignment horizontal="right"/>
    </xf>
    <xf numFmtId="10" fontId="9" fillId="0" borderId="0" xfId="14" applyNumberFormat="1" applyFont="1" applyAlignment="1">
      <alignment horizontal="right"/>
    </xf>
    <xf numFmtId="10" fontId="23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17" fillId="8" borderId="0" xfId="0" applyFont="1" applyFill="1" applyAlignment="1">
      <alignment horizontal="centerContinuous"/>
    </xf>
    <xf numFmtId="0" fontId="17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center"/>
    </xf>
    <xf numFmtId="166" fontId="24" fillId="5" borderId="0" xfId="1" applyNumberFormat="1" applyFont="1" applyFill="1" applyAlignment="1">
      <alignment horizontal="left"/>
    </xf>
    <xf numFmtId="2" fontId="18" fillId="0" borderId="3" xfId="0" applyNumberFormat="1" applyFont="1" applyBorder="1"/>
    <xf numFmtId="10" fontId="18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left"/>
    </xf>
    <xf numFmtId="39" fontId="9" fillId="9" borderId="5" xfId="1" applyNumberFormat="1" applyFont="1" applyFill="1" applyBorder="1" applyAlignment="1">
      <alignment horizontal="right"/>
    </xf>
    <xf numFmtId="170" fontId="18" fillId="0" borderId="0" xfId="0" applyNumberFormat="1" applyFont="1" applyAlignment="1">
      <alignment horizontal="center"/>
    </xf>
    <xf numFmtId="43" fontId="18" fillId="0" borderId="0" xfId="0" applyNumberFormat="1" applyFont="1" applyAlignment="1">
      <alignment horizontal="center"/>
    </xf>
    <xf numFmtId="169" fontId="18" fillId="0" borderId="3" xfId="14" applyNumberFormat="1" applyFont="1" applyBorder="1"/>
    <xf numFmtId="169" fontId="18" fillId="7" borderId="3" xfId="14" applyNumberFormat="1" applyFont="1" applyFill="1" applyBorder="1"/>
    <xf numFmtId="169" fontId="17" fillId="6" borderId="2" xfId="14" applyNumberFormat="1" applyFont="1" applyFill="1" applyBorder="1" applyAlignment="1">
      <alignment horizontal="right" wrapText="1"/>
    </xf>
    <xf numFmtId="1" fontId="18" fillId="0" borderId="3" xfId="1" applyNumberFormat="1" applyFont="1" applyBorder="1"/>
    <xf numFmtId="1" fontId="18" fillId="7" borderId="3" xfId="1" applyNumberFormat="1" applyFont="1" applyFill="1" applyBorder="1"/>
    <xf numFmtId="0" fontId="23" fillId="0" borderId="3" xfId="0" applyFont="1" applyBorder="1" applyAlignment="1">
      <alignment horizontal="left"/>
    </xf>
    <xf numFmtId="0" fontId="23" fillId="7" borderId="3" xfId="0" applyFont="1" applyFill="1" applyBorder="1" applyAlignment="1">
      <alignment horizontal="left"/>
    </xf>
    <xf numFmtId="0" fontId="23" fillId="7" borderId="3" xfId="0" applyFont="1" applyFill="1" applyBorder="1"/>
    <xf numFmtId="170" fontId="23" fillId="0" borderId="3" xfId="1" applyNumberFormat="1" applyFont="1" applyBorder="1"/>
    <xf numFmtId="170" fontId="23" fillId="7" borderId="3" xfId="1" applyNumberFormat="1" applyFont="1" applyFill="1" applyBorder="1"/>
    <xf numFmtId="0" fontId="23" fillId="0" borderId="3" xfId="0" applyFont="1" applyBorder="1" applyAlignment="1">
      <alignment horizontal="center"/>
    </xf>
    <xf numFmtId="0" fontId="23" fillId="7" borderId="3" xfId="0" applyFont="1" applyFill="1" applyBorder="1" applyAlignment="1">
      <alignment horizontal="center"/>
    </xf>
    <xf numFmtId="171" fontId="23" fillId="0" borderId="3" xfId="0" applyNumberFormat="1" applyFont="1" applyBorder="1"/>
    <xf numFmtId="171" fontId="23" fillId="7" borderId="3" xfId="0" applyNumberFormat="1" applyFont="1" applyFill="1" applyBorder="1"/>
    <xf numFmtId="172" fontId="23" fillId="0" borderId="3" xfId="0" applyNumberFormat="1" applyFont="1" applyBorder="1"/>
    <xf numFmtId="172" fontId="23" fillId="7" borderId="3" xfId="0" applyNumberFormat="1" applyFont="1" applyFill="1" applyBorder="1"/>
    <xf numFmtId="0" fontId="2" fillId="8" borderId="0" xfId="0" applyFont="1" applyFill="1"/>
    <xf numFmtId="0" fontId="13" fillId="8" borderId="0" xfId="0" applyFont="1" applyFill="1"/>
    <xf numFmtId="0" fontId="17" fillId="8" borderId="0" xfId="0" applyFont="1" applyFill="1"/>
    <xf numFmtId="0" fontId="23" fillId="0" borderId="0" xfId="0" applyFont="1"/>
    <xf numFmtId="10" fontId="23" fillId="0" borderId="0" xfId="14" applyNumberFormat="1" applyFont="1"/>
    <xf numFmtId="2" fontId="23" fillId="0" borderId="0" xfId="0" applyNumberFormat="1" applyFont="1"/>
    <xf numFmtId="0" fontId="9" fillId="0" borderId="0" xfId="0" applyFont="1"/>
    <xf numFmtId="0" fontId="14" fillId="5" borderId="0" xfId="0" applyFont="1" applyFill="1"/>
    <xf numFmtId="0" fontId="13" fillId="5" borderId="0" xfId="0" applyFont="1" applyFill="1"/>
    <xf numFmtId="0" fontId="25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/>
    <xf numFmtId="165" fontId="21" fillId="0" borderId="0" xfId="0" applyNumberFormat="1" applyFont="1" applyAlignment="1">
      <alignment horizontal="right"/>
    </xf>
    <xf numFmtId="0" fontId="18" fillId="0" borderId="0" xfId="0" quotePrefix="1" applyFont="1"/>
    <xf numFmtId="178" fontId="18" fillId="10" borderId="7" xfId="17" applyNumberFormat="1" applyFont="1" applyFill="1" applyBorder="1" applyAlignment="1">
      <alignment horizontal="center"/>
    </xf>
    <xf numFmtId="178" fontId="18" fillId="10" borderId="1" xfId="17" applyNumberFormat="1" applyFont="1" applyFill="1" applyBorder="1"/>
    <xf numFmtId="10" fontId="23" fillId="0" borderId="8" xfId="0" applyNumberFormat="1" applyFont="1" applyBorder="1" applyAlignment="1">
      <alignment horizontal="centerContinuous"/>
    </xf>
    <xf numFmtId="178" fontId="18" fillId="11" borderId="10" xfId="17" applyNumberFormat="1" applyFont="1" applyFill="1" applyBorder="1" applyAlignment="1">
      <alignment horizontal="center"/>
    </xf>
    <xf numFmtId="178" fontId="18" fillId="11" borderId="0" xfId="17" applyNumberFormat="1" applyFont="1" applyFill="1" applyBorder="1"/>
    <xf numFmtId="10" fontId="23" fillId="0" borderId="9" xfId="0" applyNumberFormat="1" applyFont="1" applyBorder="1" applyAlignment="1">
      <alignment horizontal="centerContinuous"/>
    </xf>
    <xf numFmtId="178" fontId="18" fillId="12" borderId="10" xfId="17" applyNumberFormat="1" applyFont="1" applyFill="1" applyBorder="1" applyAlignment="1">
      <alignment horizontal="center"/>
    </xf>
    <xf numFmtId="178" fontId="18" fillId="12" borderId="0" xfId="17" applyNumberFormat="1" applyFont="1" applyFill="1" applyBorder="1"/>
    <xf numFmtId="178" fontId="18" fillId="13" borderId="10" xfId="17" applyNumberFormat="1" applyFont="1" applyFill="1" applyBorder="1" applyAlignment="1">
      <alignment horizontal="center"/>
    </xf>
    <xf numFmtId="178" fontId="18" fillId="13" borderId="0" xfId="17" applyNumberFormat="1" applyFont="1" applyFill="1" applyBorder="1"/>
    <xf numFmtId="178" fontId="18" fillId="14" borderId="11" xfId="17" applyNumberFormat="1" applyFont="1" applyFill="1" applyBorder="1" applyAlignment="1">
      <alignment horizontal="center"/>
    </xf>
    <xf numFmtId="178" fontId="18" fillId="14" borderId="4" xfId="17" applyNumberFormat="1" applyFont="1" applyFill="1" applyBorder="1"/>
    <xf numFmtId="10" fontId="23" fillId="0" borderId="12" xfId="0" applyNumberFormat="1" applyFont="1" applyBorder="1" applyAlignment="1">
      <alignment horizontal="centerContinuous"/>
    </xf>
    <xf numFmtId="178" fontId="13" fillId="8" borderId="7" xfId="17" applyNumberFormat="1" applyFont="1" applyFill="1" applyBorder="1"/>
    <xf numFmtId="178" fontId="17" fillId="8" borderId="1" xfId="17" applyNumberFormat="1" applyFont="1" applyFill="1" applyBorder="1"/>
    <xf numFmtId="0" fontId="17" fillId="8" borderId="8" xfId="0" applyFont="1" applyFill="1" applyBorder="1" applyAlignment="1">
      <alignment horizontal="centerContinuous"/>
    </xf>
    <xf numFmtId="178" fontId="18" fillId="15" borderId="10" xfId="17" applyNumberFormat="1" applyFont="1" applyFill="1" applyBorder="1" applyAlignment="1">
      <alignment horizontal="center"/>
    </xf>
    <xf numFmtId="178" fontId="18" fillId="15" borderId="0" xfId="17" applyNumberFormat="1" applyFont="1" applyFill="1" applyBorder="1"/>
    <xf numFmtId="9" fontId="23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17" fillId="5" borderId="13" xfId="0" applyFont="1" applyFill="1" applyBorder="1"/>
    <xf numFmtId="0" fontId="17" fillId="5" borderId="14" xfId="0" applyFont="1" applyFill="1" applyBorder="1" applyAlignment="1">
      <alignment horizontal="centerContinuous"/>
    </xf>
    <xf numFmtId="0" fontId="17" fillId="5" borderId="15" xfId="0" applyFont="1" applyFill="1" applyBorder="1" applyAlignment="1">
      <alignment horizontal="centerContinuous"/>
    </xf>
    <xf numFmtId="0" fontId="17" fillId="5" borderId="0" xfId="0" applyFont="1" applyFill="1" applyAlignment="1">
      <alignment horizontal="centerContinuous"/>
    </xf>
    <xf numFmtId="0" fontId="17" fillId="5" borderId="13" xfId="0" applyFont="1" applyFill="1" applyBorder="1" applyAlignment="1">
      <alignment horizontal="centerContinuous"/>
    </xf>
    <xf numFmtId="0" fontId="17" fillId="5" borderId="16" xfId="0" applyFont="1" applyFill="1" applyBorder="1" applyAlignment="1">
      <alignment horizontal="left"/>
    </xf>
    <xf numFmtId="0" fontId="17" fillId="5" borderId="16" xfId="0" applyFont="1" applyFill="1" applyBorder="1" applyAlignment="1">
      <alignment horizontal="center"/>
    </xf>
    <xf numFmtId="0" fontId="21" fillId="0" borderId="17" xfId="0" applyFont="1" applyBorder="1"/>
    <xf numFmtId="0" fontId="18" fillId="0" borderId="18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1" fillId="7" borderId="17" xfId="0" applyFont="1" applyFill="1" applyBorder="1"/>
    <xf numFmtId="0" fontId="18" fillId="7" borderId="18" xfId="0" applyFont="1" applyFill="1" applyBorder="1" applyAlignment="1">
      <alignment horizontal="center" wrapText="1"/>
    </xf>
    <xf numFmtId="0" fontId="23" fillId="7" borderId="18" xfId="0" applyFont="1" applyFill="1" applyBorder="1" applyAlignment="1">
      <alignment horizontal="center" wrapText="1"/>
    </xf>
    <xf numFmtId="169" fontId="18" fillId="0" borderId="0" xfId="0" applyNumberFormat="1" applyFont="1"/>
    <xf numFmtId="0" fontId="17" fillId="5" borderId="0" xfId="0" applyFont="1" applyFill="1"/>
    <xf numFmtId="2" fontId="18" fillId="0" borderId="0" xfId="1" applyNumberFormat="1" applyFont="1"/>
    <xf numFmtId="0" fontId="21" fillId="0" borderId="4" xfId="0" applyFont="1" applyBorder="1"/>
    <xf numFmtId="0" fontId="23" fillId="0" borderId="4" xfId="0" applyFont="1" applyBorder="1"/>
    <xf numFmtId="2" fontId="18" fillId="0" borderId="4" xfId="1" applyNumberFormat="1" applyFont="1" applyBorder="1"/>
    <xf numFmtId="2" fontId="21" fillId="0" borderId="0" xfId="0" applyNumberFormat="1" applyFont="1"/>
    <xf numFmtId="2" fontId="23" fillId="0" borderId="0" xfId="0" applyNumberFormat="1" applyFont="1" applyAlignment="1">
      <alignment horizontal="right"/>
    </xf>
    <xf numFmtId="2" fontId="18" fillId="7" borderId="18" xfId="0" applyNumberFormat="1" applyFont="1" applyFill="1" applyBorder="1" applyAlignment="1">
      <alignment horizontal="center" wrapText="1"/>
    </xf>
    <xf numFmtId="9" fontId="18" fillId="0" borderId="18" xfId="0" applyNumberFormat="1" applyFont="1" applyBorder="1" applyAlignment="1">
      <alignment horizontal="center" wrapText="1"/>
    </xf>
    <xf numFmtId="0" fontId="17" fillId="5" borderId="19" xfId="0" applyFont="1" applyFill="1" applyBorder="1" applyAlignment="1">
      <alignment horizontal="centerContinuous"/>
    </xf>
    <xf numFmtId="0" fontId="17" fillId="5" borderId="22" xfId="0" applyFont="1" applyFill="1" applyBorder="1" applyAlignment="1">
      <alignment horizontal="centerContinuous"/>
    </xf>
    <xf numFmtId="0" fontId="18" fillId="0" borderId="20" xfId="0" applyFont="1" applyBorder="1" applyAlignment="1">
      <alignment horizontal="centerContinuous" wrapText="1"/>
    </xf>
    <xf numFmtId="0" fontId="18" fillId="0" borderId="21" xfId="0" applyFont="1" applyBorder="1" applyAlignment="1">
      <alignment horizontal="centerContinuous" wrapText="1"/>
    </xf>
    <xf numFmtId="2" fontId="18" fillId="7" borderId="20" xfId="0" applyNumberFormat="1" applyFont="1" applyFill="1" applyBorder="1" applyAlignment="1">
      <alignment horizontal="centerContinuous" wrapText="1"/>
    </xf>
    <xf numFmtId="2" fontId="18" fillId="7" borderId="21" xfId="0" applyNumberFormat="1" applyFont="1" applyFill="1" applyBorder="1" applyAlignment="1">
      <alignment horizontal="centerContinuous" wrapText="1"/>
    </xf>
    <xf numFmtId="9" fontId="18" fillId="0" borderId="20" xfId="0" applyNumberFormat="1" applyFont="1" applyBorder="1" applyAlignment="1">
      <alignment horizontal="centerContinuous" wrapText="1"/>
    </xf>
    <xf numFmtId="9" fontId="18" fillId="0" borderId="21" xfId="0" applyNumberFormat="1" applyFont="1" applyBorder="1" applyAlignment="1">
      <alignment horizontal="centerContinuous" wrapText="1"/>
    </xf>
    <xf numFmtId="0" fontId="18" fillId="7" borderId="20" xfId="0" applyFont="1" applyFill="1" applyBorder="1" applyAlignment="1">
      <alignment horizontal="centerContinuous" wrapText="1"/>
    </xf>
    <xf numFmtId="0" fontId="18" fillId="7" borderId="21" xfId="0" applyFont="1" applyFill="1" applyBorder="1" applyAlignment="1">
      <alignment horizontal="centerContinuous" wrapText="1"/>
    </xf>
    <xf numFmtId="0" fontId="23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0" fontId="18" fillId="0" borderId="4" xfId="0" applyFont="1" applyBorder="1" applyAlignment="1">
      <alignment horizontal="right"/>
    </xf>
    <xf numFmtId="1" fontId="23" fillId="0" borderId="0" xfId="0" applyNumberFormat="1" applyFont="1"/>
    <xf numFmtId="39" fontId="18" fillId="0" borderId="0" xfId="0" applyNumberFormat="1" applyFont="1" applyAlignment="1">
      <alignment horizontal="right"/>
    </xf>
    <xf numFmtId="0" fontId="18" fillId="0" borderId="4" xfId="0" applyFont="1" applyBorder="1"/>
    <xf numFmtId="175" fontId="18" fillId="0" borderId="3" xfId="0" applyNumberFormat="1" applyFont="1" applyBorder="1"/>
    <xf numFmtId="0" fontId="17" fillId="8" borderId="7" xfId="0" applyFont="1" applyFill="1" applyBorder="1"/>
    <xf numFmtId="0" fontId="17" fillId="8" borderId="1" xfId="0" applyFont="1" applyFill="1" applyBorder="1"/>
    <xf numFmtId="0" fontId="17" fillId="8" borderId="8" xfId="0" applyFont="1" applyFill="1" applyBorder="1"/>
    <xf numFmtId="175" fontId="9" fillId="0" borderId="0" xfId="1" applyNumberFormat="1" applyFont="1" applyAlignment="1">
      <alignment horizontal="right"/>
    </xf>
    <xf numFmtId="10" fontId="2" fillId="0" borderId="4" xfId="14" applyNumberFormat="1" applyFont="1" applyBorder="1" applyAlignment="1">
      <alignment horizontal="right"/>
    </xf>
    <xf numFmtId="0" fontId="23" fillId="5" borderId="0" xfId="0" applyFont="1" applyFill="1" applyAlignment="1">
      <alignment horizontal="left"/>
    </xf>
    <xf numFmtId="0" fontId="13" fillId="5" borderId="0" xfId="0" applyFont="1" applyFill="1" applyAlignment="1">
      <alignment horizontal="left" vertical="center"/>
    </xf>
    <xf numFmtId="0" fontId="17" fillId="16" borderId="0" xfId="0" applyFont="1" applyFill="1"/>
    <xf numFmtId="0" fontId="13" fillId="16" borderId="0" xfId="0" applyFont="1" applyFill="1" applyAlignment="1">
      <alignment horizontal="right"/>
    </xf>
    <xf numFmtId="0" fontId="13" fillId="16" borderId="0" xfId="0" applyFont="1" applyFill="1" applyAlignment="1">
      <alignment horizontal="left"/>
    </xf>
    <xf numFmtId="0" fontId="13" fillId="16" borderId="0" xfId="0" applyFont="1" applyFill="1"/>
    <xf numFmtId="43" fontId="18" fillId="0" borderId="0" xfId="1" applyFont="1" applyAlignment="1">
      <alignment horizontal="right"/>
    </xf>
    <xf numFmtId="9" fontId="18" fillId="0" borderId="0" xfId="14" applyFont="1" applyAlignment="1">
      <alignment horizontal="right"/>
    </xf>
    <xf numFmtId="43" fontId="23" fillId="0" borderId="0" xfId="1" applyFont="1" applyAlignment="1">
      <alignment horizontal="right"/>
    </xf>
    <xf numFmtId="9" fontId="23" fillId="0" borderId="0" xfId="14" applyFont="1" applyAlignment="1">
      <alignment horizontal="right"/>
    </xf>
    <xf numFmtId="0" fontId="18" fillId="0" borderId="0" xfId="0" applyFont="1" applyAlignment="1">
      <alignment horizontal="left" wrapText="1"/>
    </xf>
    <xf numFmtId="9" fontId="18" fillId="0" borderId="0" xfId="0" applyNumberFormat="1" applyFont="1" applyAlignment="1">
      <alignment horizontal="right"/>
    </xf>
    <xf numFmtId="10" fontId="23" fillId="0" borderId="0" xfId="14" applyNumberFormat="1" applyFont="1" applyAlignment="1">
      <alignment horizontal="right"/>
    </xf>
    <xf numFmtId="10" fontId="18" fillId="0" borderId="0" xfId="14" applyNumberFormat="1" applyFont="1" applyAlignment="1">
      <alignment horizontal="right"/>
    </xf>
    <xf numFmtId="0" fontId="18" fillId="0" borderId="4" xfId="0" applyFont="1" applyBorder="1" applyAlignment="1">
      <alignment horizontal="left"/>
    </xf>
    <xf numFmtId="10" fontId="2" fillId="0" borderId="0" xfId="0" applyNumberFormat="1" applyFont="1"/>
    <xf numFmtId="172" fontId="18" fillId="0" borderId="0" xfId="1" applyNumberFormat="1" applyFont="1" applyAlignment="1">
      <alignment horizontal="right"/>
    </xf>
    <xf numFmtId="176" fontId="18" fillId="0" borderId="0" xfId="1" applyNumberFormat="1" applyFont="1" applyAlignment="1">
      <alignment horizontal="right"/>
    </xf>
    <xf numFmtId="176" fontId="18" fillId="0" borderId="0" xfId="0" applyNumberFormat="1" applyFont="1" applyAlignment="1">
      <alignment horizontal="right"/>
    </xf>
    <xf numFmtId="10" fontId="18" fillId="0" borderId="4" xfId="0" applyNumberFormat="1" applyFont="1" applyBorder="1" applyAlignment="1">
      <alignment horizontal="right"/>
    </xf>
    <xf numFmtId="169" fontId="18" fillId="7" borderId="0" xfId="14" applyNumberFormat="1" applyFont="1" applyFill="1" applyAlignment="1">
      <alignment horizontal="center"/>
    </xf>
    <xf numFmtId="169" fontId="18" fillId="0" borderId="0" xfId="14" applyNumberFormat="1" applyFont="1" applyAlignment="1">
      <alignment horizontal="center"/>
    </xf>
    <xf numFmtId="169" fontId="23" fillId="0" borderId="8" xfId="0" applyNumberFormat="1" applyFont="1" applyBorder="1" applyAlignment="1">
      <alignment horizontal="center"/>
    </xf>
    <xf numFmtId="10" fontId="23" fillId="0" borderId="8" xfId="0" applyNumberFormat="1" applyFont="1" applyBorder="1" applyAlignment="1">
      <alignment horizontal="center"/>
    </xf>
    <xf numFmtId="169" fontId="23" fillId="0" borderId="9" xfId="0" applyNumberFormat="1" applyFont="1" applyBorder="1" applyAlignment="1">
      <alignment horizontal="center"/>
    </xf>
    <xf numFmtId="10" fontId="23" fillId="0" borderId="9" xfId="0" applyNumberFormat="1" applyFont="1" applyBorder="1" applyAlignment="1">
      <alignment horizontal="center"/>
    </xf>
    <xf numFmtId="169" fontId="23" fillId="0" borderId="12" xfId="0" applyNumberFormat="1" applyFont="1" applyBorder="1" applyAlignment="1">
      <alignment horizontal="center"/>
    </xf>
    <xf numFmtId="10" fontId="23" fillId="0" borderId="12" xfId="0" applyNumberFormat="1" applyFont="1" applyBorder="1" applyAlignment="1">
      <alignment horizontal="center"/>
    </xf>
    <xf numFmtId="9" fontId="13" fillId="0" borderId="0" xfId="0" applyNumberFormat="1" applyFont="1" applyAlignment="1">
      <alignment horizontal="right"/>
    </xf>
    <xf numFmtId="0" fontId="21" fillId="0" borderId="5" xfId="0" applyFont="1" applyBorder="1"/>
    <xf numFmtId="43" fontId="21" fillId="0" borderId="5" xfId="0" applyNumberFormat="1" applyFont="1" applyBorder="1" applyAlignment="1">
      <alignment horizontal="right"/>
    </xf>
    <xf numFmtId="0" fontId="21" fillId="0" borderId="5" xfId="0" applyFont="1" applyBorder="1" applyAlignment="1">
      <alignment horizontal="right"/>
    </xf>
    <xf numFmtId="0" fontId="21" fillId="0" borderId="5" xfId="0" applyFont="1" applyBorder="1" applyAlignment="1">
      <alignment horizontal="left"/>
    </xf>
    <xf numFmtId="10" fontId="21" fillId="0" borderId="5" xfId="14" applyNumberFormat="1" applyFont="1" applyBorder="1" applyAlignment="1">
      <alignment horizontal="right"/>
    </xf>
    <xf numFmtId="0" fontId="26" fillId="0" borderId="0" xfId="18" applyFont="1" applyProtection="1">
      <protection locked="0"/>
    </xf>
    <xf numFmtId="0" fontId="26" fillId="0" borderId="0" xfId="18" applyFont="1"/>
    <xf numFmtId="14" fontId="2" fillId="0" borderId="0" xfId="0" applyNumberFormat="1" applyFont="1" applyAlignment="1">
      <alignment horizontal="left"/>
    </xf>
    <xf numFmtId="0" fontId="28" fillId="0" borderId="0" xfId="0" applyFont="1"/>
    <xf numFmtId="0" fontId="30" fillId="0" borderId="0" xfId="0" applyFont="1" applyAlignment="1">
      <alignment horizontal="center" vertical="top"/>
    </xf>
    <xf numFmtId="0" fontId="28" fillId="0" borderId="0" xfId="0" applyFont="1" applyAlignment="1">
      <alignment horizontal="center"/>
    </xf>
    <xf numFmtId="0" fontId="30" fillId="0" borderId="0" xfId="0" applyFont="1"/>
    <xf numFmtId="0" fontId="29" fillId="0" borderId="0" xfId="0" applyFont="1"/>
    <xf numFmtId="170" fontId="29" fillId="0" borderId="0" xfId="0" applyNumberFormat="1" applyFont="1"/>
    <xf numFmtId="170" fontId="29" fillId="0" borderId="0" xfId="1" applyNumberFormat="1" applyFont="1" applyFill="1" applyBorder="1"/>
    <xf numFmtId="172" fontId="18" fillId="0" borderId="0" xfId="0" applyNumberFormat="1" applyFont="1" applyAlignment="1">
      <alignment horizontal="center"/>
    </xf>
    <xf numFmtId="14" fontId="17" fillId="5" borderId="0" xfId="0" applyNumberFormat="1" applyFont="1" applyFill="1" applyAlignment="1">
      <alignment horizontal="left"/>
    </xf>
    <xf numFmtId="0" fontId="18" fillId="0" borderId="6" xfId="0" quotePrefix="1" applyFont="1" applyBorder="1" applyAlignment="1">
      <alignment horizontal="left" vertical="center" wrapText="1"/>
    </xf>
    <xf numFmtId="0" fontId="18" fillId="0" borderId="0" xfId="0" quotePrefix="1" applyFont="1" applyAlignment="1">
      <alignment horizontal="left" vertical="center" wrapText="1"/>
    </xf>
    <xf numFmtId="174" fontId="23" fillId="0" borderId="0" xfId="1" applyNumberFormat="1" applyFont="1" applyBorder="1" applyAlignment="1"/>
    <xf numFmtId="174" fontId="23" fillId="0" borderId="3" xfId="1" applyNumberFormat="1" applyFont="1" applyBorder="1" applyAlignment="1"/>
    <xf numFmtId="173" fontId="23" fillId="0" borderId="0" xfId="0" applyNumberFormat="1" applyFont="1" applyAlignment="1">
      <alignment horizontal="right"/>
    </xf>
    <xf numFmtId="173" fontId="23" fillId="0" borderId="3" xfId="0" applyNumberFormat="1" applyFont="1" applyBorder="1" applyAlignment="1">
      <alignment horizontal="right"/>
    </xf>
    <xf numFmtId="173" fontId="2" fillId="0" borderId="0" xfId="0" applyNumberFormat="1" applyFont="1" applyAlignment="1">
      <alignment horizontal="right"/>
    </xf>
    <xf numFmtId="173" fontId="2" fillId="0" borderId="3" xfId="0" applyNumberFormat="1" applyFont="1" applyBorder="1" applyAlignment="1">
      <alignment horizontal="right"/>
    </xf>
    <xf numFmtId="174" fontId="23" fillId="0" borderId="0" xfId="0" applyNumberFormat="1" applyFont="1" applyAlignment="1">
      <alignment horizontal="right"/>
    </xf>
    <xf numFmtId="174" fontId="23" fillId="0" borderId="3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3" xfId="0" applyFont="1" applyBorder="1" applyAlignment="1">
      <alignment horizontal="right"/>
    </xf>
    <xf numFmtId="0" fontId="31" fillId="0" borderId="0" xfId="0" applyFont="1" applyAlignment="1">
      <alignment horizontal="right"/>
    </xf>
    <xf numFmtId="0" fontId="31" fillId="0" borderId="3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3" xfId="0" applyFont="1" applyBorder="1" applyAlignment="1">
      <alignment horizontal="right"/>
    </xf>
    <xf numFmtId="173" fontId="18" fillId="0" borderId="0" xfId="0" applyNumberFormat="1" applyFont="1" applyAlignment="1">
      <alignment horizontal="right"/>
    </xf>
    <xf numFmtId="173" fontId="18" fillId="0" borderId="3" xfId="0" applyNumberFormat="1" applyFont="1" applyBorder="1" applyAlignment="1">
      <alignment horizontal="right"/>
    </xf>
    <xf numFmtId="0" fontId="18" fillId="0" borderId="6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</cellXfs>
  <cellStyles count="19">
    <cellStyle name="Comma" xfId="1" builtinId="3"/>
    <cellStyle name="Comma 2" xfId="3" xr:uid="{00000000-0005-0000-0000-000001000000}"/>
    <cellStyle name="Comma 2 2" xfId="17" xr:uid="{B5AA8C8B-232D-4260-8A3D-31E107C91422}"/>
    <cellStyle name="Comma 3" xfId="5" xr:uid="{00000000-0005-0000-0000-000002000000}"/>
    <cellStyle name="Ctx_Hyperlink" xfId="7" xr:uid="{00000000-0005-0000-0000-000003000000}"/>
    <cellStyle name="Currency 2" xfId="16" xr:uid="{7856C582-980C-48DF-BAF2-0F60C64C08CA}"/>
    <cellStyle name="Hyperlink" xfId="18" builtinId="8"/>
    <cellStyle name="Hyperlink 2" xfId="9" xr:uid="{00000000-0005-0000-0000-000005000000}"/>
    <cellStyle name="Hyperlink 2 2" xfId="13" xr:uid="{A0CE7DA2-CAE5-4472-B592-E2B95495E52D}"/>
    <cellStyle name="Hyperlink 3" xfId="10" xr:uid="{00000000-0005-0000-0000-000006000000}"/>
    <cellStyle name="Hyperlink 4" xfId="12" xr:uid="{73EC6265-4FB2-4E00-902C-D97BBB5B7D1C}"/>
    <cellStyle name="Hyperlink 5" xfId="15" xr:uid="{812A0816-0C2A-402D-8733-DB0AD6AE3EC7}"/>
    <cellStyle name="Normal" xfId="0" builtinId="0"/>
    <cellStyle name="Normal 2" xfId="2" xr:uid="{00000000-0005-0000-0000-000008000000}"/>
    <cellStyle name="Normal 2 2" xfId="8" xr:uid="{00000000-0005-0000-0000-000009000000}"/>
    <cellStyle name="Normal 2 2 2" xfId="11" xr:uid="{4913CC27-CF69-4E0A-9DA1-83350F18F9E6}"/>
    <cellStyle name="Normal 2 3 2" xfId="6" xr:uid="{00000000-0005-0000-0000-00000A000000}"/>
    <cellStyle name="Percent" xfId="14" builtinId="5"/>
    <cellStyle name="Percent 2" xfId="4" xr:uid="{00000000-0005-0000-0000-00000B000000}"/>
  </cellStyles>
  <dxfs count="19">
    <dxf>
      <fill>
        <patternFill>
          <bgColor rgb="FFFF0000"/>
        </patternFill>
      </fill>
    </dxf>
    <dxf>
      <fill>
        <patternFill>
          <fgColor auto="1"/>
          <bgColor rgb="FFB7276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fgColor auto="1"/>
          <bgColor rgb="FFB7276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63D"/>
      </font>
      <fill>
        <patternFill patternType="solid">
          <fgColor auto="1"/>
          <bgColor rgb="FFD4FED2"/>
        </patternFill>
      </fill>
    </dxf>
    <dxf>
      <font>
        <color rgb="FF00863D"/>
      </font>
      <fill>
        <patternFill>
          <bgColor rgb="FFD4FE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25A2AF"/>
      <color rgb="FF00B050"/>
      <color rgb="FFB7276E"/>
      <color rgb="FFFF0000"/>
      <color rgb="FFFFFF00"/>
      <color rgb="FF92D050"/>
      <color rgb="FFFFCCCC"/>
      <color rgb="FF00863D"/>
      <color rgb="FFD4F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0E299-01BB-4133-BB60-5F520270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111813</xdr:colOff>
      <xdr:row>68</xdr:row>
      <xdr:rowOff>155714</xdr:rowOff>
    </xdr:from>
    <xdr:to>
      <xdr:col>1</xdr:col>
      <xdr:colOff>847309</xdr:colOff>
      <xdr:row>72</xdr:row>
      <xdr:rowOff>72888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CEFC8-47DB-4937-B6F6-E24FDBB6795D}"/>
            </a:ext>
          </a:extLst>
        </xdr:cNvPr>
        <xdr:cNvSpPr txBox="1"/>
      </xdr:nvSpPr>
      <xdr:spPr>
        <a:xfrm>
          <a:off x="157533" y="13022084"/>
          <a:ext cx="735496" cy="67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 b="1">
              <a:latin typeface="Arial Narrow" panose="020B0606020202030204" pitchFamily="34" charset="0"/>
            </a:rPr>
            <a:t>LTV Analysis</a:t>
          </a:r>
        </a:p>
      </xdr:txBody>
    </xdr:sp>
    <xdr:clientData/>
  </xdr:twoCellAnchor>
  <xdr:twoCellAnchor>
    <xdr:from>
      <xdr:col>1</xdr:col>
      <xdr:colOff>111813</xdr:colOff>
      <xdr:row>80</xdr:row>
      <xdr:rowOff>175591</xdr:rowOff>
    </xdr:from>
    <xdr:to>
      <xdr:col>1</xdr:col>
      <xdr:colOff>847309</xdr:colOff>
      <xdr:row>84</xdr:row>
      <xdr:rowOff>92766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AD8B1F-5491-4C53-89DB-A91197069BE5}"/>
            </a:ext>
          </a:extLst>
        </xdr:cNvPr>
        <xdr:cNvSpPr txBox="1"/>
      </xdr:nvSpPr>
      <xdr:spPr>
        <a:xfrm>
          <a:off x="157533" y="15327961"/>
          <a:ext cx="735496" cy="67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 b="1">
              <a:latin typeface="Arial Narrow" panose="020B0606020202030204" pitchFamily="34" charset="0"/>
            </a:rPr>
            <a:t>DSCR</a:t>
          </a:r>
        </a:p>
        <a:p>
          <a:pPr algn="ctr"/>
          <a:r>
            <a:rPr lang="en-CA" sz="1100" b="1">
              <a:latin typeface="Arial Narrow" panose="020B0606020202030204" pitchFamily="34" charset="0"/>
            </a:rPr>
            <a:t>Analysis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hared%20drives\Courses%20&amp;%20Programs\2%20Certified%20Banking%20&amp;%20Credit%20Analyst%20(CBCA)\25.%20How%20to%20Read%20a%20Real%20Estate%20Lease\Jan%202018%20Rent%20ro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nt Roll Details"/>
      <sheetName val="Summary"/>
      <sheetName val="Sensitivity analyses"/>
    </sheetNames>
    <sheetDataSet>
      <sheetData sheetId="0"/>
      <sheetData sheetId="1"/>
      <sheetData sheetId="2">
        <row r="43">
          <cell r="H43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B4D5-5952-4B55-B803-0E8045834A9C}">
  <dimension ref="B1:K46"/>
  <sheetViews>
    <sheetView showGridLines="0" zoomScale="120" zoomScaleNormal="120" workbookViewId="0">
      <selection activeCell="E14" sqref="E14"/>
    </sheetView>
  </sheetViews>
  <sheetFormatPr defaultColWidth="9.140625" defaultRowHeight="16.5" x14ac:dyDescent="0.3"/>
  <cols>
    <col min="1" max="2" width="11" style="2" customWidth="1"/>
    <col min="3" max="3" width="54.42578125" style="2" customWidth="1"/>
    <col min="4" max="18" width="11" style="2" customWidth="1"/>
    <col min="19" max="21" width="9.140625" style="2"/>
    <col min="22" max="22" width="9.140625" style="2" customWidth="1"/>
    <col min="23" max="16384" width="9.140625" style="2"/>
  </cols>
  <sheetData>
    <row r="1" spans="2:11" ht="19.5" customHeight="1" x14ac:dyDescent="0.3"/>
    <row r="2" spans="2:11" ht="19.5" customHeight="1" x14ac:dyDescent="0.3"/>
    <row r="3" spans="2:11" ht="19.5" customHeight="1" x14ac:dyDescent="0.3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9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ht="19.5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ht="19.5" customHeight="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ht="19.5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ht="19.5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9.5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ht="19.5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ht="19.5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ht="27" x14ac:dyDescent="0.35">
      <c r="B12" s="3"/>
      <c r="C12" s="4" t="s">
        <v>210</v>
      </c>
      <c r="D12" s="3"/>
      <c r="E12" s="3"/>
      <c r="F12" s="3"/>
      <c r="G12" s="3"/>
      <c r="H12" s="3"/>
      <c r="I12" s="3"/>
      <c r="J12" s="5" t="s">
        <v>2</v>
      </c>
      <c r="K12" s="3"/>
    </row>
    <row r="13" spans="2:11" ht="19.5" customHeight="1" x14ac:dyDescent="0.3">
      <c r="B13" s="3"/>
      <c r="C13" s="237" t="s">
        <v>206</v>
      </c>
      <c r="D13" s="3"/>
      <c r="E13" s="3"/>
      <c r="F13" s="3"/>
      <c r="G13" s="3"/>
      <c r="H13" s="3"/>
      <c r="I13" s="3"/>
      <c r="J13" s="3"/>
      <c r="K13" s="3"/>
    </row>
    <row r="14" spans="2:11" ht="19.5" customHeight="1" x14ac:dyDescent="0.3">
      <c r="B14" s="3"/>
      <c r="C14" s="237" t="s">
        <v>207</v>
      </c>
      <c r="D14" s="3"/>
      <c r="E14" s="3"/>
      <c r="F14" s="3"/>
      <c r="G14" s="3"/>
      <c r="H14" s="3"/>
      <c r="I14" s="3"/>
      <c r="J14" s="3"/>
      <c r="K14" s="3"/>
    </row>
    <row r="15" spans="2:11" ht="19.5" customHeight="1" x14ac:dyDescent="0.3">
      <c r="B15" s="3"/>
      <c r="C15" s="237" t="s">
        <v>130</v>
      </c>
      <c r="D15" s="3"/>
      <c r="E15" s="3"/>
      <c r="F15" s="3"/>
      <c r="G15" s="3"/>
      <c r="H15" s="3"/>
      <c r="I15" s="3"/>
      <c r="J15" s="3"/>
      <c r="K15" s="3"/>
    </row>
    <row r="16" spans="2:11" ht="19.5" customHeight="1" x14ac:dyDescent="0.3">
      <c r="B16" s="3"/>
      <c r="C16" s="236" t="s">
        <v>208</v>
      </c>
      <c r="D16" s="3"/>
      <c r="E16" s="3"/>
      <c r="F16" s="3"/>
      <c r="G16" s="3"/>
      <c r="H16" s="3"/>
      <c r="I16" s="3"/>
      <c r="J16" s="3"/>
      <c r="K16" s="3"/>
    </row>
    <row r="17" spans="2:11" ht="19.5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19.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19.5" customHeight="1" x14ac:dyDescent="0.3">
      <c r="B19" s="3"/>
      <c r="C19" s="3" t="s">
        <v>3</v>
      </c>
      <c r="D19" s="3"/>
      <c r="E19" s="3"/>
      <c r="F19" s="3"/>
      <c r="G19" s="3"/>
      <c r="H19" s="3"/>
      <c r="I19" s="3"/>
      <c r="J19" s="3"/>
      <c r="K19" s="3"/>
    </row>
    <row r="20" spans="2:11" ht="19.5" customHeight="1" x14ac:dyDescent="0.3">
      <c r="B20" s="3"/>
      <c r="C20" s="6" t="s">
        <v>4</v>
      </c>
      <c r="D20" s="6"/>
      <c r="E20" s="6"/>
      <c r="F20" s="6"/>
      <c r="G20" s="6"/>
      <c r="H20" s="6"/>
      <c r="I20" s="6"/>
      <c r="J20" s="6"/>
      <c r="K20" s="3"/>
    </row>
    <row r="21" spans="2:11" ht="19.5" customHeight="1" x14ac:dyDescent="0.3">
      <c r="B21" s="3"/>
      <c r="C21" s="3" t="s">
        <v>5</v>
      </c>
      <c r="D21" s="3"/>
      <c r="E21" s="3"/>
      <c r="F21" s="3"/>
      <c r="G21" s="3"/>
      <c r="H21" s="3"/>
      <c r="I21" s="3"/>
      <c r="J21" s="3"/>
      <c r="K21" s="3"/>
    </row>
    <row r="22" spans="2:11" ht="19.5" customHeight="1" x14ac:dyDescent="0.3">
      <c r="B22" s="3"/>
      <c r="C22" s="7" t="s">
        <v>1</v>
      </c>
      <c r="D22" s="3"/>
      <c r="E22" s="3"/>
      <c r="F22" s="3"/>
      <c r="G22" s="3"/>
      <c r="H22" s="3"/>
      <c r="I22" s="3"/>
      <c r="J22" s="3"/>
      <c r="K22" s="3"/>
    </row>
    <row r="23" spans="2:11" ht="19.5" customHeight="1" x14ac:dyDescent="0.3">
      <c r="B23" s="3"/>
      <c r="C23" s="7"/>
      <c r="D23" s="3"/>
      <c r="E23" s="3"/>
      <c r="F23" s="3"/>
      <c r="G23" s="3"/>
      <c r="H23" s="3"/>
      <c r="I23" s="3"/>
      <c r="J23" s="3"/>
      <c r="K23" s="3"/>
    </row>
    <row r="24" spans="2:11" ht="19.5" customHeight="1" x14ac:dyDescent="0.3">
      <c r="B24" s="3"/>
      <c r="C24" s="8" t="s">
        <v>6</v>
      </c>
      <c r="D24" s="8"/>
      <c r="E24" s="9"/>
      <c r="F24" s="9"/>
      <c r="G24" s="9"/>
      <c r="H24" s="9"/>
      <c r="I24" s="9"/>
      <c r="J24" s="9"/>
      <c r="K24" s="3"/>
    </row>
    <row r="25" spans="2:11" ht="19.5" customHeight="1" x14ac:dyDescent="0.3">
      <c r="B25" s="10"/>
      <c r="C25" s="8" t="s">
        <v>7</v>
      </c>
      <c r="D25" s="8"/>
      <c r="E25" s="8"/>
      <c r="F25" s="8"/>
      <c r="G25" s="8"/>
      <c r="H25" s="8"/>
      <c r="I25" s="8"/>
      <c r="J25" s="8"/>
      <c r="K25" s="10"/>
    </row>
    <row r="26" spans="2:11" ht="19.5" customHeight="1" x14ac:dyDescent="0.3">
      <c r="B26" s="10"/>
      <c r="C26" s="8" t="s">
        <v>8</v>
      </c>
      <c r="D26" s="8"/>
      <c r="E26" s="8"/>
      <c r="F26" s="8"/>
      <c r="G26" s="8"/>
      <c r="H26" s="8"/>
      <c r="I26" s="8"/>
      <c r="J26" s="8"/>
      <c r="K26" s="10"/>
    </row>
    <row r="27" spans="2:11" ht="19.5" customHeight="1" x14ac:dyDescent="0.3">
      <c r="B27" s="10"/>
      <c r="C27" s="8" t="s">
        <v>9</v>
      </c>
      <c r="D27" s="8"/>
      <c r="E27" s="8"/>
      <c r="F27" s="8"/>
      <c r="G27" s="8"/>
      <c r="H27" s="8"/>
      <c r="I27" s="8"/>
      <c r="J27" s="8"/>
      <c r="K27" s="10"/>
    </row>
    <row r="28" spans="2:11" ht="19.5" customHeight="1" x14ac:dyDescent="0.3">
      <c r="B28" s="10"/>
      <c r="C28" s="8"/>
      <c r="D28" s="8"/>
      <c r="E28" s="8"/>
      <c r="F28" s="8"/>
      <c r="G28" s="8"/>
      <c r="H28" s="8"/>
      <c r="I28" s="8"/>
      <c r="J28" s="8"/>
      <c r="K28" s="10"/>
    </row>
    <row r="29" spans="2:11" ht="19.5" customHeight="1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2:11" ht="19.5" customHeight="1" x14ac:dyDescent="0.3"/>
    <row r="31" spans="2:11" ht="19.5" customHeight="1" x14ac:dyDescent="0.3"/>
    <row r="32" spans="2:11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sheetProtection formatCells="0" formatColumns="0" formatRows="0" insertColumns="0" insertRows="0" insertHyperlinks="0" deleteColumns="0" deleteRows="0" sort="0" autoFilter="0" pivotTables="0"/>
  <hyperlinks>
    <hyperlink ref="C22" r:id="rId1" xr:uid="{1300BF6B-7CBF-4D54-993C-BC52350A2CB2}"/>
    <hyperlink ref="C16" location="Pricing!A1" display="Pricing" xr:uid="{2013A68E-5FDA-471D-A65C-824CBD4CBBED}"/>
    <hyperlink ref="C15" location="'Risk Rating'!A1" display="Risk Rating" xr:uid="{4DBD26E8-0B7A-4661-A75C-A93769049778}"/>
    <hyperlink ref="C14" location="Analysis!A1" display="Analysis" xr:uid="{0F153855-9132-467C-AEF5-17CF3CDF421E}"/>
    <hyperlink ref="C13" location="'Rent Roll'!A1" display="Rent Roll" xr:uid="{7A0730D9-721C-4A08-9B7F-35E6FA398C54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showGridLines="0" zoomScaleNormal="100" workbookViewId="0">
      <selection activeCell="J32" sqref="J32"/>
    </sheetView>
  </sheetViews>
  <sheetFormatPr defaultColWidth="9.140625" defaultRowHeight="15" customHeight="1" outlineLevelCol="1" x14ac:dyDescent="0.3"/>
  <cols>
    <col min="1" max="1" width="1.140625" style="14" customWidth="1"/>
    <col min="2" max="2" width="5.28515625" style="14" customWidth="1"/>
    <col min="3" max="3" width="29" style="29" customWidth="1"/>
    <col min="4" max="15" width="12.28515625" style="37" customWidth="1"/>
    <col min="16" max="16" width="12.28515625" style="37" hidden="1" customWidth="1" outlineLevel="1"/>
    <col min="17" max="17" width="42.7109375" style="37" customWidth="1" collapsed="1"/>
    <col min="18" max="16384" width="9.140625" style="14"/>
  </cols>
  <sheetData>
    <row r="1" spans="1:20" ht="16.5" x14ac:dyDescent="0.3">
      <c r="A1" s="11" t="s">
        <v>0</v>
      </c>
      <c r="B1" s="12"/>
      <c r="C1" s="2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ht="24" customHeight="1" x14ac:dyDescent="0.3">
      <c r="A2" s="12"/>
      <c r="B2" s="19" t="s">
        <v>206</v>
      </c>
      <c r="C2" s="24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20" ht="15" customHeight="1" x14ac:dyDescent="0.3">
      <c r="A3" s="15"/>
      <c r="B3" s="15"/>
      <c r="C3" s="25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20" ht="28.5" customHeight="1" x14ac:dyDescent="0.3">
      <c r="A4" s="20"/>
      <c r="B4" s="40" t="s">
        <v>10</v>
      </c>
      <c r="C4" s="41" t="s">
        <v>11</v>
      </c>
      <c r="D4" s="41" t="s">
        <v>21</v>
      </c>
      <c r="E4" s="41" t="s">
        <v>31</v>
      </c>
      <c r="F4" s="41" t="s">
        <v>17</v>
      </c>
      <c r="G4" s="41" t="s">
        <v>16</v>
      </c>
      <c r="H4" s="41" t="s">
        <v>23</v>
      </c>
      <c r="I4" s="41" t="s">
        <v>107</v>
      </c>
      <c r="J4" s="41" t="s">
        <v>19</v>
      </c>
      <c r="K4" s="41" t="s">
        <v>14</v>
      </c>
      <c r="L4" s="41" t="s">
        <v>20</v>
      </c>
      <c r="M4" s="41" t="s">
        <v>22</v>
      </c>
      <c r="N4" s="41" t="s">
        <v>18</v>
      </c>
      <c r="O4" s="41" t="s">
        <v>15</v>
      </c>
      <c r="P4" s="41" t="s">
        <v>125</v>
      </c>
      <c r="Q4" s="22" t="s">
        <v>32</v>
      </c>
    </row>
    <row r="5" spans="1:20" ht="15" customHeight="1" x14ac:dyDescent="0.3">
      <c r="A5" s="15"/>
      <c r="B5" s="111">
        <v>1</v>
      </c>
      <c r="C5" s="111" t="s">
        <v>214</v>
      </c>
      <c r="D5" s="65" t="s">
        <v>24</v>
      </c>
      <c r="E5" s="114">
        <v>40000</v>
      </c>
      <c r="F5" s="116" t="s">
        <v>27</v>
      </c>
      <c r="G5" s="116">
        <v>15</v>
      </c>
      <c r="H5" s="118">
        <v>51135</v>
      </c>
      <c r="I5" s="109">
        <f>IF((H5-Analysis!$G$2)&lt;0,0,(H5-Analysis!$G$2)/(365/12))</f>
        <v>172.40547945205478</v>
      </c>
      <c r="J5" s="120">
        <v>12</v>
      </c>
      <c r="K5" s="44">
        <f>J5*E5</f>
        <v>480000</v>
      </c>
      <c r="L5" s="120">
        <v>3</v>
      </c>
      <c r="M5" s="44">
        <f>L5*E5</f>
        <v>120000</v>
      </c>
      <c r="N5" s="120">
        <v>0</v>
      </c>
      <c r="O5" s="44">
        <f t="shared" ref="O5:O12" si="0">M5+K5+N5</f>
        <v>600000</v>
      </c>
      <c r="P5" s="106">
        <f>O5/$O$20</f>
        <v>0.22006235099944985</v>
      </c>
      <c r="Q5" s="25"/>
      <c r="R5" s="15"/>
      <c r="S5" s="15"/>
      <c r="T5" s="15"/>
    </row>
    <row r="6" spans="1:20" ht="15" customHeight="1" x14ac:dyDescent="0.3">
      <c r="A6" s="39"/>
      <c r="B6" s="112">
        <v>2</v>
      </c>
      <c r="C6" s="112" t="s">
        <v>215</v>
      </c>
      <c r="D6" s="113" t="s">
        <v>25</v>
      </c>
      <c r="E6" s="115">
        <v>30000</v>
      </c>
      <c r="F6" s="117" t="s">
        <v>117</v>
      </c>
      <c r="G6" s="117">
        <v>10</v>
      </c>
      <c r="H6" s="119">
        <v>49125</v>
      </c>
      <c r="I6" s="110">
        <f>IF((H6-Analysis!$G$2)&lt;0,0,(H6-Analysis!$G$2)/(365/12))</f>
        <v>106.32328767123288</v>
      </c>
      <c r="J6" s="121">
        <v>22</v>
      </c>
      <c r="K6" s="45">
        <f t="shared" ref="K6:K19" si="1">J6*E6</f>
        <v>660000</v>
      </c>
      <c r="L6" s="121">
        <v>6</v>
      </c>
      <c r="M6" s="45">
        <f t="shared" ref="M6:M19" si="2">L6*E6</f>
        <v>180000</v>
      </c>
      <c r="N6" s="121">
        <v>0</v>
      </c>
      <c r="O6" s="45">
        <f t="shared" si="0"/>
        <v>840000</v>
      </c>
      <c r="P6" s="107">
        <f t="shared" ref="P6:P19" si="3">O6/$O$20</f>
        <v>0.3080872913992298</v>
      </c>
      <c r="Q6" s="48"/>
      <c r="R6" s="15"/>
      <c r="S6" s="15"/>
      <c r="T6" s="15"/>
    </row>
    <row r="7" spans="1:20" ht="15" customHeight="1" x14ac:dyDescent="0.3">
      <c r="A7" s="15"/>
      <c r="B7" s="111">
        <v>3</v>
      </c>
      <c r="C7" s="111" t="s">
        <v>216</v>
      </c>
      <c r="D7" s="65" t="s">
        <v>25</v>
      </c>
      <c r="E7" s="114">
        <v>15000</v>
      </c>
      <c r="F7" s="116" t="s">
        <v>27</v>
      </c>
      <c r="G7" s="116">
        <v>12</v>
      </c>
      <c r="H7" s="118">
        <v>49765</v>
      </c>
      <c r="I7" s="109">
        <f>IF((H7-Analysis!$G$2)&lt;0,0,(H7-Analysis!$G$2)/(365/12))</f>
        <v>127.36438356164383</v>
      </c>
      <c r="J7" s="120">
        <v>28</v>
      </c>
      <c r="K7" s="44">
        <f t="shared" si="1"/>
        <v>420000</v>
      </c>
      <c r="L7" s="120">
        <v>8</v>
      </c>
      <c r="M7" s="44">
        <f t="shared" si="2"/>
        <v>120000</v>
      </c>
      <c r="N7" s="120">
        <v>0</v>
      </c>
      <c r="O7" s="44">
        <f t="shared" si="0"/>
        <v>540000</v>
      </c>
      <c r="P7" s="106">
        <f t="shared" si="3"/>
        <v>0.19805611589950486</v>
      </c>
      <c r="Q7" s="25"/>
      <c r="R7" s="15"/>
      <c r="S7" s="15"/>
      <c r="T7" s="15"/>
    </row>
    <row r="8" spans="1:20" ht="15" customHeight="1" x14ac:dyDescent="0.3">
      <c r="A8" s="39"/>
      <c r="B8" s="112">
        <v>4</v>
      </c>
      <c r="C8" s="112" t="s">
        <v>217</v>
      </c>
      <c r="D8" s="113" t="s">
        <v>25</v>
      </c>
      <c r="E8" s="115">
        <v>10000</v>
      </c>
      <c r="F8" s="117" t="s">
        <v>117</v>
      </c>
      <c r="G8" s="117">
        <v>7</v>
      </c>
      <c r="H8" s="119">
        <v>48121</v>
      </c>
      <c r="I8" s="110">
        <f>IF((H8-Analysis!$G$2)&lt;0,0,(H8-Analysis!$G$2)/(365/12))</f>
        <v>73.315068493150676</v>
      </c>
      <c r="J8" s="121">
        <v>10</v>
      </c>
      <c r="K8" s="45">
        <f t="shared" si="1"/>
        <v>100000</v>
      </c>
      <c r="L8" s="121">
        <v>2</v>
      </c>
      <c r="M8" s="45">
        <f t="shared" si="2"/>
        <v>20000</v>
      </c>
      <c r="N8" s="121">
        <v>0</v>
      </c>
      <c r="O8" s="45">
        <f t="shared" si="0"/>
        <v>120000</v>
      </c>
      <c r="P8" s="107">
        <f t="shared" si="3"/>
        <v>4.4012470199889971E-2</v>
      </c>
      <c r="Q8" s="48"/>
      <c r="R8" s="15"/>
      <c r="S8" s="15"/>
      <c r="T8" s="15"/>
    </row>
    <row r="9" spans="1:20" ht="15" customHeight="1" x14ac:dyDescent="0.3">
      <c r="A9" s="15"/>
      <c r="B9" s="111">
        <v>5</v>
      </c>
      <c r="C9" s="111" t="s">
        <v>218</v>
      </c>
      <c r="D9" s="65" t="s">
        <v>24</v>
      </c>
      <c r="E9" s="114">
        <v>4000</v>
      </c>
      <c r="F9" s="116" t="s">
        <v>27</v>
      </c>
      <c r="G9" s="116">
        <v>10</v>
      </c>
      <c r="H9" s="118">
        <v>49278</v>
      </c>
      <c r="I9" s="109">
        <f>IF((H9-Analysis!$G$2)&lt;0,0,(H9-Analysis!$G$2)/(365/12))</f>
        <v>111.35342465753425</v>
      </c>
      <c r="J9" s="120">
        <v>35</v>
      </c>
      <c r="K9" s="44">
        <f t="shared" si="1"/>
        <v>140000</v>
      </c>
      <c r="L9" s="120">
        <v>6</v>
      </c>
      <c r="M9" s="44">
        <f t="shared" si="2"/>
        <v>24000</v>
      </c>
      <c r="N9" s="120">
        <v>0</v>
      </c>
      <c r="O9" s="44">
        <f t="shared" si="0"/>
        <v>164000</v>
      </c>
      <c r="P9" s="106">
        <f t="shared" si="3"/>
        <v>6.0150375939849621E-2</v>
      </c>
      <c r="Q9" s="25"/>
      <c r="R9" s="15"/>
      <c r="S9" s="15"/>
      <c r="T9" s="15"/>
    </row>
    <row r="10" spans="1:20" ht="15" customHeight="1" x14ac:dyDescent="0.3">
      <c r="A10" s="39"/>
      <c r="B10" s="112">
        <v>6</v>
      </c>
      <c r="C10" s="112" t="s">
        <v>219</v>
      </c>
      <c r="D10" s="113" t="s">
        <v>24</v>
      </c>
      <c r="E10" s="115">
        <v>3000</v>
      </c>
      <c r="F10" s="117" t="s">
        <v>27</v>
      </c>
      <c r="G10" s="117">
        <v>5</v>
      </c>
      <c r="H10" s="119">
        <v>47269</v>
      </c>
      <c r="I10" s="110">
        <f>IF((H10-Analysis!$G$2)&lt;0,0,(H10-Analysis!$G$2)/(365/12))</f>
        <v>45.304109589041097</v>
      </c>
      <c r="J10" s="121">
        <v>28</v>
      </c>
      <c r="K10" s="45">
        <f t="shared" si="1"/>
        <v>84000</v>
      </c>
      <c r="L10" s="121">
        <v>6</v>
      </c>
      <c r="M10" s="45">
        <f t="shared" si="2"/>
        <v>18000</v>
      </c>
      <c r="N10" s="121">
        <v>0</v>
      </c>
      <c r="O10" s="45">
        <f t="shared" si="0"/>
        <v>102000</v>
      </c>
      <c r="P10" s="107">
        <f t="shared" si="3"/>
        <v>3.7410599669906473E-2</v>
      </c>
      <c r="Q10" s="48"/>
      <c r="R10" s="15"/>
      <c r="S10" s="15"/>
      <c r="T10" s="15"/>
    </row>
    <row r="11" spans="1:20" ht="15" customHeight="1" x14ac:dyDescent="0.3">
      <c r="A11" s="15"/>
      <c r="B11" s="111">
        <v>7</v>
      </c>
      <c r="C11" s="111" t="s">
        <v>220</v>
      </c>
      <c r="D11" s="65" t="s">
        <v>26</v>
      </c>
      <c r="E11" s="114">
        <v>2500</v>
      </c>
      <c r="F11" s="116" t="s">
        <v>117</v>
      </c>
      <c r="G11" s="116">
        <v>3</v>
      </c>
      <c r="H11" s="118">
        <v>46752</v>
      </c>
      <c r="I11" s="109">
        <f>IF((H11-Analysis!$G$2)&lt;0,0,(H11-Analysis!$G$2)/(365/12))</f>
        <v>28.306849315068494</v>
      </c>
      <c r="J11" s="120">
        <v>20</v>
      </c>
      <c r="K11" s="44">
        <f t="shared" si="1"/>
        <v>50000</v>
      </c>
      <c r="L11" s="120">
        <v>3.5</v>
      </c>
      <c r="M11" s="44">
        <f t="shared" si="2"/>
        <v>8750</v>
      </c>
      <c r="N11" s="120">
        <v>0</v>
      </c>
      <c r="O11" s="44">
        <f t="shared" si="0"/>
        <v>58750</v>
      </c>
      <c r="P11" s="106">
        <f t="shared" si="3"/>
        <v>2.1547771868696129E-2</v>
      </c>
      <c r="Q11" s="25"/>
      <c r="R11" s="15"/>
      <c r="S11" s="15"/>
      <c r="T11" s="15"/>
    </row>
    <row r="12" spans="1:20" ht="15" customHeight="1" x14ac:dyDescent="0.3">
      <c r="A12" s="39"/>
      <c r="B12" s="112">
        <v>8</v>
      </c>
      <c r="C12" s="112" t="s">
        <v>221</v>
      </c>
      <c r="D12" s="113" t="s">
        <v>24</v>
      </c>
      <c r="E12" s="115">
        <v>5000</v>
      </c>
      <c r="F12" s="117" t="s">
        <v>27</v>
      </c>
      <c r="G12" s="117">
        <v>8</v>
      </c>
      <c r="H12" s="119">
        <v>48457</v>
      </c>
      <c r="I12" s="110">
        <f>IF((H12-Analysis!$G$2)&lt;0,0,(H12-Analysis!$G$2)/(365/12))</f>
        <v>84.361643835616434</v>
      </c>
      <c r="J12" s="121">
        <v>25</v>
      </c>
      <c r="K12" s="45">
        <f t="shared" si="1"/>
        <v>125000</v>
      </c>
      <c r="L12" s="121">
        <v>5</v>
      </c>
      <c r="M12" s="45">
        <f t="shared" si="2"/>
        <v>25000</v>
      </c>
      <c r="N12" s="120">
        <v>0</v>
      </c>
      <c r="O12" s="45">
        <f t="shared" si="0"/>
        <v>150000</v>
      </c>
      <c r="P12" s="107">
        <f t="shared" si="3"/>
        <v>5.5015587749862462E-2</v>
      </c>
      <c r="Q12" s="48"/>
      <c r="R12" s="15"/>
      <c r="S12" s="15"/>
      <c r="T12" s="15"/>
    </row>
    <row r="13" spans="1:20" ht="15" customHeight="1" x14ac:dyDescent="0.3">
      <c r="A13" s="15"/>
      <c r="B13" s="111">
        <v>9</v>
      </c>
      <c r="C13" s="112" t="s">
        <v>222</v>
      </c>
      <c r="D13" s="65" t="s">
        <v>26</v>
      </c>
      <c r="E13" s="114">
        <v>7500</v>
      </c>
      <c r="F13" s="116" t="s">
        <v>27</v>
      </c>
      <c r="G13" s="116">
        <v>4</v>
      </c>
      <c r="H13" s="118">
        <v>46965</v>
      </c>
      <c r="I13" s="109">
        <f>IF((H13-Analysis!$G$2)&lt;0,0,(H13-Analysis!$G$2)/(365/12))</f>
        <v>35.30958904109589</v>
      </c>
      <c r="J13" s="120">
        <v>8</v>
      </c>
      <c r="K13" s="44">
        <f t="shared" si="1"/>
        <v>60000</v>
      </c>
      <c r="L13" s="120">
        <v>1.5</v>
      </c>
      <c r="M13" s="44">
        <f t="shared" si="2"/>
        <v>11250</v>
      </c>
      <c r="N13" s="120">
        <v>0</v>
      </c>
      <c r="O13" s="44">
        <f t="shared" ref="O13:O19" si="4">M13+K13</f>
        <v>71250</v>
      </c>
      <c r="P13" s="106">
        <f t="shared" si="3"/>
        <v>2.6132404181184669E-2</v>
      </c>
      <c r="Q13" s="25"/>
      <c r="R13" s="15"/>
      <c r="S13" s="15"/>
      <c r="T13" s="15"/>
    </row>
    <row r="14" spans="1:20" ht="15" customHeight="1" x14ac:dyDescent="0.3">
      <c r="A14" s="39"/>
      <c r="B14" s="112">
        <v>10</v>
      </c>
      <c r="C14" s="112" t="s">
        <v>223</v>
      </c>
      <c r="D14" s="113" t="s">
        <v>26</v>
      </c>
      <c r="E14" s="115">
        <v>2000</v>
      </c>
      <c r="F14" s="117" t="s">
        <v>117</v>
      </c>
      <c r="G14" s="117">
        <v>3</v>
      </c>
      <c r="H14" s="119">
        <v>46081</v>
      </c>
      <c r="I14" s="110">
        <f>IF((H14-Analysis!$G$2)&lt;0,0,(H14-Analysis!$G$2)/(365/12))</f>
        <v>6.2465753424657535</v>
      </c>
      <c r="J14" s="121">
        <v>20</v>
      </c>
      <c r="K14" s="45">
        <f t="shared" si="1"/>
        <v>40000</v>
      </c>
      <c r="L14" s="121">
        <v>4</v>
      </c>
      <c r="M14" s="45">
        <f t="shared" si="2"/>
        <v>8000</v>
      </c>
      <c r="N14" s="120">
        <v>0</v>
      </c>
      <c r="O14" s="45">
        <f t="shared" si="4"/>
        <v>48000</v>
      </c>
      <c r="P14" s="107">
        <f t="shared" si="3"/>
        <v>1.7604988079955988E-2</v>
      </c>
      <c r="Q14" s="48"/>
      <c r="R14" s="15"/>
      <c r="S14" s="15"/>
      <c r="T14" s="15"/>
    </row>
    <row r="15" spans="1:20" ht="15" customHeight="1" x14ac:dyDescent="0.3">
      <c r="A15" s="15"/>
      <c r="B15" s="111">
        <v>11</v>
      </c>
      <c r="C15" s="112" t="s">
        <v>224</v>
      </c>
      <c r="D15" s="65" t="s">
        <v>26</v>
      </c>
      <c r="E15" s="114">
        <v>1000</v>
      </c>
      <c r="F15" s="116" t="s">
        <v>33</v>
      </c>
      <c r="G15" s="116">
        <v>2</v>
      </c>
      <c r="H15" s="118">
        <v>46387</v>
      </c>
      <c r="I15" s="109">
        <f>IF((H15-Analysis!$G$2)&lt;0,0,(H15-Analysis!$G$2)/(365/12))</f>
        <v>16.306849315068494</v>
      </c>
      <c r="J15" s="120">
        <v>30</v>
      </c>
      <c r="K15" s="44">
        <f t="shared" si="1"/>
        <v>30000</v>
      </c>
      <c r="L15" s="120">
        <v>2.5</v>
      </c>
      <c r="M15" s="44">
        <f t="shared" si="2"/>
        <v>2500</v>
      </c>
      <c r="N15" s="120">
        <v>0</v>
      </c>
      <c r="O15" s="44">
        <f t="shared" si="4"/>
        <v>32500</v>
      </c>
      <c r="P15" s="106">
        <f t="shared" si="3"/>
        <v>1.19200440124702E-2</v>
      </c>
      <c r="Q15" s="25"/>
      <c r="R15" s="15"/>
      <c r="S15" s="15"/>
      <c r="T15" s="15"/>
    </row>
    <row r="16" spans="1:20" ht="15" customHeight="1" x14ac:dyDescent="0.3">
      <c r="A16" s="39"/>
      <c r="B16" s="112"/>
      <c r="C16" s="112"/>
      <c r="D16" s="113"/>
      <c r="E16" s="115"/>
      <c r="F16" s="117"/>
      <c r="G16" s="117"/>
      <c r="H16" s="119"/>
      <c r="I16" s="110">
        <f>IF((H16-Analysis!$G$2)&lt;0,0,(H16-Analysis!$G$2)/(365/12))</f>
        <v>0</v>
      </c>
      <c r="J16" s="121"/>
      <c r="K16" s="45">
        <f t="shared" si="1"/>
        <v>0</v>
      </c>
      <c r="L16" s="121"/>
      <c r="M16" s="45">
        <f t="shared" si="2"/>
        <v>0</v>
      </c>
      <c r="N16" s="121"/>
      <c r="O16" s="45">
        <f t="shared" si="4"/>
        <v>0</v>
      </c>
      <c r="P16" s="107">
        <f t="shared" si="3"/>
        <v>0</v>
      </c>
      <c r="Q16" s="48"/>
      <c r="R16" s="15"/>
      <c r="S16" s="15"/>
      <c r="T16" s="15"/>
    </row>
    <row r="17" spans="1:20" ht="15" customHeight="1" x14ac:dyDescent="0.3">
      <c r="A17" s="15"/>
      <c r="B17" s="111"/>
      <c r="C17" s="111"/>
      <c r="D17" s="65"/>
      <c r="E17" s="114"/>
      <c r="F17" s="116"/>
      <c r="G17" s="116"/>
      <c r="H17" s="118"/>
      <c r="I17" s="109">
        <f>IF((H17-Analysis!$G$2)&lt;0,0,(H17-Analysis!$G$2)/(365/12))</f>
        <v>0</v>
      </c>
      <c r="J17" s="120"/>
      <c r="K17" s="44">
        <f t="shared" si="1"/>
        <v>0</v>
      </c>
      <c r="L17" s="120"/>
      <c r="M17" s="44">
        <f t="shared" si="2"/>
        <v>0</v>
      </c>
      <c r="N17" s="120"/>
      <c r="O17" s="44">
        <f t="shared" si="4"/>
        <v>0</v>
      </c>
      <c r="P17" s="106">
        <f t="shared" si="3"/>
        <v>0</v>
      </c>
      <c r="Q17" s="25"/>
      <c r="R17" s="15"/>
      <c r="S17" s="15"/>
      <c r="T17" s="15"/>
    </row>
    <row r="18" spans="1:20" ht="15" customHeight="1" x14ac:dyDescent="0.3">
      <c r="A18" s="39"/>
      <c r="B18" s="112"/>
      <c r="C18" s="112"/>
      <c r="D18" s="113"/>
      <c r="E18" s="115"/>
      <c r="F18" s="117"/>
      <c r="G18" s="117"/>
      <c r="H18" s="119"/>
      <c r="I18" s="110">
        <f>IF((H18-Analysis!$G$2)&lt;0,0,(H18-Analysis!$G$2)/(365/12))</f>
        <v>0</v>
      </c>
      <c r="J18" s="121"/>
      <c r="K18" s="45">
        <f t="shared" si="1"/>
        <v>0</v>
      </c>
      <c r="L18" s="121"/>
      <c r="M18" s="45">
        <f t="shared" si="2"/>
        <v>0</v>
      </c>
      <c r="N18" s="121"/>
      <c r="O18" s="45">
        <f t="shared" si="4"/>
        <v>0</v>
      </c>
      <c r="P18" s="107">
        <f t="shared" si="3"/>
        <v>0</v>
      </c>
      <c r="Q18" s="48"/>
      <c r="R18" s="15"/>
      <c r="S18" s="15"/>
      <c r="T18" s="15"/>
    </row>
    <row r="19" spans="1:20" ht="15" customHeight="1" x14ac:dyDescent="0.3">
      <c r="A19" s="15"/>
      <c r="B19" s="111"/>
      <c r="C19" s="111"/>
      <c r="D19" s="65"/>
      <c r="E19" s="114"/>
      <c r="F19" s="116"/>
      <c r="G19" s="116"/>
      <c r="H19" s="118"/>
      <c r="I19" s="109">
        <f>IF((H19-Analysis!$G$2)&lt;0,0,(H19-Analysis!$G$2)/(365/12))</f>
        <v>0</v>
      </c>
      <c r="J19" s="120"/>
      <c r="K19" s="44">
        <f t="shared" si="1"/>
        <v>0</v>
      </c>
      <c r="L19" s="120"/>
      <c r="M19" s="44">
        <f t="shared" si="2"/>
        <v>0</v>
      </c>
      <c r="N19" s="120"/>
      <c r="O19" s="44">
        <f t="shared" si="4"/>
        <v>0</v>
      </c>
      <c r="P19" s="106">
        <f t="shared" si="3"/>
        <v>0</v>
      </c>
      <c r="Q19" s="25"/>
      <c r="R19" s="15"/>
      <c r="S19" s="15"/>
      <c r="T19" s="15"/>
    </row>
    <row r="20" spans="1:20" ht="15" customHeight="1" x14ac:dyDescent="0.3">
      <c r="A20" s="22"/>
      <c r="B20" s="41"/>
      <c r="C20" s="41"/>
      <c r="D20" s="42"/>
      <c r="E20" s="43">
        <f>SUM(E5:E19)</f>
        <v>120000</v>
      </c>
      <c r="F20" s="42"/>
      <c r="G20" s="42"/>
      <c r="H20" s="42"/>
      <c r="I20" s="42"/>
      <c r="J20" s="46">
        <f>$K$20/$E$20</f>
        <v>18.241666666666667</v>
      </c>
      <c r="K20" s="46">
        <f>SUM(K5:K19)</f>
        <v>2189000</v>
      </c>
      <c r="L20" s="46">
        <f>$M$20/$E$20</f>
        <v>4.479166666666667</v>
      </c>
      <c r="M20" s="46">
        <f>SUM(M5:M19)</f>
        <v>537500</v>
      </c>
      <c r="N20" s="46">
        <f>SUM(N5:N19)</f>
        <v>0</v>
      </c>
      <c r="O20" s="46">
        <f>M20+K20+N20</f>
        <v>2726500</v>
      </c>
      <c r="P20" s="108">
        <f>SUM(P5:P19)</f>
        <v>1.0000000000000002</v>
      </c>
      <c r="Q20" s="47"/>
      <c r="R20" s="15"/>
      <c r="S20" s="15"/>
      <c r="T20" s="15"/>
    </row>
    <row r="21" spans="1:20" ht="15" customHeight="1" x14ac:dyDescent="0.3">
      <c r="A21" s="15"/>
      <c r="B21" s="15"/>
      <c r="C21" s="25"/>
      <c r="D21" s="31"/>
      <c r="E21" s="31"/>
      <c r="F21" s="31"/>
      <c r="G21" s="31"/>
      <c r="H21" s="32"/>
      <c r="I21" s="104"/>
      <c r="J21" s="31"/>
      <c r="K21" s="31"/>
      <c r="L21" s="31"/>
      <c r="M21" s="31"/>
      <c r="N21" s="31"/>
      <c r="O21" s="31"/>
      <c r="P21" s="31"/>
      <c r="Q21" s="31"/>
      <c r="R21" s="15"/>
      <c r="S21" s="15"/>
      <c r="T21" s="15"/>
    </row>
    <row r="22" spans="1:20" ht="15" customHeight="1" x14ac:dyDescent="0.3">
      <c r="A22" s="15"/>
      <c r="B22" s="15"/>
      <c r="C22" s="25"/>
      <c r="D22" s="31"/>
      <c r="E22" s="104"/>
      <c r="F22" s="31"/>
      <c r="G22" s="31"/>
      <c r="H22" s="32"/>
      <c r="I22" s="105"/>
      <c r="J22" s="31"/>
      <c r="K22" s="31"/>
      <c r="L22" s="31"/>
      <c r="M22" s="31"/>
      <c r="N22" s="31"/>
      <c r="O22" s="31"/>
      <c r="P22" s="31"/>
      <c r="Q22" s="31"/>
      <c r="R22" s="15"/>
      <c r="S22" s="15"/>
      <c r="T22" s="15"/>
    </row>
    <row r="23" spans="1:20" ht="15" customHeight="1" x14ac:dyDescent="0.3">
      <c r="A23" s="15"/>
      <c r="B23" s="15"/>
      <c r="C23" s="25"/>
      <c r="D23" s="31"/>
      <c r="E23" s="104"/>
      <c r="F23" s="31"/>
      <c r="G23" s="31"/>
      <c r="H23" s="32"/>
      <c r="I23" s="31"/>
      <c r="J23" s="31"/>
      <c r="K23" s="31"/>
      <c r="L23" s="31"/>
      <c r="M23" s="31"/>
      <c r="N23" s="31"/>
      <c r="O23" s="31"/>
      <c r="P23" s="31"/>
      <c r="Q23" s="31"/>
      <c r="R23" s="15"/>
      <c r="S23" s="15"/>
      <c r="T23" s="15"/>
    </row>
    <row r="24" spans="1:20" ht="15" customHeight="1" x14ac:dyDescent="0.3">
      <c r="A24" s="15"/>
      <c r="B24" s="21"/>
      <c r="C24" s="25"/>
      <c r="D24" s="31"/>
      <c r="E24" s="104"/>
      <c r="F24" s="31"/>
      <c r="G24" s="31"/>
      <c r="H24" s="33"/>
      <c r="I24" s="31"/>
      <c r="J24" s="31"/>
      <c r="K24" s="31"/>
      <c r="L24" s="31"/>
      <c r="M24" s="31"/>
      <c r="N24" s="31"/>
      <c r="O24" s="31"/>
      <c r="P24" s="31"/>
      <c r="Q24" s="31"/>
      <c r="R24" s="15"/>
      <c r="S24" s="15"/>
      <c r="T24" s="15"/>
    </row>
    <row r="25" spans="1:20" ht="15" customHeight="1" x14ac:dyDescent="0.3">
      <c r="A25" s="15"/>
      <c r="B25" s="15"/>
      <c r="C25" s="25"/>
      <c r="D25" s="31"/>
      <c r="E25" s="31"/>
      <c r="F25" s="31"/>
      <c r="G25" s="31"/>
      <c r="H25" s="31"/>
      <c r="I25" s="98"/>
      <c r="J25" s="31"/>
      <c r="K25" s="246"/>
      <c r="L25" s="31"/>
      <c r="M25" s="31"/>
      <c r="N25" s="31"/>
      <c r="O25" s="31"/>
      <c r="P25" s="31"/>
      <c r="Q25" s="31"/>
    </row>
    <row r="26" spans="1:20" ht="15" customHeight="1" x14ac:dyDescent="0.3">
      <c r="A26" s="16"/>
      <c r="B26" s="15"/>
      <c r="C26" s="26"/>
      <c r="D26" s="34"/>
      <c r="E26" s="34"/>
      <c r="F26" s="34"/>
      <c r="G26" s="34"/>
      <c r="H26" s="31"/>
      <c r="I26" s="31"/>
      <c r="J26" s="31"/>
      <c r="K26" s="223"/>
      <c r="L26" s="31"/>
      <c r="M26" s="31"/>
      <c r="N26" s="31"/>
      <c r="O26" s="31"/>
      <c r="P26" s="31"/>
      <c r="Q26" s="31"/>
    </row>
    <row r="27" spans="1:20" ht="15" customHeight="1" x14ac:dyDescent="0.3">
      <c r="A27" s="17"/>
      <c r="B27" s="1"/>
      <c r="C27" s="27"/>
      <c r="D27" s="35"/>
      <c r="E27" s="35"/>
      <c r="F27" s="35"/>
      <c r="G27" s="35"/>
      <c r="H27" s="36"/>
    </row>
    <row r="28" spans="1:20" ht="15" customHeight="1" x14ac:dyDescent="0.3">
      <c r="A28" s="17"/>
      <c r="B28" s="17"/>
      <c r="C28" s="27"/>
      <c r="D28" s="35"/>
      <c r="E28" s="35"/>
      <c r="F28" s="35"/>
      <c r="G28" s="35"/>
    </row>
    <row r="29" spans="1:20" ht="15" customHeight="1" x14ac:dyDescent="0.3">
      <c r="A29" s="17"/>
      <c r="B29" s="17"/>
      <c r="C29" s="27"/>
      <c r="D29" s="35"/>
      <c r="E29" s="35"/>
      <c r="F29" s="35"/>
      <c r="G29" s="35"/>
    </row>
    <row r="30" spans="1:20" ht="15" customHeight="1" x14ac:dyDescent="0.3">
      <c r="A30" s="17"/>
      <c r="B30" s="17"/>
      <c r="C30" s="27"/>
      <c r="D30" s="35"/>
      <c r="E30" s="35"/>
      <c r="F30" s="35"/>
      <c r="G30" s="35"/>
    </row>
    <row r="31" spans="1:20" ht="15" customHeight="1" x14ac:dyDescent="0.3">
      <c r="A31" s="17"/>
      <c r="B31" s="17"/>
      <c r="C31" s="27"/>
      <c r="D31" s="35"/>
      <c r="E31" s="35"/>
      <c r="F31" s="35"/>
      <c r="G31" s="35"/>
    </row>
    <row r="32" spans="1:20" ht="15" customHeight="1" x14ac:dyDescent="0.3">
      <c r="A32" s="17"/>
      <c r="B32" s="17"/>
      <c r="C32" s="27"/>
      <c r="D32" s="35"/>
      <c r="E32" s="35"/>
      <c r="F32" s="35"/>
      <c r="G32" s="35"/>
    </row>
    <row r="33" spans="1:7" ht="15" customHeight="1" x14ac:dyDescent="0.3">
      <c r="A33" s="17"/>
      <c r="B33" s="17"/>
      <c r="C33" s="27"/>
      <c r="D33" s="35"/>
      <c r="E33" s="35"/>
      <c r="F33" s="35"/>
      <c r="G33" s="35"/>
    </row>
    <row r="34" spans="1:7" ht="15" customHeight="1" x14ac:dyDescent="0.3">
      <c r="A34" s="17"/>
      <c r="B34" s="17"/>
      <c r="C34" s="28"/>
      <c r="D34" s="38"/>
      <c r="E34" s="35"/>
      <c r="F34" s="35"/>
      <c r="G34" s="35"/>
    </row>
    <row r="35" spans="1:7" ht="15" customHeight="1" x14ac:dyDescent="0.3">
      <c r="B35" s="18"/>
    </row>
  </sheetData>
  <sortState xmlns:xlrd2="http://schemas.microsoft.com/office/spreadsheetml/2017/richdata2" ref="R5:R19">
    <sortCondition descending="1" ref="R5:R19"/>
  </sortState>
  <pageMargins left="0.7" right="0.7" top="0.75" bottom="0.75" header="0.3" footer="0.3"/>
  <pageSetup orientation="portrait" r:id="rId1"/>
  <ignoredErrors>
    <ignoredError sqref="L20 O20" 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7B63DA-DEB0-44D3-972E-801C62BF1DCF}">
          <x14:formula1>
            <xm:f>Admin!$B$16:$B$20</xm:f>
          </x14:formula1>
          <xm:sqref>D5:D19</xm:sqref>
        </x14:dataValidation>
        <x14:dataValidation type="list" allowBlank="1" showInputMessage="1" showErrorMessage="1" xr:uid="{A619267C-9E0B-453D-B9B0-0790FDCD0EBB}">
          <x14:formula1>
            <xm:f>Admin!$E$16:$E$22</xm:f>
          </x14:formula1>
          <xm:sqref>F5:F19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DF54-EB35-47D8-B00B-C65A8DE46046}">
  <dimension ref="A1:R88"/>
  <sheetViews>
    <sheetView showGridLines="0" topLeftCell="A27" zoomScale="120" zoomScaleNormal="120" workbookViewId="0">
      <selection activeCell="N14" sqref="N14"/>
    </sheetView>
  </sheetViews>
  <sheetFormatPr defaultColWidth="9.140625" defaultRowHeight="15" customHeight="1" x14ac:dyDescent="0.3"/>
  <cols>
    <col min="1" max="1" width="0.7109375" style="29" customWidth="1"/>
    <col min="2" max="2" width="14.140625" style="29" customWidth="1"/>
    <col min="3" max="3" width="12.7109375" style="29" customWidth="1"/>
    <col min="4" max="4" width="11.85546875" style="29" customWidth="1"/>
    <col min="5" max="5" width="13.7109375" style="29" bestFit="1" customWidth="1"/>
    <col min="6" max="6" width="1.7109375" style="29" customWidth="1"/>
    <col min="7" max="10" width="11.85546875" style="29" customWidth="1"/>
    <col min="11" max="11" width="1.7109375" style="29" customWidth="1"/>
    <col min="12" max="12" width="12" style="29" customWidth="1"/>
    <col min="13" max="15" width="11.85546875" style="29" customWidth="1"/>
    <col min="16" max="16" width="1.85546875" style="29" customWidth="1"/>
    <col min="17" max="17" width="25.85546875" style="29" customWidth="1"/>
    <col min="18" max="16384" width="9.140625" style="29"/>
  </cols>
  <sheetData>
    <row r="1" spans="1:18" ht="16.5" x14ac:dyDescent="0.3">
      <c r="A1" s="49" t="s">
        <v>0</v>
      </c>
      <c r="B1" s="99"/>
      <c r="C1" s="23"/>
      <c r="D1" s="23"/>
      <c r="E1" s="5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8" ht="24" customHeight="1" x14ac:dyDescent="0.3">
      <c r="A2" s="23"/>
      <c r="B2" s="50" t="s">
        <v>207</v>
      </c>
      <c r="C2" s="50"/>
      <c r="D2" s="24"/>
      <c r="E2" s="54"/>
      <c r="F2" s="54" t="s">
        <v>36</v>
      </c>
      <c r="G2" s="247">
        <v>45891</v>
      </c>
      <c r="H2" s="54"/>
      <c r="I2" s="54" t="s">
        <v>35</v>
      </c>
      <c r="J2" s="24" t="s">
        <v>213</v>
      </c>
      <c r="K2" s="24"/>
      <c r="L2" s="24"/>
      <c r="M2" s="24"/>
      <c r="N2" s="24"/>
      <c r="O2" s="24"/>
    </row>
    <row r="3" spans="1:18" ht="15" customHeight="1" x14ac:dyDescent="0.3">
      <c r="A3" s="25"/>
      <c r="B3" s="25"/>
      <c r="C3" s="25"/>
      <c r="D3" s="25"/>
      <c r="E3" s="25"/>
      <c r="F3" s="25"/>
      <c r="J3" s="156"/>
    </row>
    <row r="4" spans="1:18" ht="16.5" x14ac:dyDescent="0.3">
      <c r="A4" s="51"/>
      <c r="B4" s="52" t="s">
        <v>34</v>
      </c>
      <c r="C4" s="52"/>
      <c r="D4" s="52"/>
      <c r="E4" s="41"/>
      <c r="F4" s="52" t="s">
        <v>40</v>
      </c>
      <c r="G4" s="52"/>
      <c r="H4" s="52"/>
      <c r="I4" s="52"/>
      <c r="J4" s="52"/>
      <c r="K4" s="52"/>
      <c r="L4" s="52"/>
      <c r="M4" s="87"/>
      <c r="N4" s="87"/>
      <c r="P4" s="239"/>
      <c r="Q4"/>
      <c r="R4" s="240"/>
    </row>
    <row r="5" spans="1:18" ht="15" customHeight="1" x14ac:dyDescent="0.3">
      <c r="A5" s="25"/>
      <c r="B5" s="56" t="s">
        <v>109</v>
      </c>
      <c r="C5" s="25"/>
      <c r="D5" s="260" t="s">
        <v>225</v>
      </c>
      <c r="E5" s="261"/>
      <c r="F5" s="268"/>
      <c r="G5" s="269"/>
      <c r="H5" s="269"/>
      <c r="I5" s="269"/>
      <c r="J5" s="269"/>
      <c r="K5" s="269"/>
      <c r="L5" s="269"/>
      <c r="P5"/>
      <c r="Q5"/>
      <c r="R5" s="241"/>
    </row>
    <row r="6" spans="1:18" ht="15" customHeight="1" x14ac:dyDescent="0.3">
      <c r="A6" s="25"/>
      <c r="B6" s="56" t="s">
        <v>38</v>
      </c>
      <c r="C6" s="25"/>
      <c r="D6" s="260" t="s">
        <v>212</v>
      </c>
      <c r="E6" s="261"/>
      <c r="F6" s="268" t="s">
        <v>66</v>
      </c>
      <c r="G6" s="269"/>
      <c r="H6" s="269"/>
      <c r="I6" s="269"/>
      <c r="J6" s="269"/>
      <c r="K6" s="269"/>
      <c r="L6" s="269"/>
      <c r="P6"/>
      <c r="Q6"/>
      <c r="R6" s="242"/>
    </row>
    <row r="7" spans="1:18" ht="15" customHeight="1" x14ac:dyDescent="0.3">
      <c r="A7" s="25"/>
      <c r="B7" s="56" t="s">
        <v>37</v>
      </c>
      <c r="C7" s="25"/>
      <c r="D7" s="262" t="s">
        <v>198</v>
      </c>
      <c r="E7" s="263"/>
      <c r="F7" s="268" t="s">
        <v>66</v>
      </c>
      <c r="G7" s="269"/>
      <c r="H7" s="269"/>
      <c r="I7" s="269"/>
      <c r="J7" s="269"/>
      <c r="K7" s="269"/>
      <c r="L7" s="269"/>
      <c r="P7" s="243"/>
      <c r="Q7" s="242"/>
      <c r="R7" s="242"/>
    </row>
    <row r="8" spans="1:18" ht="15" customHeight="1" x14ac:dyDescent="0.3">
      <c r="A8" s="25"/>
      <c r="B8" s="57" t="s">
        <v>39</v>
      </c>
      <c r="D8" s="264">
        <v>2008</v>
      </c>
      <c r="E8" s="265"/>
      <c r="F8" s="268"/>
      <c r="G8" s="269"/>
      <c r="H8" s="269"/>
      <c r="I8" s="269"/>
      <c r="J8" s="269"/>
      <c r="K8" s="269"/>
      <c r="L8" s="269"/>
      <c r="P8" s="242"/>
      <c r="Q8" s="242"/>
      <c r="R8" s="244"/>
    </row>
    <row r="9" spans="1:18" ht="15" customHeight="1" x14ac:dyDescent="0.3">
      <c r="A9" s="25"/>
      <c r="B9" s="57" t="s">
        <v>43</v>
      </c>
      <c r="D9" s="266">
        <f>IF(D8=0,"NA",YEAR(Analysis!$G$2)-D8)</f>
        <v>17</v>
      </c>
      <c r="E9" s="267"/>
      <c r="F9" s="268" t="s">
        <v>65</v>
      </c>
      <c r="G9" s="269"/>
      <c r="H9" s="269"/>
      <c r="I9" s="269"/>
      <c r="J9" s="269"/>
      <c r="K9" s="269"/>
      <c r="L9" s="269"/>
      <c r="P9" s="242"/>
      <c r="Q9" s="242"/>
      <c r="R9" s="244"/>
    </row>
    <row r="10" spans="1:18" ht="15" customHeight="1" x14ac:dyDescent="0.3">
      <c r="A10" s="25"/>
      <c r="B10" s="57" t="s">
        <v>42</v>
      </c>
      <c r="D10" s="252">
        <v>12</v>
      </c>
      <c r="E10" s="253"/>
      <c r="F10" s="268"/>
      <c r="G10" s="269"/>
      <c r="H10" s="269"/>
      <c r="I10" s="269"/>
      <c r="J10" s="269"/>
      <c r="K10" s="269"/>
      <c r="L10" s="269"/>
      <c r="P10" s="242"/>
      <c r="Q10" s="242"/>
      <c r="R10" s="245"/>
    </row>
    <row r="11" spans="1:18" ht="15" customHeight="1" x14ac:dyDescent="0.3">
      <c r="B11" s="57" t="s">
        <v>44</v>
      </c>
      <c r="D11" s="252">
        <v>50</v>
      </c>
      <c r="E11" s="253"/>
      <c r="F11" s="258"/>
      <c r="G11" s="259"/>
      <c r="H11" s="259"/>
      <c r="I11" s="259"/>
      <c r="J11" s="259"/>
      <c r="K11" s="259"/>
      <c r="L11" s="259"/>
      <c r="P11" s="242"/>
      <c r="Q11" s="242"/>
      <c r="R11" s="243"/>
    </row>
    <row r="12" spans="1:18" ht="15" customHeight="1" x14ac:dyDescent="0.3">
      <c r="B12" s="57" t="s">
        <v>45</v>
      </c>
      <c r="D12" s="254">
        <f>IFERROR(D11-D9, "NA")</f>
        <v>33</v>
      </c>
      <c r="E12" s="255"/>
      <c r="F12" s="258" t="s">
        <v>64</v>
      </c>
      <c r="G12" s="259"/>
      <c r="H12" s="259"/>
      <c r="I12" s="259"/>
      <c r="J12" s="259"/>
      <c r="K12" s="259"/>
      <c r="L12" s="259"/>
      <c r="P12" s="242"/>
      <c r="Q12" s="242"/>
      <c r="R12" s="243"/>
    </row>
    <row r="13" spans="1:18" ht="15" customHeight="1" x14ac:dyDescent="0.3">
      <c r="B13" s="57" t="s">
        <v>120</v>
      </c>
      <c r="D13" s="252" t="s">
        <v>177</v>
      </c>
      <c r="E13" s="253"/>
      <c r="F13" s="258" t="s">
        <v>66</v>
      </c>
      <c r="G13" s="259"/>
      <c r="H13" s="259"/>
      <c r="I13" s="259"/>
      <c r="J13" s="259"/>
      <c r="K13" s="259"/>
      <c r="L13" s="259"/>
      <c r="P13" s="242"/>
      <c r="Q13" s="242"/>
      <c r="R13" s="245"/>
    </row>
    <row r="14" spans="1:18" ht="15" customHeight="1" x14ac:dyDescent="0.3">
      <c r="B14" s="57" t="s">
        <v>143</v>
      </c>
      <c r="D14" s="252" t="s">
        <v>165</v>
      </c>
      <c r="E14" s="253"/>
      <c r="F14" s="258" t="s">
        <v>166</v>
      </c>
      <c r="G14" s="259"/>
      <c r="H14" s="259"/>
      <c r="I14" s="259"/>
      <c r="J14" s="259"/>
      <c r="K14" s="259"/>
      <c r="L14" s="259"/>
      <c r="P14" s="242"/>
      <c r="Q14" s="242"/>
      <c r="R14" s="245"/>
    </row>
    <row r="15" spans="1:18" ht="15" customHeight="1" x14ac:dyDescent="0.3">
      <c r="D15" s="62"/>
      <c r="E15" s="62"/>
      <c r="J15" s="238"/>
      <c r="P15" s="242"/>
      <c r="Q15" s="242"/>
      <c r="R15" s="245"/>
    </row>
    <row r="16" spans="1:18" ht="15" customHeight="1" x14ac:dyDescent="0.3">
      <c r="A16" s="51"/>
      <c r="B16" s="52" t="s">
        <v>46</v>
      </c>
      <c r="C16" s="52"/>
      <c r="D16" s="55"/>
      <c r="E16" s="42"/>
      <c r="F16" s="52" t="s">
        <v>40</v>
      </c>
      <c r="G16" s="52"/>
      <c r="H16" s="52"/>
      <c r="I16" s="52"/>
      <c r="J16" s="52"/>
      <c r="K16" s="52"/>
      <c r="L16" s="52"/>
      <c r="M16" s="87"/>
      <c r="N16" s="87"/>
      <c r="P16" s="242"/>
      <c r="Q16" s="242"/>
      <c r="R16" s="245"/>
    </row>
    <row r="17" spans="1:18" ht="15" customHeight="1" x14ac:dyDescent="0.3">
      <c r="B17" s="57" t="s">
        <v>46</v>
      </c>
      <c r="D17" s="256" t="s">
        <v>198</v>
      </c>
      <c r="E17" s="257"/>
      <c r="F17" s="258" t="s">
        <v>66</v>
      </c>
      <c r="G17" s="259"/>
      <c r="H17" s="259"/>
      <c r="I17" s="259"/>
      <c r="J17" s="259"/>
      <c r="K17" s="259"/>
      <c r="L17" s="259"/>
      <c r="P17" s="242"/>
      <c r="Q17" s="242"/>
      <c r="R17" s="245"/>
    </row>
    <row r="18" spans="1:18" ht="15" customHeight="1" x14ac:dyDescent="0.3">
      <c r="B18" s="57" t="s">
        <v>47</v>
      </c>
      <c r="D18" s="250">
        <v>120000</v>
      </c>
      <c r="E18" s="251"/>
      <c r="F18" s="258" t="s">
        <v>67</v>
      </c>
      <c r="G18" s="259"/>
      <c r="H18" s="259"/>
      <c r="I18" s="259"/>
      <c r="J18" s="259"/>
      <c r="K18" s="259"/>
      <c r="L18" s="259"/>
      <c r="P18" s="242"/>
      <c r="Q18" s="242"/>
      <c r="R18" s="245"/>
    </row>
    <row r="19" spans="1:18" ht="15" customHeight="1" x14ac:dyDescent="0.3">
      <c r="D19" s="68"/>
      <c r="E19" s="68"/>
      <c r="P19" s="242"/>
      <c r="Q19" s="242"/>
      <c r="R19" s="245"/>
    </row>
    <row r="20" spans="1:18" ht="15" customHeight="1" x14ac:dyDescent="0.3">
      <c r="P20" s="242"/>
      <c r="Q20" s="242"/>
      <c r="R20" s="245"/>
    </row>
    <row r="21" spans="1:18" ht="15" customHeight="1" x14ac:dyDescent="0.3">
      <c r="A21" s="51"/>
      <c r="B21" s="52" t="s">
        <v>75</v>
      </c>
      <c r="C21" s="52"/>
      <c r="D21" s="55"/>
      <c r="E21" s="42"/>
      <c r="F21" s="52" t="s">
        <v>40</v>
      </c>
      <c r="G21" s="52"/>
      <c r="H21" s="52"/>
      <c r="I21" s="52"/>
      <c r="J21" s="52"/>
      <c r="K21" s="52"/>
      <c r="L21" s="52"/>
      <c r="M21" s="87"/>
      <c r="N21" s="87"/>
      <c r="P21" s="242"/>
      <c r="Q21" s="242"/>
      <c r="R21" s="245"/>
    </row>
    <row r="22" spans="1:18" ht="15" customHeight="1" x14ac:dyDescent="0.3">
      <c r="B22" s="57" t="s">
        <v>71</v>
      </c>
      <c r="D22" s="15"/>
      <c r="E22" s="79">
        <v>20000000</v>
      </c>
      <c r="F22" s="248" t="s">
        <v>142</v>
      </c>
      <c r="G22" s="249"/>
      <c r="H22" s="249"/>
      <c r="I22" s="249"/>
      <c r="J22" s="249"/>
      <c r="K22" s="249"/>
      <c r="L22" s="249"/>
      <c r="M22" s="96"/>
      <c r="P22" s="242"/>
      <c r="Q22" s="242"/>
      <c r="R22" s="245"/>
    </row>
    <row r="23" spans="1:18" ht="15" customHeight="1" x14ac:dyDescent="0.3">
      <c r="B23" s="57" t="s">
        <v>76</v>
      </c>
      <c r="D23" s="66"/>
      <c r="E23" s="65">
        <v>12</v>
      </c>
      <c r="F23" s="248"/>
      <c r="G23" s="249"/>
      <c r="H23" s="249"/>
      <c r="I23" s="249"/>
      <c r="J23" s="249"/>
      <c r="K23" s="249"/>
      <c r="L23" s="249"/>
      <c r="P23" s="242"/>
      <c r="Q23" s="242"/>
      <c r="R23" s="245"/>
    </row>
    <row r="24" spans="1:18" ht="15" customHeight="1" x14ac:dyDescent="0.3">
      <c r="B24" s="57" t="s">
        <v>77</v>
      </c>
      <c r="D24" s="66"/>
      <c r="E24" s="196">
        <f>INDEX(Admin!H7:H13,MATCH(Analysis!$D$5,Admin!B7:B13,0))</f>
        <v>300</v>
      </c>
      <c r="F24" s="248"/>
      <c r="G24" s="249"/>
      <c r="H24" s="249"/>
      <c r="I24" s="249"/>
      <c r="J24" s="249"/>
      <c r="K24" s="249"/>
      <c r="L24" s="249"/>
      <c r="M24" s="156"/>
      <c r="P24" s="242"/>
      <c r="Q24" s="242"/>
      <c r="R24" s="245"/>
    </row>
    <row r="25" spans="1:18" ht="15" customHeight="1" x14ac:dyDescent="0.3">
      <c r="B25" s="57" t="s">
        <v>106</v>
      </c>
      <c r="E25" s="76">
        <v>5.5E-2</v>
      </c>
      <c r="F25" s="248"/>
      <c r="G25" s="249"/>
      <c r="H25" s="249"/>
      <c r="I25" s="249"/>
      <c r="J25" s="249"/>
      <c r="K25" s="249"/>
      <c r="L25" s="249"/>
      <c r="P25" s="242"/>
      <c r="Q25" s="242"/>
      <c r="R25" s="245"/>
    </row>
    <row r="26" spans="1:18" ht="15" customHeight="1" x14ac:dyDescent="0.3">
      <c r="B26" s="57" t="s">
        <v>78</v>
      </c>
      <c r="E26" s="77">
        <v>48</v>
      </c>
      <c r="F26" s="248"/>
      <c r="G26" s="249"/>
      <c r="H26" s="249"/>
      <c r="I26" s="249"/>
      <c r="J26" s="249"/>
      <c r="K26" s="249"/>
      <c r="L26" s="249"/>
      <c r="M26" s="97"/>
      <c r="P26" s="242"/>
      <c r="Q26" s="242"/>
      <c r="R26" s="245"/>
    </row>
    <row r="27" spans="1:18" ht="15" customHeight="1" x14ac:dyDescent="0.3">
      <c r="B27" s="57" t="s">
        <v>105</v>
      </c>
      <c r="E27" s="80">
        <f>-PMT($E$25/$E$23,$E$24,$E$22,0,0)*$E$23</f>
        <v>1473809.9814755286</v>
      </c>
      <c r="F27" s="248"/>
      <c r="G27" s="249"/>
      <c r="H27" s="249"/>
      <c r="I27" s="249"/>
      <c r="J27" s="249"/>
      <c r="K27" s="249"/>
      <c r="L27" s="249"/>
      <c r="N27" s="97"/>
      <c r="P27" s="242"/>
      <c r="Q27" s="242"/>
      <c r="R27" s="245"/>
    </row>
    <row r="28" spans="1:18" ht="15" customHeight="1" x14ac:dyDescent="0.3">
      <c r="B28" s="57" t="s">
        <v>79</v>
      </c>
      <c r="E28" s="100">
        <f>INDEX(Admin!F7:F13,MATCH($D$5,Admin!B7:B13,0))</f>
        <v>1.3</v>
      </c>
      <c r="F28" s="248"/>
      <c r="G28" s="249"/>
      <c r="H28" s="249"/>
      <c r="I28" s="249"/>
      <c r="J28" s="249"/>
      <c r="K28" s="249"/>
      <c r="L28" s="249"/>
      <c r="P28" s="242"/>
      <c r="Q28" s="242"/>
      <c r="R28" s="245"/>
    </row>
    <row r="29" spans="1:18" ht="15" customHeight="1" x14ac:dyDescent="0.3">
      <c r="E29" s="15"/>
      <c r="F29" s="67"/>
      <c r="G29" s="67"/>
      <c r="H29" s="67"/>
      <c r="I29" s="67"/>
      <c r="J29" s="67"/>
      <c r="P29" s="243"/>
      <c r="Q29" s="242"/>
      <c r="R29" s="245"/>
    </row>
    <row r="30" spans="1:18" ht="15" customHeight="1" x14ac:dyDescent="0.3">
      <c r="E30" s="15"/>
      <c r="F30" s="67"/>
      <c r="G30" s="67"/>
      <c r="H30" s="67"/>
      <c r="I30" s="67"/>
      <c r="J30" s="67"/>
    </row>
    <row r="31" spans="1:18" ht="15" customHeight="1" x14ac:dyDescent="0.3">
      <c r="A31" s="51"/>
      <c r="B31" s="52" t="s">
        <v>93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3" spans="1:15" ht="15" customHeight="1" x14ac:dyDescent="0.3">
      <c r="A33" s="85"/>
      <c r="B33" s="69" t="s">
        <v>58</v>
      </c>
      <c r="C33" s="69"/>
      <c r="D33" s="69"/>
      <c r="E33" s="86"/>
      <c r="F33" s="25"/>
      <c r="G33" s="69" t="s">
        <v>49</v>
      </c>
      <c r="H33" s="69"/>
      <c r="I33" s="70" t="s">
        <v>48</v>
      </c>
      <c r="J33" s="70" t="s">
        <v>108</v>
      </c>
      <c r="L33" s="69" t="s">
        <v>73</v>
      </c>
      <c r="M33" s="69"/>
      <c r="N33" s="70" t="s">
        <v>48</v>
      </c>
      <c r="O33" s="70" t="s">
        <v>108</v>
      </c>
    </row>
    <row r="34" spans="1:15" ht="15" customHeight="1" x14ac:dyDescent="0.3">
      <c r="A34" s="25"/>
      <c r="B34" s="56" t="s">
        <v>161</v>
      </c>
      <c r="C34" s="25"/>
      <c r="D34" s="25"/>
      <c r="E34" s="64"/>
      <c r="F34" s="25"/>
      <c r="G34" s="29" t="s">
        <v>50</v>
      </c>
      <c r="I34" s="78">
        <f>'Rent Roll'!$K$20</f>
        <v>2189000</v>
      </c>
      <c r="J34" s="78">
        <f>'Rent Roll'!$K$20</f>
        <v>2189000</v>
      </c>
      <c r="L34" s="60" t="s">
        <v>68</v>
      </c>
      <c r="M34" s="60"/>
      <c r="N34" s="63">
        <f>$E$46</f>
        <v>5.7500000000000002E-2</v>
      </c>
      <c r="O34" s="63">
        <f>E47</f>
        <v>6.25E-2</v>
      </c>
    </row>
    <row r="35" spans="1:15" ht="15" customHeight="1" x14ac:dyDescent="0.3">
      <c r="A35" s="25"/>
      <c r="B35" s="25" t="s">
        <v>211</v>
      </c>
      <c r="C35" s="25"/>
      <c r="D35" s="25"/>
      <c r="E35" s="101">
        <f>INDEX(Admin!G7:G13,MATCH(Analysis!$D$5,Admin!B7:B13,0))</f>
        <v>5.5E-2</v>
      </c>
      <c r="F35" s="25"/>
      <c r="G35" s="29" t="s">
        <v>51</v>
      </c>
      <c r="I35" s="78">
        <f>'Rent Roll'!$M$20</f>
        <v>537500</v>
      </c>
      <c r="J35" s="78">
        <f>'Rent Roll'!$M$20</f>
        <v>537500</v>
      </c>
      <c r="L35" s="57" t="s">
        <v>69</v>
      </c>
      <c r="M35" s="57"/>
      <c r="N35" s="82">
        <f>IFERROR(I45/N34,"NA")</f>
        <v>34261608.695652172</v>
      </c>
      <c r="O35" s="82">
        <f>J45/O34</f>
        <v>31370458.799999997</v>
      </c>
    </row>
    <row r="36" spans="1:15" ht="15" customHeight="1" x14ac:dyDescent="0.3">
      <c r="A36" s="25"/>
      <c r="B36" s="29" t="s">
        <v>101</v>
      </c>
      <c r="E36" s="88">
        <v>0.04</v>
      </c>
      <c r="F36" s="25"/>
      <c r="G36" s="60" t="s">
        <v>52</v>
      </c>
      <c r="H36" s="60"/>
      <c r="I36" s="81">
        <f>'Rent Roll'!$N$20</f>
        <v>0</v>
      </c>
      <c r="J36" s="81">
        <f>'Rent Roll'!$N$20</f>
        <v>0</v>
      </c>
      <c r="L36" s="29" t="s">
        <v>70</v>
      </c>
      <c r="N36" s="72">
        <f>I$45/$D18</f>
        <v>16.417020833333332</v>
      </c>
      <c r="O36" s="72">
        <f>J$45/$D18</f>
        <v>16.338780624999998</v>
      </c>
    </row>
    <row r="37" spans="1:15" ht="15" customHeight="1" x14ac:dyDescent="0.3">
      <c r="A37" s="25"/>
      <c r="B37" s="29" t="s">
        <v>62</v>
      </c>
      <c r="C37" s="25"/>
      <c r="D37" s="25"/>
      <c r="E37" s="88">
        <v>0.04</v>
      </c>
      <c r="F37" s="25"/>
      <c r="G37" s="57" t="s">
        <v>53</v>
      </c>
      <c r="I37" s="82">
        <f>SUM(I34:I36)</f>
        <v>2726500</v>
      </c>
      <c r="J37" s="82">
        <f>SUM(J34:J36)</f>
        <v>2726500</v>
      </c>
      <c r="L37" s="60" t="s">
        <v>71</v>
      </c>
      <c r="M37" s="60"/>
      <c r="N37" s="81">
        <f>$E$22</f>
        <v>20000000</v>
      </c>
      <c r="O37" s="81">
        <f>$E$22</f>
        <v>20000000</v>
      </c>
    </row>
    <row r="38" spans="1:15" ht="15" customHeight="1" x14ac:dyDescent="0.3">
      <c r="A38" s="25"/>
      <c r="B38" s="25" t="s">
        <v>100</v>
      </c>
      <c r="C38" s="25"/>
      <c r="D38" s="25"/>
      <c r="E38" s="88">
        <v>0.01</v>
      </c>
      <c r="F38" s="25"/>
      <c r="G38" s="60" t="str">
        <f>"Vacancy ("&amp;E35*100&amp;"%)"</f>
        <v>Vacancy (5.5%)</v>
      </c>
      <c r="H38" s="60"/>
      <c r="I38" s="81">
        <f>$E$35*I37</f>
        <v>149957.5</v>
      </c>
      <c r="J38" s="81">
        <f>$E$35*J37</f>
        <v>149957.5</v>
      </c>
      <c r="L38" s="57" t="s">
        <v>72</v>
      </c>
      <c r="M38" s="57"/>
      <c r="N38" s="90">
        <f>IFERROR(N37/N35, "NA")</f>
        <v>0.58374375172109239</v>
      </c>
      <c r="O38" s="90">
        <f>O37/O35</f>
        <v>0.63754247674567011</v>
      </c>
    </row>
    <row r="39" spans="1:15" ht="15" customHeight="1" thickBot="1" x14ac:dyDescent="0.35">
      <c r="A39" s="25"/>
      <c r="B39" s="57" t="s">
        <v>59</v>
      </c>
      <c r="F39" s="25"/>
      <c r="G39" s="57" t="s">
        <v>54</v>
      </c>
      <c r="I39" s="82">
        <f>I37-I38</f>
        <v>2576542.5</v>
      </c>
      <c r="J39" s="82">
        <f>J37-J38</f>
        <v>2576542.5</v>
      </c>
      <c r="L39" s="59" t="s">
        <v>74</v>
      </c>
      <c r="M39" s="59"/>
      <c r="N39" s="84">
        <f>-PV($E$25/$E$23,$E$24,I45/$E$28/$E$23)</f>
        <v>20564622.668318816</v>
      </c>
      <c r="O39" s="84">
        <f>-PV($E$25/$E$23,$E$24,J45/$E$28/$E$23)</f>
        <v>20466615.826626882</v>
      </c>
    </row>
    <row r="40" spans="1:15" ht="15" customHeight="1" thickTop="1" x14ac:dyDescent="0.3">
      <c r="A40" s="25"/>
      <c r="B40" s="29" t="s">
        <v>123</v>
      </c>
      <c r="E40" s="89">
        <v>2293435</v>
      </c>
      <c r="F40" s="25"/>
      <c r="G40" s="29" t="s">
        <v>124</v>
      </c>
      <c r="I40" s="78">
        <f>$E$40-$E$41-$E$42-$E$43-$E$44</f>
        <v>384000</v>
      </c>
      <c r="J40" s="78">
        <f>$E$40-$E$41-$E$42-$E$43-$E$44</f>
        <v>384000</v>
      </c>
    </row>
    <row r="41" spans="1:15" ht="15" customHeight="1" x14ac:dyDescent="0.3">
      <c r="A41" s="25"/>
      <c r="B41" s="29" t="s">
        <v>121</v>
      </c>
      <c r="E41" s="89">
        <v>633935</v>
      </c>
      <c r="F41" s="25"/>
      <c r="G41" s="29" t="s">
        <v>101</v>
      </c>
      <c r="I41" s="78">
        <f>E43</f>
        <v>144000</v>
      </c>
      <c r="J41" s="78">
        <f>E36*J39</f>
        <v>103061.7</v>
      </c>
      <c r="M41" s="102"/>
    </row>
    <row r="42" spans="1:15" ht="15" customHeight="1" x14ac:dyDescent="0.3">
      <c r="A42" s="25"/>
      <c r="B42" s="29" t="s">
        <v>122</v>
      </c>
      <c r="E42" s="89">
        <v>1053000</v>
      </c>
      <c r="F42" s="25"/>
      <c r="G42" s="29" t="s">
        <v>62</v>
      </c>
      <c r="I42" s="78">
        <f>E44</f>
        <v>78500</v>
      </c>
      <c r="J42" s="78">
        <f>$J$39*E37</f>
        <v>103061.7</v>
      </c>
      <c r="L42" s="57"/>
    </row>
    <row r="43" spans="1:15" ht="15" customHeight="1" x14ac:dyDescent="0.3">
      <c r="A43" s="25"/>
      <c r="B43" s="29" t="s">
        <v>102</v>
      </c>
      <c r="E43" s="89">
        <v>144000</v>
      </c>
      <c r="F43" s="25"/>
      <c r="G43" s="60" t="str">
        <f>"CAPEX Reserve ("&amp;E38*100&amp;"%)"</f>
        <v>CAPEX Reserve (1%)</v>
      </c>
      <c r="H43" s="60"/>
      <c r="I43" s="81">
        <v>0</v>
      </c>
      <c r="J43" s="81">
        <f>J39*$E$38</f>
        <v>25765.424999999999</v>
      </c>
      <c r="L43" s="96"/>
    </row>
    <row r="44" spans="1:15" ht="15" customHeight="1" x14ac:dyDescent="0.3">
      <c r="A44" s="25"/>
      <c r="B44" s="25" t="s">
        <v>60</v>
      </c>
      <c r="C44" s="25"/>
      <c r="D44" s="25"/>
      <c r="E44" s="89">
        <v>78500</v>
      </c>
      <c r="F44" s="25"/>
      <c r="G44" s="61" t="s">
        <v>55</v>
      </c>
      <c r="H44" s="60"/>
      <c r="I44" s="83">
        <f>SUM(I40:I43)</f>
        <v>606500</v>
      </c>
      <c r="J44" s="83">
        <f>SUM(J40:J43)</f>
        <v>615888.82500000007</v>
      </c>
    </row>
    <row r="45" spans="1:15" ht="15" customHeight="1" x14ac:dyDescent="0.3">
      <c r="A45" s="25"/>
      <c r="B45" s="56" t="s">
        <v>61</v>
      </c>
      <c r="C45" s="25"/>
      <c r="D45" s="25"/>
      <c r="E45" s="64"/>
      <c r="F45" s="25"/>
      <c r="G45" s="57" t="s">
        <v>56</v>
      </c>
      <c r="I45" s="82">
        <f>I39-I44</f>
        <v>1970042.5</v>
      </c>
      <c r="J45" s="82">
        <f>J39-J44</f>
        <v>1960653.6749999998</v>
      </c>
    </row>
    <row r="46" spans="1:15" ht="15" customHeight="1" x14ac:dyDescent="0.3">
      <c r="B46" s="25" t="s">
        <v>63</v>
      </c>
      <c r="C46" s="25"/>
      <c r="D46" s="25"/>
      <c r="E46" s="88">
        <v>5.7500000000000002E-2</v>
      </c>
      <c r="G46" s="29" t="s">
        <v>105</v>
      </c>
      <c r="I46" s="78">
        <f>$E$27</f>
        <v>1473809.9814755286</v>
      </c>
      <c r="J46" s="78">
        <f>$E$27</f>
        <v>1473809.9814755286</v>
      </c>
    </row>
    <row r="47" spans="1:15" ht="15" customHeight="1" thickBot="1" x14ac:dyDescent="0.35">
      <c r="B47" s="25" t="s">
        <v>99</v>
      </c>
      <c r="C47" s="25"/>
      <c r="D47" s="25"/>
      <c r="E47" s="101">
        <v>6.25E-2</v>
      </c>
      <c r="G47" s="59" t="s">
        <v>57</v>
      </c>
      <c r="H47" s="58"/>
      <c r="I47" s="103">
        <f>IFERROR(I45/I46, "NA")</f>
        <v>1.3367004734407215</v>
      </c>
      <c r="J47" s="103">
        <f>IFERROR(J45/J46, "NA")</f>
        <v>1.3303300287307458</v>
      </c>
    </row>
    <row r="48" spans="1:15" ht="15" customHeight="1" thickTop="1" x14ac:dyDescent="0.3">
      <c r="B48" s="25"/>
      <c r="C48" s="25"/>
      <c r="D48" s="25"/>
      <c r="E48" s="88"/>
    </row>
    <row r="49" spans="1:14" ht="15" customHeight="1" x14ac:dyDescent="0.3">
      <c r="D49" s="62"/>
      <c r="E49" s="62"/>
    </row>
    <row r="50" spans="1:14" ht="15" customHeight="1" x14ac:dyDescent="0.3">
      <c r="A50" s="51"/>
      <c r="B50" s="52" t="s">
        <v>80</v>
      </c>
      <c r="C50" s="52"/>
      <c r="D50" s="55"/>
      <c r="E50" s="55"/>
      <c r="F50" s="55"/>
      <c r="G50" s="55"/>
      <c r="H50" s="55"/>
      <c r="I50" s="55"/>
      <c r="J50" s="55"/>
    </row>
    <row r="52" spans="1:14" ht="15" customHeight="1" x14ac:dyDescent="0.3">
      <c r="A52" s="71"/>
      <c r="B52" s="69" t="s">
        <v>103</v>
      </c>
      <c r="C52" s="71"/>
      <c r="D52" s="70" t="s">
        <v>83</v>
      </c>
      <c r="E52" s="70" t="s">
        <v>82</v>
      </c>
      <c r="F52" s="70"/>
      <c r="G52" s="70" t="s">
        <v>81</v>
      </c>
      <c r="H52" s="70" t="s">
        <v>85</v>
      </c>
      <c r="I52" s="70" t="s">
        <v>128</v>
      </c>
      <c r="J52" s="70" t="s">
        <v>131</v>
      </c>
    </row>
    <row r="53" spans="1:14" ht="15" customHeight="1" x14ac:dyDescent="0.3">
      <c r="B53" s="57" t="s">
        <v>119</v>
      </c>
      <c r="D53" s="78">
        <f>SUMIF('Rent Roll'!$D$5:$D$19,Analysis!B53,'Rent Roll'!$O$5:$O$19)</f>
        <v>0</v>
      </c>
      <c r="E53" s="73">
        <f>D53/'Rent Roll'!$O$20</f>
        <v>0</v>
      </c>
      <c r="G53" s="74">
        <f>SUMIF('Rent Roll'!$D$5:$D$19,Analysis!B53,'Rent Roll'!$E$5:$E$19)</f>
        <v>0</v>
      </c>
      <c r="H53" s="73">
        <f>G53/'Rent Roll'!$E$20</f>
        <v>0</v>
      </c>
      <c r="I53" s="73">
        <f>SUMIF('Rent Roll'!$D$5:$D$19,Analysis!B53,'Rent Roll'!$P$5:$P$19)</f>
        <v>0</v>
      </c>
      <c r="J53" s="177">
        <v>2</v>
      </c>
    </row>
    <row r="54" spans="1:14" ht="15" customHeight="1" x14ac:dyDescent="0.3">
      <c r="B54" s="57" t="s">
        <v>24</v>
      </c>
      <c r="D54" s="78">
        <f>SUMIF('Rent Roll'!$D$5:$D$19,Analysis!B54,'Rent Roll'!$O$5:$O$19)</f>
        <v>1016000</v>
      </c>
      <c r="E54" s="73">
        <f>D54/'Rent Roll'!$O$20</f>
        <v>0.37263891435906843</v>
      </c>
      <c r="G54" s="74">
        <f>SUMIF('Rent Roll'!$D$5:$D$19,Analysis!B54,'Rent Roll'!$E$5:$E$19)</f>
        <v>52000</v>
      </c>
      <c r="H54" s="73">
        <f>G54/'Rent Roll'!$E$20</f>
        <v>0.43333333333333335</v>
      </c>
      <c r="I54" s="73">
        <f>SUMIF('Rent Roll'!$D$5:$D$19,Analysis!B54,'Rent Roll'!$P$5:$P$19)</f>
        <v>0.37263891435906837</v>
      </c>
      <c r="J54" s="177">
        <v>1.5</v>
      </c>
    </row>
    <row r="55" spans="1:14" ht="15" customHeight="1" x14ac:dyDescent="0.3">
      <c r="B55" s="57" t="s">
        <v>25</v>
      </c>
      <c r="D55" s="78">
        <f>SUMIF('Rent Roll'!$D$5:$D$19,Analysis!B55,'Rent Roll'!$O$5:$O$19)</f>
        <v>1500000</v>
      </c>
      <c r="E55" s="73">
        <f>D55/'Rent Roll'!$O$20</f>
        <v>0.5501558774986246</v>
      </c>
      <c r="G55" s="74">
        <f>SUMIF('Rent Roll'!$D$5:$D$19,Analysis!B55,'Rent Roll'!$E$5:$E$19)</f>
        <v>55000</v>
      </c>
      <c r="H55" s="73">
        <f>G55/'Rent Roll'!$E$20</f>
        <v>0.45833333333333331</v>
      </c>
      <c r="I55" s="73">
        <f>SUMIF('Rent Roll'!$D$5:$D$19,Analysis!B55,'Rent Roll'!$P$5:$P$19)</f>
        <v>0.5501558774986246</v>
      </c>
      <c r="J55" s="177">
        <v>1.25</v>
      </c>
    </row>
    <row r="56" spans="1:14" ht="15" customHeight="1" x14ac:dyDescent="0.3">
      <c r="B56" s="57" t="s">
        <v>26</v>
      </c>
      <c r="D56" s="78">
        <f>SUMIF('Rent Roll'!$D$5:$D$19,Analysis!B56,'Rent Roll'!$O$5:$O$19)</f>
        <v>210500</v>
      </c>
      <c r="E56" s="73">
        <f>D56/'Rent Roll'!$O$20</f>
        <v>7.7205208142306983E-2</v>
      </c>
      <c r="G56" s="74">
        <f>SUMIF('Rent Roll'!$D$5:$D$19,Analysis!B56,'Rent Roll'!$E$5:$E$19)</f>
        <v>13000</v>
      </c>
      <c r="H56" s="73">
        <f>G56/'Rent Roll'!$E$20</f>
        <v>0.10833333333333334</v>
      </c>
      <c r="I56" s="73">
        <f>SUMIF('Rent Roll'!$D$5:$D$19,Analysis!B56,'Rent Roll'!$P$5:$P$19)</f>
        <v>7.7205208142306983E-2</v>
      </c>
      <c r="J56" s="177">
        <v>1</v>
      </c>
    </row>
    <row r="57" spans="1:14" ht="15" customHeight="1" x14ac:dyDescent="0.3">
      <c r="B57" s="57" t="s">
        <v>84</v>
      </c>
      <c r="D57" s="78">
        <f>SUMIF('Rent Roll'!$D$5:$D$19,Analysis!B57,'Rent Roll'!$O$5:$O$19)</f>
        <v>0</v>
      </c>
      <c r="E57" s="73">
        <f>D57/'Rent Roll'!$O$20</f>
        <v>0</v>
      </c>
      <c r="G57" s="74">
        <f>SUMIF('Rent Roll'!$D$5:$D$19,Analysis!B57,'Rent Roll'!$E$5:$E$19)</f>
        <v>0</v>
      </c>
      <c r="H57" s="73">
        <f>G57/'Rent Roll'!$E$20</f>
        <v>0</v>
      </c>
      <c r="I57" s="73">
        <f>SUMIF('Rent Roll'!$D$5:$D$19,Analysis!B57,'Rent Roll'!$P$5:$P$19)</f>
        <v>0</v>
      </c>
      <c r="J57" s="177">
        <v>0</v>
      </c>
    </row>
    <row r="58" spans="1:14" ht="15" customHeight="1" x14ac:dyDescent="0.3">
      <c r="H58" s="75"/>
      <c r="I58" s="75"/>
    </row>
    <row r="59" spans="1:14" ht="15" customHeight="1" x14ac:dyDescent="0.3">
      <c r="A59" s="71"/>
      <c r="B59" s="69" t="s">
        <v>104</v>
      </c>
      <c r="C59" s="70" t="s">
        <v>84</v>
      </c>
      <c r="D59" s="70" t="s">
        <v>86</v>
      </c>
      <c r="E59" s="70" t="s">
        <v>87</v>
      </c>
      <c r="F59" s="70"/>
      <c r="G59" s="70" t="s">
        <v>88</v>
      </c>
      <c r="H59" s="70" t="s">
        <v>89</v>
      </c>
      <c r="I59" s="70" t="s">
        <v>90</v>
      </c>
      <c r="J59" s="70" t="s">
        <v>91</v>
      </c>
      <c r="M59" s="75"/>
      <c r="N59" s="75"/>
    </row>
    <row r="60" spans="1:14" ht="15" customHeight="1" x14ac:dyDescent="0.3">
      <c r="B60" s="57" t="s">
        <v>92</v>
      </c>
      <c r="C60" s="73">
        <f>$E$57</f>
        <v>0</v>
      </c>
      <c r="D60" s="73">
        <f>SUMIF('Rent Roll'!$I$5:$I$19,"&lt;12",'Rent Roll'!$O$5:$O$19)/'Rent Roll'!$O$20</f>
        <v>1.7604988079955988E-2</v>
      </c>
      <c r="E60" s="73">
        <f>SUMIF('Rent Roll'!$I$5:$I$19,"&lt;=24",'Rent Roll'!$O$5:$O$19)/'Rent Roll'!$O$20-SUM(C60:D60)</f>
        <v>1.19200440124702E-2</v>
      </c>
      <c r="F60" s="73"/>
      <c r="G60" s="73">
        <f>SUMIF('Rent Roll'!$I$5:$I$19,"&lt;=36",'Rent Roll'!$O$5:$O$19)/'Rent Roll'!$O$20-SUM(C60:E60)</f>
        <v>4.7680176049880799E-2</v>
      </c>
      <c r="H60" s="73">
        <f>SUMIF('Rent Roll'!$I$5:$I$19,"&lt;=48",'Rent Roll'!$O$5:$O$19)/'Rent Roll'!$O$20-SUM(C60:G60)</f>
        <v>3.741059966990648E-2</v>
      </c>
      <c r="I60" s="73">
        <f>SUMIF('Rent Roll'!$I$5:$I$19,"&lt;=60",'Rent Roll'!$O$5:$O$19)/'Rent Roll'!$O$20-SUM(C60:H60)</f>
        <v>0</v>
      </c>
      <c r="J60" s="73">
        <f>SUMIF('Rent Roll'!$I$5:$I$19,"&gt;60",'Rent Roll'!$O$5:$O$19)/'Rent Roll'!$O$20</f>
        <v>0.88538419218778652</v>
      </c>
      <c r="L60" s="75"/>
      <c r="M60" s="75"/>
    </row>
    <row r="61" spans="1:14" ht="15" customHeight="1" x14ac:dyDescent="0.3">
      <c r="A61" s="60"/>
      <c r="B61" s="61" t="s">
        <v>81</v>
      </c>
      <c r="C61" s="201">
        <f>$H$57</f>
        <v>0</v>
      </c>
      <c r="D61" s="201">
        <f>SUMIF('Rent Roll'!$I$5:$I$19,"&lt;12",'Rent Roll'!$E$5:$E$19)/'Rent Roll'!$E$20</f>
        <v>1.6666666666666666E-2</v>
      </c>
      <c r="E61" s="201">
        <f>SUMIF('Rent Roll'!$I$5:$I$19,"&lt;=24",'Rent Roll'!$E$5:$E$19)/'Rent Roll'!$E$20-SUM($C$61:D61)</f>
        <v>8.333333333333335E-3</v>
      </c>
      <c r="F61" s="201"/>
      <c r="G61" s="201">
        <f>SUMIF('Rent Roll'!$I$5:$I$19,"&lt;=36",'Rent Roll'!$E$5:$E$19)/'Rent Roll'!$E$20-SUM($C$61:F61)</f>
        <v>8.3333333333333343E-2</v>
      </c>
      <c r="H61" s="201">
        <f>SUMIF('Rent Roll'!$I$5:$I$19,"&lt;=48",'Rent Roll'!$E$5:$E$19)/'Rent Roll'!$E$20-SUM($C$61:G61)</f>
        <v>2.4999999999999994E-2</v>
      </c>
      <c r="I61" s="201">
        <f>SUMIF('Rent Roll'!$I$5:$I$19,"&lt;=60",'Rent Roll'!$E$5:$E$19)/'Rent Roll'!$E$20-SUM($C$61:H61)</f>
        <v>0</v>
      </c>
      <c r="J61" s="201">
        <f>SUMIF('Rent Roll'!$I$5:$I$19,"&gt;60",'Rent Roll'!$E$5:$E$19)/'Rent Roll'!$E$20</f>
        <v>0.8666666666666667</v>
      </c>
      <c r="L61" s="75"/>
    </row>
    <row r="62" spans="1:14" ht="15" customHeight="1" x14ac:dyDescent="0.3">
      <c r="B62" s="57" t="s">
        <v>170</v>
      </c>
      <c r="J62" s="200">
        <f>SUMPRODUCT('Rent Roll'!P5:P19,'Rent Roll'!I5:I19)</f>
        <v>114.01991413548909</v>
      </c>
      <c r="L62" s="156"/>
    </row>
    <row r="64" spans="1:14" ht="15" customHeight="1" x14ac:dyDescent="0.3">
      <c r="A64" s="51"/>
      <c r="B64" s="52" t="s">
        <v>94</v>
      </c>
      <c r="C64" s="52"/>
      <c r="D64" s="55"/>
      <c r="E64" s="55"/>
      <c r="F64" s="55"/>
      <c r="G64" s="55"/>
      <c r="H64" s="55"/>
      <c r="I64" s="55"/>
      <c r="J64" s="55"/>
    </row>
    <row r="66" spans="3:9" ht="15" customHeight="1" x14ac:dyDescent="0.3">
      <c r="C66" s="93" t="s">
        <v>96</v>
      </c>
      <c r="D66" s="93"/>
      <c r="E66" s="93"/>
      <c r="G66" s="93" t="s">
        <v>110</v>
      </c>
      <c r="H66" s="93"/>
      <c r="I66" s="93"/>
    </row>
    <row r="67" spans="3:9" ht="15" customHeight="1" x14ac:dyDescent="0.3">
      <c r="C67" s="57" t="s">
        <v>68</v>
      </c>
      <c r="D67" s="92" t="s">
        <v>95</v>
      </c>
      <c r="E67" s="92" t="s">
        <v>72</v>
      </c>
      <c r="G67" s="57" t="s">
        <v>68</v>
      </c>
      <c r="H67" s="92" t="s">
        <v>95</v>
      </c>
      <c r="I67" s="92" t="s">
        <v>72</v>
      </c>
    </row>
    <row r="68" spans="3:9" ht="15" customHeight="1" x14ac:dyDescent="0.3">
      <c r="C68" s="91">
        <v>0.04</v>
      </c>
      <c r="D68" s="78">
        <f t="shared" ref="D68:D76" si="0">$I$45/C68</f>
        <v>49251062.5</v>
      </c>
      <c r="E68" s="73">
        <f>$E$22/D68</f>
        <v>0.40608260989293377</v>
      </c>
      <c r="G68" s="91">
        <v>0.04</v>
      </c>
      <c r="H68" s="78">
        <f>$J$45/G68</f>
        <v>49016341.874999993</v>
      </c>
      <c r="I68" s="73">
        <f>$E$22/H68</f>
        <v>0.40802718511722891</v>
      </c>
    </row>
    <row r="69" spans="3:9" ht="15" customHeight="1" x14ac:dyDescent="0.3">
      <c r="C69" s="75">
        <f>C68+0.5%</f>
        <v>4.4999999999999998E-2</v>
      </c>
      <c r="D69" s="78">
        <f t="shared" si="0"/>
        <v>43778722.222222224</v>
      </c>
      <c r="E69" s="73">
        <f t="shared" ref="E69:E76" si="1">$E$22/D69</f>
        <v>0.45684293612955051</v>
      </c>
      <c r="G69" s="75">
        <f>G68+0.5%</f>
        <v>4.4999999999999998E-2</v>
      </c>
      <c r="H69" s="78">
        <f t="shared" ref="H69:H76" si="2">$J$45/G69</f>
        <v>43570081.666666664</v>
      </c>
      <c r="I69" s="73">
        <f t="shared" ref="I69:I76" si="3">$E$22/H69</f>
        <v>0.45903058325688245</v>
      </c>
    </row>
    <row r="70" spans="3:9" ht="15" customHeight="1" x14ac:dyDescent="0.3">
      <c r="C70" s="75">
        <f t="shared" ref="C70:C76" si="4">C69+0.5%</f>
        <v>4.9999999999999996E-2</v>
      </c>
      <c r="D70" s="78">
        <f t="shared" si="0"/>
        <v>39400850</v>
      </c>
      <c r="E70" s="73">
        <f t="shared" si="1"/>
        <v>0.50760326236616726</v>
      </c>
      <c r="G70" s="75">
        <f t="shared" ref="G70:G76" si="5">G69+0.5%</f>
        <v>4.9999999999999996E-2</v>
      </c>
      <c r="H70" s="78">
        <f t="shared" si="2"/>
        <v>39213073.5</v>
      </c>
      <c r="I70" s="73">
        <f t="shared" si="3"/>
        <v>0.510033981396536</v>
      </c>
    </row>
    <row r="71" spans="3:9" ht="15" customHeight="1" x14ac:dyDescent="0.3">
      <c r="C71" s="75">
        <f t="shared" si="4"/>
        <v>5.4999999999999993E-2</v>
      </c>
      <c r="D71" s="78">
        <f t="shared" si="0"/>
        <v>35818954.545454547</v>
      </c>
      <c r="E71" s="73">
        <f t="shared" si="1"/>
        <v>0.5583635886027839</v>
      </c>
      <c r="G71" s="75">
        <f t="shared" si="5"/>
        <v>5.4999999999999993E-2</v>
      </c>
      <c r="H71" s="78">
        <f t="shared" si="2"/>
        <v>35648248.63636364</v>
      </c>
      <c r="I71" s="73">
        <f t="shared" si="3"/>
        <v>0.5610373795361896</v>
      </c>
    </row>
    <row r="72" spans="3:9" ht="15" customHeight="1" x14ac:dyDescent="0.3">
      <c r="C72" s="75">
        <f t="shared" si="4"/>
        <v>5.9999999999999991E-2</v>
      </c>
      <c r="D72" s="78">
        <f t="shared" si="0"/>
        <v>32834041.666666672</v>
      </c>
      <c r="E72" s="73">
        <f t="shared" si="1"/>
        <v>0.60912391483940054</v>
      </c>
      <c r="G72" s="75">
        <f t="shared" si="5"/>
        <v>5.9999999999999991E-2</v>
      </c>
      <c r="H72" s="78">
        <f t="shared" si="2"/>
        <v>32677561.250000004</v>
      </c>
      <c r="I72" s="73">
        <f t="shared" si="3"/>
        <v>0.6120407776758432</v>
      </c>
    </row>
    <row r="73" spans="3:9" ht="15" customHeight="1" x14ac:dyDescent="0.3">
      <c r="C73" s="75">
        <f t="shared" si="4"/>
        <v>6.4999999999999988E-2</v>
      </c>
      <c r="D73" s="78">
        <f t="shared" si="0"/>
        <v>30308346.15384616</v>
      </c>
      <c r="E73" s="73">
        <f t="shared" si="1"/>
        <v>0.65988424107601729</v>
      </c>
      <c r="G73" s="75">
        <f t="shared" si="5"/>
        <v>6.4999999999999988E-2</v>
      </c>
      <c r="H73" s="78">
        <f t="shared" si="2"/>
        <v>30163902.692307696</v>
      </c>
      <c r="I73" s="73">
        <f t="shared" si="3"/>
        <v>0.66304417581549679</v>
      </c>
    </row>
    <row r="74" spans="3:9" ht="15" customHeight="1" x14ac:dyDescent="0.3">
      <c r="C74" s="75">
        <f t="shared" si="4"/>
        <v>6.9999999999999993E-2</v>
      </c>
      <c r="D74" s="78">
        <f t="shared" si="0"/>
        <v>28143464.285714287</v>
      </c>
      <c r="E74" s="73">
        <f t="shared" si="1"/>
        <v>0.71064456731263403</v>
      </c>
      <c r="G74" s="75">
        <f t="shared" si="5"/>
        <v>6.9999999999999993E-2</v>
      </c>
      <c r="H74" s="78">
        <f t="shared" si="2"/>
        <v>28009338.214285713</v>
      </c>
      <c r="I74" s="73">
        <f t="shared" si="3"/>
        <v>0.71404757395515051</v>
      </c>
    </row>
    <row r="75" spans="3:9" ht="15" customHeight="1" x14ac:dyDescent="0.3">
      <c r="C75" s="75">
        <f t="shared" si="4"/>
        <v>7.4999999999999997E-2</v>
      </c>
      <c r="D75" s="78">
        <f t="shared" si="0"/>
        <v>26267233.333333336</v>
      </c>
      <c r="E75" s="73">
        <f t="shared" si="1"/>
        <v>0.76140489354925078</v>
      </c>
      <c r="G75" s="75">
        <f t="shared" si="5"/>
        <v>7.4999999999999997E-2</v>
      </c>
      <c r="H75" s="78">
        <f t="shared" si="2"/>
        <v>26142049</v>
      </c>
      <c r="I75" s="73">
        <f t="shared" si="3"/>
        <v>0.76505097209480399</v>
      </c>
    </row>
    <row r="76" spans="3:9" ht="15" customHeight="1" x14ac:dyDescent="0.3">
      <c r="C76" s="75">
        <f t="shared" si="4"/>
        <v>0.08</v>
      </c>
      <c r="D76" s="78">
        <f t="shared" si="0"/>
        <v>24625531.25</v>
      </c>
      <c r="E76" s="73">
        <f t="shared" si="1"/>
        <v>0.81216521978586753</v>
      </c>
      <c r="G76" s="75">
        <f t="shared" si="5"/>
        <v>0.08</v>
      </c>
      <c r="H76" s="78">
        <f t="shared" si="2"/>
        <v>24508170.937499996</v>
      </c>
      <c r="I76" s="73">
        <f t="shared" si="3"/>
        <v>0.81605437023445782</v>
      </c>
    </row>
    <row r="78" spans="3:9" ht="15" customHeight="1" x14ac:dyDescent="0.3">
      <c r="C78" s="93" t="s">
        <v>57</v>
      </c>
      <c r="D78" s="93"/>
      <c r="E78" s="93"/>
      <c r="G78" s="87"/>
      <c r="H78" s="94"/>
      <c r="I78" s="94"/>
    </row>
    <row r="79" spans="3:9" ht="15" customHeight="1" x14ac:dyDescent="0.3">
      <c r="C79" s="57" t="s">
        <v>97</v>
      </c>
      <c r="D79" s="92" t="s">
        <v>98</v>
      </c>
      <c r="E79" s="92" t="s">
        <v>57</v>
      </c>
    </row>
    <row r="80" spans="3:9" ht="15" customHeight="1" x14ac:dyDescent="0.3">
      <c r="C80" s="91">
        <v>0.03</v>
      </c>
      <c r="D80" s="72">
        <f t="shared" ref="D80:D88" si="6">$J$37-(C80*$J$37)-$J$44</f>
        <v>2028816.1749999998</v>
      </c>
      <c r="E80" s="95">
        <f t="shared" ref="E80:E88" si="7">D80/$J$46</f>
        <v>1.3765792066144225</v>
      </c>
      <c r="G80" s="75"/>
    </row>
    <row r="81" spans="2:7" ht="15" customHeight="1" x14ac:dyDescent="0.3">
      <c r="C81" s="75">
        <f>C80+2%</f>
        <v>0.05</v>
      </c>
      <c r="D81" s="72">
        <f t="shared" si="6"/>
        <v>1974286.1749999998</v>
      </c>
      <c r="E81" s="95">
        <f t="shared" si="7"/>
        <v>1.3395798643074812</v>
      </c>
      <c r="G81" s="75"/>
    </row>
    <row r="82" spans="2:7" ht="15" customHeight="1" x14ac:dyDescent="0.3">
      <c r="C82" s="75">
        <f t="shared" ref="C82:C88" si="8">C81+2%</f>
        <v>7.0000000000000007E-2</v>
      </c>
      <c r="D82" s="72">
        <f t="shared" si="6"/>
        <v>1919756.1749999998</v>
      </c>
      <c r="E82" s="95">
        <f t="shared" si="7"/>
        <v>1.3025805220005398</v>
      </c>
      <c r="G82" s="75"/>
    </row>
    <row r="83" spans="2:7" ht="15" customHeight="1" x14ac:dyDescent="0.3">
      <c r="C83" s="75">
        <f t="shared" si="8"/>
        <v>9.0000000000000011E-2</v>
      </c>
      <c r="D83" s="72">
        <f t="shared" si="6"/>
        <v>1865226.1749999998</v>
      </c>
      <c r="E83" s="95">
        <f t="shared" si="7"/>
        <v>1.2655811796935983</v>
      </c>
      <c r="G83" s="75"/>
    </row>
    <row r="84" spans="2:7" ht="15" customHeight="1" x14ac:dyDescent="0.3">
      <c r="B84" s="75"/>
      <c r="C84" s="75">
        <f t="shared" si="8"/>
        <v>0.11000000000000001</v>
      </c>
      <c r="D84" s="72">
        <f t="shared" si="6"/>
        <v>1810696.1749999998</v>
      </c>
      <c r="E84" s="95">
        <f t="shared" si="7"/>
        <v>1.228581837386657</v>
      </c>
      <c r="G84" s="75"/>
    </row>
    <row r="85" spans="2:7" ht="15" customHeight="1" x14ac:dyDescent="0.3">
      <c r="B85" s="75"/>
      <c r="C85" s="75">
        <f t="shared" si="8"/>
        <v>0.13</v>
      </c>
      <c r="D85" s="72">
        <f t="shared" si="6"/>
        <v>1756166.1749999998</v>
      </c>
      <c r="E85" s="95">
        <f t="shared" si="7"/>
        <v>1.1915824950797156</v>
      </c>
      <c r="G85" s="75"/>
    </row>
    <row r="86" spans="2:7" ht="15" customHeight="1" x14ac:dyDescent="0.3">
      <c r="B86" s="75"/>
      <c r="C86" s="75">
        <f t="shared" si="8"/>
        <v>0.15</v>
      </c>
      <c r="D86" s="72">
        <f t="shared" si="6"/>
        <v>1701636.1749999998</v>
      </c>
      <c r="E86" s="95">
        <f t="shared" si="7"/>
        <v>1.1545831527727743</v>
      </c>
      <c r="G86" s="75"/>
    </row>
    <row r="87" spans="2:7" ht="15" customHeight="1" x14ac:dyDescent="0.3">
      <c r="B87" s="75"/>
      <c r="C87" s="75">
        <f t="shared" si="8"/>
        <v>0.16999999999999998</v>
      </c>
      <c r="D87" s="72">
        <f t="shared" si="6"/>
        <v>1647106.1749999998</v>
      </c>
      <c r="E87" s="95">
        <f t="shared" si="7"/>
        <v>1.1175838104658329</v>
      </c>
      <c r="G87" s="75"/>
    </row>
    <row r="88" spans="2:7" ht="15" customHeight="1" x14ac:dyDescent="0.3">
      <c r="B88" s="75"/>
      <c r="C88" s="75">
        <f t="shared" si="8"/>
        <v>0.18999999999999997</v>
      </c>
      <c r="D88" s="72">
        <f t="shared" si="6"/>
        <v>1592576.1749999998</v>
      </c>
      <c r="E88" s="95">
        <f t="shared" si="7"/>
        <v>1.0805844681588916</v>
      </c>
      <c r="G88" s="75"/>
    </row>
  </sheetData>
  <mergeCells count="25">
    <mergeCell ref="F10:L10"/>
    <mergeCell ref="F11:L11"/>
    <mergeCell ref="F12:L12"/>
    <mergeCell ref="F17:L17"/>
    <mergeCell ref="F18:L18"/>
    <mergeCell ref="F13:L13"/>
    <mergeCell ref="F5:L5"/>
    <mergeCell ref="F6:L6"/>
    <mergeCell ref="F7:L7"/>
    <mergeCell ref="F8:L8"/>
    <mergeCell ref="F9:L9"/>
    <mergeCell ref="D10:E10"/>
    <mergeCell ref="D5:E5"/>
    <mergeCell ref="D6:E6"/>
    <mergeCell ref="D7:E7"/>
    <mergeCell ref="D8:E8"/>
    <mergeCell ref="D9:E9"/>
    <mergeCell ref="F22:L28"/>
    <mergeCell ref="D18:E18"/>
    <mergeCell ref="D11:E11"/>
    <mergeCell ref="D12:E12"/>
    <mergeCell ref="D17:E17"/>
    <mergeCell ref="F14:L14"/>
    <mergeCell ref="D13:E13"/>
    <mergeCell ref="D14:E14"/>
  </mergeCells>
  <conditionalFormatting sqref="E22">
    <cfRule type="cellIs" dxfId="18" priority="1" operator="greaterThan">
      <formula>$O$39</formula>
    </cfRule>
  </conditionalFormatting>
  <conditionalFormatting sqref="E24">
    <cfRule type="cellIs" dxfId="17" priority="4" operator="greaterThan">
      <formula>$D$12*12</formula>
    </cfRule>
  </conditionalFormatting>
  <conditionalFormatting sqref="E26">
    <cfRule type="cellIs" dxfId="16" priority="2" operator="greaterThan">
      <formula>$J$62</formula>
    </cfRule>
  </conditionalFormatting>
  <conditionalFormatting sqref="I47:J47">
    <cfRule type="cellIs" dxfId="15" priority="7" operator="lessThan">
      <formula>$E$28</formula>
    </cfRule>
    <cfRule type="cellIs" dxfId="14" priority="8" operator="greaterThanOrEqual">
      <formula>$E$28</formula>
    </cfRule>
  </conditionalFormatting>
  <conditionalFormatting sqref="N39:O39">
    <cfRule type="cellIs" dxfId="13" priority="5" operator="greaterThanOrEqual">
      <formula>$E$22</formula>
    </cfRule>
    <cfRule type="cellIs" dxfId="12" priority="6" operator="lessThan">
      <formula>$E$22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1E921-79D2-458E-9D0D-53B0DE8FD34D}">
          <x14:formula1>
            <xm:f>Admin!$B$7:$B$13</xm:f>
          </x14:formula1>
          <xm:sqref>D5:E5</xm:sqref>
        </x14:dataValidation>
        <x14:dataValidation type="list" allowBlank="1" showInputMessage="1" showErrorMessage="1" xr:uid="{09E55305-FBDD-45B6-A287-415CBCE717E1}">
          <x14:formula1>
            <xm:f>Admin!$B$25:$B$28</xm:f>
          </x14:formula1>
          <xm:sqref>D13</xm:sqref>
        </x14:dataValidation>
        <x14:dataValidation type="list" allowBlank="1" showInputMessage="1" showErrorMessage="1" xr:uid="{3A92F4D2-1243-44C6-B9BA-4223BF09AB52}">
          <x14:formula1>
            <xm:f>Admin!$E$25:$E$28</xm:f>
          </x14:formula1>
          <xm:sqref>D14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4C0B-7022-45E3-A558-FC80229D0A25}">
  <dimension ref="A1:L39"/>
  <sheetViews>
    <sheetView showGridLines="0" zoomScale="90" zoomScaleNormal="90" workbookViewId="0">
      <selection activeCell="H13" sqref="H13"/>
    </sheetView>
  </sheetViews>
  <sheetFormatPr defaultColWidth="11" defaultRowHeight="16.5" x14ac:dyDescent="0.3"/>
  <cols>
    <col min="1" max="1" width="3.140625" style="15" customWidth="1"/>
    <col min="2" max="2" width="29.42578125" style="15" customWidth="1"/>
    <col min="3" max="5" width="24.42578125" style="15" customWidth="1"/>
    <col min="6" max="6" width="2.28515625" style="15" customWidth="1"/>
    <col min="7" max="9" width="24.42578125" style="15" customWidth="1"/>
    <col min="10" max="11" width="15.28515625" style="15" customWidth="1"/>
    <col min="12" max="12" width="11" style="15" customWidth="1"/>
    <col min="13" max="16384" width="11" style="15"/>
  </cols>
  <sheetData>
    <row r="1" spans="1:12" x14ac:dyDescent="0.3">
      <c r="A1" s="129" t="s">
        <v>129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s="133" customFormat="1" ht="26.45" customHeight="1" x14ac:dyDescent="0.25">
      <c r="A2" s="131" t="s">
        <v>130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4" spans="1:12" x14ac:dyDescent="0.3">
      <c r="B4" s="171" t="s">
        <v>130</v>
      </c>
      <c r="C4" s="54" t="s">
        <v>160</v>
      </c>
      <c r="D4" s="54" t="s">
        <v>133</v>
      </c>
      <c r="E4" s="54" t="s">
        <v>159</v>
      </c>
      <c r="G4" s="150"/>
      <c r="H4" s="151" t="s">
        <v>130</v>
      </c>
      <c r="I4" s="152" t="s">
        <v>135</v>
      </c>
      <c r="J4" s="152" t="s">
        <v>188</v>
      </c>
      <c r="K4" s="152" t="s">
        <v>197</v>
      </c>
    </row>
    <row r="5" spans="1:12" x14ac:dyDescent="0.3">
      <c r="B5" s="21" t="s">
        <v>103</v>
      </c>
      <c r="C5" s="191">
        <f>SUMPRODUCT(Analysis!J53:J57,Analysis!I53:I57)</f>
        <v>1.3238584265541904</v>
      </c>
      <c r="D5" s="15" cm="1">
        <f t="array" ref="D5">IF(C5&lt;1,6,INDEX($C$16:$I$16,0,MATCH(C5,C17:I17,1)))</f>
        <v>2</v>
      </c>
      <c r="E5" s="172">
        <f>D5*K17</f>
        <v>0.33333333333333331</v>
      </c>
      <c r="G5" s="137">
        <v>1</v>
      </c>
      <c r="H5" s="138" t="s">
        <v>136</v>
      </c>
      <c r="I5" s="139">
        <v>5.0000000000000001E-3</v>
      </c>
      <c r="J5" s="224">
        <v>0.25</v>
      </c>
      <c r="K5" s="225">
        <v>1.2500000000000001E-2</v>
      </c>
    </row>
    <row r="6" spans="1:12" x14ac:dyDescent="0.3">
      <c r="B6" s="21" t="s">
        <v>104</v>
      </c>
      <c r="C6" s="101">
        <f>Analysis!J60</f>
        <v>0.88538419218778652</v>
      </c>
      <c r="D6" s="15" cm="1">
        <f t="array" ref="D6">INDEX($C$16:$I$16,0,MATCH(C6,C18:I18,1))</f>
        <v>1</v>
      </c>
      <c r="E6" s="172">
        <f>D6*K18</f>
        <v>0.16666666666666666</v>
      </c>
      <c r="G6" s="140">
        <v>2</v>
      </c>
      <c r="H6" s="141" t="s">
        <v>137</v>
      </c>
      <c r="I6" s="142">
        <v>0.01</v>
      </c>
      <c r="J6" s="226">
        <v>0.5</v>
      </c>
      <c r="K6" s="227">
        <v>0.02</v>
      </c>
    </row>
    <row r="7" spans="1:12" x14ac:dyDescent="0.3">
      <c r="B7" s="21" t="s">
        <v>148</v>
      </c>
      <c r="C7" s="64" t="str">
        <f>Analysis!D13</f>
        <v>Some Deferrals</v>
      </c>
      <c r="D7" s="15" cm="1">
        <f t="array" ref="D7">INDEX($C$16:$I$16,0,MATCH(C7,C19:I19,0))</f>
        <v>4</v>
      </c>
      <c r="E7" s="172">
        <f>D7*K19</f>
        <v>0.66666666666666663</v>
      </c>
      <c r="G7" s="143">
        <v>3</v>
      </c>
      <c r="H7" s="144" t="s">
        <v>138</v>
      </c>
      <c r="I7" s="142">
        <v>1.4999999999999999E-2</v>
      </c>
      <c r="J7" s="226">
        <v>0.75</v>
      </c>
      <c r="K7" s="227">
        <v>2.75E-2</v>
      </c>
    </row>
    <row r="8" spans="1:12" x14ac:dyDescent="0.3">
      <c r="B8" s="21" t="s">
        <v>143</v>
      </c>
      <c r="C8" s="64" t="str">
        <f>Analysis!D14</f>
        <v>Large Metro (1MM+)</v>
      </c>
      <c r="D8" s="15" cm="1">
        <f t="array" ref="D8">INDEX($C$16:$I$16,0,MATCH(C8,C20:I20,0))</f>
        <v>1</v>
      </c>
      <c r="E8" s="172">
        <f>D8*K20</f>
        <v>0.16666666666666666</v>
      </c>
      <c r="G8" s="145">
        <v>4</v>
      </c>
      <c r="H8" s="146" t="s">
        <v>139</v>
      </c>
      <c r="I8" s="142">
        <v>2.5000000000000001E-2</v>
      </c>
      <c r="J8" s="226">
        <v>1</v>
      </c>
      <c r="K8" s="227">
        <v>4.4999999999999998E-2</v>
      </c>
    </row>
    <row r="9" spans="1:12" x14ac:dyDescent="0.3">
      <c r="B9" s="21" t="s">
        <v>149</v>
      </c>
      <c r="C9" s="194">
        <f>Analysis!J47</f>
        <v>1.3303300287307458</v>
      </c>
      <c r="D9" s="15" cm="1">
        <f t="array" ref="D9">IF(C9&lt;1,6,INDEX($C$16:$I$16,0,MATCH(C9,C21:I21,1)))</f>
        <v>4</v>
      </c>
      <c r="E9" s="172">
        <f>D9*K21</f>
        <v>0.66666666666666663</v>
      </c>
      <c r="G9" s="153">
        <v>5</v>
      </c>
      <c r="H9" s="154" t="s">
        <v>140</v>
      </c>
      <c r="I9" s="142">
        <v>0.05</v>
      </c>
      <c r="J9" s="226">
        <v>1.25</v>
      </c>
      <c r="K9" s="227">
        <v>7.0000000000000007E-2</v>
      </c>
    </row>
    <row r="10" spans="1:12" x14ac:dyDescent="0.3">
      <c r="B10" s="173" t="s">
        <v>150</v>
      </c>
      <c r="C10" s="192" t="s">
        <v>198</v>
      </c>
      <c r="D10" s="174">
        <v>3</v>
      </c>
      <c r="E10" s="175">
        <f>D10*K20</f>
        <v>0.5</v>
      </c>
      <c r="G10" s="147">
        <v>6</v>
      </c>
      <c r="H10" s="148" t="s">
        <v>141</v>
      </c>
      <c r="I10" s="149">
        <v>0.1</v>
      </c>
      <c r="J10" s="228">
        <v>1.5</v>
      </c>
      <c r="K10" s="229" t="s">
        <v>198</v>
      </c>
    </row>
    <row r="11" spans="1:12" x14ac:dyDescent="0.3">
      <c r="B11" s="21" t="s">
        <v>134</v>
      </c>
      <c r="E11" s="176">
        <f>SUM(E5:E10)</f>
        <v>2.5</v>
      </c>
    </row>
    <row r="12" spans="1:12" x14ac:dyDescent="0.3">
      <c r="B12" s="21" t="s">
        <v>130</v>
      </c>
      <c r="E12" s="135" t="str">
        <f>INDEX(G5:H10,MATCH(E11,G5:G10,1),2)&amp;" ("&amp;INDEX(G5:H10,MATCH(E11,G5:G10,1),1)&amp;")"</f>
        <v>Low Risk (2)</v>
      </c>
      <c r="G12" s="136"/>
    </row>
    <row r="14" spans="1:12" ht="14.65" customHeight="1" x14ac:dyDescent="0.3">
      <c r="B14" s="136"/>
    </row>
    <row r="15" spans="1:12" ht="14.65" customHeight="1" x14ac:dyDescent="0.3">
      <c r="B15" s="157" t="s">
        <v>147</v>
      </c>
      <c r="C15" s="158" t="s">
        <v>144</v>
      </c>
      <c r="D15" s="159"/>
      <c r="E15" s="160"/>
      <c r="F15" s="160"/>
      <c r="G15" s="160"/>
      <c r="H15" s="160"/>
      <c r="I15" s="161"/>
      <c r="J15" s="160" t="s">
        <v>132</v>
      </c>
      <c r="K15" s="160"/>
    </row>
    <row r="16" spans="1:12" ht="14.65" customHeight="1" x14ac:dyDescent="0.3">
      <c r="B16" s="162" t="s">
        <v>205</v>
      </c>
      <c r="C16" s="163">
        <f>D16+1</f>
        <v>6</v>
      </c>
      <c r="D16" s="163">
        <f>E16+1</f>
        <v>5</v>
      </c>
      <c r="E16" s="180">
        <f>G16+1</f>
        <v>4</v>
      </c>
      <c r="F16" s="181"/>
      <c r="G16" s="163">
        <f>H16+1</f>
        <v>3</v>
      </c>
      <c r="H16" s="163">
        <f>I16+1</f>
        <v>2</v>
      </c>
      <c r="I16" s="163">
        <v>1</v>
      </c>
      <c r="J16" s="163" t="s">
        <v>145</v>
      </c>
      <c r="K16" s="163" t="s">
        <v>146</v>
      </c>
    </row>
    <row r="17" spans="2:11" ht="14.65" customHeight="1" x14ac:dyDescent="0.3">
      <c r="B17" s="167" t="s">
        <v>103</v>
      </c>
      <c r="C17" s="178" t="s">
        <v>169</v>
      </c>
      <c r="D17" s="178">
        <v>1</v>
      </c>
      <c r="E17" s="184">
        <v>1.1000000000000001</v>
      </c>
      <c r="F17" s="185"/>
      <c r="G17" s="178">
        <v>1.2</v>
      </c>
      <c r="H17" s="178">
        <v>1.3</v>
      </c>
      <c r="I17" s="178">
        <v>1.4</v>
      </c>
      <c r="J17" s="169">
        <v>1</v>
      </c>
      <c r="K17" s="222">
        <f t="shared" ref="K17:K22" si="0">J17/$J$23</f>
        <v>0.16666666666666666</v>
      </c>
    </row>
    <row r="18" spans="2:11" x14ac:dyDescent="0.3">
      <c r="B18" s="164" t="s">
        <v>104</v>
      </c>
      <c r="C18" s="179">
        <v>0</v>
      </c>
      <c r="D18" s="179">
        <v>0.2</v>
      </c>
      <c r="E18" s="186">
        <v>0.3</v>
      </c>
      <c r="F18" s="187"/>
      <c r="G18" s="179">
        <v>0.4</v>
      </c>
      <c r="H18" s="179">
        <v>0.5</v>
      </c>
      <c r="I18" s="179">
        <v>0.6</v>
      </c>
      <c r="J18" s="166">
        <v>1</v>
      </c>
      <c r="K18" s="223">
        <f t="shared" si="0"/>
        <v>0.16666666666666666</v>
      </c>
    </row>
    <row r="19" spans="2:11" x14ac:dyDescent="0.3">
      <c r="B19" s="167" t="s">
        <v>148</v>
      </c>
      <c r="C19" s="168" t="s">
        <v>178</v>
      </c>
      <c r="D19" s="168" t="s">
        <v>157</v>
      </c>
      <c r="E19" s="188" t="s">
        <v>177</v>
      </c>
      <c r="F19" s="189"/>
      <c r="G19" s="168" t="s">
        <v>176</v>
      </c>
      <c r="H19" s="168" t="s">
        <v>157</v>
      </c>
      <c r="I19" s="168" t="s">
        <v>175</v>
      </c>
      <c r="J19" s="169">
        <v>1</v>
      </c>
      <c r="K19" s="222">
        <f t="shared" si="0"/>
        <v>0.16666666666666666</v>
      </c>
    </row>
    <row r="20" spans="2:11" x14ac:dyDescent="0.3">
      <c r="B20" s="21" t="s">
        <v>143</v>
      </c>
      <c r="C20" s="165" t="s">
        <v>162</v>
      </c>
      <c r="D20" s="165" t="s">
        <v>157</v>
      </c>
      <c r="E20" s="182" t="s">
        <v>163</v>
      </c>
      <c r="F20" s="183"/>
      <c r="G20" s="165" t="s">
        <v>164</v>
      </c>
      <c r="H20" s="165" t="s">
        <v>157</v>
      </c>
      <c r="I20" s="165" t="s">
        <v>165</v>
      </c>
      <c r="J20" s="166">
        <v>1</v>
      </c>
      <c r="K20" s="223">
        <f t="shared" si="0"/>
        <v>0.16666666666666666</v>
      </c>
    </row>
    <row r="21" spans="2:11" x14ac:dyDescent="0.3">
      <c r="B21" s="167" t="s">
        <v>174</v>
      </c>
      <c r="C21" s="168" t="s">
        <v>169</v>
      </c>
      <c r="D21" s="178">
        <v>1</v>
      </c>
      <c r="E21" s="188">
        <v>1.1499999999999999</v>
      </c>
      <c r="F21" s="189"/>
      <c r="G21" s="168">
        <v>1.35</v>
      </c>
      <c r="H21" s="168">
        <v>1.55</v>
      </c>
      <c r="I21" s="168">
        <v>1.75</v>
      </c>
      <c r="J21" s="169">
        <v>1</v>
      </c>
      <c r="K21" s="222">
        <f t="shared" si="0"/>
        <v>0.16666666666666666</v>
      </c>
    </row>
    <row r="22" spans="2:11" ht="33" x14ac:dyDescent="0.3">
      <c r="B22" s="21" t="s">
        <v>150</v>
      </c>
      <c r="C22" s="165" t="s">
        <v>151</v>
      </c>
      <c r="D22" s="179" t="s">
        <v>152</v>
      </c>
      <c r="E22" s="182" t="s">
        <v>153</v>
      </c>
      <c r="F22" s="183"/>
      <c r="G22" s="165" t="s">
        <v>155</v>
      </c>
      <c r="H22" s="165" t="s">
        <v>154</v>
      </c>
      <c r="I22" s="165" t="s">
        <v>156</v>
      </c>
      <c r="J22" s="166">
        <v>1</v>
      </c>
      <c r="K22" s="223">
        <f t="shared" si="0"/>
        <v>0.16666666666666666</v>
      </c>
    </row>
    <row r="23" spans="2:11" x14ac:dyDescent="0.3">
      <c r="B23" s="21"/>
      <c r="J23" s="134">
        <f>SUM(J17:J22)</f>
        <v>6</v>
      </c>
      <c r="K23" s="170"/>
    </row>
    <row r="24" spans="2:11" x14ac:dyDescent="0.3">
      <c r="B24" s="21"/>
      <c r="J24" s="134"/>
      <c r="K24" s="170"/>
    </row>
    <row r="25" spans="2:11" x14ac:dyDescent="0.3">
      <c r="B25" s="197" t="s">
        <v>173</v>
      </c>
      <c r="C25" s="198"/>
      <c r="D25" s="198"/>
      <c r="E25" s="198"/>
      <c r="F25" s="199"/>
    </row>
    <row r="26" spans="2:11" ht="45.95" customHeight="1" x14ac:dyDescent="0.3">
      <c r="B26" s="270"/>
      <c r="C26" s="276"/>
      <c r="D26" s="276"/>
      <c r="E26" s="276"/>
      <c r="F26" s="277"/>
    </row>
    <row r="27" spans="2:11" x14ac:dyDescent="0.3">
      <c r="B27" s="278"/>
      <c r="C27" s="276"/>
      <c r="D27" s="276"/>
      <c r="E27" s="276"/>
      <c r="F27" s="277"/>
    </row>
    <row r="28" spans="2:11" ht="15" customHeight="1" x14ac:dyDescent="0.3">
      <c r="B28" s="279"/>
      <c r="C28" s="280"/>
      <c r="D28" s="280"/>
      <c r="E28" s="280"/>
      <c r="F28" s="281"/>
    </row>
    <row r="30" spans="2:11" x14ac:dyDescent="0.3">
      <c r="B30" s="197" t="s">
        <v>172</v>
      </c>
      <c r="C30" s="198"/>
      <c r="D30" s="198"/>
      <c r="E30" s="198"/>
      <c r="F30" s="199"/>
    </row>
    <row r="31" spans="2:11" ht="55.15" customHeight="1" x14ac:dyDescent="0.3">
      <c r="B31" s="270"/>
      <c r="C31" s="271"/>
      <c r="D31" s="271"/>
      <c r="E31" s="271"/>
      <c r="F31" s="272"/>
    </row>
    <row r="32" spans="2:11" x14ac:dyDescent="0.3">
      <c r="B32" s="270"/>
      <c r="C32" s="271"/>
      <c r="D32" s="271"/>
      <c r="E32" s="271"/>
      <c r="F32" s="272"/>
    </row>
    <row r="33" spans="2:6" x14ac:dyDescent="0.3">
      <c r="B33" s="273"/>
      <c r="C33" s="274"/>
      <c r="D33" s="274"/>
      <c r="E33" s="274"/>
      <c r="F33" s="275"/>
    </row>
    <row r="35" spans="2:6" x14ac:dyDescent="0.3">
      <c r="B35" s="197" t="s">
        <v>171</v>
      </c>
      <c r="C35" s="198"/>
      <c r="D35" s="198"/>
      <c r="E35" s="198"/>
      <c r="F35" s="199"/>
    </row>
    <row r="36" spans="2:6" ht="63.2" customHeight="1" x14ac:dyDescent="0.3">
      <c r="B36" s="270"/>
      <c r="C36" s="271"/>
      <c r="D36" s="271"/>
      <c r="E36" s="271"/>
      <c r="F36" s="272"/>
    </row>
    <row r="37" spans="2:6" x14ac:dyDescent="0.3">
      <c r="B37" s="270"/>
      <c r="C37" s="271"/>
      <c r="D37" s="271"/>
      <c r="E37" s="271"/>
      <c r="F37" s="272"/>
    </row>
    <row r="38" spans="2:6" x14ac:dyDescent="0.3">
      <c r="B38" s="273"/>
      <c r="C38" s="274"/>
      <c r="D38" s="274"/>
      <c r="E38" s="274"/>
      <c r="F38" s="275"/>
    </row>
    <row r="39" spans="2:6" x14ac:dyDescent="0.3">
      <c r="E39" s="14"/>
    </row>
  </sheetData>
  <mergeCells count="3">
    <mergeCell ref="B31:F33"/>
    <mergeCell ref="B36:F38"/>
    <mergeCell ref="B26:F28"/>
  </mergeCells>
  <conditionalFormatting sqref="E12">
    <cfRule type="expression" dxfId="11" priority="1">
      <formula>$E$11&lt;$G$6</formula>
    </cfRule>
    <cfRule type="expression" dxfId="10" priority="2">
      <formula>$E$11&lt;$G$7</formula>
    </cfRule>
    <cfRule type="expression" dxfId="9" priority="3">
      <formula>$E$11&lt;$G$8</formula>
    </cfRule>
    <cfRule type="expression" dxfId="8" priority="4">
      <formula>$E$11&lt;$G$9</formula>
    </cfRule>
    <cfRule type="expression" dxfId="7" priority="5">
      <formula>$E$11&lt;$G$10</formula>
    </cfRule>
    <cfRule type="expression" dxfId="6" priority="6">
      <formula>$E$11&gt;=$G$10</formula>
    </cfRule>
  </conditionalFormatting>
  <pageMargins left="0.7" right="0.7" top="0.75" bottom="0.75" header="0.3" footer="0.3"/>
  <pageSetup orientation="portrait" r:id="rId1"/>
  <ignoredErrors>
    <ignoredError sqref="D5:D6" formulaRange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BD5B2-838E-4CB9-99CE-3BAA6857AD0F}">
          <x14:formula1>
            <xm:f>Admin!$B$32:$B$37</xm:f>
          </x14:formula1>
          <xm:sqref>D10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7213-2BC3-470B-BD5B-086B85D3F5D3}">
  <dimension ref="A1:H32"/>
  <sheetViews>
    <sheetView showGridLines="0" tabSelected="1" zoomScale="130" zoomScaleNormal="130" workbookViewId="0">
      <selection activeCell="J15" sqref="J15"/>
    </sheetView>
  </sheetViews>
  <sheetFormatPr defaultColWidth="11" defaultRowHeight="16.5" x14ac:dyDescent="0.3"/>
  <cols>
    <col min="1" max="1" width="30.42578125" style="15" customWidth="1"/>
    <col min="2" max="2" width="18.140625" style="15" customWidth="1"/>
    <col min="3" max="3" width="4.42578125" style="15" customWidth="1"/>
    <col min="4" max="4" width="21.42578125" style="25" customWidth="1"/>
    <col min="5" max="5" width="5.28515625" style="25" customWidth="1"/>
    <col min="6" max="6" width="13.7109375" style="15" customWidth="1"/>
    <col min="7" max="16384" width="11" style="14"/>
  </cols>
  <sheetData>
    <row r="1" spans="1:7" s="15" customFormat="1" x14ac:dyDescent="0.3">
      <c r="A1" s="129" t="s">
        <v>129</v>
      </c>
      <c r="B1" s="130"/>
      <c r="C1" s="130"/>
      <c r="D1" s="202"/>
      <c r="E1" s="202"/>
      <c r="F1" s="130"/>
    </row>
    <row r="2" spans="1:7" s="133" customFormat="1" ht="26.45" customHeight="1" x14ac:dyDescent="0.25">
      <c r="A2" s="131" t="s">
        <v>208</v>
      </c>
      <c r="B2" s="132"/>
      <c r="C2" s="132"/>
      <c r="D2" s="203"/>
      <c r="E2" s="203"/>
      <c r="F2" s="132"/>
    </row>
    <row r="3" spans="1:7" x14ac:dyDescent="0.3">
      <c r="B3" s="64"/>
      <c r="C3" s="64"/>
      <c r="F3" s="64"/>
    </row>
    <row r="4" spans="1:7" x14ac:dyDescent="0.3">
      <c r="A4" s="204" t="s">
        <v>179</v>
      </c>
      <c r="B4" s="205"/>
      <c r="C4" s="205"/>
      <c r="D4" s="206"/>
      <c r="E4" s="206"/>
      <c r="F4" s="207"/>
    </row>
    <row r="5" spans="1:7" x14ac:dyDescent="0.3">
      <c r="A5" s="21" t="s">
        <v>130</v>
      </c>
      <c r="B5" s="135" t="str">
        <f>'Risk Rating'!E12</f>
        <v>Low Risk (2)</v>
      </c>
      <c r="C5" s="64"/>
      <c r="D5" s="56" t="s">
        <v>180</v>
      </c>
      <c r="E5" s="56"/>
      <c r="F5" s="64"/>
      <c r="G5" s="15"/>
    </row>
    <row r="6" spans="1:7" x14ac:dyDescent="0.3">
      <c r="A6" s="21" t="s">
        <v>181</v>
      </c>
      <c r="B6" s="210">
        <v>40000</v>
      </c>
      <c r="C6" s="209"/>
      <c r="D6" s="25" t="s">
        <v>199</v>
      </c>
      <c r="E6" s="230">
        <v>0</v>
      </c>
      <c r="F6" s="155">
        <v>0.1</v>
      </c>
      <c r="G6" s="15"/>
    </row>
    <row r="7" spans="1:7" x14ac:dyDescent="0.3">
      <c r="A7" s="21" t="s">
        <v>182</v>
      </c>
      <c r="B7" s="210">
        <v>15000</v>
      </c>
      <c r="C7" s="64"/>
      <c r="D7" s="25" t="s">
        <v>200</v>
      </c>
      <c r="E7" s="230">
        <v>0.2</v>
      </c>
      <c r="F7" s="155">
        <v>0.15</v>
      </c>
    </row>
    <row r="8" spans="1:7" x14ac:dyDescent="0.3">
      <c r="A8" s="21" t="s">
        <v>191</v>
      </c>
      <c r="B8" s="214">
        <v>0.04</v>
      </c>
      <c r="C8" s="64"/>
      <c r="D8" s="25" t="s">
        <v>201</v>
      </c>
      <c r="E8" s="230">
        <v>0.4</v>
      </c>
      <c r="F8" s="155">
        <v>0.2</v>
      </c>
    </row>
    <row r="9" spans="1:7" x14ac:dyDescent="0.3">
      <c r="A9" s="21" t="s">
        <v>183</v>
      </c>
      <c r="B9" s="211">
        <v>0.1</v>
      </c>
      <c r="C9" s="64"/>
      <c r="D9" s="25" t="s">
        <v>202</v>
      </c>
      <c r="E9" s="230">
        <v>0.6</v>
      </c>
      <c r="F9" s="155">
        <v>0.25</v>
      </c>
    </row>
    <row r="10" spans="1:7" x14ac:dyDescent="0.3">
      <c r="A10" s="21" t="s">
        <v>204</v>
      </c>
      <c r="B10" s="215">
        <f>B8+INDEX('Risk Rating'!K5:K10,MATCH('Risk Rating'!E11,'Risk Rating'!G5:G10,1))</f>
        <v>0.06</v>
      </c>
      <c r="C10" s="64"/>
      <c r="E10" s="230"/>
      <c r="F10" s="155"/>
    </row>
    <row r="11" spans="1:7" x14ac:dyDescent="0.3">
      <c r="A11" s="21" t="s">
        <v>203</v>
      </c>
      <c r="B11" s="214">
        <v>5.5E-2</v>
      </c>
      <c r="C11" s="64"/>
      <c r="E11" s="230"/>
      <c r="F11" s="155"/>
    </row>
    <row r="12" spans="1:7" x14ac:dyDescent="0.3">
      <c r="A12" s="15" t="s">
        <v>185</v>
      </c>
      <c r="B12" s="64" t="s">
        <v>226</v>
      </c>
      <c r="C12" s="64"/>
      <c r="F12" s="64"/>
    </row>
    <row r="13" spans="1:7" x14ac:dyDescent="0.3">
      <c r="A13" s="204" t="s">
        <v>184</v>
      </c>
      <c r="B13" s="205"/>
      <c r="C13" s="205"/>
      <c r="D13" s="206"/>
      <c r="E13" s="206"/>
      <c r="F13" s="207"/>
    </row>
    <row r="14" spans="1:7" x14ac:dyDescent="0.3">
      <c r="A14" s="15" t="s">
        <v>71</v>
      </c>
      <c r="B14" s="219">
        <f>Analysis!E22</f>
        <v>20000000</v>
      </c>
      <c r="C14" s="64"/>
      <c r="D14" s="212" t="s">
        <v>183</v>
      </c>
      <c r="E14" s="212"/>
      <c r="F14" s="213">
        <f>$B$9</f>
        <v>0.1</v>
      </c>
    </row>
    <row r="15" spans="1:7" x14ac:dyDescent="0.3">
      <c r="A15" s="15" t="s">
        <v>187</v>
      </c>
      <c r="B15" s="220">
        <f>B14-B14/Analysis!E24*6</f>
        <v>19600000</v>
      </c>
      <c r="C15" s="64"/>
      <c r="D15" s="25" t="s">
        <v>186</v>
      </c>
      <c r="F15" s="208">
        <f>B14*$F$14</f>
        <v>2000000</v>
      </c>
    </row>
    <row r="16" spans="1:7" x14ac:dyDescent="0.3">
      <c r="A16" s="14" t="s">
        <v>196</v>
      </c>
      <c r="B16" s="217">
        <f>Analysis!O38</f>
        <v>0.63754247674567011</v>
      </c>
      <c r="C16" s="64"/>
      <c r="D16" s="25" t="s">
        <v>188</v>
      </c>
      <c r="F16" s="209">
        <f>INDEX('Risk Rating'!J5:J10,MATCH('Risk Rating'!E11,'Risk Rating'!G5:G10,1))</f>
        <v>0.5</v>
      </c>
    </row>
    <row r="17" spans="1:8" x14ac:dyDescent="0.3">
      <c r="A17" s="15" t="s">
        <v>190</v>
      </c>
      <c r="B17" s="215">
        <f>B11</f>
        <v>5.5E-2</v>
      </c>
      <c r="C17" s="64"/>
      <c r="D17" s="25" t="s">
        <v>189</v>
      </c>
      <c r="F17" s="208">
        <f>F15*F16</f>
        <v>1000000</v>
      </c>
      <c r="H17" s="217"/>
    </row>
    <row r="18" spans="1:8" x14ac:dyDescent="0.3">
      <c r="A18" s="15" t="s">
        <v>191</v>
      </c>
      <c r="B18" s="215">
        <f>B8</f>
        <v>0.04</v>
      </c>
      <c r="C18" s="64"/>
      <c r="F18" s="64"/>
    </row>
    <row r="19" spans="1:8" x14ac:dyDescent="0.3">
      <c r="A19" s="15" t="s">
        <v>181</v>
      </c>
      <c r="B19" s="218">
        <f>B6</f>
        <v>40000</v>
      </c>
      <c r="C19" s="64"/>
      <c r="F19" s="64"/>
    </row>
    <row r="20" spans="1:8" x14ac:dyDescent="0.3">
      <c r="A20" s="15" t="s">
        <v>182</v>
      </c>
      <c r="B20" s="218">
        <f>B7</f>
        <v>15000</v>
      </c>
      <c r="C20" s="64"/>
      <c r="F20" s="64"/>
    </row>
    <row r="21" spans="1:8" x14ac:dyDescent="0.3">
      <c r="A21" s="15" t="s">
        <v>192</v>
      </c>
      <c r="B21" s="215">
        <f>INDEX('Risk Rating'!I5:I10,MATCH('Risk Rating'!E11,'Risk Rating'!G5:G10,1))</f>
        <v>0.01</v>
      </c>
      <c r="C21" s="64"/>
      <c r="F21" s="64"/>
    </row>
    <row r="22" spans="1:8" x14ac:dyDescent="0.3">
      <c r="A22" s="195" t="s">
        <v>193</v>
      </c>
      <c r="B22" s="221">
        <f>INDEX(F6:F9,MATCH(Analysis!$O$38,Pricing!E6:E9,1))</f>
        <v>0.25</v>
      </c>
      <c r="C22" s="192"/>
      <c r="D22" s="216"/>
      <c r="E22" s="216"/>
      <c r="F22" s="192"/>
    </row>
    <row r="23" spans="1:8" ht="17.25" thickBot="1" x14ac:dyDescent="0.35">
      <c r="A23" s="231" t="s">
        <v>194</v>
      </c>
      <c r="B23" s="232">
        <f>IFERROR(((B15*B17)+B19)-((B15*B18)+B20)-(B15*B21*B22),"na")</f>
        <v>270000</v>
      </c>
      <c r="C23" s="233"/>
      <c r="D23" s="234" t="s">
        <v>195</v>
      </c>
      <c r="E23" s="234"/>
      <c r="F23" s="235">
        <f>IFERROR(B23/F17,"na")</f>
        <v>0.27</v>
      </c>
    </row>
    <row r="24" spans="1:8" ht="17.25" thickTop="1" x14ac:dyDescent="0.3">
      <c r="A24" s="15" t="s">
        <v>185</v>
      </c>
      <c r="B24" s="64"/>
      <c r="C24" s="64"/>
      <c r="F24" s="64"/>
    </row>
    <row r="25" spans="1:8" x14ac:dyDescent="0.3">
      <c r="A25" s="15" t="s">
        <v>185</v>
      </c>
      <c r="B25" s="64"/>
      <c r="C25" s="64"/>
      <c r="F25" s="64"/>
    </row>
    <row r="26" spans="1:8" x14ac:dyDescent="0.3">
      <c r="B26" s="64"/>
      <c r="C26" s="64"/>
      <c r="F26" s="64"/>
    </row>
    <row r="27" spans="1:8" x14ac:dyDescent="0.3">
      <c r="B27" s="64"/>
      <c r="C27" s="64"/>
      <c r="F27" s="64"/>
    </row>
    <row r="28" spans="1:8" x14ac:dyDescent="0.3">
      <c r="B28" s="64"/>
      <c r="C28" s="64"/>
      <c r="F28" s="64"/>
    </row>
    <row r="29" spans="1:8" x14ac:dyDescent="0.3">
      <c r="B29" s="64"/>
      <c r="C29" s="64"/>
      <c r="F29" s="64"/>
    </row>
    <row r="30" spans="1:8" x14ac:dyDescent="0.3">
      <c r="B30" s="64"/>
      <c r="C30" s="64"/>
      <c r="F30" s="64"/>
    </row>
    <row r="31" spans="1:8" x14ac:dyDescent="0.3">
      <c r="B31" s="64"/>
      <c r="C31" s="64"/>
      <c r="F31" s="64"/>
    </row>
    <row r="32" spans="1:8" x14ac:dyDescent="0.3">
      <c r="B32" s="64"/>
      <c r="C32" s="64"/>
      <c r="F32" s="64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915C27E-9DCF-4E7E-89FD-09984E0D6CE2}">
            <xm:f>'Risk Rating'!$E$11&lt;'Risk Rating'!$G$6</xm:f>
            <x14:dxf>
              <fill>
                <patternFill>
                  <bgColor rgb="FF00B050"/>
                </patternFill>
              </fill>
            </x14:dxf>
          </x14:cfRule>
          <x14:cfRule type="expression" priority="2" id="{5C0CFD44-591B-4121-BCE6-B277DB856F56}">
            <xm:f>'Risk Rating'!$E$11&lt;'Risk Rating'!$G$7</xm:f>
            <x14:dxf>
              <fill>
                <patternFill>
                  <bgColor rgb="FF92D050"/>
                </patternFill>
              </fill>
            </x14:dxf>
          </x14:cfRule>
          <x14:cfRule type="expression" priority="3" id="{9F7F0913-412F-405D-811F-88A2461B1F95}">
            <xm:f>'Risk Rating'!$E$11&lt;'Risk Rating'!$G$8</xm:f>
            <x14:dxf>
              <fill>
                <patternFill>
                  <bgColor rgb="FFFFFF00"/>
                </patternFill>
              </fill>
            </x14:dxf>
          </x14:cfRule>
          <x14:cfRule type="expression" priority="4" id="{88E6D4F6-D6D1-405E-976D-952139236915}">
            <xm:f>'Risk Rating'!$E$11&lt;'Risk Rating'!$G$9</xm:f>
            <x14:dxf>
              <fill>
                <patternFill>
                  <bgColor rgb="FFFFC000"/>
                </patternFill>
              </fill>
            </x14:dxf>
          </x14:cfRule>
          <x14:cfRule type="expression" priority="5" id="{513987AC-45A0-44FE-9C7E-AD35D5690AB0}">
            <xm:f>'Risk Rating'!$E$11&lt;'Risk Rating'!$G$10</xm:f>
            <x14:dxf>
              <fill>
                <patternFill>
                  <fgColor auto="1"/>
                  <bgColor rgb="FFB7276E"/>
                </patternFill>
              </fill>
            </x14:dxf>
          </x14:cfRule>
          <x14:cfRule type="expression" priority="6" id="{3508C4F7-3EEC-41CD-86F2-9894F425AB87}">
            <xm:f>'Risk Rating'!$E$11&gt;='Risk Rating'!$G$10</xm:f>
            <x14:dxf>
              <fill>
                <patternFill>
                  <bgColor rgb="FFFF0000"/>
                </patternFill>
              </fill>
            </x14:dxf>
          </x14:cfRule>
          <xm:sqref>B5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E508-108A-4C89-A5AD-F5E5179DC9E5}">
  <dimension ref="A1:I37"/>
  <sheetViews>
    <sheetView showGridLines="0" zoomScale="120" zoomScaleNormal="120" workbookViewId="0">
      <selection activeCell="E3" sqref="E3"/>
    </sheetView>
  </sheetViews>
  <sheetFormatPr defaultColWidth="8.85546875" defaultRowHeight="16.5" x14ac:dyDescent="0.3"/>
  <cols>
    <col min="1" max="1" width="1.140625" style="14" customWidth="1"/>
    <col min="2" max="3" width="14.42578125" style="14" customWidth="1"/>
    <col min="4" max="4" width="4.28515625" style="14" customWidth="1"/>
    <col min="5" max="7" width="13.42578125" style="14" customWidth="1"/>
    <col min="8" max="8" width="26.140625" style="14" bestFit="1" customWidth="1"/>
    <col min="9" max="9" width="13.42578125" style="14" customWidth="1"/>
    <col min="10" max="16384" width="8.85546875" style="14"/>
  </cols>
  <sheetData>
    <row r="1" spans="1:9" x14ac:dyDescent="0.3">
      <c r="A1" s="11" t="s">
        <v>0</v>
      </c>
      <c r="B1" s="11"/>
      <c r="C1" s="11"/>
      <c r="D1" s="12"/>
      <c r="E1" s="23"/>
      <c r="F1" s="13"/>
      <c r="G1" s="13"/>
      <c r="H1" s="13"/>
      <c r="I1" s="13"/>
    </row>
    <row r="2" spans="1:9" ht="24" customHeight="1" x14ac:dyDescent="0.3">
      <c r="A2" s="12"/>
      <c r="B2" s="19" t="s">
        <v>209</v>
      </c>
      <c r="C2" s="19"/>
      <c r="D2" s="24"/>
      <c r="E2" s="24"/>
      <c r="F2" s="30"/>
      <c r="G2" s="30"/>
      <c r="H2" s="30"/>
      <c r="I2" s="30"/>
    </row>
    <row r="4" spans="1:9" x14ac:dyDescent="0.3">
      <c r="B4" s="128" t="s">
        <v>126</v>
      </c>
      <c r="C4" s="128"/>
      <c r="D4" s="128" t="s">
        <v>127</v>
      </c>
    </row>
    <row r="6" spans="1:9" x14ac:dyDescent="0.3">
      <c r="B6" s="124" t="s">
        <v>109</v>
      </c>
      <c r="C6" s="124"/>
      <c r="D6" s="122"/>
      <c r="E6" s="70" t="s">
        <v>99</v>
      </c>
      <c r="F6" s="70" t="s">
        <v>111</v>
      </c>
      <c r="G6" s="70" t="s">
        <v>168</v>
      </c>
      <c r="H6" s="70" t="s">
        <v>167</v>
      </c>
    </row>
    <row r="7" spans="1:9" x14ac:dyDescent="0.3">
      <c r="B7" s="125" t="s">
        <v>115</v>
      </c>
      <c r="C7" s="125"/>
      <c r="D7" s="125"/>
      <c r="E7" s="126">
        <v>4.7500000000000001E-2</v>
      </c>
      <c r="F7" s="127">
        <v>1.2</v>
      </c>
      <c r="G7" s="126">
        <v>0.04</v>
      </c>
      <c r="H7" s="193">
        <v>300</v>
      </c>
    </row>
    <row r="8" spans="1:9" x14ac:dyDescent="0.3">
      <c r="B8" s="125" t="s">
        <v>114</v>
      </c>
      <c r="C8" s="125"/>
      <c r="D8" s="125"/>
      <c r="E8" s="126">
        <v>5.5E-2</v>
      </c>
      <c r="F8" s="127">
        <v>1.25</v>
      </c>
      <c r="G8" s="126">
        <v>0.05</v>
      </c>
      <c r="H8" s="193">
        <v>300</v>
      </c>
    </row>
    <row r="9" spans="1:9" x14ac:dyDescent="0.3">
      <c r="B9" s="125" t="s">
        <v>112</v>
      </c>
      <c r="C9" s="125"/>
      <c r="D9" s="125"/>
      <c r="E9" s="126">
        <v>5.5E-2</v>
      </c>
      <c r="F9" s="127">
        <v>1.25</v>
      </c>
      <c r="G9" s="126">
        <v>0.05</v>
      </c>
      <c r="H9" s="193">
        <v>300</v>
      </c>
    </row>
    <row r="10" spans="1:9" x14ac:dyDescent="0.3">
      <c r="B10" s="125" t="s">
        <v>113</v>
      </c>
      <c r="C10" s="125"/>
      <c r="D10" s="125"/>
      <c r="E10" s="126">
        <v>7.0000000000000007E-2</v>
      </c>
      <c r="F10" s="127">
        <v>1.4</v>
      </c>
      <c r="G10" s="126">
        <v>6.5000000000000002E-2</v>
      </c>
      <c r="H10" s="193">
        <v>240</v>
      </c>
    </row>
    <row r="11" spans="1:9" x14ac:dyDescent="0.3">
      <c r="B11" s="125" t="s">
        <v>41</v>
      </c>
      <c r="C11" s="125"/>
      <c r="D11" s="125"/>
      <c r="E11" s="126">
        <v>6.5000000000000002E-2</v>
      </c>
      <c r="F11" s="127">
        <v>1.35</v>
      </c>
      <c r="G11" s="126">
        <v>0.06</v>
      </c>
      <c r="H11" s="193">
        <v>240</v>
      </c>
    </row>
    <row r="12" spans="1:9" x14ac:dyDescent="0.3">
      <c r="B12" s="125" t="s">
        <v>225</v>
      </c>
      <c r="C12" s="125"/>
      <c r="D12" s="125"/>
      <c r="E12" s="126">
        <v>0.06</v>
      </c>
      <c r="F12" s="127">
        <v>1.3</v>
      </c>
      <c r="G12" s="126">
        <v>5.5E-2</v>
      </c>
      <c r="H12" s="193">
        <v>300</v>
      </c>
    </row>
    <row r="13" spans="1:9" x14ac:dyDescent="0.3">
      <c r="B13" s="125" t="s">
        <v>116</v>
      </c>
      <c r="C13" s="125"/>
      <c r="D13" s="125"/>
      <c r="E13" s="126">
        <v>0.08</v>
      </c>
      <c r="F13" s="127">
        <v>1.5</v>
      </c>
      <c r="G13" s="126">
        <v>0.08</v>
      </c>
      <c r="H13" s="193">
        <v>180</v>
      </c>
    </row>
    <row r="15" spans="1:9" x14ac:dyDescent="0.3">
      <c r="B15" s="124" t="s">
        <v>12</v>
      </c>
      <c r="C15" s="124"/>
      <c r="E15" s="124" t="s">
        <v>13</v>
      </c>
      <c r="F15" s="123"/>
    </row>
    <row r="16" spans="1:9" x14ac:dyDescent="0.3">
      <c r="B16" s="125" t="s">
        <v>119</v>
      </c>
      <c r="C16" s="125"/>
      <c r="E16" s="125" t="s">
        <v>27</v>
      </c>
    </row>
    <row r="17" spans="2:8" x14ac:dyDescent="0.3">
      <c r="B17" s="125" t="s">
        <v>24</v>
      </c>
      <c r="C17" s="125"/>
      <c r="E17" s="125" t="s">
        <v>28</v>
      </c>
    </row>
    <row r="18" spans="2:8" x14ac:dyDescent="0.3">
      <c r="B18" s="125" t="s">
        <v>25</v>
      </c>
      <c r="C18" s="125"/>
      <c r="E18" s="125" t="s">
        <v>29</v>
      </c>
    </row>
    <row r="19" spans="2:8" x14ac:dyDescent="0.3">
      <c r="B19" s="125" t="s">
        <v>26</v>
      </c>
      <c r="C19" s="125"/>
      <c r="E19" s="125" t="s">
        <v>117</v>
      </c>
    </row>
    <row r="20" spans="2:8" x14ac:dyDescent="0.3">
      <c r="B20" s="125" t="s">
        <v>84</v>
      </c>
      <c r="C20" s="125"/>
      <c r="E20" s="125" t="s">
        <v>30</v>
      </c>
    </row>
    <row r="21" spans="2:8" x14ac:dyDescent="0.3">
      <c r="E21" s="125" t="s">
        <v>118</v>
      </c>
      <c r="H21" s="15"/>
    </row>
    <row r="22" spans="2:8" x14ac:dyDescent="0.3">
      <c r="E22" s="125" t="s">
        <v>33</v>
      </c>
    </row>
    <row r="24" spans="2:8" x14ac:dyDescent="0.3">
      <c r="B24" s="124" t="s">
        <v>120</v>
      </c>
      <c r="C24" s="124"/>
      <c r="E24" s="124" t="s">
        <v>143</v>
      </c>
      <c r="F24" s="124"/>
    </row>
    <row r="25" spans="2:8" x14ac:dyDescent="0.3">
      <c r="B25" s="125" t="s">
        <v>175</v>
      </c>
      <c r="C25" s="155"/>
      <c r="E25" s="125" t="s">
        <v>162</v>
      </c>
    </row>
    <row r="26" spans="2:8" x14ac:dyDescent="0.3">
      <c r="B26" s="125" t="s">
        <v>176</v>
      </c>
      <c r="C26" s="155"/>
      <c r="E26" s="125" t="s">
        <v>163</v>
      </c>
    </row>
    <row r="27" spans="2:8" x14ac:dyDescent="0.3">
      <c r="B27" s="125" t="s">
        <v>177</v>
      </c>
      <c r="C27" s="155"/>
      <c r="E27" s="125" t="s">
        <v>164</v>
      </c>
    </row>
    <row r="28" spans="2:8" x14ac:dyDescent="0.3">
      <c r="B28" s="125" t="s">
        <v>178</v>
      </c>
      <c r="C28" s="155"/>
      <c r="E28" s="125" t="s">
        <v>165</v>
      </c>
    </row>
    <row r="29" spans="2:8" x14ac:dyDescent="0.3">
      <c r="B29" s="125"/>
      <c r="C29" s="155"/>
    </row>
    <row r="31" spans="2:8" x14ac:dyDescent="0.3">
      <c r="B31" s="124" t="s">
        <v>158</v>
      </c>
      <c r="C31" s="124"/>
    </row>
    <row r="32" spans="2:8" x14ac:dyDescent="0.3">
      <c r="B32" s="190">
        <v>1</v>
      </c>
    </row>
    <row r="33" spans="2:2" x14ac:dyDescent="0.3">
      <c r="B33" s="190">
        <v>2</v>
      </c>
    </row>
    <row r="34" spans="2:2" x14ac:dyDescent="0.3">
      <c r="B34" s="190">
        <v>3</v>
      </c>
    </row>
    <row r="35" spans="2:2" x14ac:dyDescent="0.3">
      <c r="B35" s="190">
        <v>4</v>
      </c>
    </row>
    <row r="36" spans="2:2" x14ac:dyDescent="0.3">
      <c r="B36" s="190">
        <v>5</v>
      </c>
    </row>
    <row r="37" spans="2:2" x14ac:dyDescent="0.3">
      <c r="B37" s="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Rent Roll</vt:lpstr>
      <vt:lpstr>Analysis</vt:lpstr>
      <vt:lpstr>Risk Rating</vt:lpstr>
      <vt:lpstr>Pricing</vt:lpstr>
      <vt:lpstr>Admin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Institute® (CFI); Victor Ho</dc:creator>
  <cp:lastModifiedBy>Guilherme Graboski Silva de Castro</cp:lastModifiedBy>
  <dcterms:created xsi:type="dcterms:W3CDTF">2018-03-08T21:19:59Z</dcterms:created>
  <dcterms:modified xsi:type="dcterms:W3CDTF">2025-09-04T15:01:20Z</dcterms:modified>
</cp:coreProperties>
</file>