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d2e6b5b813af4a/Área de Trabalho/Projects/3Statementmodel - Debt Modeling/"/>
    </mc:Choice>
  </mc:AlternateContent>
  <xr:revisionPtr revIDLastSave="1490" documentId="13_ncr:1_{6F4B13BA-9C51-4262-B64D-FC8E7DD0FA94}" xr6:coauthVersionLast="47" xr6:coauthVersionMax="47" xr10:uidLastSave="{26C27FCC-B829-461E-958A-C903430DD04C}"/>
  <bookViews>
    <workbookView xWindow="-108" yWindow="-108" windowWidth="23256" windowHeight="12456" xr2:uid="{00000000-000D-0000-FFFF-FFFF00000000}"/>
  </bookViews>
  <sheets>
    <sheet name="Yearly Cash Flow" sheetId="2" r:id="rId1"/>
    <sheet name="Risk Rating Model" sheetId="6" r:id="rId2"/>
  </sheets>
  <definedNames>
    <definedName name="CIQWBGuid" localSheetId="1" hidden="1">"2cd8126d-26c3-430c-b7fa-a069e3a1fc62"</definedName>
    <definedName name="CIQWBGuid" hidden="1">"809fc0da-8ba5-46fb-866c-440d910f2f0f"</definedName>
    <definedName name="Equity_Pct">'Yearly Cash Flow'!$E$23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41666.7099189815</definedName>
    <definedName name="IQ_NAMES_REVISION_DATE_" hidden="1">"09/13/2019 06:12:40"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r_Note_Pct">'Yearly Cash Flow'!$E$22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6" i="2" l="1"/>
  <c r="E140" i="2"/>
  <c r="F140" i="2"/>
  <c r="G140" i="2"/>
  <c r="H140" i="2"/>
  <c r="I140" i="2"/>
  <c r="J140" i="2"/>
  <c r="F145" i="2" l="1"/>
  <c r="F29" i="2"/>
  <c r="H143" i="2"/>
  <c r="I145" i="2" s="1"/>
  <c r="I143" i="2"/>
  <c r="J145" i="2" s="1"/>
  <c r="J143" i="2"/>
  <c r="G143" i="2"/>
  <c r="F143" i="2"/>
  <c r="F49" i="2"/>
  <c r="G145" i="2" l="1"/>
  <c r="H145" i="2"/>
  <c r="D159" i="2"/>
  <c r="E159" i="2"/>
  <c r="C159" i="2"/>
  <c r="F172" i="2" l="1"/>
  <c r="F139" i="2" s="1"/>
  <c r="J172" i="2"/>
  <c r="J139" i="2" s="1"/>
  <c r="I172" i="2"/>
  <c r="I139" i="2" s="1"/>
  <c r="H172" i="2"/>
  <c r="H139" i="2" s="1"/>
  <c r="G172" i="2"/>
  <c r="G139" i="2" s="1"/>
  <c r="C150" i="2"/>
  <c r="F62" i="2"/>
  <c r="G62" i="2" s="1"/>
  <c r="H62" i="2" s="1"/>
  <c r="I62" i="2" s="1"/>
  <c r="J62" i="2" s="1"/>
  <c r="F82" i="2"/>
  <c r="G82" i="2" s="1"/>
  <c r="H82" i="2" s="1"/>
  <c r="I82" i="2" s="1"/>
  <c r="J82" i="2" s="1"/>
  <c r="F66" i="2"/>
  <c r="G66" i="2" s="1"/>
  <c r="H66" i="2" s="1"/>
  <c r="I66" i="2" s="1"/>
  <c r="J66" i="2" s="1"/>
  <c r="F61" i="2"/>
  <c r="G61" i="2" s="1"/>
  <c r="H61" i="2" s="1"/>
  <c r="I61" i="2" s="1"/>
  <c r="J61" i="2" s="1"/>
  <c r="D21" i="2"/>
  <c r="E21" i="2"/>
  <c r="C21" i="2"/>
  <c r="E22" i="2"/>
  <c r="D51" i="2"/>
  <c r="E51" i="2"/>
  <c r="C51" i="2"/>
  <c r="D23" i="2"/>
  <c r="E23" i="2"/>
  <c r="C23" i="2"/>
  <c r="D24" i="2"/>
  <c r="F23" i="2" l="1"/>
  <c r="G23" i="2" s="1"/>
  <c r="H23" i="2" s="1"/>
  <c r="I23" i="2" s="1"/>
  <c r="J23" i="2" s="1"/>
  <c r="F77" i="2"/>
  <c r="G77" i="2" s="1"/>
  <c r="H77" i="2" s="1"/>
  <c r="I77" i="2" s="1"/>
  <c r="J77" i="2" s="1"/>
  <c r="E116" i="2"/>
  <c r="F137" i="2" s="1"/>
  <c r="D52" i="2" l="1"/>
  <c r="E52" i="2"/>
  <c r="C52" i="2"/>
  <c r="C67" i="2"/>
  <c r="D67" i="2"/>
  <c r="E67" i="2"/>
  <c r="F67" i="2" s="1"/>
  <c r="G67" i="2" s="1"/>
  <c r="H67" i="2" s="1"/>
  <c r="I67" i="2" s="1"/>
  <c r="J67" i="2" s="1"/>
  <c r="E80" i="2"/>
  <c r="D80" i="2"/>
  <c r="C80" i="2"/>
  <c r="E73" i="2"/>
  <c r="D73" i="2"/>
  <c r="C73" i="2"/>
  <c r="C152" i="2" s="1"/>
  <c r="E177" i="2" l="1"/>
  <c r="E154" i="2" s="1"/>
  <c r="D177" i="2"/>
  <c r="D154" i="2" s="1"/>
  <c r="C42" i="2"/>
  <c r="C41" i="2"/>
  <c r="C149" i="2" s="1"/>
  <c r="D41" i="2"/>
  <c r="E41" i="2"/>
  <c r="E171" i="2" s="1"/>
  <c r="D150" i="2"/>
  <c r="V16" i="6"/>
  <c r="U16" i="6"/>
  <c r="H16" i="6" l="1"/>
  <c r="H15" i="6"/>
  <c r="H14" i="6"/>
  <c r="C15" i="6"/>
  <c r="C14" i="6"/>
  <c r="T16" i="6"/>
  <c r="S16" i="6"/>
  <c r="R16" i="6"/>
  <c r="Q16" i="6"/>
  <c r="P16" i="6"/>
  <c r="O16" i="6"/>
  <c r="N16" i="6"/>
  <c r="M16" i="6"/>
  <c r="L7" i="6"/>
  <c r="L8" i="6" s="1"/>
  <c r="L9" i="6" l="1"/>
  <c r="I27" i="6"/>
  <c r="I26" i="6"/>
  <c r="I25" i="6"/>
  <c r="I24" i="6"/>
  <c r="I23" i="6"/>
  <c r="L10" i="6" l="1"/>
  <c r="L11" i="6" s="1"/>
  <c r="L12" i="6" s="1"/>
  <c r="L13" i="6" s="1"/>
  <c r="L14" i="6" s="1"/>
  <c r="L15" i="6" s="1"/>
  <c r="L16" i="6" s="1"/>
  <c r="E20" i="2"/>
  <c r="E157" i="2"/>
  <c r="E152" i="2"/>
  <c r="D152" i="2"/>
  <c r="E149" i="2"/>
  <c r="E150" i="2"/>
  <c r="D149" i="2"/>
  <c r="B187" i="2"/>
  <c r="B189" i="2" s="1"/>
  <c r="E182" i="2"/>
  <c r="E181" i="2"/>
  <c r="F250" i="2"/>
  <c r="F247" i="2" s="1"/>
  <c r="F251" i="2" s="1"/>
  <c r="B241" i="2"/>
  <c r="B243" i="2" s="1"/>
  <c r="F235" i="2"/>
  <c r="F232" i="2" s="1"/>
  <c r="F236" i="2" s="1"/>
  <c r="F237" i="2" s="1"/>
  <c r="G235" i="2" s="1"/>
  <c r="G232" i="2" s="1"/>
  <c r="G236" i="2" s="1"/>
  <c r="B226" i="2"/>
  <c r="B228" i="2" s="1"/>
  <c r="F219" i="2"/>
  <c r="B210" i="2"/>
  <c r="B212" i="2" s="1"/>
  <c r="D171" i="2"/>
  <c r="C171" i="2"/>
  <c r="E176" i="2"/>
  <c r="E172" i="2" s="1"/>
  <c r="E139" i="2" s="1"/>
  <c r="D176" i="2"/>
  <c r="D172" i="2" s="1"/>
  <c r="C176" i="2"/>
  <c r="C172" i="2" s="1"/>
  <c r="C177" i="2"/>
  <c r="C154" i="2" s="1"/>
  <c r="D175" i="2" l="1"/>
  <c r="E183" i="2"/>
  <c r="F231" i="2"/>
  <c r="F233" i="2" s="1"/>
  <c r="C175" i="2"/>
  <c r="C173" i="2"/>
  <c r="F215" i="2"/>
  <c r="E173" i="2"/>
  <c r="D173" i="2"/>
  <c r="E193" i="2"/>
  <c r="F217" i="2"/>
  <c r="F246" i="2"/>
  <c r="F248" i="2" s="1"/>
  <c r="F252" i="2"/>
  <c r="G237" i="2"/>
  <c r="H235" i="2" s="1"/>
  <c r="G231" i="2"/>
  <c r="G233" i="2" s="1"/>
  <c r="G250" i="2" l="1"/>
  <c r="C160" i="2"/>
  <c r="C153" i="2"/>
  <c r="F216" i="2"/>
  <c r="F220" i="2" s="1"/>
  <c r="E175" i="2"/>
  <c r="G246" i="2"/>
  <c r="G247" i="2"/>
  <c r="G251" i="2" s="1"/>
  <c r="G252" i="2" s="1"/>
  <c r="H232" i="2"/>
  <c r="H236" i="2" s="1"/>
  <c r="H237" i="2" s="1"/>
  <c r="I235" i="2" s="1"/>
  <c r="H231" i="2"/>
  <c r="H250" i="2" l="1"/>
  <c r="D153" i="2"/>
  <c r="D160" i="2"/>
  <c r="E160" i="2"/>
  <c r="F175" i="2"/>
  <c r="B168" i="2"/>
  <c r="H246" i="2"/>
  <c r="H247" i="2"/>
  <c r="H251" i="2" s="1"/>
  <c r="H252" i="2" s="1"/>
  <c r="G248" i="2"/>
  <c r="H233" i="2"/>
  <c r="I232" i="2"/>
  <c r="I236" i="2" s="1"/>
  <c r="I237" i="2" s="1"/>
  <c r="J235" i="2" s="1"/>
  <c r="I231" i="2"/>
  <c r="I250" i="2" l="1"/>
  <c r="E153" i="2"/>
  <c r="E156" i="2"/>
  <c r="E197" i="2" s="1"/>
  <c r="I246" i="2"/>
  <c r="I247" i="2"/>
  <c r="I251" i="2" s="1"/>
  <c r="I252" i="2" s="1"/>
  <c r="H248" i="2"/>
  <c r="I233" i="2"/>
  <c r="J232" i="2"/>
  <c r="J236" i="2" s="1"/>
  <c r="J237" i="2" s="1"/>
  <c r="J231" i="2"/>
  <c r="J250" i="2" l="1"/>
  <c r="J233" i="2"/>
  <c r="I248" i="2"/>
  <c r="J246" i="2"/>
  <c r="J247" i="2"/>
  <c r="J251" i="2" s="1"/>
  <c r="J252" i="2" s="1"/>
  <c r="J248" i="2" l="1"/>
  <c r="D29" i="2" l="1"/>
  <c r="E29" i="2"/>
  <c r="C29" i="2"/>
  <c r="D9" i="2"/>
  <c r="E9" i="2"/>
  <c r="C9" i="2"/>
  <c r="D19" i="2"/>
  <c r="E19" i="2"/>
  <c r="C19" i="2"/>
  <c r="D96" i="2"/>
  <c r="E96" i="2"/>
  <c r="C96" i="2"/>
  <c r="F19" i="2" l="1"/>
  <c r="F192" i="2" s="1"/>
  <c r="F9" i="2"/>
  <c r="G9" i="2" s="1"/>
  <c r="H9" i="2" s="1"/>
  <c r="I9" i="2" s="1"/>
  <c r="J9" i="2" s="1"/>
  <c r="G21" i="2"/>
  <c r="H21" i="2" s="1"/>
  <c r="I21" i="2" s="1"/>
  <c r="J21" i="2" s="1"/>
  <c r="E192" i="2"/>
  <c r="D35" i="2"/>
  <c r="D37" i="2" s="1"/>
  <c r="D268" i="2" s="1"/>
  <c r="E35" i="2"/>
  <c r="E37" i="2" s="1"/>
  <c r="C35" i="2"/>
  <c r="C37" i="2" s="1"/>
  <c r="G29" i="2" l="1"/>
  <c r="H29" i="2" s="1"/>
  <c r="I29" i="2" s="1"/>
  <c r="J29" i="2" s="1"/>
  <c r="F171" i="2"/>
  <c r="G19" i="2"/>
  <c r="G192" i="2" s="1"/>
  <c r="I8" i="6"/>
  <c r="I9" i="6"/>
  <c r="I7" i="6"/>
  <c r="H19" i="2" l="1"/>
  <c r="I19" i="2" s="1"/>
  <c r="F176" i="2"/>
  <c r="F177" i="2" s="1"/>
  <c r="F150" i="2"/>
  <c r="F173" i="2"/>
  <c r="D9" i="6"/>
  <c r="G175" i="2" l="1"/>
  <c r="G171" i="2" s="1"/>
  <c r="G173" i="2" s="1"/>
  <c r="H192" i="2"/>
  <c r="J19" i="2"/>
  <c r="J192" i="2" s="1"/>
  <c r="I192" i="2"/>
  <c r="G176" i="2"/>
  <c r="G177" i="2" s="1"/>
  <c r="H175" i="2" l="1"/>
  <c r="H171" i="2" s="1"/>
  <c r="H176" i="2"/>
  <c r="C25" i="6"/>
  <c r="A25" i="6"/>
  <c r="C24" i="6"/>
  <c r="A24" i="6"/>
  <c r="C23" i="6"/>
  <c r="A23" i="6"/>
  <c r="C22" i="6"/>
  <c r="A22" i="6"/>
  <c r="M24" i="6"/>
  <c r="I17" i="6"/>
  <c r="D16" i="6"/>
  <c r="I10" i="6"/>
  <c r="V5" i="6"/>
  <c r="U5" i="6"/>
  <c r="T5" i="6"/>
  <c r="S5" i="6"/>
  <c r="R5" i="6"/>
  <c r="Q5" i="6"/>
  <c r="P5" i="6"/>
  <c r="N5" i="6"/>
  <c r="O5" i="6"/>
  <c r="M5" i="6"/>
  <c r="H177" i="2" l="1"/>
  <c r="I175" i="2"/>
  <c r="I171" i="2" s="1"/>
  <c r="I176" i="2"/>
  <c r="I177" i="2" s="1"/>
  <c r="H173" i="2"/>
  <c r="C16" i="6"/>
  <c r="B24" i="6" s="1"/>
  <c r="D24" i="6" s="1"/>
  <c r="J175" i="2" l="1"/>
  <c r="J171" i="2" s="1"/>
  <c r="I173" i="2"/>
  <c r="J176" i="2"/>
  <c r="J177" i="2" s="1"/>
  <c r="H17" i="6"/>
  <c r="B25" i="6" s="1"/>
  <c r="D25" i="6" s="1"/>
  <c r="J173" i="2" l="1"/>
  <c r="D3" i="2"/>
  <c r="E3" i="2" s="1"/>
  <c r="F3" i="2" s="1"/>
  <c r="G3" i="2" s="1"/>
  <c r="H3" i="2" s="1"/>
  <c r="I3" i="2" s="1"/>
  <c r="J3" i="2" s="1"/>
  <c r="D22" i="2" l="1"/>
  <c r="C22" i="2"/>
  <c r="F128" i="2"/>
  <c r="F22" i="2" l="1"/>
  <c r="G22" i="2" s="1"/>
  <c r="H22" i="2" s="1"/>
  <c r="I22" i="2" s="1"/>
  <c r="J22" i="2" s="1"/>
  <c r="D28" i="2"/>
  <c r="E28" i="2"/>
  <c r="C28" i="2"/>
  <c r="F28" i="2" l="1"/>
  <c r="G28" i="2" s="1"/>
  <c r="H28" i="2" s="1"/>
  <c r="I28" i="2" s="1"/>
  <c r="J28" i="2" s="1"/>
  <c r="D27" i="2"/>
  <c r="E27" i="2"/>
  <c r="C27" i="2"/>
  <c r="D26" i="2"/>
  <c r="E26" i="2"/>
  <c r="C26" i="2"/>
  <c r="E24" i="2"/>
  <c r="C24" i="2"/>
  <c r="F26" i="2" l="1"/>
  <c r="G26" i="2" s="1"/>
  <c r="H26" i="2" s="1"/>
  <c r="I26" i="2" s="1"/>
  <c r="J26" i="2" s="1"/>
  <c r="F24" i="2"/>
  <c r="G24" i="2" s="1"/>
  <c r="F27" i="2"/>
  <c r="G27" i="2" s="1"/>
  <c r="H27" i="2" s="1"/>
  <c r="I27" i="2" s="1"/>
  <c r="J27" i="2" s="1"/>
  <c r="D18" i="2"/>
  <c r="E18" i="2"/>
  <c r="D20" i="2"/>
  <c r="C20" i="2"/>
  <c r="C18" i="2"/>
  <c r="D106" i="2"/>
  <c r="E106" i="2"/>
  <c r="C106" i="2"/>
  <c r="C112" i="2"/>
  <c r="D13" i="2"/>
  <c r="E13" i="2"/>
  <c r="F13" i="2" s="1"/>
  <c r="C13" i="2"/>
  <c r="D12" i="2"/>
  <c r="E12" i="2"/>
  <c r="C12" i="2"/>
  <c r="D11" i="2"/>
  <c r="E11" i="2"/>
  <c r="C11" i="2"/>
  <c r="D7" i="2"/>
  <c r="E7" i="2"/>
  <c r="C7" i="2"/>
  <c r="F42" i="2" l="1"/>
  <c r="F18" i="2"/>
  <c r="G18" i="2" s="1"/>
  <c r="F11" i="2"/>
  <c r="G11" i="2" s="1"/>
  <c r="H11" i="2" s="1"/>
  <c r="I11" i="2" s="1"/>
  <c r="J11" i="2" s="1"/>
  <c r="F12" i="2"/>
  <c r="G12" i="2" s="1"/>
  <c r="H12" i="2" s="1"/>
  <c r="I12" i="2" s="1"/>
  <c r="J12" i="2" s="1"/>
  <c r="F20" i="2"/>
  <c r="H24" i="2"/>
  <c r="E191" i="2"/>
  <c r="E194" i="2" s="1"/>
  <c r="F33" i="2"/>
  <c r="D112" i="2"/>
  <c r="E112" i="2"/>
  <c r="D83" i="2"/>
  <c r="E83" i="2"/>
  <c r="C83" i="2"/>
  <c r="D78" i="2"/>
  <c r="E78" i="2"/>
  <c r="C78" i="2"/>
  <c r="D8" i="2"/>
  <c r="E8" i="2"/>
  <c r="C8" i="2"/>
  <c r="F81" i="2" l="1"/>
  <c r="F76" i="2"/>
  <c r="F102" i="2" s="1"/>
  <c r="F95" i="2"/>
  <c r="F191" i="2"/>
  <c r="G13" i="2"/>
  <c r="H13" i="2" s="1"/>
  <c r="I13" i="2" s="1"/>
  <c r="J13" i="2" s="1"/>
  <c r="G20" i="2"/>
  <c r="H20" i="2" s="1"/>
  <c r="H18" i="2"/>
  <c r="G191" i="2"/>
  <c r="F8" i="2"/>
  <c r="G8" i="2" s="1"/>
  <c r="H8" i="2" s="1"/>
  <c r="I8" i="2" s="1"/>
  <c r="J8" i="2" s="1"/>
  <c r="F193" i="2"/>
  <c r="I24" i="2"/>
  <c r="F36" i="2"/>
  <c r="C39" i="2"/>
  <c r="C43" i="2" s="1"/>
  <c r="C264" i="2"/>
  <c r="C272" i="2"/>
  <c r="C268" i="2"/>
  <c r="F75" i="2"/>
  <c r="F101" i="2" s="1"/>
  <c r="F74" i="2"/>
  <c r="F59" i="2"/>
  <c r="F194" i="2" l="1"/>
  <c r="G193" i="2"/>
  <c r="G194" i="2" s="1"/>
  <c r="F34" i="2"/>
  <c r="C14" i="2"/>
  <c r="C46" i="2"/>
  <c r="C16" i="2" s="1"/>
  <c r="I18" i="2"/>
  <c r="H191" i="2"/>
  <c r="I20" i="2"/>
  <c r="H193" i="2"/>
  <c r="J24" i="2"/>
  <c r="F100" i="2"/>
  <c r="E39" i="2"/>
  <c r="E43" i="2" s="1"/>
  <c r="E264" i="2"/>
  <c r="E272" i="2"/>
  <c r="E268" i="2"/>
  <c r="C15" i="2"/>
  <c r="D39" i="2"/>
  <c r="D43" i="2" s="1"/>
  <c r="D272" i="2"/>
  <c r="D264" i="2"/>
  <c r="F98" i="2"/>
  <c r="F181" i="2"/>
  <c r="G42" i="2"/>
  <c r="H42" i="2"/>
  <c r="G33" i="2"/>
  <c r="D84" i="2"/>
  <c r="C84" i="2"/>
  <c r="E84" i="2"/>
  <c r="G81" i="2" l="1"/>
  <c r="G95" i="2" s="1"/>
  <c r="G76" i="2"/>
  <c r="G102" i="2" s="1"/>
  <c r="F35" i="2"/>
  <c r="F37" i="2" s="1"/>
  <c r="J18" i="2"/>
  <c r="J191" i="2" s="1"/>
  <c r="I191" i="2"/>
  <c r="E14" i="2"/>
  <c r="E46" i="2"/>
  <c r="E16" i="2" s="1"/>
  <c r="D46" i="2"/>
  <c r="D16" i="2" s="1"/>
  <c r="H194" i="2"/>
  <c r="J20" i="2"/>
  <c r="J193" i="2" s="1"/>
  <c r="I193" i="2"/>
  <c r="G36" i="2"/>
  <c r="D14" i="2"/>
  <c r="E15" i="2"/>
  <c r="D15" i="2"/>
  <c r="G75" i="2"/>
  <c r="G101" i="2" s="1"/>
  <c r="G34" i="2"/>
  <c r="G35" i="2" s="1"/>
  <c r="C94" i="2"/>
  <c r="C103" i="2" s="1"/>
  <c r="J42" i="2"/>
  <c r="I42" i="2"/>
  <c r="H33" i="2"/>
  <c r="G59" i="2"/>
  <c r="G74" i="2"/>
  <c r="G100" i="2" s="1"/>
  <c r="H81" i="2" l="1"/>
  <c r="H95" i="2" s="1"/>
  <c r="H76" i="2"/>
  <c r="H102" i="2" s="1"/>
  <c r="I194" i="2"/>
  <c r="F15" i="2"/>
  <c r="G15" i="2" s="1"/>
  <c r="H15" i="2" s="1"/>
  <c r="I15" i="2" s="1"/>
  <c r="J15" i="2" s="1"/>
  <c r="J194" i="2"/>
  <c r="F14" i="2"/>
  <c r="G14" i="2" s="1"/>
  <c r="H14" i="2" s="1"/>
  <c r="I14" i="2" s="1"/>
  <c r="J14" i="2" s="1"/>
  <c r="F16" i="2"/>
  <c r="G16" i="2" s="1"/>
  <c r="H16" i="2" s="1"/>
  <c r="I16" i="2" s="1"/>
  <c r="J16" i="2" s="1"/>
  <c r="G37" i="2"/>
  <c r="H36" i="2"/>
  <c r="E94" i="2"/>
  <c r="G98" i="2"/>
  <c r="G181" i="2"/>
  <c r="H75" i="2"/>
  <c r="H101" i="2" s="1"/>
  <c r="H34" i="2"/>
  <c r="H35" i="2" s="1"/>
  <c r="C114" i="2"/>
  <c r="D94" i="2"/>
  <c r="H74" i="2"/>
  <c r="H100" i="2" s="1"/>
  <c r="F40" i="2"/>
  <c r="I33" i="2"/>
  <c r="H59" i="2"/>
  <c r="I81" i="2" l="1"/>
  <c r="I76" i="2"/>
  <c r="I102" i="2" s="1"/>
  <c r="I95" i="2"/>
  <c r="E103" i="2"/>
  <c r="E138" i="2" s="1"/>
  <c r="D103" i="2"/>
  <c r="H37" i="2"/>
  <c r="I36" i="2"/>
  <c r="H98" i="2"/>
  <c r="H181" i="2"/>
  <c r="I75" i="2"/>
  <c r="I101" i="2" s="1"/>
  <c r="I34" i="2"/>
  <c r="I35" i="2" s="1"/>
  <c r="I74" i="2"/>
  <c r="I100" i="2" s="1"/>
  <c r="J33" i="2"/>
  <c r="I59" i="2"/>
  <c r="G40" i="2"/>
  <c r="C260" i="2"/>
  <c r="J81" i="2" l="1"/>
  <c r="J95" i="2" s="1"/>
  <c r="J76" i="2"/>
  <c r="J102" i="2" s="1"/>
  <c r="D114" i="2"/>
  <c r="E114" i="2"/>
  <c r="I37" i="2"/>
  <c r="J36" i="2"/>
  <c r="I98" i="2"/>
  <c r="I181" i="2"/>
  <c r="J75" i="2"/>
  <c r="J101" i="2" s="1"/>
  <c r="J34" i="2"/>
  <c r="J35" i="2" s="1"/>
  <c r="J74" i="2"/>
  <c r="J100" i="2" s="1"/>
  <c r="J59" i="2"/>
  <c r="H40" i="2"/>
  <c r="D260" i="2"/>
  <c r="C88" i="2"/>
  <c r="J37" i="2" l="1"/>
  <c r="J98" i="2"/>
  <c r="J181" i="2"/>
  <c r="D88" i="2"/>
  <c r="J40" i="2"/>
  <c r="I40" i="2"/>
  <c r="E260" i="2"/>
  <c r="E88" i="2" l="1"/>
  <c r="D65" i="2" l="1"/>
  <c r="D68" i="2" l="1"/>
  <c r="D10" i="2"/>
  <c r="F123" i="2" l="1"/>
  <c r="E65" i="2" l="1"/>
  <c r="E10" i="2" s="1"/>
  <c r="E68" i="2" l="1"/>
  <c r="E205" i="2"/>
  <c r="E206" i="2" s="1"/>
  <c r="E207" i="2" s="1"/>
  <c r="C65" i="2" l="1"/>
  <c r="C68" i="2" l="1"/>
  <c r="C10" i="2"/>
  <c r="F10" i="2" s="1"/>
  <c r="G10" i="2" s="1"/>
  <c r="H10" i="2" s="1"/>
  <c r="I10" i="2" s="1"/>
  <c r="J10" i="2" s="1"/>
  <c r="F60" i="2"/>
  <c r="G60" i="2"/>
  <c r="H60" i="2"/>
  <c r="H182" i="2" s="1"/>
  <c r="H183" i="2" s="1"/>
  <c r="I60" i="2"/>
  <c r="J60" i="2"/>
  <c r="J99" i="2" l="1"/>
  <c r="J182" i="2"/>
  <c r="J183" i="2" s="1"/>
  <c r="I99" i="2"/>
  <c r="I182" i="2"/>
  <c r="I183" i="2" s="1"/>
  <c r="G99" i="2"/>
  <c r="G182" i="2"/>
  <c r="G183" i="2" s="1"/>
  <c r="F99" i="2"/>
  <c r="F182" i="2"/>
  <c r="F183" i="2" s="1"/>
  <c r="H99" i="2"/>
  <c r="C63" i="2" l="1"/>
  <c r="C256" i="2" s="1"/>
  <c r="C116" i="2"/>
  <c r="D115" i="2" s="1"/>
  <c r="C69" i="2" l="1"/>
  <c r="C90" i="2" s="1"/>
  <c r="C118" i="2"/>
  <c r="D63" i="2"/>
  <c r="D256" i="2" s="1"/>
  <c r="D116" i="2"/>
  <c r="D118" i="2" l="1"/>
  <c r="E137" i="2"/>
  <c r="E141" i="2" s="1"/>
  <c r="E115" i="2"/>
  <c r="D69" i="2"/>
  <c r="D90" i="2" s="1"/>
  <c r="E63" i="2"/>
  <c r="E256" i="2" s="1"/>
  <c r="F115" i="2"/>
  <c r="E118" i="2" l="1"/>
  <c r="E69" i="2"/>
  <c r="E90" i="2" s="1"/>
  <c r="F221" i="2" l="1"/>
  <c r="F222" i="2" s="1"/>
  <c r="F154" i="2" s="1"/>
  <c r="G221" i="2"/>
  <c r="H221" i="2"/>
  <c r="I221" i="2"/>
  <c r="J221" i="2"/>
  <c r="F160" i="2" l="1"/>
  <c r="F156" i="2"/>
  <c r="F152" i="2"/>
  <c r="G219" i="2"/>
  <c r="G215" i="2" l="1"/>
  <c r="G217" i="2"/>
  <c r="F153" i="2"/>
  <c r="F80" i="2" s="1"/>
  <c r="F83" i="2" s="1"/>
  <c r="G216" i="2" l="1"/>
  <c r="G150" i="2" s="1"/>
  <c r="G220" i="2" l="1"/>
  <c r="G222" i="2" s="1"/>
  <c r="G154" i="2" s="1"/>
  <c r="H219" i="2" l="1"/>
  <c r="H215" i="2" s="1"/>
  <c r="H217" i="2" l="1"/>
  <c r="H216" i="2" s="1"/>
  <c r="H150" i="2" s="1"/>
  <c r="H220" i="2" l="1"/>
  <c r="H222" i="2" s="1"/>
  <c r="H154" i="2" s="1"/>
  <c r="I219" i="2" l="1"/>
  <c r="I215" i="2" s="1"/>
  <c r="I217" i="2" l="1"/>
  <c r="I216" i="2"/>
  <c r="I150" i="2" s="1"/>
  <c r="I220" i="2" l="1"/>
  <c r="I222" i="2" s="1"/>
  <c r="I154" i="2" s="1"/>
  <c r="J219" i="2" l="1"/>
  <c r="J215" i="2"/>
  <c r="J217" i="2"/>
  <c r="J216" i="2" l="1"/>
  <c r="J150" i="2" s="1"/>
  <c r="J220" i="2" l="1"/>
  <c r="J222" i="2" s="1"/>
  <c r="J154" i="2" s="1"/>
  <c r="H152" i="2" l="1"/>
  <c r="J152" i="2"/>
  <c r="J160" i="2" l="1"/>
  <c r="H153" i="2"/>
  <c r="H80" i="2" s="1"/>
  <c r="H83" i="2" s="1"/>
  <c r="I152" i="2"/>
  <c r="I153" i="2" s="1"/>
  <c r="I80" i="2" s="1"/>
  <c r="I83" i="2" s="1"/>
  <c r="G152" i="2"/>
  <c r="G153" i="2" s="1"/>
  <c r="G80" i="2" s="1"/>
  <c r="G83" i="2" s="1"/>
  <c r="I160" i="2"/>
  <c r="J156" i="2"/>
  <c r="J153" i="2"/>
  <c r="J80" i="2" s="1"/>
  <c r="J83" i="2" s="1"/>
  <c r="H160" i="2"/>
  <c r="I156" i="2"/>
  <c r="G160" i="2"/>
  <c r="H156" i="2"/>
  <c r="G156" i="2"/>
  <c r="B7" i="6" l="1"/>
  <c r="C7" i="6"/>
  <c r="G7" i="6"/>
  <c r="H7" i="6"/>
  <c r="B8" i="6"/>
  <c r="C8" i="6"/>
  <c r="G8" i="6"/>
  <c r="H8" i="6"/>
  <c r="C9" i="6"/>
  <c r="G9" i="6"/>
  <c r="H9" i="6"/>
  <c r="H10" i="6"/>
  <c r="B22" i="6"/>
  <c r="D22" i="6"/>
  <c r="B23" i="6"/>
  <c r="D23" i="6"/>
  <c r="D26" i="6"/>
  <c r="D27" i="6"/>
  <c r="F38" i="2"/>
  <c r="G38" i="2"/>
  <c r="H38" i="2"/>
  <c r="I38" i="2"/>
  <c r="J38" i="2"/>
  <c r="F39" i="2"/>
  <c r="G39" i="2"/>
  <c r="H39" i="2"/>
  <c r="I39" i="2"/>
  <c r="J39" i="2"/>
  <c r="F41" i="2"/>
  <c r="G41" i="2"/>
  <c r="H41" i="2"/>
  <c r="I41" i="2"/>
  <c r="J41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8" i="2"/>
  <c r="G58" i="2"/>
  <c r="H58" i="2"/>
  <c r="I58" i="2"/>
  <c r="J58" i="2"/>
  <c r="F63" i="2"/>
  <c r="G63" i="2"/>
  <c r="H63" i="2"/>
  <c r="I63" i="2"/>
  <c r="J63" i="2"/>
  <c r="F65" i="2"/>
  <c r="G65" i="2"/>
  <c r="H65" i="2"/>
  <c r="I65" i="2"/>
  <c r="J65" i="2"/>
  <c r="F68" i="2"/>
  <c r="G68" i="2"/>
  <c r="H68" i="2"/>
  <c r="I68" i="2"/>
  <c r="J68" i="2"/>
  <c r="F69" i="2"/>
  <c r="G69" i="2"/>
  <c r="H69" i="2"/>
  <c r="I69" i="2"/>
  <c r="J69" i="2"/>
  <c r="F73" i="2"/>
  <c r="G73" i="2"/>
  <c r="H73" i="2"/>
  <c r="I73" i="2"/>
  <c r="J73" i="2"/>
  <c r="F78" i="2"/>
  <c r="G78" i="2"/>
  <c r="H78" i="2"/>
  <c r="I78" i="2"/>
  <c r="J78" i="2"/>
  <c r="F84" i="2"/>
  <c r="G84" i="2"/>
  <c r="H84" i="2"/>
  <c r="I84" i="2"/>
  <c r="J84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90" i="2"/>
  <c r="G90" i="2"/>
  <c r="H90" i="2"/>
  <c r="I90" i="2"/>
  <c r="J90" i="2"/>
  <c r="F94" i="2"/>
  <c r="G94" i="2"/>
  <c r="H94" i="2"/>
  <c r="I94" i="2"/>
  <c r="J94" i="2"/>
  <c r="F96" i="2"/>
  <c r="G96" i="2"/>
  <c r="H96" i="2"/>
  <c r="I96" i="2"/>
  <c r="J96" i="2"/>
  <c r="F103" i="2"/>
  <c r="G103" i="2"/>
  <c r="H103" i="2"/>
  <c r="I103" i="2"/>
  <c r="J103" i="2"/>
  <c r="F105" i="2"/>
  <c r="G105" i="2"/>
  <c r="H105" i="2"/>
  <c r="I105" i="2"/>
  <c r="J105" i="2"/>
  <c r="F106" i="2"/>
  <c r="G106" i="2"/>
  <c r="H106" i="2"/>
  <c r="I106" i="2"/>
  <c r="J106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4" i="2"/>
  <c r="G114" i="2"/>
  <c r="H114" i="2"/>
  <c r="I114" i="2"/>
  <c r="J114" i="2"/>
  <c r="G115" i="2"/>
  <c r="H115" i="2"/>
  <c r="I115" i="2"/>
  <c r="J115" i="2"/>
  <c r="F116" i="2"/>
  <c r="G116" i="2"/>
  <c r="H116" i="2"/>
  <c r="I116" i="2"/>
  <c r="J116" i="2"/>
  <c r="F118" i="2"/>
  <c r="G118" i="2"/>
  <c r="H118" i="2"/>
  <c r="I118" i="2"/>
  <c r="J118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2" i="2"/>
  <c r="G132" i="2"/>
  <c r="H132" i="2"/>
  <c r="I132" i="2"/>
  <c r="J132" i="2"/>
  <c r="G137" i="2"/>
  <c r="H137" i="2"/>
  <c r="I137" i="2"/>
  <c r="J137" i="2"/>
  <c r="F138" i="2"/>
  <c r="G138" i="2"/>
  <c r="H138" i="2"/>
  <c r="I138" i="2"/>
  <c r="J138" i="2"/>
  <c r="F141" i="2"/>
  <c r="G141" i="2"/>
  <c r="H141" i="2"/>
  <c r="I141" i="2"/>
  <c r="J141" i="2"/>
  <c r="F146" i="2"/>
  <c r="G146" i="2"/>
  <c r="H146" i="2"/>
  <c r="I146" i="2"/>
  <c r="J146" i="2"/>
  <c r="F147" i="2"/>
  <c r="G147" i="2"/>
  <c r="H147" i="2"/>
  <c r="I147" i="2"/>
  <c r="J147" i="2"/>
  <c r="F149" i="2"/>
  <c r="G149" i="2"/>
  <c r="H149" i="2"/>
  <c r="I149" i="2"/>
  <c r="J149" i="2"/>
  <c r="F157" i="2"/>
  <c r="G157" i="2"/>
  <c r="H157" i="2"/>
  <c r="I157" i="2"/>
  <c r="J157" i="2"/>
  <c r="F197" i="2"/>
  <c r="G197" i="2"/>
  <c r="H197" i="2"/>
  <c r="I197" i="2"/>
  <c r="J197" i="2"/>
  <c r="F198" i="2"/>
  <c r="G198" i="2"/>
  <c r="H198" i="2"/>
  <c r="I198" i="2"/>
  <c r="J198" i="2"/>
  <c r="F200" i="2"/>
  <c r="G200" i="2"/>
  <c r="H200" i="2"/>
  <c r="I200" i="2"/>
  <c r="J200" i="2"/>
  <c r="F202" i="2"/>
  <c r="G202" i="2"/>
  <c r="H202" i="2"/>
  <c r="I202" i="2"/>
  <c r="J202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56" i="2"/>
  <c r="G256" i="2"/>
  <c r="H256" i="2"/>
  <c r="I256" i="2"/>
  <c r="J256" i="2"/>
  <c r="F260" i="2"/>
  <c r="G260" i="2"/>
  <c r="H260" i="2"/>
  <c r="I260" i="2"/>
  <c r="J260" i="2"/>
  <c r="F264" i="2"/>
  <c r="G264" i="2"/>
  <c r="H264" i="2"/>
  <c r="I264" i="2"/>
  <c r="J264" i="2"/>
  <c r="F268" i="2"/>
  <c r="G268" i="2"/>
  <c r="H268" i="2"/>
  <c r="I268" i="2"/>
  <c r="J268" i="2"/>
  <c r="F272" i="2"/>
  <c r="G272" i="2"/>
  <c r="H272" i="2"/>
  <c r="I272" i="2"/>
  <c r="J272" i="2"/>
</calcChain>
</file>

<file path=xl/sharedStrings.xml><?xml version="1.0" encoding="utf-8"?>
<sst xmlns="http://schemas.openxmlformats.org/spreadsheetml/2006/main" count="302" uniqueCount="209">
  <si>
    <t>Cash</t>
  </si>
  <si>
    <t>Inventory</t>
  </si>
  <si>
    <t>Prepaid Expenses</t>
  </si>
  <si>
    <t>Retained Earnings</t>
  </si>
  <si>
    <t>EBITDA</t>
  </si>
  <si>
    <t>Dividends</t>
  </si>
  <si>
    <t>Property, Plant &amp; Equipment</t>
  </si>
  <si>
    <t>© Corporate Finance Institute. All rights reserved.</t>
  </si>
  <si>
    <t>Current Assets:</t>
  </si>
  <si>
    <t>Non-Current Assets:</t>
  </si>
  <si>
    <t>Total Non-Current Assets</t>
  </si>
  <si>
    <t>Total Assets</t>
  </si>
  <si>
    <t>Current Liabilities:</t>
  </si>
  <si>
    <t>Long-Term Debt</t>
  </si>
  <si>
    <t>Non-Current Liabilities:</t>
  </si>
  <si>
    <t>Total Current Liabilities</t>
  </si>
  <si>
    <t>Total Non-Current Liabilities</t>
  </si>
  <si>
    <t>Total Liabilities</t>
  </si>
  <si>
    <t>LIABILITIES AND SHAREHOLDERS' EQUITY</t>
  </si>
  <si>
    <t>Total Shareholders' Equity</t>
  </si>
  <si>
    <t>Total Liabilities &amp; Shareholders' Equity</t>
  </si>
  <si>
    <t>Shareholders' Equity:</t>
  </si>
  <si>
    <t>Total Current Assets</t>
  </si>
  <si>
    <t>Gross Profit</t>
  </si>
  <si>
    <t>Net Operating Profit</t>
  </si>
  <si>
    <t>ASSETS</t>
  </si>
  <si>
    <t>Balance Sheet</t>
  </si>
  <si>
    <t>Income Statement</t>
  </si>
  <si>
    <t>Cash Flow Statement</t>
  </si>
  <si>
    <t>Cash from Operating Activities</t>
  </si>
  <si>
    <t>Cash from Investing Activities</t>
  </si>
  <si>
    <t>Payment of Dividends</t>
  </si>
  <si>
    <t>Capital Expenditures (Net)</t>
  </si>
  <si>
    <t>Net Change in Cash</t>
  </si>
  <si>
    <t>Net Income</t>
  </si>
  <si>
    <t>Starting Cash Balance</t>
  </si>
  <si>
    <t>Ending Cash Balance</t>
  </si>
  <si>
    <t>Check</t>
  </si>
  <si>
    <t>Working Capital (Current) Ratio</t>
  </si>
  <si>
    <t>Cash from Financing Activities</t>
  </si>
  <si>
    <t>Revenue</t>
  </si>
  <si>
    <t>Cost of Goods Sold</t>
  </si>
  <si>
    <t>Depreciation</t>
  </si>
  <si>
    <t>Interest Income</t>
  </si>
  <si>
    <t>Interest Expenses</t>
  </si>
  <si>
    <t>Total Taxes</t>
  </si>
  <si>
    <t>Minority Interest</t>
  </si>
  <si>
    <t>Accounts Receivable</t>
  </si>
  <si>
    <t>Other Current Assets</t>
  </si>
  <si>
    <t>Goodwill and Intangible Assets</t>
  </si>
  <si>
    <t>Other Non-Current Assets</t>
  </si>
  <si>
    <t>Accounts Payable</t>
  </si>
  <si>
    <t>Accrued Liabilities</t>
  </si>
  <si>
    <t>Other Short-Term Liabilities</t>
  </si>
  <si>
    <t>Other Long-Term Liabilities</t>
  </si>
  <si>
    <t>Early Warning Signal</t>
  </si>
  <si>
    <t>Covenant</t>
  </si>
  <si>
    <t>Assumptions</t>
  </si>
  <si>
    <t>Revenue Growth (%)</t>
  </si>
  <si>
    <t>Gross Profit Margin (%)</t>
  </si>
  <si>
    <t>Interest Income Growth (%)</t>
  </si>
  <si>
    <t>Interest Expense Growth (%)</t>
  </si>
  <si>
    <t>Total Taxes (% of EBT)</t>
  </si>
  <si>
    <t>Minority Interest (% of EBT)</t>
  </si>
  <si>
    <t>Start of Year</t>
  </si>
  <si>
    <t>End of Year</t>
  </si>
  <si>
    <t>Net Earnings</t>
  </si>
  <si>
    <t>Receivable Days</t>
  </si>
  <si>
    <t>Inventory Days</t>
  </si>
  <si>
    <t>Payable Days</t>
  </si>
  <si>
    <t>Income Statement Assumptions:</t>
  </si>
  <si>
    <t>Balance Sheet Assumptions:</t>
  </si>
  <si>
    <t>Debt Schedules</t>
  </si>
  <si>
    <t>Short-Term Debt</t>
  </si>
  <si>
    <t>Debt and Interest Assumptions:</t>
  </si>
  <si>
    <t>Short-Term Debt (% of Total Debt)</t>
  </si>
  <si>
    <t>Long-Term Debt (% of Total Debt)</t>
  </si>
  <si>
    <t>Interest Expense (% of Opening Debt)</t>
  </si>
  <si>
    <t>Existing Debt</t>
  </si>
  <si>
    <t>Retire?</t>
  </si>
  <si>
    <t>NO</t>
  </si>
  <si>
    <t>Change in Debt</t>
  </si>
  <si>
    <t>Annual Interest Rate Expense</t>
  </si>
  <si>
    <t>Principal Repayment</t>
  </si>
  <si>
    <t>Total Annual Payments</t>
  </si>
  <si>
    <t>Opening Balance</t>
  </si>
  <si>
    <t>Closing Balance</t>
  </si>
  <si>
    <t>Interest Income (% of Revenue)</t>
  </si>
  <si>
    <t>Total Borrowing Base</t>
  </si>
  <si>
    <t>Prime</t>
  </si>
  <si>
    <t>LIBOR (90 days)</t>
  </si>
  <si>
    <t>Base Rates</t>
  </si>
  <si>
    <t>Spread</t>
  </si>
  <si>
    <t>Base Rate</t>
  </si>
  <si>
    <t>WC Gap x Cost of Sales / 365</t>
  </si>
  <si>
    <t>Funding Gap / (Cash on Hand)</t>
  </si>
  <si>
    <t>% of Borrowing Base Utilized</t>
  </si>
  <si>
    <t>Interest Expense</t>
  </si>
  <si>
    <t>Debt Forecast</t>
  </si>
  <si>
    <t>Existing Cash at Start of Year</t>
  </si>
  <si>
    <t>Current Portion of Total Debt</t>
  </si>
  <si>
    <t>Long Term Portion of Total Debt</t>
  </si>
  <si>
    <t>Closing Total Debt</t>
  </si>
  <si>
    <t>Total Interest Payments</t>
  </si>
  <si>
    <t>PP&amp;E Schedule</t>
  </si>
  <si>
    <t>Principal Addition (Repayment)</t>
  </si>
  <si>
    <t>Borrowing Base</t>
  </si>
  <si>
    <t>PPE Net Book Value</t>
  </si>
  <si>
    <t>Lending Value</t>
  </si>
  <si>
    <t>Other Debt 2</t>
  </si>
  <si>
    <t>Accumulated Depreciation</t>
  </si>
  <si>
    <t>Beginning of Year</t>
  </si>
  <si>
    <t>Current Year's Expense</t>
  </si>
  <si>
    <t>Net PP&amp;E</t>
  </si>
  <si>
    <t>CapEx</t>
  </si>
  <si>
    <t>Capital Expenditure (Ratio to Depreciation)</t>
  </si>
  <si>
    <t>Gross PP&amp;E</t>
  </si>
  <si>
    <t>Income Before Taxes</t>
  </si>
  <si>
    <t>Dividends (% of Net Income)</t>
  </si>
  <si>
    <t>Cash Sweep</t>
  </si>
  <si>
    <t>Accrued Liabilities (% of Revenue)</t>
  </si>
  <si>
    <t>Covenant Analysis</t>
  </si>
  <si>
    <t>Funded Debt / EBITDA</t>
  </si>
  <si>
    <t>Risk Rating</t>
  </si>
  <si>
    <t>Score</t>
  </si>
  <si>
    <t>Financial</t>
  </si>
  <si>
    <t>Input</t>
  </si>
  <si>
    <t>Weighting</t>
  </si>
  <si>
    <t>Coverage</t>
  </si>
  <si>
    <t>Working Capital Ratio</t>
  </si>
  <si>
    <t>Total</t>
  </si>
  <si>
    <t>Management</t>
  </si>
  <si>
    <t>Business and Industry</t>
  </si>
  <si>
    <t>Skills and Experience</t>
  </si>
  <si>
    <t>Strategy</t>
  </si>
  <si>
    <t>Risk</t>
  </si>
  <si>
    <t>Business and Financial Acumen</t>
  </si>
  <si>
    <t>Business Risk</t>
  </si>
  <si>
    <t>Industry Risk</t>
  </si>
  <si>
    <t>Security</t>
  </si>
  <si>
    <t>Other</t>
  </si>
  <si>
    <t>Rating</t>
  </si>
  <si>
    <t>Weighted Rating</t>
  </si>
  <si>
    <t>Score Range</t>
  </si>
  <si>
    <t>Very Low Risk</t>
  </si>
  <si>
    <t>Low Risk</t>
  </si>
  <si>
    <t>Moderate Risk</t>
  </si>
  <si>
    <t>Cautionary</t>
  </si>
  <si>
    <t>Unsatisfactory</t>
  </si>
  <si>
    <t>Unacceptable</t>
  </si>
  <si>
    <t>Risk Rating Model</t>
  </si>
  <si>
    <t>Overall Risk</t>
  </si>
  <si>
    <t>Financial Risk</t>
  </si>
  <si>
    <t>Coverage Risk</t>
  </si>
  <si>
    <t>Management Risk</t>
  </si>
  <si>
    <t>Business and Industry Risk</t>
  </si>
  <si>
    <t>Year:</t>
  </si>
  <si>
    <t>Yearly Cash Flow</t>
  </si>
  <si>
    <t>Working Capital Funding Gap Days</t>
  </si>
  <si>
    <t>Term</t>
  </si>
  <si>
    <t>Total Change in Debt Principal</t>
  </si>
  <si>
    <t>Operating Line of Credit</t>
  </si>
  <si>
    <t>Interest Rate</t>
  </si>
  <si>
    <t>Reference Base Rate</t>
  </si>
  <si>
    <t>Total Operating Line of Credit Utilization</t>
  </si>
  <si>
    <t>All-In Rate</t>
  </si>
  <si>
    <t>Loan Amount</t>
  </si>
  <si>
    <t>Loan Amount as % of Lending Value</t>
  </si>
  <si>
    <t>Total Prinicipal Repayments</t>
  </si>
  <si>
    <t>EBITDA / (Interest &amp; Principal Payment)</t>
  </si>
  <si>
    <t>EBITDA / Interest</t>
  </si>
  <si>
    <t>Total Debt / Tangible Net Worth</t>
  </si>
  <si>
    <t>Other Income (Expenses)</t>
  </si>
  <si>
    <t>Change in Accounts Receivable</t>
  </si>
  <si>
    <t>Change in Inventory</t>
  </si>
  <si>
    <t>Change in Accounts Payable</t>
  </si>
  <si>
    <t>Change in Accrued Liabilities</t>
  </si>
  <si>
    <t>Adjusted for Changes in Working Capital:</t>
  </si>
  <si>
    <t>Other Debt 1 - Equal Amortization</t>
  </si>
  <si>
    <t>Term Loan A - Equal Payments</t>
  </si>
  <si>
    <t>Change in Line of Credit</t>
  </si>
  <si>
    <t>&gt;</t>
  </si>
  <si>
    <t>&lt;</t>
  </si>
  <si>
    <t>$2024's</t>
  </si>
  <si>
    <t>SG&amp;A</t>
  </si>
  <si>
    <t>SG&amp;A (% of Revenue)</t>
  </si>
  <si>
    <t>Accrued Income Taxes</t>
  </si>
  <si>
    <t>Accrued Income Taxes (% of Revenue)</t>
  </si>
  <si>
    <t>Debt Balance as of 2023</t>
  </si>
  <si>
    <t>Deferred Income Taxes</t>
  </si>
  <si>
    <t>Deferred Income Taxes (% of Revenue)</t>
  </si>
  <si>
    <t>Change in Accrued Income Taxes</t>
  </si>
  <si>
    <t>Depreciation (% of PP&amp;E)</t>
  </si>
  <si>
    <t>Debt Ratio (% of Revenue)</t>
  </si>
  <si>
    <t>Minimum Cash for Operations</t>
  </si>
  <si>
    <t>Minimum Cash for Operations (% of Revenue)</t>
  </si>
  <si>
    <t xml:space="preserve"> </t>
  </si>
  <si>
    <t>Cash Flow Surplus or (Deficit):</t>
  </si>
  <si>
    <t>Net change in cash before financing</t>
  </si>
  <si>
    <t>Debt Maturities</t>
  </si>
  <si>
    <t>Stock Repurchases:</t>
  </si>
  <si>
    <t>Stock Issuances (+):</t>
  </si>
  <si>
    <t>Stock Repurchases (-):</t>
  </si>
  <si>
    <t>Additional Stock Issuances:</t>
  </si>
  <si>
    <t>Additional Debt Issuances:</t>
  </si>
  <si>
    <t>Revolver - Maximum Draw:</t>
  </si>
  <si>
    <t>Additional Interest Payments:</t>
  </si>
  <si>
    <t>Additional Debt Issuances Acc:</t>
  </si>
  <si>
    <t>Obs.: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</si>
</sst>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_-;\-* #,##0.00_-;_-* &quot;-&quot;??_-;_-@_-"/>
    <numFmt numFmtId="165" formatCode="_-* #,##0_-;\-* #,##0_-;_-* &quot;-&quot;??_-;_-@_-"/>
    <numFmt numFmtId="166" formatCode="#,##0;\(0\)"/>
    <numFmt numFmtId="167" formatCode="_-* #,##0_-;\(#,##0\)_-;_-* &quot;-&quot;_-;_-@_-"/>
    <numFmt numFmtId="168" formatCode="0.0\x"/>
    <numFmt numFmtId="169" formatCode="0.0%"/>
    <numFmt numFmtId="170" formatCode="#,##0.000_);\(#,##0.000\)"/>
    <numFmt numFmtId="171" formatCode="0&quot;A&quot;"/>
    <numFmt numFmtId="172" formatCode="0&quot;E&quot;"/>
    <numFmt numFmtId="173" formatCode="0.00\x"/>
    <numFmt numFmtId="174" formatCode="_-* #,##0.0_-;\(#,##0.0\)_-;_-* &quot;-&quot;_-;_-@_-"/>
    <numFmt numFmtId="175" formatCode="0.0%;\(0.0%\)"/>
    <numFmt numFmtId="177" formatCode="0.00%;\(0.00%\)"/>
    <numFmt numFmtId="178" formatCode="0.00\ \-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8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0"/>
      <name val="Arial Narrow"/>
      <family val="2"/>
    </font>
    <font>
      <i/>
      <sz val="10"/>
      <color theme="1"/>
      <name val="Arial Narrow"/>
      <family val="2"/>
    </font>
    <font>
      <b/>
      <i/>
      <sz val="12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b/>
      <sz val="10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 tint="-4.9989318521683403E-2"/>
      <name val="Arial Narrow"/>
      <family val="2"/>
    </font>
    <font>
      <b/>
      <sz val="12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167" fontId="5" fillId="3" borderId="0" xfId="1" applyNumberFormat="1" applyFont="1" applyFill="1" applyProtection="1">
      <protection locked="0"/>
    </xf>
    <xf numFmtId="0" fontId="6" fillId="2" borderId="0" xfId="0" applyFont="1" applyFill="1"/>
    <xf numFmtId="0" fontId="12" fillId="0" borderId="0" xfId="0" applyFont="1"/>
    <xf numFmtId="0" fontId="11" fillId="0" borderId="0" xfId="0" applyFont="1"/>
    <xf numFmtId="0" fontId="10" fillId="4" borderId="0" xfId="2" applyFont="1" applyFill="1"/>
    <xf numFmtId="171" fontId="10" fillId="2" borderId="0" xfId="0" applyNumberFormat="1" applyFont="1" applyFill="1" applyAlignment="1">
      <alignment horizontal="right"/>
    </xf>
    <xf numFmtId="172" fontId="10" fillId="5" borderId="0" xfId="0" applyNumberFormat="1" applyFont="1" applyFill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9" fontId="3" fillId="0" borderId="0" xfId="4" applyFont="1"/>
    <xf numFmtId="167" fontId="10" fillId="4" borderId="0" xfId="2" applyNumberFormat="1" applyFont="1" applyFill="1"/>
    <xf numFmtId="0" fontId="13" fillId="2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165" fontId="14" fillId="0" borderId="0" xfId="1" applyNumberFormat="1" applyFont="1"/>
    <xf numFmtId="0" fontId="14" fillId="0" borderId="5" xfId="0" applyFont="1" applyBorder="1"/>
    <xf numFmtId="0" fontId="17" fillId="0" borderId="0" xfId="0" applyFont="1"/>
    <xf numFmtId="0" fontId="0" fillId="0" borderId="5" xfId="0" applyBorder="1"/>
    <xf numFmtId="0" fontId="16" fillId="9" borderId="0" xfId="0" applyFont="1" applyFill="1"/>
    <xf numFmtId="0" fontId="16" fillId="9" borderId="0" xfId="0" applyFont="1" applyFill="1" applyAlignment="1">
      <alignment horizontal="right"/>
    </xf>
    <xf numFmtId="0" fontId="15" fillId="0" borderId="6" xfId="0" applyFont="1" applyBorder="1" applyAlignment="1">
      <alignment horizontal="center"/>
    </xf>
    <xf numFmtId="2" fontId="15" fillId="0" borderId="0" xfId="1" applyNumberFormat="1" applyFont="1"/>
    <xf numFmtId="2" fontId="15" fillId="0" borderId="0" xfId="1" applyNumberFormat="1" applyFont="1" applyBorder="1" applyAlignment="1">
      <alignment horizontal="right"/>
    </xf>
    <xf numFmtId="9" fontId="15" fillId="0" borderId="0" xfId="0" applyNumberFormat="1" applyFont="1"/>
    <xf numFmtId="0" fontId="14" fillId="0" borderId="8" xfId="0" applyFont="1" applyBorder="1" applyAlignment="1">
      <alignment horizontal="center"/>
    </xf>
    <xf numFmtId="2" fontId="15" fillId="0" borderId="9" xfId="1" applyNumberFormat="1" applyFont="1" applyBorder="1" applyAlignment="1">
      <alignment horizontal="right"/>
    </xf>
    <xf numFmtId="0" fontId="17" fillId="0" borderId="4" xfId="0" applyFont="1" applyBorder="1"/>
    <xf numFmtId="0" fontId="14" fillId="0" borderId="4" xfId="0" applyFont="1" applyBorder="1"/>
    <xf numFmtId="2" fontId="17" fillId="0" borderId="4" xfId="0" applyNumberFormat="1" applyFont="1" applyBorder="1"/>
    <xf numFmtId="9" fontId="14" fillId="0" borderId="4" xfId="0" applyNumberFormat="1" applyFont="1" applyBorder="1"/>
    <xf numFmtId="9" fontId="15" fillId="0" borderId="5" xfId="0" applyNumberFormat="1" applyFont="1" applyBorder="1"/>
    <xf numFmtId="0" fontId="14" fillId="0" borderId="6" xfId="0" applyFont="1" applyBorder="1" applyAlignment="1">
      <alignment horizontal="left"/>
    </xf>
    <xf numFmtId="9" fontId="15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9" fontId="15" fillId="0" borderId="9" xfId="0" applyNumberFormat="1" applyFont="1" applyBorder="1" applyAlignment="1">
      <alignment horizontal="center"/>
    </xf>
    <xf numFmtId="0" fontId="14" fillId="0" borderId="10" xfId="0" applyFont="1" applyBorder="1"/>
    <xf numFmtId="9" fontId="14" fillId="0" borderId="11" xfId="0" applyNumberFormat="1" applyFont="1" applyBorder="1" applyAlignment="1">
      <alignment horizontal="center"/>
    </xf>
    <xf numFmtId="2" fontId="14" fillId="0" borderId="0" xfId="0" applyNumberFormat="1" applyFont="1"/>
    <xf numFmtId="9" fontId="14" fillId="0" borderId="0" xfId="4" applyFont="1" applyBorder="1"/>
    <xf numFmtId="164" fontId="14" fillId="0" borderId="0" xfId="1" applyFont="1" applyBorder="1"/>
    <xf numFmtId="165" fontId="14" fillId="10" borderId="6" xfId="1" applyNumberFormat="1" applyFont="1" applyFill="1" applyBorder="1"/>
    <xf numFmtId="165" fontId="14" fillId="10" borderId="4" xfId="1" applyNumberFormat="1" applyFont="1" applyFill="1" applyBorder="1"/>
    <xf numFmtId="9" fontId="14" fillId="0" borderId="0" xfId="4" applyFont="1"/>
    <xf numFmtId="164" fontId="14" fillId="0" borderId="0" xfId="0" applyNumberFormat="1" applyFont="1"/>
    <xf numFmtId="165" fontId="14" fillId="11" borderId="8" xfId="1" applyNumberFormat="1" applyFont="1" applyFill="1" applyBorder="1"/>
    <xf numFmtId="165" fontId="14" fillId="11" borderId="0" xfId="1" applyNumberFormat="1" applyFont="1" applyFill="1" applyBorder="1"/>
    <xf numFmtId="165" fontId="14" fillId="7" borderId="8" xfId="1" applyNumberFormat="1" applyFont="1" applyFill="1" applyBorder="1"/>
    <xf numFmtId="165" fontId="14" fillId="7" borderId="0" xfId="1" applyNumberFormat="1" applyFont="1" applyFill="1" applyBorder="1"/>
    <xf numFmtId="165" fontId="14" fillId="12" borderId="8" xfId="1" applyNumberFormat="1" applyFont="1" applyFill="1" applyBorder="1"/>
    <xf numFmtId="165" fontId="14" fillId="12" borderId="0" xfId="1" applyNumberFormat="1" applyFont="1" applyFill="1" applyBorder="1"/>
    <xf numFmtId="164" fontId="17" fillId="0" borderId="4" xfId="0" applyNumberFormat="1" applyFont="1" applyBorder="1"/>
    <xf numFmtId="165" fontId="14" fillId="13" borderId="8" xfId="1" applyNumberFormat="1" applyFont="1" applyFill="1" applyBorder="1"/>
    <xf numFmtId="165" fontId="14" fillId="13" borderId="0" xfId="1" applyNumberFormat="1" applyFont="1" applyFill="1" applyBorder="1"/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/>
    </xf>
    <xf numFmtId="165" fontId="14" fillId="8" borderId="10" xfId="1" applyNumberFormat="1" applyFont="1" applyFill="1" applyBorder="1"/>
    <xf numFmtId="165" fontId="14" fillId="8" borderId="1" xfId="1" applyNumberFormat="1" applyFont="1" applyFill="1" applyBorder="1"/>
    <xf numFmtId="0" fontId="5" fillId="2" borderId="0" xfId="0" applyFont="1" applyFill="1"/>
    <xf numFmtId="0" fontId="9" fillId="2" borderId="0" xfId="0" applyFont="1" applyFill="1"/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5" fontId="9" fillId="2" borderId="0" xfId="0" applyNumberFormat="1" applyFont="1" applyFill="1" applyAlignment="1">
      <alignment horizontal="left"/>
    </xf>
    <xf numFmtId="15" fontId="16" fillId="2" borderId="0" xfId="0" applyNumberFormat="1" applyFont="1" applyFill="1"/>
    <xf numFmtId="0" fontId="17" fillId="0" borderId="0" xfId="2" applyFont="1"/>
    <xf numFmtId="175" fontId="14" fillId="0" borderId="0" xfId="4" applyNumberFormat="1" applyFont="1" applyAlignment="1">
      <alignment horizontal="right"/>
    </xf>
    <xf numFmtId="167" fontId="14" fillId="0" borderId="0" xfId="1" applyNumberFormat="1" applyFont="1" applyAlignment="1">
      <alignment horizontal="right"/>
    </xf>
    <xf numFmtId="169" fontId="1" fillId="0" borderId="0" xfId="4" applyNumberFormat="1" applyFont="1" applyAlignment="1">
      <alignment horizontal="right"/>
    </xf>
    <xf numFmtId="165" fontId="14" fillId="0" borderId="0" xfId="1" applyNumberFormat="1" applyFont="1" applyAlignment="1">
      <alignment horizontal="right"/>
    </xf>
    <xf numFmtId="174" fontId="14" fillId="0" borderId="0" xfId="1" applyNumberFormat="1" applyFont="1" applyAlignment="1">
      <alignment horizontal="right"/>
    </xf>
    <xf numFmtId="0" fontId="7" fillId="0" borderId="0" xfId="0" applyFont="1"/>
    <xf numFmtId="165" fontId="1" fillId="0" borderId="0" xfId="1" applyNumberFormat="1" applyFont="1" applyAlignment="1">
      <alignment horizontal="right"/>
    </xf>
    <xf numFmtId="167" fontId="15" fillId="0" borderId="0" xfId="1" applyNumberFormat="1" applyFont="1" applyAlignment="1">
      <alignment horizontal="right"/>
    </xf>
    <xf numFmtId="167" fontId="15" fillId="0" borderId="0" xfId="0" applyNumberFormat="1" applyFont="1"/>
    <xf numFmtId="167" fontId="14" fillId="0" borderId="0" xfId="0" applyNumberFormat="1" applyFont="1"/>
    <xf numFmtId="167" fontId="15" fillId="0" borderId="0" xfId="4" applyNumberFormat="1" applyFont="1" applyAlignment="1">
      <alignment horizontal="right"/>
    </xf>
    <xf numFmtId="167" fontId="14" fillId="0" borderId="0" xfId="4" applyNumberFormat="1" applyFont="1" applyAlignment="1">
      <alignment horizontal="right"/>
    </xf>
    <xf numFmtId="0" fontId="7" fillId="0" borderId="4" xfId="0" applyFont="1" applyBorder="1" applyAlignment="1">
      <alignment horizontal="left"/>
    </xf>
    <xf numFmtId="167" fontId="17" fillId="0" borderId="4" xfId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167" fontId="15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167" fontId="14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7" fontId="1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4" fillId="0" borderId="0" xfId="0" applyNumberFormat="1" applyFont="1" applyAlignment="1">
      <alignment horizontal="right"/>
    </xf>
    <xf numFmtId="0" fontId="7" fillId="0" borderId="3" xfId="0" applyFont="1" applyBorder="1"/>
    <xf numFmtId="167" fontId="17" fillId="0" borderId="3" xfId="0" applyNumberFormat="1" applyFont="1" applyBorder="1" applyAlignment="1">
      <alignment horizontal="right"/>
    </xf>
    <xf numFmtId="167" fontId="17" fillId="0" borderId="4" xfId="0" applyNumberFormat="1" applyFont="1" applyBorder="1" applyAlignment="1">
      <alignment horizontal="right"/>
    </xf>
    <xf numFmtId="0" fontId="1" fillId="0" borderId="4" xfId="0" applyFont="1" applyBorder="1"/>
    <xf numFmtId="167" fontId="1" fillId="0" borderId="0" xfId="4" applyNumberFormat="1" applyFont="1" applyBorder="1" applyAlignment="1">
      <alignment horizontal="right"/>
    </xf>
    <xf numFmtId="167" fontId="15" fillId="0" borderId="0" xfId="4" applyNumberFormat="1" applyFont="1" applyBorder="1" applyAlignment="1">
      <alignment horizontal="right"/>
    </xf>
    <xf numFmtId="167" fontId="14" fillId="0" borderId="0" xfId="4" applyNumberFormat="1" applyFont="1" applyBorder="1" applyAlignment="1">
      <alignment horizontal="right"/>
    </xf>
    <xf numFmtId="0" fontId="7" fillId="0" borderId="4" xfId="0" applyFont="1" applyBorder="1"/>
    <xf numFmtId="167" fontId="14" fillId="0" borderId="0" xfId="1" applyNumberFormat="1" applyFont="1" applyFill="1"/>
    <xf numFmtId="167" fontId="15" fillId="0" borderId="0" xfId="1" applyNumberFormat="1" applyFont="1" applyFill="1"/>
    <xf numFmtId="167" fontId="14" fillId="0" borderId="4" xfId="1" applyNumberFormat="1" applyFont="1" applyFill="1" applyBorder="1"/>
    <xf numFmtId="167" fontId="1" fillId="0" borderId="0" xfId="1" applyNumberFormat="1" applyFont="1"/>
    <xf numFmtId="167" fontId="14" fillId="0" borderId="0" xfId="1" applyNumberFormat="1" applyFont="1" applyFill="1" applyBorder="1"/>
    <xf numFmtId="0" fontId="1" fillId="0" borderId="2" xfId="0" applyFont="1" applyBorder="1" applyAlignment="1">
      <alignment horizontal="left"/>
    </xf>
    <xf numFmtId="167" fontId="14" fillId="0" borderId="2" xfId="1" applyNumberFormat="1" applyFont="1" applyFill="1" applyBorder="1"/>
    <xf numFmtId="167" fontId="17" fillId="0" borderId="3" xfId="1" applyNumberFormat="1" applyFont="1" applyFill="1" applyBorder="1"/>
    <xf numFmtId="167" fontId="17" fillId="0" borderId="3" xfId="1" applyNumberFormat="1" applyFont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1" fillId="0" borderId="2" xfId="0" applyFont="1" applyBorder="1" applyAlignment="1">
      <alignment horizontal="left" indent="2"/>
    </xf>
    <xf numFmtId="167" fontId="14" fillId="0" borderId="0" xfId="1" applyNumberFormat="1" applyFont="1" applyBorder="1"/>
    <xf numFmtId="0" fontId="1" fillId="0" borderId="1" xfId="0" applyFont="1" applyBorder="1" applyAlignment="1">
      <alignment horizontal="left" indent="1"/>
    </xf>
    <xf numFmtId="167" fontId="14" fillId="0" borderId="1" xfId="1" applyNumberFormat="1" applyFont="1" applyFill="1" applyBorder="1"/>
    <xf numFmtId="167" fontId="14" fillId="0" borderId="2" xfId="1" applyNumberFormat="1" applyFont="1" applyBorder="1"/>
    <xf numFmtId="165" fontId="1" fillId="0" borderId="0" xfId="1" applyNumberFormat="1" applyFont="1"/>
    <xf numFmtId="0" fontId="18" fillId="0" borderId="0" xfId="0" applyFont="1"/>
    <xf numFmtId="170" fontId="19" fillId="0" borderId="0" xfId="1" applyNumberFormat="1" applyFont="1"/>
    <xf numFmtId="167" fontId="17" fillId="0" borderId="4" xfId="0" applyNumberFormat="1" applyFont="1" applyBorder="1"/>
    <xf numFmtId="167" fontId="17" fillId="0" borderId="0" xfId="0" applyNumberFormat="1" applyFont="1"/>
    <xf numFmtId="167" fontId="17" fillId="0" borderId="3" xfId="0" applyNumberFormat="1" applyFont="1" applyBorder="1"/>
    <xf numFmtId="166" fontId="1" fillId="0" borderId="0" xfId="0" applyNumberFormat="1" applyFont="1"/>
    <xf numFmtId="170" fontId="18" fillId="0" borderId="0" xfId="1" applyNumberFormat="1" applyFont="1"/>
    <xf numFmtId="0" fontId="16" fillId="0" borderId="0" xfId="2" applyFont="1"/>
    <xf numFmtId="167" fontId="14" fillId="0" borderId="4" xfId="0" applyNumberFormat="1" applyFont="1" applyBorder="1"/>
    <xf numFmtId="166" fontId="14" fillId="0" borderId="0" xfId="0" applyNumberFormat="1" applyFont="1"/>
    <xf numFmtId="167" fontId="15" fillId="0" borderId="4" xfId="0" applyNumberFormat="1" applyFont="1" applyBorder="1" applyAlignment="1">
      <alignment horizontal="right"/>
    </xf>
    <xf numFmtId="0" fontId="16" fillId="5" borderId="0" xfId="2" applyFont="1" applyFill="1"/>
    <xf numFmtId="0" fontId="9" fillId="5" borderId="0" xfId="2" applyFont="1" applyFill="1"/>
    <xf numFmtId="0" fontId="14" fillId="0" borderId="0" xfId="2" applyFont="1"/>
    <xf numFmtId="165" fontId="14" fillId="0" borderId="0" xfId="1" applyNumberFormat="1" applyFont="1" applyFill="1"/>
    <xf numFmtId="0" fontId="9" fillId="0" borderId="0" xfId="2" applyFont="1"/>
    <xf numFmtId="165" fontId="16" fillId="0" borderId="0" xfId="2" applyNumberFormat="1" applyFont="1"/>
    <xf numFmtId="10" fontId="15" fillId="6" borderId="0" xfId="4" applyNumberFormat="1" applyFont="1" applyFill="1" applyAlignment="1">
      <alignment horizontal="center"/>
    </xf>
    <xf numFmtId="0" fontId="16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166" fontId="9" fillId="5" borderId="0" xfId="0" applyNumberFormat="1" applyFont="1" applyFill="1"/>
    <xf numFmtId="10" fontId="14" fillId="0" borderId="0" xfId="4" applyNumberFormat="1" applyFont="1" applyAlignment="1">
      <alignment horizontal="center"/>
    </xf>
    <xf numFmtId="0" fontId="15" fillId="6" borderId="0" xfId="0" applyFont="1" applyFill="1" applyAlignment="1">
      <alignment horizontal="center"/>
    </xf>
    <xf numFmtId="167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4" fillId="0" borderId="0" xfId="0" applyNumberFormat="1" applyFont="1"/>
    <xf numFmtId="0" fontId="1" fillId="0" borderId="4" xfId="0" applyFont="1" applyBorder="1" applyAlignment="1">
      <alignment horizontal="center"/>
    </xf>
    <xf numFmtId="166" fontId="14" fillId="0" borderId="4" xfId="0" applyNumberFormat="1" applyFont="1" applyBorder="1"/>
    <xf numFmtId="165" fontId="14" fillId="0" borderId="4" xfId="1" applyNumberFormat="1" applyFont="1" applyBorder="1"/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/>
    <xf numFmtId="0" fontId="9" fillId="0" borderId="0" xfId="0" applyFont="1"/>
    <xf numFmtId="9" fontId="15" fillId="6" borderId="0" xfId="0" applyNumberFormat="1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166" fontId="7" fillId="0" borderId="4" xfId="0" applyNumberFormat="1" applyFont="1" applyBorder="1"/>
    <xf numFmtId="10" fontId="15" fillId="6" borderId="0" xfId="0" applyNumberFormat="1" applyFont="1" applyFill="1" applyAlignment="1">
      <alignment horizontal="center"/>
    </xf>
    <xf numFmtId="10" fontId="14" fillId="0" borderId="0" xfId="0" applyNumberFormat="1" applyFont="1" applyAlignment="1">
      <alignment horizontal="center"/>
    </xf>
    <xf numFmtId="165" fontId="17" fillId="0" borderId="4" xfId="0" applyNumberFormat="1" applyFont="1" applyBorder="1"/>
    <xf numFmtId="0" fontId="15" fillId="6" borderId="0" xfId="1" applyNumberFormat="1" applyFont="1" applyFill="1" applyAlignment="1">
      <alignment horizontal="center"/>
    </xf>
    <xf numFmtId="165" fontId="15" fillId="6" borderId="0" xfId="1" applyNumberFormat="1" applyFont="1" applyFill="1" applyAlignment="1"/>
    <xf numFmtId="167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7" fillId="0" borderId="0" xfId="0" applyFont="1" applyAlignment="1">
      <alignment horizontal="left" indent="1"/>
    </xf>
    <xf numFmtId="0" fontId="14" fillId="6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173" fontId="15" fillId="0" borderId="0" xfId="0" applyNumberFormat="1" applyFont="1"/>
    <xf numFmtId="173" fontId="14" fillId="0" borderId="0" xfId="0" applyNumberFormat="1" applyFont="1"/>
    <xf numFmtId="173" fontId="1" fillId="0" borderId="0" xfId="0" applyNumberFormat="1" applyFont="1"/>
    <xf numFmtId="0" fontId="16" fillId="2" borderId="6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right" wrapText="1"/>
    </xf>
    <xf numFmtId="0" fontId="16" fillId="2" borderId="7" xfId="0" applyFont="1" applyFill="1" applyBorder="1" applyAlignment="1">
      <alignment horizontal="right" wrapText="1"/>
    </xf>
    <xf numFmtId="0" fontId="16" fillId="2" borderId="6" xfId="0" applyFont="1" applyFill="1" applyBorder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0" xfId="1" applyNumberFormat="1" applyFont="1" applyFill="1" applyBorder="1" applyAlignment="1">
      <alignment horizontal="right"/>
    </xf>
    <xf numFmtId="165" fontId="9" fillId="5" borderId="6" xfId="1" applyNumberFormat="1" applyFont="1" applyFill="1" applyBorder="1"/>
    <xf numFmtId="165" fontId="16" fillId="5" borderId="4" xfId="1" applyNumberFormat="1" applyFont="1" applyFill="1" applyBorder="1"/>
    <xf numFmtId="0" fontId="16" fillId="5" borderId="4" xfId="0" applyFont="1" applyFill="1" applyBorder="1" applyAlignment="1">
      <alignment horizontal="centerContinuous"/>
    </xf>
    <xf numFmtId="0" fontId="16" fillId="5" borderId="7" xfId="0" applyFont="1" applyFill="1" applyBorder="1" applyAlignment="1">
      <alignment horizontal="centerContinuous"/>
    </xf>
    <xf numFmtId="165" fontId="14" fillId="0" borderId="0" xfId="1" applyNumberFormat="1" applyFont="1" applyFill="1" applyBorder="1"/>
    <xf numFmtId="175" fontId="15" fillId="0" borderId="0" xfId="4" applyNumberFormat="1" applyFont="1" applyAlignment="1">
      <alignment horizontal="right"/>
    </xf>
    <xf numFmtId="169" fontId="15" fillId="0" borderId="0" xfId="4" applyNumberFormat="1" applyFont="1" applyAlignment="1">
      <alignment horizontal="right"/>
    </xf>
    <xf numFmtId="165" fontId="15" fillId="0" borderId="0" xfId="1" applyNumberFormat="1" applyFont="1" applyAlignment="1">
      <alignment horizontal="right"/>
    </xf>
    <xf numFmtId="174" fontId="15" fillId="0" borderId="0" xfId="1" applyNumberFormat="1" applyFont="1" applyAlignment="1">
      <alignment horizontal="right"/>
    </xf>
    <xf numFmtId="167" fontId="14" fillId="14" borderId="0" xfId="0" applyNumberFormat="1" applyFont="1" applyFill="1"/>
    <xf numFmtId="173" fontId="17" fillId="0" borderId="0" xfId="0" applyNumberFormat="1" applyFont="1" applyAlignment="1">
      <alignment horizontal="right"/>
    </xf>
    <xf numFmtId="2" fontId="14" fillId="0" borderId="1" xfId="1" applyNumberFormat="1" applyFont="1" applyBorder="1" applyAlignment="1">
      <alignment horizontal="right"/>
    </xf>
    <xf numFmtId="2" fontId="14" fillId="0" borderId="11" xfId="1" applyNumberFormat="1" applyFont="1" applyBorder="1" applyAlignment="1">
      <alignment horizontal="right"/>
    </xf>
    <xf numFmtId="2" fontId="14" fillId="0" borderId="9" xfId="0" applyNumberFormat="1" applyFont="1" applyBorder="1" applyAlignment="1">
      <alignment horizontal="left"/>
    </xf>
    <xf numFmtId="2" fontId="15" fillId="0" borderId="7" xfId="0" applyNumberFormat="1" applyFont="1" applyBorder="1" applyAlignment="1">
      <alignment horizontal="left"/>
    </xf>
    <xf numFmtId="2" fontId="14" fillId="0" borderId="11" xfId="0" applyNumberFormat="1" applyFont="1" applyBorder="1" applyAlignment="1">
      <alignment horizontal="left"/>
    </xf>
    <xf numFmtId="178" fontId="15" fillId="0" borderId="4" xfId="0" applyNumberFormat="1" applyFont="1" applyBorder="1" applyAlignment="1">
      <alignment horizontal="right"/>
    </xf>
    <xf numFmtId="178" fontId="15" fillId="0" borderId="0" xfId="0" applyNumberFormat="1" applyFont="1" applyAlignment="1">
      <alignment horizontal="right"/>
    </xf>
    <xf numFmtId="178" fontId="15" fillId="0" borderId="1" xfId="0" applyNumberFormat="1" applyFont="1" applyBorder="1" applyAlignment="1">
      <alignment horizontal="right"/>
    </xf>
    <xf numFmtId="2" fontId="15" fillId="0" borderId="0" xfId="1" applyNumberFormat="1" applyFont="1" applyAlignment="1">
      <alignment horizontal="right"/>
    </xf>
    <xf numFmtId="2" fontId="15" fillId="0" borderId="7" xfId="1" applyNumberFormat="1" applyFont="1" applyBorder="1" applyAlignment="1">
      <alignment horizontal="right"/>
    </xf>
    <xf numFmtId="0" fontId="14" fillId="0" borderId="10" xfId="0" applyFont="1" applyBorder="1" applyAlignment="1">
      <alignment horizontal="center"/>
    </xf>
    <xf numFmtId="177" fontId="14" fillId="0" borderId="0" xfId="4" applyNumberFormat="1" applyFont="1" applyAlignment="1">
      <alignment horizontal="right"/>
    </xf>
    <xf numFmtId="177" fontId="15" fillId="0" borderId="0" xfId="4" applyNumberFormat="1" applyFont="1" applyAlignment="1">
      <alignment horizontal="right"/>
    </xf>
    <xf numFmtId="0" fontId="20" fillId="0" borderId="0" xfId="0" applyFont="1"/>
    <xf numFmtId="167" fontId="17" fillId="0" borderId="2" xfId="0" applyNumberFormat="1" applyFont="1" applyBorder="1" applyAlignment="1">
      <alignment horizontal="right"/>
    </xf>
    <xf numFmtId="9" fontId="1" fillId="0" borderId="0" xfId="4" applyFont="1"/>
    <xf numFmtId="167" fontId="15" fillId="0" borderId="4" xfId="0" applyNumberFormat="1" applyFont="1" applyBorder="1"/>
    <xf numFmtId="2" fontId="1" fillId="0" borderId="0" xfId="4" applyNumberFormat="1" applyFont="1"/>
    <xf numFmtId="167" fontId="3" fillId="0" borderId="0" xfId="0" applyNumberFormat="1" applyFont="1"/>
    <xf numFmtId="0" fontId="21" fillId="0" borderId="0" xfId="0" applyFont="1"/>
    <xf numFmtId="0" fontId="14" fillId="6" borderId="0" xfId="0" applyFont="1" applyFill="1" applyAlignment="1">
      <alignment horizontal="center"/>
    </xf>
    <xf numFmtId="0" fontId="14" fillId="0" borderId="1" xfId="2" applyFont="1" applyBorder="1"/>
    <xf numFmtId="165" fontId="14" fillId="0" borderId="1" xfId="1" applyNumberFormat="1" applyFont="1" applyFill="1" applyBorder="1"/>
    <xf numFmtId="10" fontId="15" fillId="0" borderId="0" xfId="4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165" fontId="17" fillId="0" borderId="0" xfId="1" applyNumberFormat="1" applyFont="1" applyFill="1" applyBorder="1"/>
    <xf numFmtId="0" fontId="17" fillId="0" borderId="4" xfId="2" applyFont="1" applyBorder="1"/>
    <xf numFmtId="165" fontId="17" fillId="0" borderId="4" xfId="1" applyNumberFormat="1" applyFont="1" applyFill="1" applyBorder="1"/>
    <xf numFmtId="165" fontId="3" fillId="0" borderId="0" xfId="0" applyNumberFormat="1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0" fontId="10" fillId="4" borderId="0" xfId="2" applyFont="1" applyFill="1" applyBorder="1"/>
    <xf numFmtId="173" fontId="17" fillId="0" borderId="0" xfId="0" applyNumberFormat="1" applyFont="1" applyBorder="1" applyAlignment="1">
      <alignment horizontal="right"/>
    </xf>
    <xf numFmtId="173" fontId="15" fillId="6" borderId="0" xfId="0" applyNumberFormat="1" applyFont="1" applyFill="1" applyAlignment="1">
      <alignment horizontal="right"/>
    </xf>
    <xf numFmtId="173" fontId="15" fillId="6" borderId="0" xfId="0" applyNumberFormat="1" applyFont="1" applyFill="1" applyBorder="1" applyAlignment="1">
      <alignment horizontal="right"/>
    </xf>
    <xf numFmtId="173" fontId="15" fillId="0" borderId="0" xfId="0" applyNumberFormat="1" applyFont="1" applyAlignment="1">
      <alignment horizontal="right"/>
    </xf>
    <xf numFmtId="173" fontId="14" fillId="0" borderId="0" xfId="0" applyNumberFormat="1" applyFont="1" applyAlignment="1">
      <alignment horizontal="right"/>
    </xf>
    <xf numFmtId="173" fontId="14" fillId="0" borderId="0" xfId="0" applyNumberFormat="1" applyFont="1" applyBorder="1" applyAlignment="1">
      <alignment horizontal="right"/>
    </xf>
    <xf numFmtId="168" fontId="1" fillId="0" borderId="0" xfId="0" applyNumberFormat="1" applyFont="1" applyAlignment="1">
      <alignment horizontal="right"/>
    </xf>
    <xf numFmtId="168" fontId="1" fillId="0" borderId="0" xfId="0" applyNumberFormat="1" applyFont="1" applyBorder="1" applyAlignment="1">
      <alignment horizontal="right"/>
    </xf>
    <xf numFmtId="173" fontId="1" fillId="0" borderId="0" xfId="0" applyNumberFormat="1" applyFont="1" applyAlignment="1">
      <alignment horizontal="right"/>
    </xf>
    <xf numFmtId="173" fontId="1" fillId="0" borderId="0" xfId="0" applyNumberFormat="1" applyFont="1" applyBorder="1" applyAlignment="1">
      <alignment horizontal="right"/>
    </xf>
    <xf numFmtId="172" fontId="22" fillId="5" borderId="0" xfId="0" applyNumberFormat="1" applyFont="1" applyFill="1" applyAlignment="1">
      <alignment horizontal="right"/>
    </xf>
    <xf numFmtId="0" fontId="23" fillId="0" borderId="0" xfId="0" applyFont="1"/>
  </cellXfs>
  <cellStyles count="6">
    <cellStyle name="Comma" xfId="1" builtinId="3"/>
    <cellStyle name="Hyperlink 2 2" xfId="3" xr:uid="{E39D3580-FDE2-4D27-9841-AE88A70587C2}"/>
    <cellStyle name="Normal" xfId="0" builtinId="0"/>
    <cellStyle name="Normal 2 2 2" xfId="2" xr:uid="{5C19EE83-5A7D-41C9-B74F-D44D312ED43C}"/>
    <cellStyle name="Percent" xfId="4" builtinId="5"/>
    <cellStyle name="Percent 4" xfId="5" xr:uid="{F3216CCC-9425-4620-A5CD-0C0C33F4C895}"/>
  </cellStyles>
  <dxfs count="17"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254</xdr:row>
      <xdr:rowOff>45720</xdr:rowOff>
    </xdr:from>
    <xdr:to>
      <xdr:col>18</xdr:col>
      <xdr:colOff>556260</xdr:colOff>
      <xdr:row>258</xdr:row>
      <xdr:rowOff>64532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8C13B-A165-1F03-8B92-BA84BC0E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35707320"/>
          <a:ext cx="4998720" cy="7198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 Colors v3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F57A16"/>
      </a:accent1>
      <a:accent2>
        <a:srgbClr val="1E8496"/>
      </a:accent2>
      <a:accent3>
        <a:srgbClr val="ED942D"/>
      </a:accent3>
      <a:accent4>
        <a:srgbClr val="1E2A39"/>
      </a:accent4>
      <a:accent5>
        <a:srgbClr val="676767"/>
      </a:accent5>
      <a:accent6>
        <a:srgbClr val="E6E7E8"/>
      </a:accent6>
      <a:hlink>
        <a:srgbClr val="0000FF"/>
      </a:hlink>
      <a:folHlink>
        <a:srgbClr val="6600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76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ColWidth="8.77734375" defaultRowHeight="13.8" outlineLevelRow="1" x14ac:dyDescent="0.25"/>
  <cols>
    <col min="1" max="1" width="40.44140625" style="11" customWidth="1"/>
    <col min="2" max="2" width="12.88671875" style="11" customWidth="1"/>
    <col min="3" max="3" width="11.6640625" style="13" customWidth="1"/>
    <col min="4" max="4" width="12.21875" style="13" bestFit="1" customWidth="1"/>
    <col min="5" max="10" width="12.21875" style="11" bestFit="1" customWidth="1"/>
    <col min="11" max="16384" width="8.77734375" style="11"/>
  </cols>
  <sheetData>
    <row r="1" spans="1:10" ht="14.4" x14ac:dyDescent="0.3">
      <c r="A1" s="4" t="s">
        <v>7</v>
      </c>
      <c r="B1" s="4"/>
      <c r="C1" s="3"/>
      <c r="D1" s="3"/>
      <c r="E1" s="3"/>
      <c r="F1" s="12"/>
      <c r="G1" s="12"/>
      <c r="H1" s="12"/>
      <c r="I1" s="12"/>
      <c r="J1" s="12"/>
    </row>
    <row r="2" spans="1:10" ht="18" x14ac:dyDescent="0.35">
      <c r="A2" s="5" t="s">
        <v>157</v>
      </c>
      <c r="B2" s="5"/>
      <c r="C2" s="3"/>
      <c r="D2" s="3"/>
      <c r="E2" s="3"/>
      <c r="F2" s="12"/>
      <c r="G2" s="12"/>
      <c r="H2" s="12"/>
      <c r="I2" s="12"/>
      <c r="J2" s="12"/>
    </row>
    <row r="3" spans="1:10" ht="15.6" x14ac:dyDescent="0.3">
      <c r="A3" s="16" t="s">
        <v>183</v>
      </c>
      <c r="B3" s="16"/>
      <c r="C3" s="9">
        <v>2021</v>
      </c>
      <c r="D3" s="9">
        <f>C3+1</f>
        <v>2022</v>
      </c>
      <c r="E3" s="9">
        <f t="shared" ref="E3:J3" si="0">D3+1</f>
        <v>2023</v>
      </c>
      <c r="F3" s="231">
        <f t="shared" si="0"/>
        <v>2024</v>
      </c>
      <c r="G3" s="10">
        <f t="shared" si="0"/>
        <v>2025</v>
      </c>
      <c r="H3" s="10">
        <f t="shared" si="0"/>
        <v>2026</v>
      </c>
      <c r="I3" s="10">
        <f t="shared" si="0"/>
        <v>2027</v>
      </c>
      <c r="J3" s="10">
        <f t="shared" si="0"/>
        <v>2028</v>
      </c>
    </row>
    <row r="4" spans="1:10" ht="13.95" customHeight="1" x14ac:dyDescent="0.3">
      <c r="A4" s="1"/>
      <c r="B4" s="1"/>
      <c r="C4" s="2"/>
      <c r="D4" s="2"/>
    </row>
    <row r="5" spans="1:10" ht="13.95" customHeight="1" x14ac:dyDescent="0.3">
      <c r="A5" s="8" t="s">
        <v>57</v>
      </c>
      <c r="B5" s="8"/>
      <c r="C5" s="8"/>
      <c r="D5" s="8"/>
      <c r="E5" s="8"/>
      <c r="F5" s="8"/>
      <c r="G5" s="8"/>
      <c r="H5" s="8"/>
      <c r="I5" s="8"/>
      <c r="J5" s="8"/>
    </row>
    <row r="6" spans="1:10" s="7" customFormat="1" ht="13.95" customHeight="1" outlineLevel="1" x14ac:dyDescent="0.3">
      <c r="A6" s="68" t="s">
        <v>70</v>
      </c>
      <c r="B6" s="68"/>
      <c r="C6" s="68"/>
      <c r="D6" s="68"/>
      <c r="E6" s="68"/>
      <c r="F6" s="68"/>
      <c r="G6" s="68"/>
      <c r="H6" s="68"/>
      <c r="I6" s="68"/>
      <c r="J6" s="68"/>
    </row>
    <row r="7" spans="1:10" ht="13.95" customHeight="1" outlineLevel="1" x14ac:dyDescent="0.25">
      <c r="A7" s="11" t="s">
        <v>58</v>
      </c>
      <c r="C7" s="69" t="str">
        <f>IFERROR(C33/B33-1,"N/A")</f>
        <v>N/A</v>
      </c>
      <c r="D7" s="69">
        <f t="shared" ref="D7:E7" si="1">IFERROR(D33/C33-1,"N/A")</f>
        <v>6.7280193590965709E-2</v>
      </c>
      <c r="E7" s="69">
        <f t="shared" si="1"/>
        <v>6.02595499019285E-2</v>
      </c>
      <c r="F7" s="183">
        <v>0.06</v>
      </c>
      <c r="G7" s="183">
        <v>0.06</v>
      </c>
      <c r="H7" s="183">
        <v>0.06</v>
      </c>
      <c r="I7" s="183">
        <v>0.05</v>
      </c>
      <c r="J7" s="183">
        <v>0.05</v>
      </c>
    </row>
    <row r="8" spans="1:10" ht="13.95" customHeight="1" outlineLevel="1" x14ac:dyDescent="0.25">
      <c r="A8" s="11" t="s">
        <v>59</v>
      </c>
      <c r="C8" s="69">
        <f>C35/C33</f>
        <v>0.26959567283685493</v>
      </c>
      <c r="D8" s="69">
        <f t="shared" ref="D8:E8" si="2">D35/D33</f>
        <v>0.25930942647422089</v>
      </c>
      <c r="E8" s="69">
        <f t="shared" si="2"/>
        <v>0.26204204435872708</v>
      </c>
      <c r="F8" s="183">
        <f>AVERAGE(C8:E8)</f>
        <v>0.26364904788993426</v>
      </c>
      <c r="G8" s="183">
        <f>F8</f>
        <v>0.26364904788993426</v>
      </c>
      <c r="H8" s="183">
        <f t="shared" ref="H8:J8" si="3">G8</f>
        <v>0.26364904788993426</v>
      </c>
      <c r="I8" s="183">
        <f t="shared" si="3"/>
        <v>0.26364904788993426</v>
      </c>
      <c r="J8" s="183">
        <f t="shared" si="3"/>
        <v>0.26364904788993426</v>
      </c>
    </row>
    <row r="9" spans="1:10" ht="13.95" customHeight="1" outlineLevel="1" x14ac:dyDescent="0.25">
      <c r="A9" s="11" t="s">
        <v>185</v>
      </c>
      <c r="C9" s="69">
        <f>C36/C$33</f>
        <v>0.20569389301515137</v>
      </c>
      <c r="D9" s="69">
        <f>D36/D$33</f>
        <v>0.20798672968105103</v>
      </c>
      <c r="E9" s="69">
        <f>E36/E$33</f>
        <v>0.20207675988428159</v>
      </c>
      <c r="F9" s="183">
        <f>AVERAGE(C9:E9)</f>
        <v>0.20525246086016136</v>
      </c>
      <c r="G9" s="183">
        <f>F9</f>
        <v>0.20525246086016136</v>
      </c>
      <c r="H9" s="183">
        <f t="shared" ref="H9:J9" si="4">G9</f>
        <v>0.20525246086016136</v>
      </c>
      <c r="I9" s="183">
        <f t="shared" si="4"/>
        <v>0.20525246086016136</v>
      </c>
      <c r="J9" s="183">
        <f t="shared" si="4"/>
        <v>0.20525246086016136</v>
      </c>
    </row>
    <row r="10" spans="1:10" ht="13.95" customHeight="1" outlineLevel="1" x14ac:dyDescent="0.25">
      <c r="A10" s="11" t="s">
        <v>192</v>
      </c>
      <c r="C10" s="69">
        <f>C38/C65</f>
        <v>0.11276516954980691</v>
      </c>
      <c r="D10" s="69">
        <f t="shared" ref="D10:E10" si="5">D38/D65</f>
        <v>0.10862445414847162</v>
      </c>
      <c r="E10" s="69">
        <f t="shared" si="5"/>
        <v>0.1069668802454652</v>
      </c>
      <c r="F10" s="183">
        <f t="shared" ref="F10:F18" si="6">AVERAGE(C10:E10)</f>
        <v>0.10945216798124791</v>
      </c>
      <c r="G10" s="183">
        <f>F10</f>
        <v>0.10945216798124791</v>
      </c>
      <c r="H10" s="183">
        <f t="shared" ref="H10:J10" si="7">G10</f>
        <v>0.10945216798124791</v>
      </c>
      <c r="I10" s="183">
        <f t="shared" si="7"/>
        <v>0.10945216798124791</v>
      </c>
      <c r="J10" s="183">
        <f t="shared" si="7"/>
        <v>0.10945216798124791</v>
      </c>
    </row>
    <row r="11" spans="1:10" ht="13.95" customHeight="1" outlineLevel="1" x14ac:dyDescent="0.25">
      <c r="A11" s="11" t="s">
        <v>60</v>
      </c>
      <c r="C11" s="69" t="str">
        <f>IFERROR(C40/B40-1,"N/A")</f>
        <v>N/A</v>
      </c>
      <c r="D11" s="69">
        <f t="shared" ref="D11:E11" si="8">IFERROR(D40/C40-1,"N/A")</f>
        <v>0.60759493670886067</v>
      </c>
      <c r="E11" s="69">
        <f t="shared" si="8"/>
        <v>1.1496062992125986</v>
      </c>
      <c r="F11" s="183">
        <f t="shared" si="6"/>
        <v>0.87860061796072964</v>
      </c>
      <c r="G11" s="183">
        <f t="shared" ref="G11:J16" si="9">F11</f>
        <v>0.87860061796072964</v>
      </c>
      <c r="H11" s="183">
        <f t="shared" si="9"/>
        <v>0.87860061796072964</v>
      </c>
      <c r="I11" s="183">
        <f t="shared" si="9"/>
        <v>0.87860061796072964</v>
      </c>
      <c r="J11" s="183">
        <f t="shared" si="9"/>
        <v>0.87860061796072964</v>
      </c>
    </row>
    <row r="12" spans="1:10" ht="13.95" customHeight="1" outlineLevel="1" x14ac:dyDescent="0.25">
      <c r="A12" s="11" t="s">
        <v>61</v>
      </c>
      <c r="C12" s="69" t="str">
        <f>IFERROR(C41/B41-1,"N/A")</f>
        <v>N/A</v>
      </c>
      <c r="D12" s="69">
        <f>IFERROR(D41/C41-1,"N/A")</f>
        <v>6.7201604814443261E-2</v>
      </c>
      <c r="E12" s="69">
        <f>IFERROR(E41/D41-1,"N/A")</f>
        <v>0.26080827067669166</v>
      </c>
      <c r="F12" s="183">
        <f t="shared" si="6"/>
        <v>0.16400493774556746</v>
      </c>
      <c r="G12" s="183">
        <f t="shared" si="9"/>
        <v>0.16400493774556746</v>
      </c>
      <c r="H12" s="183">
        <f t="shared" si="9"/>
        <v>0.16400493774556746</v>
      </c>
      <c r="I12" s="183">
        <f t="shared" si="9"/>
        <v>0.16400493774556746</v>
      </c>
      <c r="J12" s="183">
        <f t="shared" si="9"/>
        <v>0.16400493774556746</v>
      </c>
    </row>
    <row r="13" spans="1:10" ht="13.95" customHeight="1" outlineLevel="1" x14ac:dyDescent="0.25">
      <c r="A13" s="11" t="s">
        <v>172</v>
      </c>
      <c r="C13" s="70">
        <f>C42</f>
        <v>-5410</v>
      </c>
      <c r="D13" s="70">
        <f t="shared" ref="D13:E13" si="10">D42</f>
        <v>-1538</v>
      </c>
      <c r="E13" s="70">
        <f t="shared" si="10"/>
        <v>-3027</v>
      </c>
      <c r="F13" s="76">
        <f>E13</f>
        <v>-3027</v>
      </c>
      <c r="G13" s="76">
        <f t="shared" si="9"/>
        <v>-3027</v>
      </c>
      <c r="H13" s="76">
        <f t="shared" si="9"/>
        <v>-3027</v>
      </c>
      <c r="I13" s="76">
        <f t="shared" si="9"/>
        <v>-3027</v>
      </c>
      <c r="J13" s="76">
        <f t="shared" si="9"/>
        <v>-3027</v>
      </c>
    </row>
    <row r="14" spans="1:10" ht="13.95" customHeight="1" outlineLevel="1" x14ac:dyDescent="0.25">
      <c r="A14" s="11" t="s">
        <v>62</v>
      </c>
      <c r="C14" s="69">
        <f>C44/C43</f>
        <v>0.25438596491228072</v>
      </c>
      <c r="D14" s="69">
        <f>D44/D43</f>
        <v>0.33638928067700985</v>
      </c>
      <c r="E14" s="69">
        <f>E44/E43</f>
        <v>0.25530941047235445</v>
      </c>
      <c r="F14" s="183">
        <f t="shared" si="6"/>
        <v>0.282028218687215</v>
      </c>
      <c r="G14" s="183">
        <f t="shared" si="9"/>
        <v>0.282028218687215</v>
      </c>
      <c r="H14" s="183">
        <f t="shared" si="9"/>
        <v>0.282028218687215</v>
      </c>
      <c r="I14" s="183">
        <f t="shared" si="9"/>
        <v>0.282028218687215</v>
      </c>
      <c r="J14" s="183">
        <f t="shared" si="9"/>
        <v>0.282028218687215</v>
      </c>
    </row>
    <row r="15" spans="1:10" ht="13.95" customHeight="1" outlineLevel="1" x14ac:dyDescent="0.25">
      <c r="A15" s="11" t="s">
        <v>63</v>
      </c>
      <c r="C15" s="69">
        <f>C45/C43</f>
        <v>1.4281129653401798E-2</v>
      </c>
      <c r="D15" s="69">
        <f>D45/D43</f>
        <v>-2.2802068641278796E-2</v>
      </c>
      <c r="E15" s="69">
        <f>E45/E43</f>
        <v>3.4740021969974368E-2</v>
      </c>
      <c r="F15" s="183">
        <f t="shared" si="6"/>
        <v>8.73969432736579E-3</v>
      </c>
      <c r="G15" s="183">
        <f t="shared" si="9"/>
        <v>8.73969432736579E-3</v>
      </c>
      <c r="H15" s="183">
        <f t="shared" si="9"/>
        <v>8.73969432736579E-3</v>
      </c>
      <c r="I15" s="183">
        <f t="shared" si="9"/>
        <v>8.73969432736579E-3</v>
      </c>
      <c r="J15" s="183">
        <f t="shared" si="9"/>
        <v>8.73969432736579E-3</v>
      </c>
    </row>
    <row r="16" spans="1:10" ht="13.95" customHeight="1" outlineLevel="1" x14ac:dyDescent="0.25">
      <c r="A16" s="11" t="s">
        <v>118</v>
      </c>
      <c r="C16" s="69">
        <f>C51/C46</f>
        <v>0.44131994261119084</v>
      </c>
      <c r="D16" s="69">
        <f t="shared" ref="D16:E16" si="11">D51/D46</f>
        <v>0.5414452709883103</v>
      </c>
      <c r="E16" s="69">
        <f t="shared" si="11"/>
        <v>0.37738168408113093</v>
      </c>
      <c r="F16" s="183">
        <f t="shared" si="6"/>
        <v>0.45338229922687728</v>
      </c>
      <c r="G16" s="183">
        <f t="shared" si="9"/>
        <v>0.45338229922687728</v>
      </c>
      <c r="H16" s="183">
        <f t="shared" si="9"/>
        <v>0.45338229922687728</v>
      </c>
      <c r="I16" s="183">
        <f t="shared" si="9"/>
        <v>0.45338229922687728</v>
      </c>
      <c r="J16" s="183">
        <f t="shared" si="9"/>
        <v>0.45338229922687728</v>
      </c>
    </row>
    <row r="17" spans="1:10" ht="13.95" customHeight="1" outlineLevel="1" x14ac:dyDescent="0.25">
      <c r="A17" s="68" t="s">
        <v>71</v>
      </c>
      <c r="C17" s="71"/>
      <c r="D17" s="71"/>
      <c r="E17" s="71"/>
      <c r="F17" s="184"/>
      <c r="G17" s="184"/>
      <c r="H17" s="184"/>
      <c r="I17" s="184"/>
      <c r="J17" s="184"/>
    </row>
    <row r="18" spans="1:10" ht="13.95" customHeight="1" outlineLevel="1" x14ac:dyDescent="0.25">
      <c r="A18" s="11" t="s">
        <v>67</v>
      </c>
      <c r="C18" s="72">
        <f t="shared" ref="C18:E19" si="12">C59/C33*365</f>
        <v>5.2766109010150961</v>
      </c>
      <c r="D18" s="72">
        <f t="shared" si="12"/>
        <v>4.7367857101959956</v>
      </c>
      <c r="E18" s="72">
        <f t="shared" si="12"/>
        <v>4.9535814850530375</v>
      </c>
      <c r="F18" s="185">
        <f t="shared" si="6"/>
        <v>4.9889926987547097</v>
      </c>
      <c r="G18" s="185">
        <f>F18</f>
        <v>4.9889926987547097</v>
      </c>
      <c r="H18" s="185">
        <f t="shared" ref="H18:J18" si="13">G18</f>
        <v>4.9889926987547097</v>
      </c>
      <c r="I18" s="185">
        <f t="shared" si="13"/>
        <v>4.9889926987547097</v>
      </c>
      <c r="J18" s="185">
        <f t="shared" si="13"/>
        <v>4.9889926987547097</v>
      </c>
    </row>
    <row r="19" spans="1:10" ht="13.95" customHeight="1" outlineLevel="1" x14ac:dyDescent="0.25">
      <c r="A19" s="11" t="s">
        <v>68</v>
      </c>
      <c r="C19" s="72">
        <f t="shared" si="12"/>
        <v>49.305388892341675</v>
      </c>
      <c r="D19" s="72">
        <f t="shared" si="12"/>
        <v>45.608071099174872</v>
      </c>
      <c r="E19" s="72">
        <f t="shared" si="12"/>
        <v>41.890112463385108</v>
      </c>
      <c r="F19" s="185">
        <f t="shared" ref="F19:F20" si="14">AVERAGE(C19:E19)</f>
        <v>45.601190818300552</v>
      </c>
      <c r="G19" s="185">
        <f t="shared" ref="G19:J19" si="15">F19</f>
        <v>45.601190818300552</v>
      </c>
      <c r="H19" s="185">
        <f t="shared" si="15"/>
        <v>45.601190818300552</v>
      </c>
      <c r="I19" s="185">
        <f t="shared" si="15"/>
        <v>45.601190818300552</v>
      </c>
      <c r="J19" s="185">
        <f t="shared" si="15"/>
        <v>45.601190818300552</v>
      </c>
    </row>
    <row r="20" spans="1:10" ht="13.95" customHeight="1" outlineLevel="1" x14ac:dyDescent="0.25">
      <c r="A20" s="11" t="s">
        <v>69</v>
      </c>
      <c r="C20" s="72">
        <f>C74/C33*365</f>
        <v>35.216279589492174</v>
      </c>
      <c r="D20" s="72">
        <f>D74/D33*365</f>
        <v>32.089290008490252</v>
      </c>
      <c r="E20" s="72">
        <f>E74/E33*365</f>
        <v>31.994414657666347</v>
      </c>
      <c r="F20" s="185">
        <f t="shared" si="14"/>
        <v>33.099994751882925</v>
      </c>
      <c r="G20" s="185">
        <f t="shared" ref="G20:J20" si="16">F20</f>
        <v>33.099994751882925</v>
      </c>
      <c r="H20" s="185">
        <f t="shared" si="16"/>
        <v>33.099994751882925</v>
      </c>
      <c r="I20" s="185">
        <f t="shared" si="16"/>
        <v>33.099994751882925</v>
      </c>
      <c r="J20" s="185">
        <f t="shared" si="16"/>
        <v>33.099994751882925</v>
      </c>
    </row>
    <row r="21" spans="1:10" ht="13.95" customHeight="1" outlineLevel="1" x14ac:dyDescent="0.25">
      <c r="A21" s="11" t="s">
        <v>115</v>
      </c>
      <c r="C21" s="73">
        <f>-C105/C38</f>
        <v>1.2633702383186338</v>
      </c>
      <c r="D21" s="73">
        <f>-D105/D38</f>
        <v>1.6077661032434902</v>
      </c>
      <c r="E21" s="73">
        <f>-E105/E38</f>
        <v>1.7392221378553954</v>
      </c>
      <c r="F21" s="186">
        <v>1.6</v>
      </c>
      <c r="G21" s="186">
        <f>F21</f>
        <v>1.6</v>
      </c>
      <c r="H21" s="186">
        <f t="shared" ref="H21:J21" si="17">G21</f>
        <v>1.6</v>
      </c>
      <c r="I21" s="186">
        <f t="shared" si="17"/>
        <v>1.6</v>
      </c>
      <c r="J21" s="186">
        <f t="shared" si="17"/>
        <v>1.6</v>
      </c>
    </row>
    <row r="22" spans="1:10" ht="13.95" customHeight="1" outlineLevel="1" x14ac:dyDescent="0.25">
      <c r="A22" s="11" t="s">
        <v>120</v>
      </c>
      <c r="C22" s="69">
        <f>C75/C33</f>
        <v>4.5499463993267618E-2</v>
      </c>
      <c r="D22" s="69">
        <f>D75/D33</f>
        <v>5.0918632594402977E-2</v>
      </c>
      <c r="E22" s="69">
        <f>E75/E33</f>
        <v>4.4372613307618131E-2</v>
      </c>
      <c r="F22" s="183">
        <f t="shared" ref="F22:F24" si="18">AVERAGE(C22:E22)</f>
        <v>4.6930236631762906E-2</v>
      </c>
      <c r="G22" s="183">
        <f t="shared" ref="G22:J23" si="19">F22</f>
        <v>4.6930236631762906E-2</v>
      </c>
      <c r="H22" s="183">
        <f t="shared" si="19"/>
        <v>4.6930236631762906E-2</v>
      </c>
      <c r="I22" s="183">
        <f t="shared" si="19"/>
        <v>4.6930236631762906E-2</v>
      </c>
      <c r="J22" s="183">
        <f t="shared" si="19"/>
        <v>4.6930236631762906E-2</v>
      </c>
    </row>
    <row r="23" spans="1:10" ht="13.95" customHeight="1" outlineLevel="1" x14ac:dyDescent="0.25">
      <c r="A23" s="11" t="s">
        <v>190</v>
      </c>
      <c r="C23" s="69">
        <f>C81/C33</f>
        <v>2.3524933915782344E-2</v>
      </c>
      <c r="D23" s="69">
        <f>D81/D33</f>
        <v>2.4027914783351246E-2</v>
      </c>
      <c r="E23" s="69">
        <f>E81/E33</f>
        <v>2.2571263259402122E-2</v>
      </c>
      <c r="F23" s="183">
        <f t="shared" ref="F23" si="20">AVERAGE(C23:E23)</f>
        <v>2.337470398617857E-2</v>
      </c>
      <c r="G23" s="183">
        <f t="shared" si="19"/>
        <v>2.337470398617857E-2</v>
      </c>
      <c r="H23" s="183">
        <f t="shared" si="19"/>
        <v>2.337470398617857E-2</v>
      </c>
      <c r="I23" s="183">
        <f t="shared" si="19"/>
        <v>2.337470398617857E-2</v>
      </c>
      <c r="J23" s="183">
        <f t="shared" si="19"/>
        <v>2.337470398617857E-2</v>
      </c>
    </row>
    <row r="24" spans="1:10" ht="13.95" customHeight="1" outlineLevel="1" x14ac:dyDescent="0.25">
      <c r="A24" s="11" t="s">
        <v>187</v>
      </c>
      <c r="C24" s="69">
        <f>C76/C33</f>
        <v>1.4858036783680253E-3</v>
      </c>
      <c r="D24" s="69">
        <f>D76/D33</f>
        <v>1.1892901720790003E-3</v>
      </c>
      <c r="E24" s="69">
        <f>E76/E33</f>
        <v>4.7367405978784958E-4</v>
      </c>
      <c r="F24" s="183">
        <f t="shared" si="18"/>
        <v>1.0495893034116251E-3</v>
      </c>
      <c r="G24" s="183">
        <f t="shared" ref="G24:J24" si="21">F24</f>
        <v>1.0495893034116251E-3</v>
      </c>
      <c r="H24" s="183">
        <f t="shared" si="21"/>
        <v>1.0495893034116251E-3</v>
      </c>
      <c r="I24" s="183">
        <f t="shared" si="21"/>
        <v>1.0495893034116251E-3</v>
      </c>
      <c r="J24" s="183">
        <f t="shared" si="21"/>
        <v>1.0495893034116251E-3</v>
      </c>
    </row>
    <row r="25" spans="1:10" ht="13.95" customHeight="1" outlineLevel="1" x14ac:dyDescent="0.25">
      <c r="A25" s="74" t="s">
        <v>74</v>
      </c>
      <c r="C25" s="75"/>
      <c r="D25" s="75"/>
      <c r="E25" s="75"/>
      <c r="F25" s="185"/>
      <c r="G25" s="185"/>
      <c r="H25" s="185"/>
      <c r="I25" s="185"/>
      <c r="J25" s="185"/>
    </row>
    <row r="26" spans="1:10" ht="13.95" customHeight="1" outlineLevel="1" x14ac:dyDescent="0.25">
      <c r="A26" s="11" t="s">
        <v>75</v>
      </c>
      <c r="C26" s="69">
        <f>C73/(C73+C80)</f>
        <v>9.0836139071576852E-2</v>
      </c>
      <c r="D26" s="69">
        <f>D73/(D73+D80)</f>
        <v>0.11206150399674152</v>
      </c>
      <c r="E26" s="69">
        <f>E73/(E73+E80)</f>
        <v>0.1066029582035518</v>
      </c>
      <c r="F26" s="183">
        <f t="shared" ref="F26" si="22">AVERAGE(C26:E26)</f>
        <v>0.10316686709062339</v>
      </c>
      <c r="G26" s="183">
        <f t="shared" ref="G26:J26" si="23">F26</f>
        <v>0.10316686709062339</v>
      </c>
      <c r="H26" s="183">
        <f t="shared" si="23"/>
        <v>0.10316686709062339</v>
      </c>
      <c r="I26" s="183">
        <f t="shared" si="23"/>
        <v>0.10316686709062339</v>
      </c>
      <c r="J26" s="183">
        <f t="shared" si="23"/>
        <v>0.10316686709062339</v>
      </c>
    </row>
    <row r="27" spans="1:10" ht="13.95" customHeight="1" outlineLevel="1" x14ac:dyDescent="0.25">
      <c r="A27" s="11" t="s">
        <v>76</v>
      </c>
      <c r="C27" s="69">
        <f>C80/(C73+C80)</f>
        <v>0.90916386092842316</v>
      </c>
      <c r="D27" s="69">
        <f>D80/(D73+D80)</f>
        <v>0.88793849600325847</v>
      </c>
      <c r="E27" s="69">
        <f>E80/(E73+E80)</f>
        <v>0.89339704179644819</v>
      </c>
      <c r="F27" s="183">
        <f t="shared" ref="F27:F28" si="24">AVERAGE(C27:E27)</f>
        <v>0.89683313290937672</v>
      </c>
      <c r="G27" s="183">
        <f t="shared" ref="G27:J27" si="25">F27</f>
        <v>0.89683313290937672</v>
      </c>
      <c r="H27" s="183">
        <f t="shared" si="25"/>
        <v>0.89683313290937672</v>
      </c>
      <c r="I27" s="183">
        <f t="shared" si="25"/>
        <v>0.89683313290937672</v>
      </c>
      <c r="J27" s="183">
        <f t="shared" si="25"/>
        <v>0.89683313290937672</v>
      </c>
    </row>
    <row r="28" spans="1:10" ht="13.95" customHeight="1" outlineLevel="1" x14ac:dyDescent="0.25">
      <c r="A28" s="11" t="s">
        <v>87</v>
      </c>
      <c r="C28" s="200">
        <f>IFERROR(C40/C33,"N/A")</f>
        <v>2.758601423997039E-4</v>
      </c>
      <c r="D28" s="200">
        <f>IFERROR(D40/D33,"N/A")</f>
        <v>4.1551541087766998E-4</v>
      </c>
      <c r="E28" s="200">
        <f>IFERROR(E40/E33,"N/A")</f>
        <v>8.424300867888139E-4</v>
      </c>
      <c r="F28" s="201">
        <f t="shared" si="24"/>
        <v>5.1126854668872928E-4</v>
      </c>
      <c r="G28" s="201">
        <f t="shared" ref="G28:J28" si="26">F28</f>
        <v>5.1126854668872928E-4</v>
      </c>
      <c r="H28" s="201">
        <f t="shared" si="26"/>
        <v>5.1126854668872928E-4</v>
      </c>
      <c r="I28" s="201">
        <f t="shared" si="26"/>
        <v>5.1126854668872928E-4</v>
      </c>
      <c r="J28" s="201">
        <f t="shared" si="26"/>
        <v>5.1126854668872928E-4</v>
      </c>
    </row>
    <row r="29" spans="1:10" ht="13.95" customHeight="1" outlineLevel="1" x14ac:dyDescent="0.25">
      <c r="A29" s="11" t="s">
        <v>77</v>
      </c>
      <c r="C29" s="69" t="str">
        <f>IFERROR(C41/(B73+B80),"N/A")</f>
        <v>N/A</v>
      </c>
      <c r="D29" s="69">
        <f>IFERROR(D41/(C73+C80),"N/A")</f>
        <v>3.7122969837587005E-2</v>
      </c>
      <c r="E29" s="69">
        <f>IFERROR(E41/(D73+D80),"N/A")</f>
        <v>4.553400200261358E-2</v>
      </c>
      <c r="F29" s="183">
        <f>E29</f>
        <v>4.553400200261358E-2</v>
      </c>
      <c r="G29" s="183">
        <f t="shared" ref="G29:J29" si="27">F29</f>
        <v>4.553400200261358E-2</v>
      </c>
      <c r="H29" s="183">
        <f t="shared" si="27"/>
        <v>4.553400200261358E-2</v>
      </c>
      <c r="I29" s="183">
        <f t="shared" si="27"/>
        <v>4.553400200261358E-2</v>
      </c>
      <c r="J29" s="183">
        <f t="shared" si="27"/>
        <v>4.553400200261358E-2</v>
      </c>
    </row>
    <row r="30" spans="1:10" ht="13.95" customHeight="1" outlineLevel="1" x14ac:dyDescent="0.25">
      <c r="C30" s="200"/>
      <c r="D30" s="200"/>
      <c r="E30" s="200"/>
      <c r="F30" s="200"/>
      <c r="G30" s="200"/>
      <c r="H30" s="200"/>
      <c r="I30" s="200"/>
      <c r="J30" s="200"/>
    </row>
    <row r="31" spans="1:10" ht="13.95" customHeight="1" x14ac:dyDescent="0.25">
      <c r="C31" s="75"/>
      <c r="D31" s="75"/>
      <c r="E31" s="75"/>
      <c r="F31" s="75"/>
      <c r="G31" s="75"/>
      <c r="H31" s="75"/>
      <c r="I31" s="75"/>
      <c r="J31" s="75"/>
    </row>
    <row r="32" spans="1:10" ht="13.95" customHeight="1" x14ac:dyDescent="0.3">
      <c r="A32" s="8" t="s">
        <v>27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s="1" customFormat="1" ht="13.95" customHeight="1" outlineLevel="1" x14ac:dyDescent="0.3">
      <c r="A33" s="74" t="s">
        <v>40</v>
      </c>
      <c r="B33" s="74"/>
      <c r="C33" s="76">
        <v>572754</v>
      </c>
      <c r="D33" s="76">
        <v>611289</v>
      </c>
      <c r="E33" s="77">
        <v>648125</v>
      </c>
      <c r="F33" s="78">
        <f>E33*(1+F7)</f>
        <v>687012.5</v>
      </c>
      <c r="G33" s="78">
        <f>F33*(1+G7)</f>
        <v>728233.25</v>
      </c>
      <c r="H33" s="78">
        <f>G33*(1+H7)</f>
        <v>771927.245</v>
      </c>
      <c r="I33" s="78">
        <f>H33*(1+I7)</f>
        <v>810523.60725</v>
      </c>
      <c r="J33" s="78">
        <f>I33*(1+J7)</f>
        <v>851049.78761250002</v>
      </c>
    </row>
    <row r="34" spans="1:10" s="1" customFormat="1" ht="13.95" customHeight="1" outlineLevel="1" x14ac:dyDescent="0.3">
      <c r="A34" s="11" t="s">
        <v>41</v>
      </c>
      <c r="B34" s="11"/>
      <c r="C34" s="76">
        <v>418342</v>
      </c>
      <c r="D34" s="79">
        <v>452776</v>
      </c>
      <c r="E34" s="79">
        <v>478289</v>
      </c>
      <c r="F34" s="80">
        <f>F33*(1-F8)</f>
        <v>505882.30848651653</v>
      </c>
      <c r="G34" s="80">
        <f>G33*(1-G8)</f>
        <v>536235.24699570751</v>
      </c>
      <c r="H34" s="80">
        <f>H33*(1-H8)</f>
        <v>568409.36181545001</v>
      </c>
      <c r="I34" s="80">
        <f>I33*(1-I8)</f>
        <v>596829.82990622253</v>
      </c>
      <c r="J34" s="80">
        <f>J33*(1-J8)</f>
        <v>626671.32140153367</v>
      </c>
    </row>
    <row r="35" spans="1:10" s="1" customFormat="1" ht="13.95" customHeight="1" outlineLevel="1" x14ac:dyDescent="0.3">
      <c r="A35" s="81" t="s">
        <v>23</v>
      </c>
      <c r="B35" s="81"/>
      <c r="C35" s="82">
        <f>C33-C34</f>
        <v>154412</v>
      </c>
      <c r="D35" s="82">
        <f t="shared" ref="D35:J35" si="28">D33-D34</f>
        <v>158513</v>
      </c>
      <c r="E35" s="82">
        <f t="shared" si="28"/>
        <v>169836</v>
      </c>
      <c r="F35" s="82">
        <f t="shared" si="28"/>
        <v>181130.19151348347</v>
      </c>
      <c r="G35" s="82">
        <f t="shared" si="28"/>
        <v>191998.00300429249</v>
      </c>
      <c r="H35" s="82">
        <f t="shared" si="28"/>
        <v>203517.88318454998</v>
      </c>
      <c r="I35" s="82">
        <f t="shared" si="28"/>
        <v>213693.77734377747</v>
      </c>
      <c r="J35" s="82">
        <f t="shared" si="28"/>
        <v>224378.46621096635</v>
      </c>
    </row>
    <row r="36" spans="1:10" s="1" customFormat="1" ht="13.95" customHeight="1" outlineLevel="1" x14ac:dyDescent="0.3">
      <c r="A36" s="91" t="s">
        <v>184</v>
      </c>
      <c r="B36" s="85"/>
      <c r="C36" s="86">
        <v>117812</v>
      </c>
      <c r="D36" s="86">
        <v>127140</v>
      </c>
      <c r="E36" s="77">
        <v>130971</v>
      </c>
      <c r="F36" s="78">
        <f>F$33*F9</f>
        <v>141011.00626669161</v>
      </c>
      <c r="G36" s="78">
        <f>G$33*G9</f>
        <v>149471.6666426931</v>
      </c>
      <c r="H36" s="78">
        <f>H$33*H9</f>
        <v>158439.96664125469</v>
      </c>
      <c r="I36" s="78">
        <f>I$33*I9</f>
        <v>166361.96497331743</v>
      </c>
      <c r="J36" s="78">
        <f>J$33*J9</f>
        <v>174680.06322198329</v>
      </c>
    </row>
    <row r="37" spans="1:10" s="1" customFormat="1" ht="13.95" customHeight="1" outlineLevel="1" x14ac:dyDescent="0.3">
      <c r="A37" s="89" t="s">
        <v>4</v>
      </c>
      <c r="B37" s="89"/>
      <c r="C37" s="90">
        <f>C35-C36</f>
        <v>36600</v>
      </c>
      <c r="D37" s="90">
        <f t="shared" ref="D37:J37" si="29">D35-D36</f>
        <v>31373</v>
      </c>
      <c r="E37" s="90">
        <f t="shared" si="29"/>
        <v>38865</v>
      </c>
      <c r="F37" s="90">
        <f t="shared" si="29"/>
        <v>40119.185246791865</v>
      </c>
      <c r="G37" s="90">
        <f t="shared" si="29"/>
        <v>42526.336361599388</v>
      </c>
      <c r="H37" s="90">
        <f t="shared" si="29"/>
        <v>45077.916543295287</v>
      </c>
      <c r="I37" s="90">
        <f t="shared" si="29"/>
        <v>47331.812370460044</v>
      </c>
      <c r="J37" s="90">
        <f t="shared" si="29"/>
        <v>49698.402988983056</v>
      </c>
    </row>
    <row r="38" spans="1:10" s="1" customFormat="1" ht="13.95" customHeight="1" outlineLevel="1" x14ac:dyDescent="0.3">
      <c r="A38" s="91" t="s">
        <v>42</v>
      </c>
      <c r="B38" s="91"/>
      <c r="C38" s="86">
        <v>10658</v>
      </c>
      <c r="D38" s="86">
        <v>10945</v>
      </c>
      <c r="E38" s="86">
        <v>11853</v>
      </c>
      <c r="F38" s="92">
        <f ca="1">F65*F10</f>
        <v>12980.865025596155</v>
      </c>
      <c r="G38" s="92">
        <f ca="1">G65*G10</f>
        <v>13893.253023860279</v>
      </c>
      <c r="H38" s="92">
        <f ca="1">H65*H10</f>
        <v>14869.770173589646</v>
      </c>
      <c r="I38" s="92">
        <f ca="1">I65*I10</f>
        <v>15914.923930028606</v>
      </c>
      <c r="J38" s="92">
        <f ca="1">J65*J10</f>
        <v>17033.538564601298</v>
      </c>
    </row>
    <row r="39" spans="1:10" s="1" customFormat="1" ht="13.95" customHeight="1" outlineLevel="1" thickBot="1" x14ac:dyDescent="0.35">
      <c r="A39" s="93" t="s">
        <v>24</v>
      </c>
      <c r="B39" s="93"/>
      <c r="C39" s="94">
        <f>C37-C38</f>
        <v>25942</v>
      </c>
      <c r="D39" s="94">
        <f t="shared" ref="D39:J39" si="30">D37-D38</f>
        <v>20428</v>
      </c>
      <c r="E39" s="94">
        <f t="shared" si="30"/>
        <v>27012</v>
      </c>
      <c r="F39" s="94">
        <f t="shared" ca="1" si="30"/>
        <v>27138.32022119571</v>
      </c>
      <c r="G39" s="94">
        <f t="shared" ca="1" si="30"/>
        <v>28633.08333773911</v>
      </c>
      <c r="H39" s="94">
        <f t="shared" ca="1" si="30"/>
        <v>30208.146369705639</v>
      </c>
      <c r="I39" s="94">
        <f t="shared" ca="1" si="30"/>
        <v>31416.888440431438</v>
      </c>
      <c r="J39" s="94">
        <f t="shared" ca="1" si="30"/>
        <v>32664.864424381758</v>
      </c>
    </row>
    <row r="40" spans="1:10" s="1" customFormat="1" ht="13.95" customHeight="1" outlineLevel="1" thickTop="1" x14ac:dyDescent="0.3">
      <c r="A40" s="11" t="s">
        <v>43</v>
      </c>
      <c r="B40" s="11"/>
      <c r="C40" s="86">
        <v>158</v>
      </c>
      <c r="D40" s="86">
        <v>254</v>
      </c>
      <c r="E40" s="77">
        <v>546</v>
      </c>
      <c r="F40" s="78">
        <f>F28*F33</f>
        <v>351.2478824319906</v>
      </c>
      <c r="G40" s="78">
        <f>G28*G33</f>
        <v>372.32275537791008</v>
      </c>
      <c r="H40" s="78">
        <f>H28*H33</f>
        <v>394.66212070058464</v>
      </c>
      <c r="I40" s="78">
        <f>I28*I33</f>
        <v>414.3952267356139</v>
      </c>
      <c r="J40" s="78">
        <f>J28*J33</f>
        <v>435.11498807239462</v>
      </c>
    </row>
    <row r="41" spans="1:10" s="1" customFormat="1" ht="13.95" customHeight="1" outlineLevel="1" x14ac:dyDescent="0.3">
      <c r="A41" s="11" t="s">
        <v>44</v>
      </c>
      <c r="B41" s="11"/>
      <c r="C41" s="86">
        <f>1674+320</f>
        <v>1994</v>
      </c>
      <c r="D41" s="86">
        <f>1787+341</f>
        <v>2128</v>
      </c>
      <c r="E41" s="77">
        <f>2259+424</f>
        <v>2683</v>
      </c>
      <c r="F41" s="78">
        <f ca="1">IFERROR(F149,0)</f>
        <v>2534.3040851064702</v>
      </c>
      <c r="G41" s="78">
        <f t="shared" ref="G41:J41" ca="1" si="31">IFERROR(G149,0)</f>
        <v>2576.182571946013</v>
      </c>
      <c r="H41" s="78">
        <f t="shared" ca="1" si="31"/>
        <v>2681.8259178196026</v>
      </c>
      <c r="I41" s="78">
        <f t="shared" ca="1" si="31"/>
        <v>2782.4635221561916</v>
      </c>
      <c r="J41" s="78">
        <f t="shared" ca="1" si="31"/>
        <v>2987.3265732426048</v>
      </c>
    </row>
    <row r="42" spans="1:10" s="1" customFormat="1" ht="13.95" customHeight="1" outlineLevel="1" x14ac:dyDescent="0.3">
      <c r="A42" s="11" t="s">
        <v>172</v>
      </c>
      <c r="B42" s="11"/>
      <c r="C42" s="86">
        <f>-3000-2410</f>
        <v>-5410</v>
      </c>
      <c r="D42" s="86">
        <v>-1538</v>
      </c>
      <c r="E42" s="77">
        <v>-3027</v>
      </c>
      <c r="F42" s="78">
        <f>F13</f>
        <v>-3027</v>
      </c>
      <c r="G42" s="78">
        <f>G13</f>
        <v>-3027</v>
      </c>
      <c r="H42" s="78">
        <f>H13</f>
        <v>-3027</v>
      </c>
      <c r="I42" s="78">
        <f>I13</f>
        <v>-3027</v>
      </c>
      <c r="J42" s="78">
        <f>J13</f>
        <v>-3027</v>
      </c>
    </row>
    <row r="43" spans="1:10" s="1" customFormat="1" ht="13.95" customHeight="1" outlineLevel="1" x14ac:dyDescent="0.3">
      <c r="A43" s="81" t="s">
        <v>117</v>
      </c>
      <c r="B43" s="81"/>
      <c r="C43" s="203">
        <f>C39+C40-C41+C42</f>
        <v>18696</v>
      </c>
      <c r="D43" s="203">
        <f t="shared" ref="D43:J43" si="32">D39+D40-D41+D42</f>
        <v>17016</v>
      </c>
      <c r="E43" s="203">
        <f t="shared" si="32"/>
        <v>21848</v>
      </c>
      <c r="F43" s="95">
        <f t="shared" ca="1" si="32"/>
        <v>21928.264018521233</v>
      </c>
      <c r="G43" s="95">
        <f t="shared" ca="1" si="32"/>
        <v>23402.223521171007</v>
      </c>
      <c r="H43" s="95">
        <f t="shared" ca="1" si="32"/>
        <v>24893.982572586621</v>
      </c>
      <c r="I43" s="95">
        <f t="shared" ca="1" si="32"/>
        <v>26021.820145010861</v>
      </c>
      <c r="J43" s="95">
        <f t="shared" ca="1" si="32"/>
        <v>27085.652839211547</v>
      </c>
    </row>
    <row r="44" spans="1:10" s="1" customFormat="1" ht="13.95" customHeight="1" outlineLevel="1" x14ac:dyDescent="0.3">
      <c r="A44" s="96" t="s">
        <v>45</v>
      </c>
      <c r="B44" s="96"/>
      <c r="C44" s="86">
        <v>4756</v>
      </c>
      <c r="D44" s="86">
        <v>5724</v>
      </c>
      <c r="E44" s="86">
        <v>5578</v>
      </c>
      <c r="F44" s="88">
        <f ca="1">F43*F14</f>
        <v>6184.3892400464947</v>
      </c>
      <c r="G44" s="88">
        <f ca="1">G43*G14</f>
        <v>6600.0874129959038</v>
      </c>
      <c r="H44" s="88">
        <f ca="1">H43*H14</f>
        <v>7020.8055609771791</v>
      </c>
      <c r="I44" s="88">
        <f ca="1">I43*I14</f>
        <v>7338.8875824964998</v>
      </c>
      <c r="J44" s="88">
        <f ca="1">J43*J14</f>
        <v>7638.9184222231397</v>
      </c>
    </row>
    <row r="45" spans="1:10" s="1" customFormat="1" ht="13.95" customHeight="1" outlineLevel="1" x14ac:dyDescent="0.3">
      <c r="A45" s="11" t="s">
        <v>46</v>
      </c>
      <c r="B45" s="11"/>
      <c r="C45" s="86">
        <v>267</v>
      </c>
      <c r="D45" s="86">
        <v>-388</v>
      </c>
      <c r="E45" s="77">
        <v>759</v>
      </c>
      <c r="F45" s="78">
        <f ca="1">F43*F15</f>
        <v>191.64632465164939</v>
      </c>
      <c r="G45" s="78">
        <f ca="1">G43*G15</f>
        <v>204.5282801557245</v>
      </c>
      <c r="H45" s="78">
        <f ca="1">H43*H15</f>
        <v>217.56579827517814</v>
      </c>
      <c r="I45" s="78">
        <f ca="1">I43*I15</f>
        <v>227.42275390908426</v>
      </c>
      <c r="J45" s="78">
        <f ca="1">J43*J15</f>
        <v>236.72032647185625</v>
      </c>
    </row>
    <row r="46" spans="1:10" s="1" customFormat="1" ht="13.95" customHeight="1" outlineLevel="1" thickBot="1" x14ac:dyDescent="0.35">
      <c r="A46" s="93" t="s">
        <v>34</v>
      </c>
      <c r="B46" s="93"/>
      <c r="C46" s="94">
        <f t="shared" ref="C46:J46" si="33">C43-C44</f>
        <v>13940</v>
      </c>
      <c r="D46" s="94">
        <f t="shared" si="33"/>
        <v>11292</v>
      </c>
      <c r="E46" s="94">
        <f t="shared" si="33"/>
        <v>16270</v>
      </c>
      <c r="F46" s="94">
        <f t="shared" ca="1" si="33"/>
        <v>15743.874778474739</v>
      </c>
      <c r="G46" s="94">
        <f t="shared" ca="1" si="33"/>
        <v>16802.136108175102</v>
      </c>
      <c r="H46" s="94">
        <f t="shared" ca="1" si="33"/>
        <v>17873.177011609441</v>
      </c>
      <c r="I46" s="94">
        <f t="shared" ca="1" si="33"/>
        <v>18682.932562514361</v>
      </c>
      <c r="J46" s="94">
        <f t="shared" ca="1" si="33"/>
        <v>19446.734416988409</v>
      </c>
    </row>
    <row r="47" spans="1:10" s="1" customFormat="1" ht="13.95" customHeight="1" outlineLevel="1" thickTop="1" x14ac:dyDescent="0.3">
      <c r="A47" s="74"/>
      <c r="B47" s="74"/>
      <c r="C47" s="97"/>
      <c r="D47" s="97"/>
      <c r="E47" s="97"/>
      <c r="F47" s="97"/>
      <c r="G47" s="97"/>
      <c r="H47" s="97"/>
      <c r="I47" s="97"/>
      <c r="J47" s="97"/>
    </row>
    <row r="48" spans="1:10" s="1" customFormat="1" ht="13.95" customHeight="1" outlineLevel="1" x14ac:dyDescent="0.3">
      <c r="A48" s="74" t="s">
        <v>3</v>
      </c>
      <c r="B48" s="74"/>
      <c r="C48" s="97"/>
      <c r="D48" s="97"/>
      <c r="E48" s="97"/>
      <c r="F48" s="97"/>
      <c r="G48" s="97"/>
      <c r="H48" s="97"/>
      <c r="I48" s="97"/>
      <c r="J48" s="97"/>
    </row>
    <row r="49" spans="1:11" s="1" customFormat="1" ht="13.95" customHeight="1" outlineLevel="1" x14ac:dyDescent="0.3">
      <c r="A49" s="11" t="s">
        <v>64</v>
      </c>
      <c r="B49" s="74"/>
      <c r="C49" s="98"/>
      <c r="D49" s="99"/>
      <c r="E49" s="99"/>
      <c r="F49" s="99">
        <f>E87</f>
        <v>90349</v>
      </c>
      <c r="G49" s="99">
        <f t="shared" ref="G49:J49" ca="1" si="34">F87</f>
        <v>96225.288198044873</v>
      </c>
      <c r="H49" s="99">
        <f t="shared" ca="1" si="34"/>
        <v>101082.92885722811</v>
      </c>
      <c r="I49" s="99">
        <f t="shared" ca="1" si="34"/>
        <v>106590.3549217089</v>
      </c>
      <c r="J49" s="99">
        <f t="shared" ca="1" si="34"/>
        <v>110583.25065003979</v>
      </c>
    </row>
    <row r="50" spans="1:11" s="1" customFormat="1" ht="13.95" customHeight="1" outlineLevel="1" x14ac:dyDescent="0.3">
      <c r="A50" s="11" t="s">
        <v>66</v>
      </c>
      <c r="B50" s="74"/>
      <c r="C50" s="99"/>
      <c r="D50" s="99"/>
      <c r="E50" s="99"/>
      <c r="F50" s="99">
        <f t="shared" ref="F50:J50" ca="1" si="35">F46</f>
        <v>15743.874778474739</v>
      </c>
      <c r="G50" s="99">
        <f t="shared" ca="1" si="35"/>
        <v>16802.136108175102</v>
      </c>
      <c r="H50" s="99">
        <f t="shared" ca="1" si="35"/>
        <v>17873.177011609441</v>
      </c>
      <c r="I50" s="99">
        <f t="shared" ca="1" si="35"/>
        <v>18682.932562514361</v>
      </c>
      <c r="J50" s="99">
        <f t="shared" ca="1" si="35"/>
        <v>19446.734416988409</v>
      </c>
    </row>
    <row r="51" spans="1:11" s="1" customFormat="1" ht="13.95" customHeight="1" outlineLevel="1" x14ac:dyDescent="0.3">
      <c r="A51" s="11" t="s">
        <v>5</v>
      </c>
      <c r="B51" s="74"/>
      <c r="C51" s="99">
        <f>-C111</f>
        <v>6152</v>
      </c>
      <c r="D51" s="99">
        <f>-D111</f>
        <v>6114</v>
      </c>
      <c r="E51" s="99">
        <f>-E111</f>
        <v>6140</v>
      </c>
      <c r="F51" s="99">
        <f ca="1">F46*F16</f>
        <v>7137.9941458049207</v>
      </c>
      <c r="G51" s="99">
        <f ca="1">G46*G16</f>
        <v>7617.7911006473632</v>
      </c>
      <c r="H51" s="99">
        <f ca="1">H46*H16</f>
        <v>8103.3820880124558</v>
      </c>
      <c r="I51" s="99">
        <f ca="1">I46*I16</f>
        <v>8470.5109214934546</v>
      </c>
      <c r="J51" s="99">
        <f ca="1">J46*J16</f>
        <v>8816.8051624286527</v>
      </c>
    </row>
    <row r="52" spans="1:11" s="1" customFormat="1" ht="13.95" customHeight="1" outlineLevel="1" x14ac:dyDescent="0.3">
      <c r="A52" s="100" t="s">
        <v>65</v>
      </c>
      <c r="B52" s="100"/>
      <c r="C52" s="95">
        <f>C87</f>
        <v>91891</v>
      </c>
      <c r="D52" s="95">
        <f t="shared" ref="D52:E52" si="36">D87</f>
        <v>83754</v>
      </c>
      <c r="E52" s="95">
        <f t="shared" si="36"/>
        <v>90349</v>
      </c>
      <c r="F52" s="95">
        <f t="shared" ref="F52:J52" ca="1" si="37">F49+F50-F51</f>
        <v>98954.880632669825</v>
      </c>
      <c r="G52" s="95">
        <f t="shared" ca="1" si="37"/>
        <v>105409.63320557261</v>
      </c>
      <c r="H52" s="95">
        <f t="shared" ca="1" si="37"/>
        <v>110852.72378082509</v>
      </c>
      <c r="I52" s="95">
        <f t="shared" ca="1" si="37"/>
        <v>116802.77656272981</v>
      </c>
      <c r="J52" s="95">
        <f t="shared" ca="1" si="37"/>
        <v>121213.17990459956</v>
      </c>
    </row>
    <row r="53" spans="1:11" s="1" customFormat="1" ht="13.95" customHeight="1" outlineLevel="1" x14ac:dyDescent="0.3">
      <c r="A53" s="11"/>
      <c r="B53" s="11"/>
      <c r="C53" s="83"/>
      <c r="D53" s="83"/>
      <c r="E53" s="84"/>
      <c r="F53" s="84"/>
      <c r="G53" s="84"/>
      <c r="H53" s="84"/>
      <c r="I53" s="84"/>
      <c r="J53" s="84"/>
    </row>
    <row r="54" spans="1:11" s="1" customFormat="1" ht="13.95" customHeight="1" x14ac:dyDescent="0.3">
      <c r="A54" s="11"/>
      <c r="B54" s="11"/>
      <c r="C54" s="83"/>
      <c r="D54" s="83"/>
      <c r="E54" s="84"/>
      <c r="F54" s="84"/>
      <c r="G54" s="84"/>
      <c r="H54" s="84"/>
      <c r="I54" s="84"/>
      <c r="J54" s="84"/>
    </row>
    <row r="55" spans="1:11" ht="13.95" customHeight="1" x14ac:dyDescent="0.3">
      <c r="A55" s="8" t="s">
        <v>26</v>
      </c>
      <c r="B55" s="8"/>
      <c r="C55" s="15"/>
      <c r="D55" s="15"/>
      <c r="E55" s="15"/>
      <c r="F55" s="15"/>
      <c r="G55" s="15"/>
      <c r="H55" s="15"/>
      <c r="I55" s="15"/>
      <c r="J55" s="15"/>
    </row>
    <row r="56" spans="1:11" s="1" customFormat="1" ht="13.95" customHeight="1" outlineLevel="1" x14ac:dyDescent="0.3">
      <c r="A56" s="74" t="s">
        <v>25</v>
      </c>
      <c r="B56" s="74"/>
      <c r="C56" s="84"/>
      <c r="D56" s="84"/>
      <c r="E56" s="84"/>
      <c r="F56" s="84"/>
      <c r="G56" s="84"/>
      <c r="H56" s="84"/>
      <c r="I56" s="84"/>
      <c r="J56" s="84"/>
    </row>
    <row r="57" spans="1:11" s="1" customFormat="1" ht="13.95" customHeight="1" outlineLevel="1" x14ac:dyDescent="0.3">
      <c r="A57" s="11" t="s">
        <v>8</v>
      </c>
      <c r="B57" s="11"/>
      <c r="C57" s="84"/>
      <c r="D57" s="84"/>
      <c r="E57" s="84"/>
      <c r="F57" s="84"/>
      <c r="G57" s="84"/>
      <c r="H57" s="84"/>
      <c r="I57" s="84"/>
      <c r="J57" s="84"/>
    </row>
    <row r="58" spans="1:11" s="1" customFormat="1" ht="13.95" customHeight="1" outlineLevel="1" x14ac:dyDescent="0.3">
      <c r="A58" s="85" t="s">
        <v>0</v>
      </c>
      <c r="B58" s="85"/>
      <c r="C58" s="102">
        <v>14760</v>
      </c>
      <c r="D58" s="102">
        <v>8625</v>
      </c>
      <c r="E58" s="102">
        <v>9867</v>
      </c>
      <c r="F58" s="101">
        <f ca="1">F116</f>
        <v>10167.193354195078</v>
      </c>
      <c r="G58" s="101">
        <f ca="1">G116</f>
        <v>10805.707649352637</v>
      </c>
      <c r="H58" s="101">
        <f ca="1">H116</f>
        <v>11475.52658698754</v>
      </c>
      <c r="I58" s="101">
        <f ca="1">I116</f>
        <v>12187.343187256547</v>
      </c>
      <c r="J58" s="101">
        <f ca="1">J116</f>
        <v>12948.941651758867</v>
      </c>
    </row>
    <row r="59" spans="1:11" s="1" customFormat="1" ht="13.95" customHeight="1" outlineLevel="1" x14ac:dyDescent="0.3">
      <c r="A59" s="85" t="s">
        <v>47</v>
      </c>
      <c r="B59" s="85"/>
      <c r="C59" s="102">
        <v>8280</v>
      </c>
      <c r="D59" s="102">
        <v>7933</v>
      </c>
      <c r="E59" s="77">
        <v>8796</v>
      </c>
      <c r="F59" s="78">
        <f t="shared" ref="F59:J60" si="38">F33*F18/365</f>
        <v>9390.4119080910132</v>
      </c>
      <c r="G59" s="78">
        <f t="shared" si="38"/>
        <v>9953.8366225764748</v>
      </c>
      <c r="H59" s="78">
        <f t="shared" si="38"/>
        <v>10551.066819931062</v>
      </c>
      <c r="I59" s="78">
        <f t="shared" si="38"/>
        <v>11078.620160927616</v>
      </c>
      <c r="J59" s="78">
        <f t="shared" si="38"/>
        <v>11632.551168973996</v>
      </c>
      <c r="K59" s="14"/>
    </row>
    <row r="60" spans="1:11" s="1" customFormat="1" ht="13.95" customHeight="1" outlineLevel="1" x14ac:dyDescent="0.3">
      <c r="A60" s="85" t="s">
        <v>1</v>
      </c>
      <c r="B60" s="85"/>
      <c r="C60" s="102">
        <v>56511</v>
      </c>
      <c r="D60" s="102">
        <v>56576</v>
      </c>
      <c r="E60" s="77">
        <v>54892</v>
      </c>
      <c r="F60" s="78">
        <f t="shared" si="38"/>
        <v>63202.289536701435</v>
      </c>
      <c r="G60" s="78">
        <f t="shared" si="38"/>
        <v>66994.426908903522</v>
      </c>
      <c r="H60" s="78">
        <f t="shared" si="38"/>
        <v>71014.092523437736</v>
      </c>
      <c r="I60" s="78">
        <f t="shared" si="38"/>
        <v>74564.797149609629</v>
      </c>
      <c r="J60" s="78">
        <f t="shared" si="38"/>
        <v>78293.037007090112</v>
      </c>
      <c r="K60" s="14"/>
    </row>
    <row r="61" spans="1:11" s="1" customFormat="1" ht="13.95" customHeight="1" outlineLevel="1" x14ac:dyDescent="0.3">
      <c r="A61" s="85" t="s">
        <v>2</v>
      </c>
      <c r="B61" s="85"/>
      <c r="C61" s="102">
        <v>1519</v>
      </c>
      <c r="D61" s="102">
        <v>2521</v>
      </c>
      <c r="E61" s="102">
        <v>3322</v>
      </c>
      <c r="F61" s="78">
        <f>E61</f>
        <v>3322</v>
      </c>
      <c r="G61" s="78">
        <f t="shared" ref="G61:J61" si="39">F61</f>
        <v>3322</v>
      </c>
      <c r="H61" s="78">
        <f t="shared" si="39"/>
        <v>3322</v>
      </c>
      <c r="I61" s="78">
        <f t="shared" si="39"/>
        <v>3322</v>
      </c>
      <c r="J61" s="78">
        <f t="shared" si="39"/>
        <v>3322</v>
      </c>
      <c r="K61" s="14"/>
    </row>
    <row r="62" spans="1:11" s="1" customFormat="1" ht="13.95" customHeight="1" outlineLevel="1" x14ac:dyDescent="0.3">
      <c r="A62" s="85" t="s">
        <v>48</v>
      </c>
      <c r="B62" s="85"/>
      <c r="C62" s="102">
        <v>0</v>
      </c>
      <c r="D62" s="102">
        <v>0</v>
      </c>
      <c r="E62" s="102">
        <v>0</v>
      </c>
      <c r="F62" s="78">
        <f>E62</f>
        <v>0</v>
      </c>
      <c r="G62" s="78">
        <f t="shared" ref="G62:J62" si="40">F62</f>
        <v>0</v>
      </c>
      <c r="H62" s="78">
        <f t="shared" si="40"/>
        <v>0</v>
      </c>
      <c r="I62" s="78">
        <f t="shared" si="40"/>
        <v>0</v>
      </c>
      <c r="J62" s="78">
        <f t="shared" si="40"/>
        <v>0</v>
      </c>
      <c r="K62" s="14"/>
    </row>
    <row r="63" spans="1:11" s="1" customFormat="1" ht="13.95" customHeight="1" outlineLevel="1" x14ac:dyDescent="0.3">
      <c r="A63" s="87" t="s">
        <v>22</v>
      </c>
      <c r="B63" s="87"/>
      <c r="C63" s="103">
        <f t="shared" ref="C63:J63" si="41">SUM(C58:C62)</f>
        <v>81070</v>
      </c>
      <c r="D63" s="103">
        <f t="shared" si="41"/>
        <v>75655</v>
      </c>
      <c r="E63" s="103">
        <f t="shared" si="41"/>
        <v>76877</v>
      </c>
      <c r="F63" s="103">
        <f t="shared" ca="1" si="41"/>
        <v>86081.894798987531</v>
      </c>
      <c r="G63" s="103">
        <f t="shared" ca="1" si="41"/>
        <v>91075.971180832625</v>
      </c>
      <c r="H63" s="103">
        <f t="shared" ca="1" si="41"/>
        <v>96362.68593035634</v>
      </c>
      <c r="I63" s="103">
        <f t="shared" ca="1" si="41"/>
        <v>101152.76049779379</v>
      </c>
      <c r="J63" s="103">
        <f t="shared" ca="1" si="41"/>
        <v>106196.52982782297</v>
      </c>
      <c r="K63" s="14"/>
    </row>
    <row r="64" spans="1:11" s="1" customFormat="1" ht="13.95" customHeight="1" outlineLevel="1" x14ac:dyDescent="0.3">
      <c r="A64" s="11" t="s">
        <v>9</v>
      </c>
      <c r="B64" s="11"/>
      <c r="C64" s="104"/>
      <c r="D64" s="104"/>
      <c r="E64" s="84"/>
      <c r="F64" s="78"/>
      <c r="G64" s="204"/>
      <c r="H64" s="204"/>
      <c r="I64" s="204"/>
      <c r="J64" s="204"/>
      <c r="K64" s="14"/>
    </row>
    <row r="65" spans="1:14" s="1" customFormat="1" ht="13.95" customHeight="1" outlineLevel="1" x14ac:dyDescent="0.3">
      <c r="A65" s="85" t="s">
        <v>6</v>
      </c>
      <c r="B65" s="85"/>
      <c r="C65" s="105">
        <f>C132</f>
        <v>94515</v>
      </c>
      <c r="D65" s="105">
        <f t="shared" ref="D65:J65" si="42">D132</f>
        <v>100760</v>
      </c>
      <c r="E65" s="105">
        <f t="shared" si="42"/>
        <v>110810</v>
      </c>
      <c r="F65" s="105">
        <f t="shared" ca="1" si="42"/>
        <v>118598.5190153577</v>
      </c>
      <c r="G65" s="105">
        <f t="shared" ca="1" si="42"/>
        <v>126934.4708296739</v>
      </c>
      <c r="H65" s="105">
        <f t="shared" ca="1" si="42"/>
        <v>135856.33293382768</v>
      </c>
      <c r="I65" s="105">
        <f t="shared" ca="1" si="42"/>
        <v>145405.28729184478</v>
      </c>
      <c r="J65" s="105">
        <f t="shared" ca="1" si="42"/>
        <v>155625.41043060555</v>
      </c>
      <c r="K65" s="14"/>
    </row>
    <row r="66" spans="1:14" s="1" customFormat="1" ht="13.95" customHeight="1" outlineLevel="1" x14ac:dyDescent="0.3">
      <c r="A66" s="85" t="s">
        <v>49</v>
      </c>
      <c r="B66" s="85"/>
      <c r="C66" s="102">
        <v>29014</v>
      </c>
      <c r="D66" s="102">
        <v>28174</v>
      </c>
      <c r="E66" s="102">
        <v>28113</v>
      </c>
      <c r="F66" s="78">
        <f>E66</f>
        <v>28113</v>
      </c>
      <c r="G66" s="78">
        <f t="shared" ref="G66:J66" si="43">F66</f>
        <v>28113</v>
      </c>
      <c r="H66" s="78">
        <f t="shared" si="43"/>
        <v>28113</v>
      </c>
      <c r="I66" s="78">
        <f t="shared" si="43"/>
        <v>28113</v>
      </c>
      <c r="J66" s="78">
        <f t="shared" si="43"/>
        <v>28113</v>
      </c>
      <c r="K66" s="14"/>
    </row>
    <row r="67" spans="1:14" s="1" customFormat="1" ht="13.95" customHeight="1" outlineLevel="1" x14ac:dyDescent="0.3">
      <c r="A67" s="85" t="s">
        <v>50</v>
      </c>
      <c r="B67" s="85"/>
      <c r="C67" s="102">
        <f>22152+13758+4351</f>
        <v>40261</v>
      </c>
      <c r="D67" s="102">
        <f>20134+13555+4919</f>
        <v>38608</v>
      </c>
      <c r="E67" s="102">
        <f>17071+13673+5855</f>
        <v>36599</v>
      </c>
      <c r="F67" s="78">
        <f>E67</f>
        <v>36599</v>
      </c>
      <c r="G67" s="78">
        <f t="shared" ref="G67:J67" si="44">F67</f>
        <v>36599</v>
      </c>
      <c r="H67" s="78">
        <f t="shared" si="44"/>
        <v>36599</v>
      </c>
      <c r="I67" s="78">
        <f t="shared" si="44"/>
        <v>36599</v>
      </c>
      <c r="J67" s="78">
        <f t="shared" si="44"/>
        <v>36599</v>
      </c>
      <c r="K67" s="14"/>
    </row>
    <row r="68" spans="1:14" s="1" customFormat="1" ht="13.95" customHeight="1" outlineLevel="1" x14ac:dyDescent="0.3">
      <c r="A68" s="106" t="s">
        <v>10</v>
      </c>
      <c r="B68" s="106"/>
      <c r="C68" s="107">
        <f>SUM(C65:C67)</f>
        <v>163790</v>
      </c>
      <c r="D68" s="107">
        <f t="shared" ref="D68:J68" si="45">SUM(D65:D67)</f>
        <v>167542</v>
      </c>
      <c r="E68" s="107">
        <f t="shared" si="45"/>
        <v>175522</v>
      </c>
      <c r="F68" s="107">
        <f t="shared" ca="1" si="45"/>
        <v>183310.51901535771</v>
      </c>
      <c r="G68" s="107">
        <f t="shared" ca="1" si="45"/>
        <v>191646.4708296739</v>
      </c>
      <c r="H68" s="107">
        <f t="shared" ca="1" si="45"/>
        <v>200568.33293382768</v>
      </c>
      <c r="I68" s="107">
        <f t="shared" ca="1" si="45"/>
        <v>210117.28729184478</v>
      </c>
      <c r="J68" s="107">
        <f t="shared" ca="1" si="45"/>
        <v>220337.41043060555</v>
      </c>
      <c r="K68" s="14"/>
    </row>
    <row r="69" spans="1:14" s="1" customFormat="1" ht="13.95" customHeight="1" outlineLevel="1" thickBot="1" x14ac:dyDescent="0.35">
      <c r="A69" s="93" t="s">
        <v>11</v>
      </c>
      <c r="B69" s="93"/>
      <c r="C69" s="108">
        <f>C68+C63</f>
        <v>244860</v>
      </c>
      <c r="D69" s="108">
        <f>D68+D63</f>
        <v>243197</v>
      </c>
      <c r="E69" s="109">
        <f>E68+E63</f>
        <v>252399</v>
      </c>
      <c r="F69" s="109">
        <f t="shared" ref="F69:H69" ca="1" si="46">F68+F63</f>
        <v>269392.41381434526</v>
      </c>
      <c r="G69" s="109">
        <f t="shared" ca="1" si="46"/>
        <v>282722.44201050652</v>
      </c>
      <c r="H69" s="109">
        <f t="shared" ca="1" si="46"/>
        <v>296931.01886418404</v>
      </c>
      <c r="I69" s="109">
        <f t="shared" ref="I69" ca="1" si="47">I68+I63</f>
        <v>311270.04778963857</v>
      </c>
      <c r="J69" s="109">
        <f t="shared" ref="J69" ca="1" si="48">J68+J63</f>
        <v>326533.94025842851</v>
      </c>
      <c r="K69" s="14"/>
    </row>
    <row r="70" spans="1:14" s="1" customFormat="1" ht="13.95" customHeight="1" outlineLevel="1" thickTop="1" x14ac:dyDescent="0.3">
      <c r="A70" s="11"/>
      <c r="B70" s="11"/>
      <c r="C70" s="110"/>
      <c r="D70" s="110"/>
      <c r="E70" s="84"/>
      <c r="F70" s="78"/>
      <c r="G70" s="204"/>
      <c r="H70" s="204"/>
      <c r="I70" s="204"/>
      <c r="J70" s="204"/>
      <c r="K70" s="14"/>
    </row>
    <row r="71" spans="1:14" s="1" customFormat="1" ht="13.95" customHeight="1" outlineLevel="1" x14ac:dyDescent="0.3">
      <c r="A71" s="74" t="s">
        <v>18</v>
      </c>
      <c r="B71" s="74"/>
      <c r="C71" s="110"/>
      <c r="D71" s="110"/>
      <c r="E71" s="84"/>
      <c r="F71" s="78"/>
      <c r="G71" s="78"/>
      <c r="H71" s="78"/>
      <c r="I71" s="78"/>
      <c r="J71" s="78"/>
      <c r="K71" s="14"/>
    </row>
    <row r="72" spans="1:14" s="1" customFormat="1" ht="13.95" customHeight="1" outlineLevel="1" x14ac:dyDescent="0.3">
      <c r="A72" s="11" t="s">
        <v>12</v>
      </c>
      <c r="B72" s="11"/>
      <c r="C72" s="111"/>
      <c r="D72" s="111"/>
      <c r="E72" s="111"/>
      <c r="F72" s="78"/>
      <c r="G72" s="78"/>
      <c r="H72" s="78"/>
      <c r="I72" s="78"/>
      <c r="J72" s="78"/>
      <c r="K72" s="14"/>
    </row>
    <row r="73" spans="1:14" s="1" customFormat="1" ht="13.95" customHeight="1" outlineLevel="1" x14ac:dyDescent="0.3">
      <c r="A73" s="85" t="s">
        <v>73</v>
      </c>
      <c r="B73" s="85"/>
      <c r="C73" s="102">
        <f>410+2803+1483+511</f>
        <v>5207</v>
      </c>
      <c r="D73" s="102">
        <f>372+4191+1473+567</f>
        <v>6603</v>
      </c>
      <c r="E73" s="102">
        <f>878+3447+1487+725</f>
        <v>6537</v>
      </c>
      <c r="F73" s="78">
        <f ca="1">F152+F198</f>
        <v>6357.3486838583949</v>
      </c>
      <c r="G73" s="78">
        <f ca="1">G152+G198</f>
        <v>6542.3268765518824</v>
      </c>
      <c r="H73" s="78">
        <f ca="1">H152+H198</f>
        <v>6709.5603681057828</v>
      </c>
      <c r="I73" s="78">
        <f ca="1">I152+I198</f>
        <v>7131.7191882406141</v>
      </c>
      <c r="J73" s="78">
        <f ca="1">J152+J198</f>
        <v>7468.1463418231369</v>
      </c>
      <c r="K73" s="14"/>
    </row>
    <row r="74" spans="1:14" s="1" customFormat="1" ht="13.95" customHeight="1" outlineLevel="1" x14ac:dyDescent="0.3">
      <c r="A74" s="85" t="s">
        <v>51</v>
      </c>
      <c r="B74" s="85"/>
      <c r="C74" s="102">
        <v>55261</v>
      </c>
      <c r="D74" s="102">
        <v>53742</v>
      </c>
      <c r="E74" s="77">
        <v>56812</v>
      </c>
      <c r="F74" s="78">
        <f>F33*F20/365</f>
        <v>62301.671628706761</v>
      </c>
      <c r="G74" s="78">
        <f>G33*G20/365</f>
        <v>66039.771926429166</v>
      </c>
      <c r="H74" s="78">
        <f>H33*H20/365</f>
        <v>70002.158242014921</v>
      </c>
      <c r="I74" s="78">
        <f>I33*I20/365</f>
        <v>73502.266154115656</v>
      </c>
      <c r="J74" s="78">
        <f>J33*J20/365</f>
        <v>77177.379461821445</v>
      </c>
      <c r="K74" s="14"/>
    </row>
    <row r="75" spans="1:14" s="1" customFormat="1" ht="13.95" customHeight="1" outlineLevel="1" x14ac:dyDescent="0.3">
      <c r="A75" s="85" t="s">
        <v>52</v>
      </c>
      <c r="B75" s="85"/>
      <c r="C75" s="102">
        <v>26060</v>
      </c>
      <c r="D75" s="102">
        <v>31126</v>
      </c>
      <c r="E75" s="102">
        <v>28759</v>
      </c>
      <c r="F75" s="78">
        <f>F33*F22</f>
        <v>32241.659193979012</v>
      </c>
      <c r="G75" s="78">
        <f>G33*G22</f>
        <v>34176.158745617751</v>
      </c>
      <c r="H75" s="78">
        <f>H33*H22</f>
        <v>36226.728270354819</v>
      </c>
      <c r="I75" s="78">
        <f>I33*I22</f>
        <v>38038.064683872559</v>
      </c>
      <c r="J75" s="78">
        <f>J33*J22</f>
        <v>39939.967918066191</v>
      </c>
      <c r="K75" s="14"/>
    </row>
    <row r="76" spans="1:14" s="1" customFormat="1" ht="13.95" customHeight="1" outlineLevel="1" x14ac:dyDescent="0.3">
      <c r="A76" s="85" t="s">
        <v>186</v>
      </c>
      <c r="B76" s="85"/>
      <c r="C76" s="102">
        <v>851</v>
      </c>
      <c r="D76" s="102">
        <v>727</v>
      </c>
      <c r="E76" s="102">
        <v>307</v>
      </c>
      <c r="F76" s="78">
        <f>IFERROR(F33*F24,0)</f>
        <v>721.08097131007912</v>
      </c>
      <c r="G76" s="78">
        <f>IFERROR(G33*G24,0)</f>
        <v>764.34582958868384</v>
      </c>
      <c r="H76" s="78">
        <f>IFERROR(H33*H24,0)</f>
        <v>810.20657936400482</v>
      </c>
      <c r="I76" s="78">
        <f>IFERROR(I33*I24,0)</f>
        <v>850.71690833220509</v>
      </c>
      <c r="J76" s="78">
        <f>IFERROR(J33*J24,0)</f>
        <v>893.25275374881539</v>
      </c>
      <c r="K76" s="14"/>
    </row>
    <row r="77" spans="1:14" s="1" customFormat="1" ht="13.95" customHeight="1" outlineLevel="1" x14ac:dyDescent="0.3">
      <c r="A77" s="85" t="s">
        <v>53</v>
      </c>
      <c r="B77" s="85"/>
      <c r="C77" s="102">
        <v>0</v>
      </c>
      <c r="D77" s="102">
        <v>0</v>
      </c>
      <c r="E77" s="102">
        <v>0</v>
      </c>
      <c r="F77" s="78">
        <f>IFERROR(E77*(1+#REF!),0)</f>
        <v>0</v>
      </c>
      <c r="G77" s="78">
        <f>IFERROR(F77*(1+#REF!),0)</f>
        <v>0</v>
      </c>
      <c r="H77" s="78">
        <f>IFERROR(G77*(1+#REF!),0)</f>
        <v>0</v>
      </c>
      <c r="I77" s="78">
        <f>IFERROR(H77*(1+#REF!),0)</f>
        <v>0</v>
      </c>
      <c r="J77" s="78">
        <f>IFERROR(I77*(1+#REF!),0)</f>
        <v>0</v>
      </c>
      <c r="K77" s="14"/>
    </row>
    <row r="78" spans="1:14" s="1" customFormat="1" ht="13.95" customHeight="1" outlineLevel="1" x14ac:dyDescent="0.3">
      <c r="A78" s="87" t="s">
        <v>15</v>
      </c>
      <c r="B78" s="87"/>
      <c r="C78" s="103">
        <f t="shared" ref="C78:J78" si="49">SUM(C73:C77)</f>
        <v>87379</v>
      </c>
      <c r="D78" s="103">
        <f t="shared" si="49"/>
        <v>92198</v>
      </c>
      <c r="E78" s="103">
        <f t="shared" si="49"/>
        <v>92415</v>
      </c>
      <c r="F78" s="103">
        <f t="shared" ca="1" si="49"/>
        <v>101621.76047785424</v>
      </c>
      <c r="G78" s="103">
        <f t="shared" ca="1" si="49"/>
        <v>107522.60337818749</v>
      </c>
      <c r="H78" s="103">
        <f t="shared" ca="1" si="49"/>
        <v>113748.65345983954</v>
      </c>
      <c r="I78" s="103">
        <f t="shared" ca="1" si="49"/>
        <v>119522.76693456103</v>
      </c>
      <c r="J78" s="103">
        <f t="shared" ca="1" si="49"/>
        <v>125478.7464754596</v>
      </c>
      <c r="K78" s="14"/>
      <c r="L78" s="207"/>
      <c r="M78" s="207"/>
      <c r="N78" s="207"/>
    </row>
    <row r="79" spans="1:14" s="1" customFormat="1" ht="13.95" customHeight="1" outlineLevel="1" x14ac:dyDescent="0.3">
      <c r="A79" s="11" t="s">
        <v>14</v>
      </c>
      <c r="B79" s="11"/>
      <c r="C79" s="111"/>
      <c r="D79" s="111"/>
      <c r="E79" s="104"/>
      <c r="F79" s="78"/>
      <c r="G79" s="78"/>
      <c r="H79" s="78"/>
      <c r="I79" s="78"/>
      <c r="J79" s="78"/>
      <c r="K79" s="14"/>
    </row>
    <row r="80" spans="1:14" s="1" customFormat="1" ht="13.95" customHeight="1" outlineLevel="1" x14ac:dyDescent="0.3">
      <c r="A80" s="85" t="s">
        <v>13</v>
      </c>
      <c r="B80" s="85"/>
      <c r="C80" s="102">
        <f>34864+13009+4243</f>
        <v>52116</v>
      </c>
      <c r="D80" s="102">
        <f>34649+12828+4843</f>
        <v>52320</v>
      </c>
      <c r="E80" s="102">
        <f>36132+12943+5709</f>
        <v>54784</v>
      </c>
      <c r="F80" s="78">
        <f>F153</f>
        <v>55264.651316141608</v>
      </c>
      <c r="G80" s="78">
        <f t="shared" ref="G80:J80" si="50">G153</f>
        <v>56872.673123448119</v>
      </c>
      <c r="H80" s="78">
        <f t="shared" si="50"/>
        <v>58326.439631894216</v>
      </c>
      <c r="I80" s="78">
        <f t="shared" si="50"/>
        <v>61996.280811759389</v>
      </c>
      <c r="J80" s="78">
        <f t="shared" si="50"/>
        <v>64920.853658176864</v>
      </c>
      <c r="K80" s="14"/>
    </row>
    <row r="81" spans="1:14" s="1" customFormat="1" ht="13.95" customHeight="1" outlineLevel="1" x14ac:dyDescent="0.3">
      <c r="A81" s="85" t="s">
        <v>189</v>
      </c>
      <c r="B81" s="85"/>
      <c r="C81" s="102">
        <v>13474</v>
      </c>
      <c r="D81" s="102">
        <v>14688</v>
      </c>
      <c r="E81" s="102">
        <v>14629</v>
      </c>
      <c r="F81" s="78">
        <f>IFERROR(F33*F23,0)</f>
        <v>16058.713822304504</v>
      </c>
      <c r="G81" s="78">
        <f>IFERROR(G33*G23,0)</f>
        <v>17022.236651642776</v>
      </c>
      <c r="H81" s="78">
        <f>IFERROR(H33*H23,0)</f>
        <v>18043.57085074134</v>
      </c>
      <c r="I81" s="78">
        <f>IFERROR(I33*I23,0)</f>
        <v>18945.749393278409</v>
      </c>
      <c r="J81" s="78">
        <f>IFERROR(J33*J23,0)</f>
        <v>19893.036862942328</v>
      </c>
      <c r="K81" s="14"/>
      <c r="L81" s="207"/>
      <c r="M81" s="207"/>
      <c r="N81" s="207"/>
    </row>
    <row r="82" spans="1:14" s="1" customFormat="1" ht="13.95" customHeight="1" outlineLevel="1" x14ac:dyDescent="0.3">
      <c r="A82" s="85" t="s">
        <v>54</v>
      </c>
      <c r="B82" s="85"/>
      <c r="C82" s="102">
        <v>0</v>
      </c>
      <c r="D82" s="102">
        <v>237</v>
      </c>
      <c r="E82" s="102">
        <v>222</v>
      </c>
      <c r="F82" s="78">
        <f>E82</f>
        <v>222</v>
      </c>
      <c r="G82" s="78">
        <f t="shared" ref="G82:J82" si="51">F82</f>
        <v>222</v>
      </c>
      <c r="H82" s="78">
        <f t="shared" si="51"/>
        <v>222</v>
      </c>
      <c r="I82" s="78">
        <f t="shared" si="51"/>
        <v>222</v>
      </c>
      <c r="J82" s="78">
        <f t="shared" si="51"/>
        <v>222</v>
      </c>
      <c r="K82" s="14"/>
    </row>
    <row r="83" spans="1:14" s="1" customFormat="1" ht="13.95" customHeight="1" outlineLevel="1" x14ac:dyDescent="0.3">
      <c r="A83" s="112" t="s">
        <v>16</v>
      </c>
      <c r="B83" s="112"/>
      <c r="C83" s="107">
        <f t="shared" ref="C83:J83" si="52">SUM(C80:C82)</f>
        <v>65590</v>
      </c>
      <c r="D83" s="107">
        <f t="shared" si="52"/>
        <v>67245</v>
      </c>
      <c r="E83" s="107">
        <f t="shared" si="52"/>
        <v>69635</v>
      </c>
      <c r="F83" s="107">
        <f t="shared" si="52"/>
        <v>71545.365138446112</v>
      </c>
      <c r="G83" s="107">
        <f t="shared" si="52"/>
        <v>74116.909775090899</v>
      </c>
      <c r="H83" s="107">
        <f t="shared" si="52"/>
        <v>76592.010482635553</v>
      </c>
      <c r="I83" s="107">
        <f t="shared" si="52"/>
        <v>81164.030205037794</v>
      </c>
      <c r="J83" s="107">
        <f t="shared" si="52"/>
        <v>85035.890521119189</v>
      </c>
      <c r="K83" s="14"/>
      <c r="L83" s="207"/>
      <c r="M83" s="207"/>
      <c r="N83" s="207"/>
    </row>
    <row r="84" spans="1:14" s="1" customFormat="1" ht="13.95" customHeight="1" outlineLevel="1" x14ac:dyDescent="0.3">
      <c r="A84" s="85" t="s">
        <v>17</v>
      </c>
      <c r="B84" s="85"/>
      <c r="C84" s="105">
        <f t="shared" ref="C84:J84" si="53">C83+C78</f>
        <v>152969</v>
      </c>
      <c r="D84" s="105">
        <f t="shared" si="53"/>
        <v>159443</v>
      </c>
      <c r="E84" s="113">
        <f t="shared" si="53"/>
        <v>162050</v>
      </c>
      <c r="F84" s="113">
        <f t="shared" ca="1" si="53"/>
        <v>173167.12561630036</v>
      </c>
      <c r="G84" s="113">
        <f t="shared" ca="1" si="53"/>
        <v>181639.51315327839</v>
      </c>
      <c r="H84" s="113">
        <f t="shared" ca="1" si="53"/>
        <v>190340.6639424751</v>
      </c>
      <c r="I84" s="113">
        <f t="shared" ca="1" si="53"/>
        <v>200686.79713959881</v>
      </c>
      <c r="J84" s="113">
        <f t="shared" ca="1" si="53"/>
        <v>210514.63699657877</v>
      </c>
      <c r="K84" s="14"/>
    </row>
    <row r="85" spans="1:14" s="1" customFormat="1" ht="13.95" customHeight="1" outlineLevel="1" x14ac:dyDescent="0.3">
      <c r="A85" s="11" t="s">
        <v>21</v>
      </c>
      <c r="B85" s="11"/>
      <c r="C85" s="111"/>
      <c r="D85" s="111"/>
      <c r="E85" s="84"/>
      <c r="F85" s="78"/>
      <c r="G85" s="78"/>
      <c r="H85" s="78"/>
      <c r="I85" s="78"/>
      <c r="J85" s="78"/>
      <c r="K85" s="14"/>
    </row>
    <row r="86" spans="1:14" s="1" customFormat="1" ht="13.95" customHeight="1" outlineLevel="1" x14ac:dyDescent="0.3">
      <c r="A86" s="114" t="s">
        <v>3</v>
      </c>
      <c r="B86" s="114"/>
      <c r="C86" s="115"/>
      <c r="D86" s="115"/>
      <c r="E86" s="115"/>
      <c r="F86" s="115">
        <f ca="1">F52</f>
        <v>98954.880632669825</v>
      </c>
      <c r="G86" s="115">
        <f ca="1">G52</f>
        <v>105409.63320557261</v>
      </c>
      <c r="H86" s="115">
        <f ca="1">H52</f>
        <v>110852.72378082509</v>
      </c>
      <c r="I86" s="115">
        <f ca="1">I52</f>
        <v>116802.77656272981</v>
      </c>
      <c r="J86" s="115">
        <f ca="1">J52</f>
        <v>121213.17990459956</v>
      </c>
      <c r="K86" s="14"/>
    </row>
    <row r="87" spans="1:14" s="1" customFormat="1" ht="13.95" customHeight="1" outlineLevel="1" x14ac:dyDescent="0.3">
      <c r="A87" s="85" t="s">
        <v>19</v>
      </c>
      <c r="B87" s="85"/>
      <c r="C87" s="102">
        <v>91891</v>
      </c>
      <c r="D87" s="102">
        <v>83754</v>
      </c>
      <c r="E87" s="102">
        <v>90349</v>
      </c>
      <c r="F87" s="116">
        <f ca="1">F86+F109+F110</f>
        <v>96225.288198044873</v>
      </c>
      <c r="G87" s="116">
        <f ca="1">G86+G109+G110</f>
        <v>101082.92885722814</v>
      </c>
      <c r="H87" s="116">
        <f ca="1">H86+H109+H110</f>
        <v>106590.35492170892</v>
      </c>
      <c r="I87" s="116">
        <f ca="1">I86+I109+I110</f>
        <v>110583.25065003977</v>
      </c>
      <c r="J87" s="116">
        <f ca="1">J86+J109+J110</f>
        <v>116019.30326184978</v>
      </c>
      <c r="K87" s="14"/>
      <c r="L87" s="102"/>
      <c r="M87" s="102"/>
      <c r="N87" s="102"/>
    </row>
    <row r="88" spans="1:14" s="1" customFormat="1" ht="13.95" customHeight="1" outlineLevel="1" thickBot="1" x14ac:dyDescent="0.35">
      <c r="A88" s="93" t="s">
        <v>20</v>
      </c>
      <c r="B88" s="93"/>
      <c r="C88" s="109">
        <f t="shared" ref="C88:J88" si="54">C87+C84</f>
        <v>244860</v>
      </c>
      <c r="D88" s="109">
        <f t="shared" si="54"/>
        <v>243197</v>
      </c>
      <c r="E88" s="109">
        <f t="shared" si="54"/>
        <v>252399</v>
      </c>
      <c r="F88" s="109">
        <f t="shared" ca="1" si="54"/>
        <v>269392.41381434526</v>
      </c>
      <c r="G88" s="109">
        <f t="shared" ca="1" si="54"/>
        <v>282722.44201050652</v>
      </c>
      <c r="H88" s="109">
        <f t="shared" ca="1" si="54"/>
        <v>296931.01886418404</v>
      </c>
      <c r="I88" s="109">
        <f t="shared" ca="1" si="54"/>
        <v>311270.04778963857</v>
      </c>
      <c r="J88" s="109">
        <f t="shared" ca="1" si="54"/>
        <v>326533.94025842857</v>
      </c>
      <c r="K88" s="14"/>
    </row>
    <row r="89" spans="1:14" s="1" customFormat="1" ht="13.95" customHeight="1" outlineLevel="1" thickTop="1" x14ac:dyDescent="0.3">
      <c r="A89" s="11"/>
      <c r="B89" s="11"/>
      <c r="C89" s="117"/>
      <c r="D89" s="117"/>
      <c r="E89" s="11"/>
      <c r="F89" s="11"/>
      <c r="G89" s="204"/>
      <c r="H89" s="204"/>
      <c r="I89" s="204"/>
      <c r="J89" s="204"/>
    </row>
    <row r="90" spans="1:14" s="6" customFormat="1" ht="13.95" customHeight="1" outlineLevel="1" x14ac:dyDescent="0.3">
      <c r="A90" s="118" t="s">
        <v>37</v>
      </c>
      <c r="B90" s="118"/>
      <c r="C90" s="119">
        <f t="shared" ref="C90:J90" si="55">C88-C69</f>
        <v>0</v>
      </c>
      <c r="D90" s="119">
        <f t="shared" si="55"/>
        <v>0</v>
      </c>
      <c r="E90" s="119">
        <f t="shared" si="55"/>
        <v>0</v>
      </c>
      <c r="F90" s="119">
        <f t="shared" ca="1" si="55"/>
        <v>0</v>
      </c>
      <c r="G90" s="119">
        <f t="shared" ca="1" si="55"/>
        <v>0</v>
      </c>
      <c r="H90" s="119">
        <f t="shared" ca="1" si="55"/>
        <v>0</v>
      </c>
      <c r="I90" s="119">
        <f t="shared" ca="1" si="55"/>
        <v>0</v>
      </c>
      <c r="J90" s="119">
        <f t="shared" ca="1" si="55"/>
        <v>0</v>
      </c>
    </row>
    <row r="91" spans="1:14" s="1" customFormat="1" ht="13.95" customHeight="1" outlineLevel="1" x14ac:dyDescent="0.3">
      <c r="A91" s="11"/>
      <c r="B91" s="11"/>
      <c r="C91" s="117"/>
      <c r="D91" s="117"/>
      <c r="E91" s="11"/>
      <c r="F91" s="11"/>
      <c r="G91" s="206"/>
      <c r="H91" s="206"/>
      <c r="I91" s="206"/>
      <c r="J91" s="206"/>
    </row>
    <row r="92" spans="1:14" s="1" customFormat="1" ht="13.95" customHeight="1" x14ac:dyDescent="0.3">
      <c r="A92" s="11"/>
      <c r="B92" s="11"/>
      <c r="C92" s="13"/>
      <c r="D92" s="13"/>
      <c r="E92" s="11"/>
      <c r="F92" s="11"/>
      <c r="G92" s="11"/>
      <c r="H92" s="11"/>
      <c r="I92" s="11"/>
      <c r="J92" s="11"/>
    </row>
    <row r="93" spans="1:14" ht="13.95" customHeight="1" x14ac:dyDescent="0.3">
      <c r="A93" s="8" t="s">
        <v>28</v>
      </c>
      <c r="B93" s="8"/>
      <c r="C93" s="8"/>
      <c r="D93" s="8"/>
      <c r="E93" s="8"/>
      <c r="F93" s="8"/>
      <c r="G93" s="8"/>
      <c r="H93" s="8"/>
      <c r="I93" s="8"/>
      <c r="J93" s="8"/>
    </row>
    <row r="94" spans="1:14" s="1" customFormat="1" ht="13.95" customHeight="1" outlineLevel="1" x14ac:dyDescent="0.3">
      <c r="A94" s="11" t="s">
        <v>34</v>
      </c>
      <c r="B94" s="11"/>
      <c r="C94" s="78">
        <f t="shared" ref="C94:J94" si="56">C46</f>
        <v>13940</v>
      </c>
      <c r="D94" s="78">
        <f t="shared" si="56"/>
        <v>11292</v>
      </c>
      <c r="E94" s="78">
        <f t="shared" si="56"/>
        <v>16270</v>
      </c>
      <c r="F94" s="78">
        <f t="shared" ca="1" si="56"/>
        <v>15743.874778474739</v>
      </c>
      <c r="G94" s="78">
        <f t="shared" ca="1" si="56"/>
        <v>16802.136108175102</v>
      </c>
      <c r="H94" s="78">
        <f t="shared" ca="1" si="56"/>
        <v>17873.177011609441</v>
      </c>
      <c r="I94" s="78">
        <f t="shared" ca="1" si="56"/>
        <v>18682.932562514361</v>
      </c>
      <c r="J94" s="78">
        <f t="shared" ca="1" si="56"/>
        <v>19446.734416988409</v>
      </c>
    </row>
    <row r="95" spans="1:14" s="1" customFormat="1" ht="13.95" customHeight="1" outlineLevel="1" x14ac:dyDescent="0.3">
      <c r="A95" s="91" t="s">
        <v>189</v>
      </c>
      <c r="B95" s="85"/>
      <c r="C95" s="77">
        <v>-755</v>
      </c>
      <c r="D95" s="77">
        <v>449</v>
      </c>
      <c r="E95" s="77">
        <v>-175</v>
      </c>
      <c r="F95" s="78">
        <f>F81-E81</f>
        <v>1429.713822304504</v>
      </c>
      <c r="G95" s="78">
        <f>G81-F81</f>
        <v>963.52282933827155</v>
      </c>
      <c r="H95" s="78">
        <f>H81-G81</f>
        <v>1021.3341990985646</v>
      </c>
      <c r="I95" s="78">
        <f>I81-H81</f>
        <v>902.17854253706901</v>
      </c>
      <c r="J95" s="78">
        <f>J81-I81</f>
        <v>947.28746966391918</v>
      </c>
    </row>
    <row r="96" spans="1:14" s="1" customFormat="1" ht="13.95" customHeight="1" outlineLevel="1" x14ac:dyDescent="0.3">
      <c r="A96" s="91" t="s">
        <v>42</v>
      </c>
      <c r="B96" s="85"/>
      <c r="C96" s="78">
        <f t="shared" ref="C96:J96" si="57">C38</f>
        <v>10658</v>
      </c>
      <c r="D96" s="78">
        <f t="shared" si="57"/>
        <v>10945</v>
      </c>
      <c r="E96" s="78">
        <f t="shared" si="57"/>
        <v>11853</v>
      </c>
      <c r="F96" s="78">
        <f t="shared" ca="1" si="57"/>
        <v>12980.865025596155</v>
      </c>
      <c r="G96" s="78">
        <f t="shared" ca="1" si="57"/>
        <v>13893.253023860279</v>
      </c>
      <c r="H96" s="78">
        <f t="shared" ca="1" si="57"/>
        <v>14869.770173589646</v>
      </c>
      <c r="I96" s="78">
        <f t="shared" ca="1" si="57"/>
        <v>15914.923930028606</v>
      </c>
      <c r="J96" s="78">
        <f t="shared" ca="1" si="57"/>
        <v>17033.538564601298</v>
      </c>
    </row>
    <row r="97" spans="1:12" s="1" customFormat="1" ht="13.95" customHeight="1" outlineLevel="1" x14ac:dyDescent="0.3">
      <c r="A97" s="11" t="s">
        <v>177</v>
      </c>
      <c r="B97" s="11"/>
      <c r="C97" s="78"/>
      <c r="D97" s="78"/>
      <c r="E97" s="78"/>
      <c r="F97" s="78"/>
      <c r="G97" s="78"/>
      <c r="H97" s="78"/>
      <c r="I97" s="78"/>
      <c r="J97" s="78"/>
    </row>
    <row r="98" spans="1:12" s="1" customFormat="1" ht="13.95" customHeight="1" outlineLevel="1" x14ac:dyDescent="0.3">
      <c r="A98" s="85" t="s">
        <v>173</v>
      </c>
      <c r="B98" s="85"/>
      <c r="C98" s="77">
        <v>-1796</v>
      </c>
      <c r="D98" s="77">
        <v>240</v>
      </c>
      <c r="E98" s="77">
        <v>-797</v>
      </c>
      <c r="F98" s="78">
        <f t="shared" ref="F98:J99" si="58">-(F59-E59)</f>
        <v>-594.41190809101317</v>
      </c>
      <c r="G98" s="78">
        <f t="shared" si="58"/>
        <v>-563.42471448546166</v>
      </c>
      <c r="H98" s="78">
        <f t="shared" si="58"/>
        <v>-597.23019735458729</v>
      </c>
      <c r="I98" s="78">
        <f t="shared" si="58"/>
        <v>-527.55334099655374</v>
      </c>
      <c r="J98" s="78">
        <f t="shared" si="58"/>
        <v>-553.93100804638016</v>
      </c>
    </row>
    <row r="99" spans="1:12" s="1" customFormat="1" ht="13.95" customHeight="1" outlineLevel="1" x14ac:dyDescent="0.3">
      <c r="A99" s="85" t="s">
        <v>174</v>
      </c>
      <c r="B99" s="85"/>
      <c r="C99" s="77">
        <v>-11764</v>
      </c>
      <c r="D99" s="77">
        <v>-528</v>
      </c>
      <c r="E99" s="77">
        <v>2017</v>
      </c>
      <c r="F99" s="78">
        <f t="shared" si="58"/>
        <v>-8310.2895367014353</v>
      </c>
      <c r="G99" s="78">
        <f t="shared" si="58"/>
        <v>-3792.1373722020871</v>
      </c>
      <c r="H99" s="78">
        <f t="shared" si="58"/>
        <v>-4019.6656145342131</v>
      </c>
      <c r="I99" s="78">
        <f t="shared" si="58"/>
        <v>-3550.7046261718933</v>
      </c>
      <c r="J99" s="78">
        <f t="shared" si="58"/>
        <v>-3728.2398574804829</v>
      </c>
    </row>
    <row r="100" spans="1:12" s="1" customFormat="1" ht="13.95" customHeight="1" outlineLevel="1" x14ac:dyDescent="0.3">
      <c r="A100" s="85" t="s">
        <v>175</v>
      </c>
      <c r="B100" s="85"/>
      <c r="C100" s="77">
        <v>5520</v>
      </c>
      <c r="D100" s="77">
        <v>-1425</v>
      </c>
      <c r="E100" s="77">
        <v>2515</v>
      </c>
      <c r="F100" s="78">
        <f t="shared" ref="F100:J102" si="59">F74-E74</f>
        <v>5489.6716287067611</v>
      </c>
      <c r="G100" s="78">
        <f t="shared" si="59"/>
        <v>3738.1002977224052</v>
      </c>
      <c r="H100" s="78">
        <f t="shared" si="59"/>
        <v>3962.3863155857543</v>
      </c>
      <c r="I100" s="78">
        <f t="shared" si="59"/>
        <v>3500.1079121007351</v>
      </c>
      <c r="J100" s="78">
        <f t="shared" si="59"/>
        <v>3675.1133077057893</v>
      </c>
      <c r="L100" s="202"/>
    </row>
    <row r="101" spans="1:12" s="1" customFormat="1" ht="13.95" customHeight="1" outlineLevel="1" x14ac:dyDescent="0.3">
      <c r="A101" s="85" t="s">
        <v>176</v>
      </c>
      <c r="B101" s="85"/>
      <c r="C101" s="77">
        <v>1404</v>
      </c>
      <c r="D101" s="77">
        <v>4393</v>
      </c>
      <c r="E101" s="77">
        <v>-1324</v>
      </c>
      <c r="F101" s="78">
        <f t="shared" si="59"/>
        <v>3482.6591939790123</v>
      </c>
      <c r="G101" s="78">
        <f t="shared" si="59"/>
        <v>1934.4995516387389</v>
      </c>
      <c r="H101" s="78">
        <f t="shared" si="59"/>
        <v>2050.5695247370677</v>
      </c>
      <c r="I101" s="78">
        <f t="shared" si="59"/>
        <v>1811.3364135177399</v>
      </c>
      <c r="J101" s="78">
        <f t="shared" si="59"/>
        <v>1901.9032341936327</v>
      </c>
    </row>
    <row r="102" spans="1:12" s="1" customFormat="1" ht="13.95" customHeight="1" outlineLevel="1" x14ac:dyDescent="0.3">
      <c r="A102" s="85" t="s">
        <v>191</v>
      </c>
      <c r="B102" s="85"/>
      <c r="C102" s="77">
        <v>39</v>
      </c>
      <c r="D102" s="77">
        <v>-127</v>
      </c>
      <c r="E102" s="77">
        <v>-468</v>
      </c>
      <c r="F102" s="78">
        <f t="shared" si="59"/>
        <v>414.08097131007912</v>
      </c>
      <c r="G102" s="78">
        <f t="shared" si="59"/>
        <v>43.26485827860472</v>
      </c>
      <c r="H102" s="78">
        <f t="shared" si="59"/>
        <v>45.860749775320983</v>
      </c>
      <c r="I102" s="78">
        <f t="shared" si="59"/>
        <v>40.51032896820027</v>
      </c>
      <c r="J102" s="78">
        <f t="shared" si="59"/>
        <v>42.5358454166103</v>
      </c>
    </row>
    <row r="103" spans="1:12" s="1" customFormat="1" ht="13.95" customHeight="1" outlineLevel="1" x14ac:dyDescent="0.3">
      <c r="A103" s="100" t="s">
        <v>29</v>
      </c>
      <c r="B103" s="100"/>
      <c r="C103" s="120">
        <f t="shared" ref="C103:J103" si="60">SUM(C94:C102)</f>
        <v>17246</v>
      </c>
      <c r="D103" s="120">
        <f t="shared" si="60"/>
        <v>25239</v>
      </c>
      <c r="E103" s="120">
        <f t="shared" si="60"/>
        <v>29891</v>
      </c>
      <c r="F103" s="120">
        <f t="shared" ca="1" si="60"/>
        <v>30636.163975578802</v>
      </c>
      <c r="G103" s="120">
        <f t="shared" ca="1" si="60"/>
        <v>33019.214582325862</v>
      </c>
      <c r="H103" s="120">
        <f t="shared" ca="1" si="60"/>
        <v>35206.20216250699</v>
      </c>
      <c r="I103" s="120">
        <f t="shared" ca="1" si="60"/>
        <v>36773.731722498269</v>
      </c>
      <c r="J103" s="120">
        <f t="shared" ca="1" si="60"/>
        <v>38764.941973042798</v>
      </c>
    </row>
    <row r="104" spans="1:12" s="1" customFormat="1" ht="13.95" customHeight="1" outlineLevel="1" x14ac:dyDescent="0.3">
      <c r="A104" s="11"/>
      <c r="B104" s="11"/>
      <c r="C104" s="84"/>
      <c r="D104" s="84"/>
      <c r="E104" s="84"/>
      <c r="F104" s="84"/>
      <c r="G104" s="84"/>
      <c r="H104" s="84"/>
      <c r="I104" s="84"/>
      <c r="J104" s="84"/>
    </row>
    <row r="105" spans="1:12" s="1" customFormat="1" ht="13.95" customHeight="1" outlineLevel="1" x14ac:dyDescent="0.3">
      <c r="A105" s="11" t="s">
        <v>32</v>
      </c>
      <c r="B105" s="11"/>
      <c r="C105" s="77">
        <v>-13465</v>
      </c>
      <c r="D105" s="77">
        <v>-17597</v>
      </c>
      <c r="E105" s="77">
        <v>-20615</v>
      </c>
      <c r="F105" s="78">
        <f ca="1">-F124</f>
        <v>-20769.38404095385</v>
      </c>
      <c r="G105" s="78">
        <f t="shared" ref="G105:J105" ca="1" si="61">-G124</f>
        <v>-22229.204838176443</v>
      </c>
      <c r="H105" s="78">
        <f t="shared" ca="1" si="61"/>
        <v>-23791.63227774344</v>
      </c>
      <c r="I105" s="78">
        <f t="shared" ca="1" si="61"/>
        <v>-25463.878288045784</v>
      </c>
      <c r="J105" s="78">
        <f t="shared" ca="1" si="61"/>
        <v>-27253.661703362061</v>
      </c>
    </row>
    <row r="106" spans="1:12" s="1" customFormat="1" ht="13.95" customHeight="1" outlineLevel="1" x14ac:dyDescent="0.3">
      <c r="A106" s="100" t="s">
        <v>30</v>
      </c>
      <c r="B106" s="100"/>
      <c r="C106" s="120">
        <f t="shared" ref="C106:J106" si="62">SUM(C105:C105)</f>
        <v>-13465</v>
      </c>
      <c r="D106" s="120">
        <f t="shared" si="62"/>
        <v>-17597</v>
      </c>
      <c r="E106" s="120">
        <f t="shared" si="62"/>
        <v>-20615</v>
      </c>
      <c r="F106" s="120">
        <f t="shared" ca="1" si="62"/>
        <v>-20769.38404095385</v>
      </c>
      <c r="G106" s="120">
        <f t="shared" ca="1" si="62"/>
        <v>-22229.204838176443</v>
      </c>
      <c r="H106" s="120">
        <f t="shared" ca="1" si="62"/>
        <v>-23791.63227774344</v>
      </c>
      <c r="I106" s="120">
        <f t="shared" ca="1" si="62"/>
        <v>-25463.878288045784</v>
      </c>
      <c r="J106" s="120">
        <f t="shared" ca="1" si="62"/>
        <v>-27253.661703362061</v>
      </c>
    </row>
    <row r="107" spans="1:12" s="1" customFormat="1" ht="13.95" customHeight="1" outlineLevel="1" x14ac:dyDescent="0.3">
      <c r="A107" s="11"/>
      <c r="B107" s="11"/>
      <c r="C107" s="84"/>
      <c r="D107" s="84"/>
      <c r="E107" s="84"/>
      <c r="F107" s="84"/>
      <c r="G107" s="84"/>
      <c r="H107" s="84"/>
      <c r="I107" s="84"/>
      <c r="J107" s="84"/>
    </row>
    <row r="108" spans="1:12" s="1" customFormat="1" ht="13.95" customHeight="1" outlineLevel="1" x14ac:dyDescent="0.3">
      <c r="A108" s="85" t="s">
        <v>81</v>
      </c>
      <c r="B108" s="11"/>
      <c r="C108" s="77">
        <v>-6065</v>
      </c>
      <c r="D108" s="77">
        <v>2352</v>
      </c>
      <c r="E108" s="77">
        <v>750</v>
      </c>
      <c r="F108" s="78">
        <f ca="1">F156+F157</f>
        <v>301</v>
      </c>
      <c r="G108" s="78">
        <f t="shared" ref="G108:J108" ca="1" si="63">G156+G157</f>
        <v>1793</v>
      </c>
      <c r="H108" s="78">
        <f t="shared" ca="1" si="63"/>
        <v>1621</v>
      </c>
      <c r="I108" s="78">
        <f t="shared" ca="1" si="63"/>
        <v>4092</v>
      </c>
      <c r="J108" s="78">
        <f t="shared" ca="1" si="63"/>
        <v>3261</v>
      </c>
    </row>
    <row r="109" spans="1:12" s="1" customFormat="1" ht="13.95" customHeight="1" outlineLevel="1" x14ac:dyDescent="0.3">
      <c r="A109" s="85" t="s">
        <v>201</v>
      </c>
      <c r="C109" s="98">
        <v>3239</v>
      </c>
      <c r="D109" s="98">
        <v>66</v>
      </c>
      <c r="E109" s="98">
        <v>716</v>
      </c>
      <c r="F109" s="217">
        <f ca="1">F146</f>
        <v>0</v>
      </c>
      <c r="G109" s="217">
        <f t="shared" ref="G109:J109" ca="1" si="64">G146</f>
        <v>0</v>
      </c>
      <c r="H109" s="217">
        <f t="shared" ca="1" si="64"/>
        <v>0</v>
      </c>
      <c r="I109" s="217">
        <f t="shared" ca="1" si="64"/>
        <v>0</v>
      </c>
      <c r="J109" s="217">
        <f t="shared" ca="1" si="64"/>
        <v>0</v>
      </c>
    </row>
    <row r="110" spans="1:12" s="1" customFormat="1" ht="13.95" customHeight="1" outlineLevel="1" x14ac:dyDescent="0.3">
      <c r="A110" s="85" t="s">
        <v>202</v>
      </c>
      <c r="B110" s="11"/>
      <c r="C110" s="98">
        <v>-9787</v>
      </c>
      <c r="D110" s="98">
        <v>-9920</v>
      </c>
      <c r="E110" s="98">
        <v>-2779</v>
      </c>
      <c r="F110" s="78">
        <f ca="1">F147</f>
        <v>-2729.5924346249521</v>
      </c>
      <c r="G110" s="78">
        <f t="shared" ref="G110:J110" ca="1" si="65">G147</f>
        <v>-4326.7043483444795</v>
      </c>
      <c r="H110" s="78">
        <f t="shared" ca="1" si="65"/>
        <v>-4262.3688591161881</v>
      </c>
      <c r="I110" s="78">
        <f t="shared" ca="1" si="65"/>
        <v>-6219.5259126900364</v>
      </c>
      <c r="J110" s="78">
        <f t="shared" ca="1" si="65"/>
        <v>-5193.8766427497831</v>
      </c>
    </row>
    <row r="111" spans="1:12" s="1" customFormat="1" ht="13.95" customHeight="1" outlineLevel="1" x14ac:dyDescent="0.3">
      <c r="A111" s="85" t="s">
        <v>31</v>
      </c>
      <c r="B111" s="11"/>
      <c r="C111" s="98">
        <v>-6152</v>
      </c>
      <c r="D111" s="98">
        <v>-6114</v>
      </c>
      <c r="E111" s="98">
        <v>-6140</v>
      </c>
      <c r="F111" s="78">
        <f ca="1">-F51</f>
        <v>-7137.9941458049207</v>
      </c>
      <c r="G111" s="78">
        <f ca="1">-G51</f>
        <v>-7617.7911006473632</v>
      </c>
      <c r="H111" s="78">
        <f ca="1">-H51</f>
        <v>-8103.3820880124558</v>
      </c>
      <c r="I111" s="78">
        <f ca="1">-I51</f>
        <v>-8470.5109214934546</v>
      </c>
      <c r="J111" s="78">
        <f ca="1">-J51</f>
        <v>-8816.8051624286527</v>
      </c>
    </row>
    <row r="112" spans="1:12" s="1" customFormat="1" ht="13.95" customHeight="1" outlineLevel="1" x14ac:dyDescent="0.3">
      <c r="A112" s="31" t="s">
        <v>39</v>
      </c>
      <c r="B112" s="100"/>
      <c r="C112" s="120">
        <f t="shared" ref="C112:J112" si="66">SUM(C108:C111)</f>
        <v>-18765</v>
      </c>
      <c r="D112" s="120">
        <f t="shared" si="66"/>
        <v>-13616</v>
      </c>
      <c r="E112" s="120">
        <f t="shared" si="66"/>
        <v>-7453</v>
      </c>
      <c r="F112" s="120">
        <f t="shared" ca="1" si="66"/>
        <v>-9566.5865804298737</v>
      </c>
      <c r="G112" s="120">
        <f t="shared" ca="1" si="66"/>
        <v>-10151.495448991842</v>
      </c>
      <c r="H112" s="120">
        <f t="shared" ca="1" si="66"/>
        <v>-10744.750947128643</v>
      </c>
      <c r="I112" s="120">
        <f t="shared" ca="1" si="66"/>
        <v>-10598.036834183491</v>
      </c>
      <c r="J112" s="120">
        <f t="shared" ca="1" si="66"/>
        <v>-10749.681805178436</v>
      </c>
    </row>
    <row r="113" spans="1:10" s="1" customFormat="1" ht="13.95" customHeight="1" outlineLevel="1" x14ac:dyDescent="0.3">
      <c r="A113" s="11"/>
      <c r="B113" s="11"/>
      <c r="C113" s="84"/>
      <c r="D113" s="84"/>
      <c r="E113" s="84"/>
      <c r="F113" s="84"/>
      <c r="G113" s="84"/>
      <c r="H113" s="84"/>
      <c r="I113" s="84"/>
      <c r="J113" s="84"/>
    </row>
    <row r="114" spans="1:10" s="1" customFormat="1" ht="13.95" customHeight="1" outlineLevel="1" x14ac:dyDescent="0.3">
      <c r="A114" s="74" t="s">
        <v>33</v>
      </c>
      <c r="B114" s="74"/>
      <c r="C114" s="121">
        <f t="shared" ref="C114:J114" si="67">C103+C106+C112</f>
        <v>-14984</v>
      </c>
      <c r="D114" s="121">
        <f t="shared" si="67"/>
        <v>-5974</v>
      </c>
      <c r="E114" s="121">
        <f t="shared" si="67"/>
        <v>1823</v>
      </c>
      <c r="F114" s="121">
        <f t="shared" ca="1" si="67"/>
        <v>300.19335419507843</v>
      </c>
      <c r="G114" s="121">
        <f t="shared" ca="1" si="67"/>
        <v>638.51429515757627</v>
      </c>
      <c r="H114" s="121">
        <f t="shared" ca="1" si="67"/>
        <v>669.81893763490734</v>
      </c>
      <c r="I114" s="121">
        <f t="shared" ca="1" si="67"/>
        <v>711.81660026899408</v>
      </c>
      <c r="J114" s="121">
        <f t="shared" ca="1" si="67"/>
        <v>761.59846450230179</v>
      </c>
    </row>
    <row r="115" spans="1:10" s="1" customFormat="1" ht="13.95" customHeight="1" outlineLevel="1" x14ac:dyDescent="0.3">
      <c r="A115" s="11" t="s">
        <v>35</v>
      </c>
      <c r="B115" s="11"/>
      <c r="C115" s="77">
        <v>17741</v>
      </c>
      <c r="D115" s="78">
        <f>C116</f>
        <v>14760</v>
      </c>
      <c r="E115" s="78">
        <f t="shared" ref="E115:J115" si="68">D116</f>
        <v>8625</v>
      </c>
      <c r="F115" s="78">
        <f t="shared" si="68"/>
        <v>9867</v>
      </c>
      <c r="G115" s="78">
        <f t="shared" ca="1" si="68"/>
        <v>10167.193354195078</v>
      </c>
      <c r="H115" s="78">
        <f t="shared" ca="1" si="68"/>
        <v>10805.707649352637</v>
      </c>
      <c r="I115" s="78">
        <f t="shared" ca="1" si="68"/>
        <v>11475.52658698754</v>
      </c>
      <c r="J115" s="78">
        <f t="shared" ca="1" si="68"/>
        <v>12187.343187256547</v>
      </c>
    </row>
    <row r="116" spans="1:10" s="1" customFormat="1" ht="13.95" customHeight="1" outlineLevel="1" thickBot="1" x14ac:dyDescent="0.35">
      <c r="A116" s="93" t="s">
        <v>36</v>
      </c>
      <c r="B116" s="93"/>
      <c r="C116" s="122">
        <f>C58</f>
        <v>14760</v>
      </c>
      <c r="D116" s="122">
        <f>D58</f>
        <v>8625</v>
      </c>
      <c r="E116" s="122">
        <f>E58</f>
        <v>9867</v>
      </c>
      <c r="F116" s="122">
        <f t="shared" ref="F116:J116" ca="1" si="69">F114+F115</f>
        <v>10167.193354195078</v>
      </c>
      <c r="G116" s="122">
        <f t="shared" ca="1" si="69"/>
        <v>10805.707649352655</v>
      </c>
      <c r="H116" s="122">
        <f t="shared" ca="1" si="69"/>
        <v>11475.526586987544</v>
      </c>
      <c r="I116" s="122">
        <f t="shared" ca="1" si="69"/>
        <v>12187.343187256534</v>
      </c>
      <c r="J116" s="122">
        <f t="shared" ca="1" si="69"/>
        <v>12948.941651758849</v>
      </c>
    </row>
    <row r="117" spans="1:10" s="1" customFormat="1" ht="13.95" customHeight="1" outlineLevel="1" thickTop="1" x14ac:dyDescent="0.3">
      <c r="A117" s="11"/>
      <c r="B117" s="11"/>
      <c r="C117" s="13"/>
      <c r="D117" s="123"/>
      <c r="E117" s="11"/>
      <c r="F117" s="11"/>
      <c r="G117" s="11"/>
      <c r="H117" s="11"/>
      <c r="I117" s="11"/>
      <c r="J117" s="11"/>
    </row>
    <row r="118" spans="1:10" s="1" customFormat="1" ht="13.95" customHeight="1" outlineLevel="1" x14ac:dyDescent="0.3">
      <c r="A118" s="118" t="s">
        <v>37</v>
      </c>
      <c r="B118" s="118"/>
      <c r="C118" s="119">
        <f t="shared" ref="C118:J118" si="70">C116-C58</f>
        <v>0</v>
      </c>
      <c r="D118" s="119">
        <f t="shared" si="70"/>
        <v>0</v>
      </c>
      <c r="E118" s="119">
        <f t="shared" si="70"/>
        <v>0</v>
      </c>
      <c r="F118" s="119">
        <f t="shared" ca="1" si="70"/>
        <v>0</v>
      </c>
      <c r="G118" s="119">
        <f t="shared" ca="1" si="70"/>
        <v>1.8189894035458565E-11</v>
      </c>
      <c r="H118" s="119">
        <f t="shared" ca="1" si="70"/>
        <v>0</v>
      </c>
      <c r="I118" s="119">
        <f t="shared" ca="1" si="70"/>
        <v>0</v>
      </c>
      <c r="J118" s="119">
        <f t="shared" ca="1" si="70"/>
        <v>-1.8189894035458565E-11</v>
      </c>
    </row>
    <row r="119" spans="1:10" s="1" customFormat="1" ht="13.95" customHeight="1" outlineLevel="1" x14ac:dyDescent="0.3">
      <c r="A119" s="118"/>
      <c r="B119" s="118"/>
      <c r="C119" s="124"/>
      <c r="D119" s="124"/>
      <c r="E119" s="124"/>
      <c r="F119" s="124"/>
      <c r="G119" s="124"/>
      <c r="H119" s="124"/>
      <c r="I119" s="124"/>
      <c r="J119" s="124"/>
    </row>
    <row r="120" spans="1:10" s="1" customFormat="1" ht="13.95" customHeight="1" x14ac:dyDescent="0.3">
      <c r="A120" s="11"/>
      <c r="B120" s="11"/>
      <c r="C120" s="13"/>
      <c r="D120" s="123"/>
      <c r="E120" s="11"/>
      <c r="F120" s="11"/>
      <c r="G120" s="11"/>
      <c r="H120" s="11"/>
      <c r="I120" s="11"/>
      <c r="J120" s="11"/>
    </row>
    <row r="121" spans="1:10" s="1" customFormat="1" ht="13.95" customHeight="1" x14ac:dyDescent="0.3">
      <c r="A121" s="8" t="s">
        <v>104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s="1" customFormat="1" ht="13.95" customHeight="1" outlineLevel="1" x14ac:dyDescent="0.3">
      <c r="A122" s="74" t="s">
        <v>116</v>
      </c>
      <c r="B122" s="125"/>
      <c r="C122" s="125"/>
      <c r="D122" s="125"/>
      <c r="E122" s="125"/>
      <c r="F122" s="125"/>
      <c r="G122" s="125"/>
      <c r="H122" s="125"/>
      <c r="I122" s="125"/>
      <c r="J122" s="125"/>
    </row>
    <row r="123" spans="1:10" s="1" customFormat="1" ht="13.95" customHeight="1" outlineLevel="1" x14ac:dyDescent="0.3">
      <c r="A123" s="11" t="s">
        <v>85</v>
      </c>
      <c r="B123" s="11"/>
      <c r="C123" s="77"/>
      <c r="D123" s="78"/>
      <c r="E123" s="78"/>
      <c r="F123" s="78">
        <f t="shared" ref="F123:J123" si="71">E125</f>
        <v>219859</v>
      </c>
      <c r="G123" s="78">
        <f t="shared" ca="1" si="71"/>
        <v>240628.38404095385</v>
      </c>
      <c r="H123" s="78">
        <f t="shared" ca="1" si="71"/>
        <v>262857.58887913032</v>
      </c>
      <c r="I123" s="78">
        <f t="shared" ca="1" si="71"/>
        <v>286649.22115687374</v>
      </c>
      <c r="J123" s="78">
        <f t="shared" ca="1" si="71"/>
        <v>312113.0994449195</v>
      </c>
    </row>
    <row r="124" spans="1:10" s="1" customFormat="1" ht="13.95" customHeight="1" outlineLevel="1" x14ac:dyDescent="0.3">
      <c r="A124" s="11" t="s">
        <v>114</v>
      </c>
      <c r="B124" s="11"/>
      <c r="C124" s="77"/>
      <c r="D124" s="77"/>
      <c r="E124" s="77"/>
      <c r="F124" s="78">
        <f ca="1">F129*F21</f>
        <v>20769.38404095385</v>
      </c>
      <c r="G124" s="78">
        <f ca="1">G129*G21</f>
        <v>22229.204838176443</v>
      </c>
      <c r="H124" s="78">
        <f ca="1">H129*H21</f>
        <v>23791.632277743436</v>
      </c>
      <c r="I124" s="78">
        <f ca="1">I129*I21</f>
        <v>25463.878288045784</v>
      </c>
      <c r="J124" s="78">
        <f ca="1">J129*J21</f>
        <v>27253.661703362079</v>
      </c>
    </row>
    <row r="125" spans="1:10" s="1" customFormat="1" ht="13.95" customHeight="1" outlineLevel="1" x14ac:dyDescent="0.3">
      <c r="A125" s="96" t="s">
        <v>86</v>
      </c>
      <c r="B125" s="96"/>
      <c r="C125" s="126"/>
      <c r="D125" s="126"/>
      <c r="E125" s="205">
        <v>219859</v>
      </c>
      <c r="F125" s="126">
        <f ca="1">SUM(F123:F124)</f>
        <v>240628.38404095385</v>
      </c>
      <c r="G125" s="126">
        <f ca="1">SUM(G123:G124)</f>
        <v>262857.58887913032</v>
      </c>
      <c r="H125" s="126">
        <f ca="1">SUM(H123:H124)</f>
        <v>286649.22115687374</v>
      </c>
      <c r="I125" s="126">
        <f ca="1">SUM(I123:I124)</f>
        <v>312113.0994449195</v>
      </c>
      <c r="J125" s="126">
        <f ca="1">SUM(J123:J124)</f>
        <v>339366.76114828157</v>
      </c>
    </row>
    <row r="126" spans="1:10" s="1" customFormat="1" ht="13.95" customHeight="1" outlineLevel="1" x14ac:dyDescent="0.3">
      <c r="A126" s="11"/>
      <c r="B126" s="11"/>
      <c r="C126" s="123"/>
      <c r="D126" s="123"/>
      <c r="E126" s="84"/>
      <c r="F126" s="11"/>
      <c r="G126" s="11"/>
      <c r="H126" s="11"/>
      <c r="I126" s="11"/>
      <c r="J126" s="11"/>
    </row>
    <row r="127" spans="1:10" s="1" customFormat="1" ht="13.95" customHeight="1" outlineLevel="1" x14ac:dyDescent="0.3">
      <c r="A127" s="74" t="s">
        <v>110</v>
      </c>
      <c r="B127" s="11"/>
      <c r="C127" s="13"/>
      <c r="D127" s="123"/>
      <c r="E127" s="11"/>
      <c r="F127" s="11"/>
      <c r="G127" s="11"/>
      <c r="H127" s="11"/>
      <c r="I127" s="11"/>
      <c r="J127" s="11"/>
    </row>
    <row r="128" spans="1:10" s="1" customFormat="1" ht="13.95" customHeight="1" outlineLevel="1" x14ac:dyDescent="0.3">
      <c r="A128" s="11" t="s">
        <v>111</v>
      </c>
      <c r="B128" s="11"/>
      <c r="C128" s="86"/>
      <c r="D128" s="127"/>
      <c r="E128" s="127"/>
      <c r="F128" s="92">
        <f t="shared" ref="F128:J128" si="72">E130</f>
        <v>109049</v>
      </c>
      <c r="G128" s="92">
        <f t="shared" ca="1" si="72"/>
        <v>122029.86502559615</v>
      </c>
      <c r="H128" s="92">
        <f t="shared" ca="1" si="72"/>
        <v>135923.11804945642</v>
      </c>
      <c r="I128" s="92">
        <f t="shared" ca="1" si="72"/>
        <v>150792.88822304606</v>
      </c>
      <c r="J128" s="92">
        <f t="shared" ca="1" si="72"/>
        <v>166707.81215307472</v>
      </c>
    </row>
    <row r="129" spans="1:12" s="1" customFormat="1" ht="13.95" customHeight="1" outlineLevel="1" x14ac:dyDescent="0.3">
      <c r="A129" s="11" t="s">
        <v>112</v>
      </c>
      <c r="B129" s="11"/>
      <c r="C129" s="92"/>
      <c r="D129" s="92"/>
      <c r="E129" s="92"/>
      <c r="F129" s="92">
        <f ca="1">F38</f>
        <v>12980.865025596155</v>
      </c>
      <c r="G129" s="92">
        <f ca="1">G38</f>
        <v>13893.253023860279</v>
      </c>
      <c r="H129" s="92">
        <f ca="1">H38</f>
        <v>14869.770173589646</v>
      </c>
      <c r="I129" s="92">
        <f ca="1">I38</f>
        <v>15914.923930028606</v>
      </c>
      <c r="J129" s="92">
        <f ca="1">J38</f>
        <v>17033.538564601298</v>
      </c>
    </row>
    <row r="130" spans="1:12" s="1" customFormat="1" ht="13.95" customHeight="1" outlineLevel="1" x14ac:dyDescent="0.3">
      <c r="A130" s="96" t="s">
        <v>65</v>
      </c>
      <c r="B130" s="96"/>
      <c r="C130" s="128"/>
      <c r="D130" s="128"/>
      <c r="E130" s="128">
        <v>109049</v>
      </c>
      <c r="F130" s="126">
        <f ca="1">SUM(F128:F129)</f>
        <v>122029.86502559615</v>
      </c>
      <c r="G130" s="126">
        <f ca="1">SUM(G128:G129)</f>
        <v>135923.11804945645</v>
      </c>
      <c r="H130" s="126">
        <f ca="1">SUM(H128:H129)</f>
        <v>150792.88822304606</v>
      </c>
      <c r="I130" s="126">
        <f ca="1">SUM(I128:I129)</f>
        <v>166707.81215307466</v>
      </c>
      <c r="J130" s="126">
        <f ca="1">SUM(J128:J129)</f>
        <v>183741.35071767602</v>
      </c>
    </row>
    <row r="131" spans="1:12" s="1" customFormat="1" ht="13.95" customHeight="1" outlineLevel="1" x14ac:dyDescent="0.3">
      <c r="A131" s="11"/>
      <c r="B131" s="11"/>
      <c r="C131" s="83"/>
      <c r="D131" s="123"/>
      <c r="E131" s="11"/>
      <c r="F131" s="11"/>
      <c r="G131" s="11"/>
      <c r="H131" s="11"/>
      <c r="I131" s="11"/>
      <c r="J131" s="11"/>
    </row>
    <row r="132" spans="1:12" s="1" customFormat="1" ht="13.95" customHeight="1" outlineLevel="1" x14ac:dyDescent="0.3">
      <c r="A132" s="74" t="s">
        <v>113</v>
      </c>
      <c r="B132" s="11"/>
      <c r="C132" s="86">
        <v>94515</v>
      </c>
      <c r="D132" s="86">
        <v>100760</v>
      </c>
      <c r="E132" s="86">
        <v>110810</v>
      </c>
      <c r="F132" s="92">
        <f ca="1">F125-F130</f>
        <v>118598.5190153577</v>
      </c>
      <c r="G132" s="92">
        <f ca="1">G125-G130</f>
        <v>126934.47082967387</v>
      </c>
      <c r="H132" s="92">
        <f ca="1">H125-H130</f>
        <v>135856.33293382768</v>
      </c>
      <c r="I132" s="92">
        <f ca="1">I125-I130</f>
        <v>145405.28729184484</v>
      </c>
      <c r="J132" s="92">
        <f ca="1">J125-J130</f>
        <v>155625.41043060555</v>
      </c>
    </row>
    <row r="133" spans="1:12" s="1" customFormat="1" ht="13.95" customHeight="1" outlineLevel="1" x14ac:dyDescent="0.3">
      <c r="A133" s="11"/>
      <c r="B133" s="11"/>
      <c r="C133" s="83"/>
      <c r="D133" s="123"/>
      <c r="E133" s="11"/>
      <c r="F133" s="11"/>
      <c r="G133" s="11"/>
      <c r="H133" s="11"/>
      <c r="I133" s="11"/>
      <c r="J133" s="11"/>
    </row>
    <row r="134" spans="1:12" s="1" customFormat="1" ht="13.95" customHeight="1" x14ac:dyDescent="0.3">
      <c r="A134" s="11"/>
      <c r="B134" s="11"/>
      <c r="C134" s="13"/>
      <c r="D134" s="123"/>
      <c r="E134" s="11"/>
      <c r="F134" s="11"/>
      <c r="G134" s="11"/>
      <c r="H134" s="11"/>
      <c r="I134" s="11"/>
      <c r="J134" s="11"/>
    </row>
    <row r="135" spans="1:12" s="1" customFormat="1" ht="13.95" customHeight="1" x14ac:dyDescent="0.3">
      <c r="A135" s="8" t="s">
        <v>72</v>
      </c>
      <c r="B135" s="8"/>
      <c r="C135" s="8"/>
      <c r="D135" s="8"/>
      <c r="E135" s="8"/>
      <c r="F135" s="8"/>
      <c r="G135" s="8"/>
      <c r="H135" s="8"/>
      <c r="I135" s="8"/>
      <c r="J135" s="8"/>
    </row>
    <row r="136" spans="1:12" s="1" customFormat="1" ht="13.95" customHeight="1" outlineLevel="1" x14ac:dyDescent="0.3">
      <c r="A136" s="129" t="s">
        <v>98</v>
      </c>
      <c r="B136" s="130"/>
      <c r="C136" s="130"/>
      <c r="D136" s="129"/>
      <c r="E136" s="129"/>
      <c r="F136" s="129"/>
      <c r="G136" s="129"/>
      <c r="H136" s="129"/>
      <c r="I136" s="129"/>
      <c r="J136" s="129"/>
      <c r="L136" s="208"/>
    </row>
    <row r="137" spans="1:12" s="1" customFormat="1" ht="13.95" customHeight="1" outlineLevel="1" x14ac:dyDescent="0.3">
      <c r="A137" s="131" t="s">
        <v>99</v>
      </c>
      <c r="B137" s="182"/>
      <c r="C137" s="182"/>
      <c r="D137" s="182"/>
      <c r="E137" s="182">
        <f>D116</f>
        <v>8625</v>
      </c>
      <c r="F137" s="182">
        <f>E116</f>
        <v>9867</v>
      </c>
      <c r="G137" s="182">
        <f t="shared" ref="G137:J137" ca="1" si="73">F116</f>
        <v>10167.193354195078</v>
      </c>
      <c r="H137" s="182">
        <f t="shared" ca="1" si="73"/>
        <v>10805.707649352655</v>
      </c>
      <c r="I137" s="182">
        <f t="shared" ca="1" si="73"/>
        <v>11475.526586987544</v>
      </c>
      <c r="J137" s="182">
        <f t="shared" ca="1" si="73"/>
        <v>12187.343187256534</v>
      </c>
    </row>
    <row r="138" spans="1:12" s="1" customFormat="1" ht="13.95" customHeight="1" outlineLevel="1" x14ac:dyDescent="0.3">
      <c r="A138" s="131" t="s">
        <v>198</v>
      </c>
      <c r="B138" s="182" t="s">
        <v>196</v>
      </c>
      <c r="C138" s="182"/>
      <c r="D138" s="182"/>
      <c r="E138" s="182">
        <f>E103+E105</f>
        <v>9276</v>
      </c>
      <c r="F138" s="182">
        <f ca="1">F103+F105</f>
        <v>9866.7799346249521</v>
      </c>
      <c r="G138" s="182">
        <f t="shared" ref="G138:J138" ca="1" si="74">G103+G105</f>
        <v>10790.009744149418</v>
      </c>
      <c r="H138" s="182">
        <f t="shared" ca="1" si="74"/>
        <v>11414.56988476355</v>
      </c>
      <c r="I138" s="182">
        <f t="shared" ca="1" si="74"/>
        <v>11309.853434452485</v>
      </c>
      <c r="J138" s="182">
        <f t="shared" ca="1" si="74"/>
        <v>11511.280269680738</v>
      </c>
    </row>
    <row r="139" spans="1:12" s="1" customFormat="1" ht="13.95" customHeight="1" outlineLevel="1" x14ac:dyDescent="0.3">
      <c r="A139" s="131" t="s">
        <v>199</v>
      </c>
      <c r="B139" s="182"/>
      <c r="C139" s="182"/>
      <c r="D139" s="182"/>
      <c r="E139" s="92">
        <f>-E172</f>
        <v>750</v>
      </c>
      <c r="F139" s="92">
        <f>-F172</f>
        <v>-6699</v>
      </c>
      <c r="G139" s="92">
        <f t="shared" ref="G139:J139" si="75">-G172</f>
        <v>-5707</v>
      </c>
      <c r="H139" s="92">
        <f t="shared" si="75"/>
        <v>-6379</v>
      </c>
      <c r="I139" s="92">
        <f t="shared" si="75"/>
        <v>-4408</v>
      </c>
      <c r="J139" s="92">
        <f t="shared" si="75"/>
        <v>-5739</v>
      </c>
      <c r="L139" s="207"/>
    </row>
    <row r="140" spans="1:12" s="1" customFormat="1" ht="13.95" customHeight="1" outlineLevel="1" x14ac:dyDescent="0.3">
      <c r="A140" s="210" t="s">
        <v>194</v>
      </c>
      <c r="B140" s="211"/>
      <c r="C140" s="211"/>
      <c r="D140" s="211"/>
      <c r="E140" s="213">
        <f t="shared" ref="E140:J140" si="76">-E159*E33</f>
        <v>-9867</v>
      </c>
      <c r="F140" s="213">
        <f t="shared" si="76"/>
        <v>-10305.1875</v>
      </c>
      <c r="G140" s="213">
        <f t="shared" si="76"/>
        <v>-10923.498749999999</v>
      </c>
      <c r="H140" s="213">
        <f t="shared" si="76"/>
        <v>-11578.908674999999</v>
      </c>
      <c r="I140" s="213">
        <f t="shared" si="76"/>
        <v>-12157.85410875</v>
      </c>
      <c r="J140" s="213">
        <f t="shared" si="76"/>
        <v>-12765.7468141875</v>
      </c>
    </row>
    <row r="141" spans="1:12" s="1" customFormat="1" ht="13.95" customHeight="1" outlineLevel="1" x14ac:dyDescent="0.3">
      <c r="A141" s="68" t="s">
        <v>197</v>
      </c>
      <c r="B141" s="214"/>
      <c r="C141" s="214"/>
      <c r="D141" s="214"/>
      <c r="E141" s="90">
        <f>SUM(E137:E140)</f>
        <v>8784</v>
      </c>
      <c r="F141" s="90">
        <f ca="1">SUM(F137:F140)</f>
        <v>2729.5924346249521</v>
      </c>
      <c r="G141" s="90">
        <f t="shared" ref="G141:J141" ca="1" si="77">SUM(G137:G140)</f>
        <v>4326.7043483444977</v>
      </c>
      <c r="H141" s="90">
        <f t="shared" ca="1" si="77"/>
        <v>4262.3688591162063</v>
      </c>
      <c r="I141" s="90">
        <f t="shared" ca="1" si="77"/>
        <v>6219.5259126900291</v>
      </c>
      <c r="J141" s="90">
        <f t="shared" ca="1" si="77"/>
        <v>5193.8766427497721</v>
      </c>
    </row>
    <row r="142" spans="1:12" s="1" customFormat="1" ht="13.95" customHeight="1" outlineLevel="1" x14ac:dyDescent="0.3">
      <c r="A142" s="68"/>
      <c r="B142" s="214"/>
      <c r="C142" s="214"/>
      <c r="D142" s="214"/>
      <c r="E142" s="90"/>
      <c r="F142" s="90"/>
      <c r="G142" s="90"/>
      <c r="H142" s="90"/>
      <c r="I142" s="90"/>
      <c r="J142" s="90"/>
    </row>
    <row r="143" spans="1:12" s="1" customFormat="1" ht="13.95" customHeight="1" outlineLevel="1" x14ac:dyDescent="0.3">
      <c r="A143" s="131" t="s">
        <v>207</v>
      </c>
      <c r="B143" s="214"/>
      <c r="C143" s="214"/>
      <c r="D143" s="214"/>
      <c r="E143" s="90"/>
      <c r="F143" s="92">
        <f>SUM(F144)</f>
        <v>7000</v>
      </c>
      <c r="G143" s="92">
        <f>SUM($F$144:G144)</f>
        <v>14500</v>
      </c>
      <c r="H143" s="92">
        <f>SUM($F$144:H144)</f>
        <v>22500</v>
      </c>
      <c r="I143" s="92">
        <f>SUM($F$144:I144)</f>
        <v>31000</v>
      </c>
      <c r="J143" s="92">
        <f>SUM($F$144:J144)</f>
        <v>40000</v>
      </c>
    </row>
    <row r="144" spans="1:12" s="1" customFormat="1" ht="13.95" customHeight="1" outlineLevel="1" x14ac:dyDescent="0.3">
      <c r="A144" s="131" t="s">
        <v>204</v>
      </c>
      <c r="B144" s="131"/>
      <c r="C144"/>
      <c r="D144"/>
      <c r="E144"/>
      <c r="F144" s="86">
        <v>7000</v>
      </c>
      <c r="G144" s="86">
        <v>7500</v>
      </c>
      <c r="H144" s="86">
        <v>8000</v>
      </c>
      <c r="I144" s="86">
        <v>8500</v>
      </c>
      <c r="J144" s="86">
        <v>9000</v>
      </c>
    </row>
    <row r="145" spans="1:10" s="1" customFormat="1" ht="13.95" customHeight="1" outlineLevel="1" x14ac:dyDescent="0.3">
      <c r="A145" s="131" t="s">
        <v>206</v>
      </c>
      <c r="F145" s="92">
        <f>E143*F29</f>
        <v>0</v>
      </c>
      <c r="G145" s="92">
        <f>F143*G29</f>
        <v>318.73801401829508</v>
      </c>
      <c r="H145" s="92">
        <f t="shared" ref="H145:J145" si="78">G143*H29</f>
        <v>660.24302903789692</v>
      </c>
      <c r="I145" s="92">
        <f t="shared" si="78"/>
        <v>1024.5150450588055</v>
      </c>
      <c r="J145" s="92">
        <f t="shared" si="78"/>
        <v>1411.5540620810209</v>
      </c>
    </row>
    <row r="146" spans="1:10" s="1" customFormat="1" ht="13.95" customHeight="1" outlineLevel="1" x14ac:dyDescent="0.3">
      <c r="A146" s="131" t="s">
        <v>203</v>
      </c>
      <c r="B146" s="131"/>
      <c r="C146"/>
      <c r="D146"/>
      <c r="E146"/>
      <c r="F146" s="92">
        <f ca="1">-IF(F141&lt;0,(F141+F157),0)</f>
        <v>0</v>
      </c>
      <c r="G146" s="92">
        <f t="shared" ref="G146:J146" ca="1" si="79">-IF(G141&lt;0,(G141+G157),0)</f>
        <v>0</v>
      </c>
      <c r="H146" s="92">
        <f t="shared" ca="1" si="79"/>
        <v>0</v>
      </c>
      <c r="I146" s="92">
        <f t="shared" ca="1" si="79"/>
        <v>0</v>
      </c>
      <c r="J146" s="92">
        <f t="shared" ca="1" si="79"/>
        <v>0</v>
      </c>
    </row>
    <row r="147" spans="1:10" s="1" customFormat="1" ht="13.95" customHeight="1" outlineLevel="1" x14ac:dyDescent="0.3">
      <c r="A147" s="131" t="s">
        <v>200</v>
      </c>
      <c r="B147" s="131"/>
      <c r="C147"/>
      <c r="D147"/>
      <c r="E147"/>
      <c r="F147" s="92">
        <f ca="1">-MAX(0,F141+F157)</f>
        <v>-2729.5924346249521</v>
      </c>
      <c r="G147" s="92">
        <f t="shared" ref="G147:J147" ca="1" si="80">-MAX(0,G141+G157)</f>
        <v>-4326.7043483444977</v>
      </c>
      <c r="H147" s="92">
        <f t="shared" ca="1" si="80"/>
        <v>-4262.3688591162063</v>
      </c>
      <c r="I147" s="92">
        <f t="shared" ca="1" si="80"/>
        <v>-6219.5259126900291</v>
      </c>
      <c r="J147" s="92">
        <f t="shared" ca="1" si="80"/>
        <v>-5193.8766427497721</v>
      </c>
    </row>
    <row r="148" spans="1:10" s="1" customFormat="1" ht="13.95" customHeight="1" outlineLevel="1" x14ac:dyDescent="0.3">
      <c r="A148" s="131"/>
      <c r="B148" s="132"/>
      <c r="C148" s="132"/>
      <c r="D148" s="132"/>
      <c r="E148" s="132"/>
      <c r="F148" s="132"/>
      <c r="G148" s="132"/>
      <c r="H148" s="132"/>
      <c r="I148" s="132"/>
      <c r="J148" s="132"/>
    </row>
    <row r="149" spans="1:10" s="1" customFormat="1" ht="13.95" customHeight="1" outlineLevel="1" x14ac:dyDescent="0.3">
      <c r="A149" s="131" t="s">
        <v>103</v>
      </c>
      <c r="B149" s="132"/>
      <c r="C149" s="132">
        <f>+C41</f>
        <v>1994</v>
      </c>
      <c r="D149" s="132">
        <f>+D41</f>
        <v>2128</v>
      </c>
      <c r="E149" s="132">
        <f>+E41</f>
        <v>2683</v>
      </c>
      <c r="F149" s="132">
        <f ca="1">F171+F202+F215+F231+F246+F145</f>
        <v>2534.3040851064702</v>
      </c>
      <c r="G149" s="132">
        <f t="shared" ref="G149:J149" ca="1" si="81">G171+G202+G215+G231+G246+G145</f>
        <v>2576.182571946013</v>
      </c>
      <c r="H149" s="132">
        <f t="shared" ca="1" si="81"/>
        <v>2681.8259178196026</v>
      </c>
      <c r="I149" s="132">
        <f t="shared" ca="1" si="81"/>
        <v>2782.4635221561916</v>
      </c>
      <c r="J149" s="132">
        <f t="shared" ca="1" si="81"/>
        <v>2987.3265732426048</v>
      </c>
    </row>
    <row r="150" spans="1:10" s="1" customFormat="1" ht="13.95" customHeight="1" outlineLevel="1" x14ac:dyDescent="0.3">
      <c r="A150" s="131" t="s">
        <v>168</v>
      </c>
      <c r="B150" s="132"/>
      <c r="C150" s="92">
        <f>-C108</f>
        <v>6065</v>
      </c>
      <c r="D150" s="92">
        <f>-D108</f>
        <v>-2352</v>
      </c>
      <c r="E150" s="92">
        <f>-E108</f>
        <v>-750</v>
      </c>
      <c r="F150" s="92">
        <f>F172+F216+F232+F247</f>
        <v>6699</v>
      </c>
      <c r="G150" s="92">
        <f>G172+G216+G232+G247</f>
        <v>5707</v>
      </c>
      <c r="H150" s="92">
        <f>H172+H216+H232+H247</f>
        <v>6379</v>
      </c>
      <c r="I150" s="92">
        <f>I172+I216+I232+I247</f>
        <v>4408</v>
      </c>
      <c r="J150" s="92">
        <f>J172+J216+J232+J247</f>
        <v>5739</v>
      </c>
    </row>
    <row r="151" spans="1:10" s="1" customFormat="1" ht="13.95" customHeight="1" outlineLevel="1" x14ac:dyDescent="0.3">
      <c r="A151" s="131"/>
      <c r="B151" s="132"/>
      <c r="C151" s="132"/>
      <c r="D151" s="132"/>
      <c r="E151" s="132"/>
      <c r="F151" s="132"/>
      <c r="G151" s="132"/>
      <c r="H151" s="132"/>
      <c r="I151" s="132"/>
      <c r="J151" s="132"/>
    </row>
    <row r="152" spans="1:10" s="1" customFormat="1" ht="13.95" customHeight="1" outlineLevel="1" x14ac:dyDescent="0.3">
      <c r="A152" s="131" t="s">
        <v>100</v>
      </c>
      <c r="B152" s="132"/>
      <c r="C152" s="132">
        <f>C73</f>
        <v>5207</v>
      </c>
      <c r="D152" s="132">
        <f>D73</f>
        <v>6603</v>
      </c>
      <c r="E152" s="132">
        <f>E73</f>
        <v>6537</v>
      </c>
      <c r="F152" s="132">
        <f>F154*F26</f>
        <v>6357.3486838583949</v>
      </c>
      <c r="G152" s="132">
        <f>G154*G26</f>
        <v>6542.3268765518824</v>
      </c>
      <c r="H152" s="132">
        <f>H154*H26</f>
        <v>6709.5603681057828</v>
      </c>
      <c r="I152" s="132">
        <f>I154*I26</f>
        <v>7131.7191882406141</v>
      </c>
      <c r="J152" s="132">
        <f>J154*J26</f>
        <v>7468.1463418231369</v>
      </c>
    </row>
    <row r="153" spans="1:10" s="1" customFormat="1" ht="13.95" customHeight="1" outlineLevel="1" x14ac:dyDescent="0.3">
      <c r="A153" s="131" t="s">
        <v>101</v>
      </c>
      <c r="B153" s="132"/>
      <c r="C153" s="132">
        <f>C154-C152</f>
        <v>52116</v>
      </c>
      <c r="D153" s="132">
        <f>D154-D152</f>
        <v>52320</v>
      </c>
      <c r="E153" s="132">
        <f>E154-E152</f>
        <v>54784</v>
      </c>
      <c r="F153" s="132">
        <f>F154-F152</f>
        <v>55264.651316141608</v>
      </c>
      <c r="G153" s="132">
        <f t="shared" ref="G153:J153" si="82">G154-G152</f>
        <v>56872.673123448119</v>
      </c>
      <c r="H153" s="132">
        <f t="shared" si="82"/>
        <v>58326.439631894216</v>
      </c>
      <c r="I153" s="132">
        <f t="shared" si="82"/>
        <v>61996.280811759389</v>
      </c>
      <c r="J153" s="132">
        <f t="shared" si="82"/>
        <v>64920.853658176864</v>
      </c>
    </row>
    <row r="154" spans="1:10" s="1" customFormat="1" ht="13.95" customHeight="1" outlineLevel="1" x14ac:dyDescent="0.3">
      <c r="A154" s="215" t="s">
        <v>102</v>
      </c>
      <c r="B154" s="216"/>
      <c r="C154" s="216">
        <f>C177+C222+C237+C252+C144</f>
        <v>57323</v>
      </c>
      <c r="D154" s="216">
        <f>D177+D222+D237+D252+D144</f>
        <v>58923</v>
      </c>
      <c r="E154" s="216">
        <f>E177+E222+E237+E252+E144</f>
        <v>61321</v>
      </c>
      <c r="F154" s="216">
        <f>F177+F222+F237+F252+F143</f>
        <v>61622</v>
      </c>
      <c r="G154" s="216">
        <f t="shared" ref="G154:J154" si="83">G177+G222+G237+G252+G143</f>
        <v>63415</v>
      </c>
      <c r="H154" s="216">
        <f t="shared" si="83"/>
        <v>65036</v>
      </c>
      <c r="I154" s="216">
        <f t="shared" si="83"/>
        <v>69128</v>
      </c>
      <c r="J154" s="216">
        <f t="shared" si="83"/>
        <v>72389</v>
      </c>
    </row>
    <row r="155" spans="1:10" s="1" customFormat="1" ht="13.95" customHeight="1" outlineLevel="1" x14ac:dyDescent="0.3">
      <c r="A155" s="131"/>
      <c r="B155" s="182"/>
      <c r="C155" s="182"/>
      <c r="D155" s="182"/>
      <c r="E155" s="182"/>
      <c r="F155" s="182"/>
      <c r="G155" s="182"/>
      <c r="H155" s="182"/>
      <c r="I155" s="182"/>
      <c r="J155" s="182"/>
    </row>
    <row r="156" spans="1:10" s="1" customFormat="1" ht="13.95" customHeight="1" outlineLevel="1" x14ac:dyDescent="0.3">
      <c r="A156" s="11" t="s">
        <v>160</v>
      </c>
      <c r="B156" s="182"/>
      <c r="C156" s="182"/>
      <c r="D156" s="92"/>
      <c r="E156" s="92">
        <f>E154-D154</f>
        <v>2398</v>
      </c>
      <c r="F156" s="92">
        <f t="shared" ref="F156:J156" si="84">F154-E154</f>
        <v>301</v>
      </c>
      <c r="G156" s="92">
        <f t="shared" si="84"/>
        <v>1793</v>
      </c>
      <c r="H156" s="92">
        <f t="shared" si="84"/>
        <v>1621</v>
      </c>
      <c r="I156" s="92">
        <f t="shared" si="84"/>
        <v>4092</v>
      </c>
      <c r="J156" s="92">
        <f t="shared" si="84"/>
        <v>3261</v>
      </c>
    </row>
    <row r="157" spans="1:10" s="1" customFormat="1" ht="13.95" customHeight="1" outlineLevel="1" x14ac:dyDescent="0.3">
      <c r="A157" s="11" t="s">
        <v>180</v>
      </c>
      <c r="B157" s="11"/>
      <c r="C157" s="13"/>
      <c r="D157" s="123"/>
      <c r="E157" s="92">
        <f>E198-D198</f>
        <v>0</v>
      </c>
      <c r="F157" s="92">
        <f t="shared" ref="F157:J157" ca="1" si="85">F198-E198</f>
        <v>0</v>
      </c>
      <c r="G157" s="92">
        <f t="shared" ca="1" si="85"/>
        <v>0</v>
      </c>
      <c r="H157" s="92">
        <f t="shared" ca="1" si="85"/>
        <v>0</v>
      </c>
      <c r="I157" s="92">
        <f t="shared" ca="1" si="85"/>
        <v>0</v>
      </c>
      <c r="J157" s="92">
        <f t="shared" ca="1" si="85"/>
        <v>0</v>
      </c>
    </row>
    <row r="158" spans="1:10" s="1" customFormat="1" ht="13.95" customHeight="1" outlineLevel="1" x14ac:dyDescent="0.3">
      <c r="A158" s="11"/>
      <c r="B158" s="11"/>
      <c r="C158" s="13"/>
      <c r="D158" s="123"/>
      <c r="E158" s="11"/>
      <c r="F158" s="78"/>
      <c r="G158" s="78"/>
      <c r="H158" s="78"/>
      <c r="I158" s="78"/>
      <c r="J158" s="78"/>
    </row>
    <row r="159" spans="1:10" s="1" customFormat="1" ht="13.95" customHeight="1" outlineLevel="1" x14ac:dyDescent="0.3">
      <c r="A159" s="11" t="s">
        <v>195</v>
      </c>
      <c r="B159" s="11"/>
      <c r="C159" s="200">
        <f>C58/C33</f>
        <v>2.5770225960883731E-2</v>
      </c>
      <c r="D159" s="200">
        <f>D58/D33</f>
        <v>1.4109529207952377E-2</v>
      </c>
      <c r="E159" s="200">
        <f>E58/E33</f>
        <v>1.5223915139826422E-2</v>
      </c>
      <c r="F159" s="212">
        <v>1.4999999999999999E-2</v>
      </c>
      <c r="G159" s="212">
        <v>1.4999999999999999E-2</v>
      </c>
      <c r="H159" s="212">
        <v>1.4999999999999999E-2</v>
      </c>
      <c r="I159" s="212">
        <v>1.4999999999999999E-2</v>
      </c>
      <c r="J159" s="212">
        <v>1.4999999999999999E-2</v>
      </c>
    </row>
    <row r="160" spans="1:10" s="1" customFormat="1" ht="13.95" customHeight="1" outlineLevel="1" x14ac:dyDescent="0.3">
      <c r="A160" s="11" t="s">
        <v>193</v>
      </c>
      <c r="B160" s="11"/>
      <c r="C160" s="200">
        <f t="shared" ref="C160:J160" si="86">IFERROR(C154/C33,"N/A")</f>
        <v>0.10008310723277358</v>
      </c>
      <c r="D160" s="200">
        <f t="shared" si="86"/>
        <v>9.6391395886397432E-2</v>
      </c>
      <c r="E160" s="200">
        <f t="shared" si="86"/>
        <v>9.4612921890067508E-2</v>
      </c>
      <c r="F160" s="200">
        <f t="shared" si="86"/>
        <v>8.9695602336202038E-2</v>
      </c>
      <c r="G160" s="200">
        <f t="shared" si="86"/>
        <v>8.7080615997690305E-2</v>
      </c>
      <c r="H160" s="200">
        <f t="shared" si="86"/>
        <v>8.4251463361679893E-2</v>
      </c>
      <c r="I160" s="200">
        <f t="shared" si="86"/>
        <v>8.5288077215347508E-2</v>
      </c>
      <c r="J160" s="200">
        <f t="shared" si="86"/>
        <v>8.5058478427069609E-2</v>
      </c>
    </row>
    <row r="161" spans="1:15" s="1" customFormat="1" ht="13.95" customHeight="1" outlineLevel="1" x14ac:dyDescent="0.3">
      <c r="A161" s="129" t="s">
        <v>91</v>
      </c>
      <c r="B161" s="130"/>
      <c r="C161" s="133"/>
      <c r="D161" s="134"/>
      <c r="E161" s="125"/>
      <c r="F161" s="125"/>
      <c r="G161" s="125"/>
      <c r="H161" s="125"/>
      <c r="I161" s="125"/>
      <c r="J161" s="125"/>
    </row>
    <row r="162" spans="1:15" s="1" customFormat="1" ht="13.95" customHeight="1" outlineLevel="1" x14ac:dyDescent="0.3">
      <c r="A162" s="131" t="s">
        <v>89</v>
      </c>
      <c r="B162" s="135">
        <v>8.5000000000000006E-2</v>
      </c>
      <c r="C162" s="131"/>
      <c r="D162" s="125"/>
      <c r="E162" s="125"/>
      <c r="F162" s="125"/>
      <c r="G162" s="125"/>
      <c r="H162" s="125"/>
      <c r="I162" s="125"/>
      <c r="J162" s="125"/>
    </row>
    <row r="163" spans="1:15" s="1" customFormat="1" ht="13.95" customHeight="1" outlineLevel="1" x14ac:dyDescent="0.3">
      <c r="A163" s="131" t="s">
        <v>90</v>
      </c>
      <c r="B163" s="135">
        <v>5.2999999999999999E-2</v>
      </c>
      <c r="C163" s="131"/>
      <c r="D163" s="125"/>
      <c r="E163" s="125"/>
      <c r="F163" s="125"/>
      <c r="G163" s="125"/>
      <c r="H163" s="125"/>
      <c r="I163" s="125"/>
      <c r="J163" s="125"/>
    </row>
    <row r="164" spans="1:15" s="1" customFormat="1" ht="13.95" customHeight="1" outlineLevel="1" x14ac:dyDescent="0.3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</row>
    <row r="165" spans="1:15" s="1" customFormat="1" ht="13.95" customHeight="1" outlineLevel="1" x14ac:dyDescent="0.3">
      <c r="A165" s="136" t="s">
        <v>78</v>
      </c>
      <c r="B165" s="137"/>
      <c r="C165" s="138"/>
      <c r="D165" s="139"/>
      <c r="E165" s="137"/>
      <c r="F165" s="137"/>
      <c r="G165" s="137"/>
      <c r="H165" s="137"/>
      <c r="I165" s="137"/>
      <c r="J165" s="137"/>
    </row>
    <row r="166" spans="1:15" s="1" customFormat="1" ht="13.95" customHeight="1" outlineLevel="1" x14ac:dyDescent="0.3">
      <c r="A166" s="11" t="s">
        <v>162</v>
      </c>
      <c r="B166" s="140">
        <f>AVERAGE(C29:E29)</f>
        <v>4.1328485920100293E-2</v>
      </c>
      <c r="C166" s="11"/>
      <c r="D166" s="123"/>
      <c r="E166" s="11"/>
      <c r="F166" s="11"/>
      <c r="G166" s="11"/>
      <c r="H166" s="11"/>
      <c r="I166" s="11"/>
      <c r="J166" s="11"/>
    </row>
    <row r="167" spans="1:15" s="1" customFormat="1" ht="13.95" customHeight="1" outlineLevel="1" x14ac:dyDescent="0.3">
      <c r="A167" s="11" t="s">
        <v>159</v>
      </c>
      <c r="B167" s="209">
        <v>5</v>
      </c>
      <c r="C167" s="11"/>
      <c r="D167" s="123"/>
      <c r="E167" s="11"/>
      <c r="F167" s="11"/>
      <c r="G167" s="11"/>
      <c r="H167" s="11"/>
      <c r="I167" s="11"/>
      <c r="J167" s="11"/>
    </row>
    <row r="168" spans="1:15" s="1" customFormat="1" ht="13.95" customHeight="1" outlineLevel="1" x14ac:dyDescent="0.3">
      <c r="A168" s="11" t="s">
        <v>188</v>
      </c>
      <c r="B168" s="142">
        <f>E177</f>
        <v>61321</v>
      </c>
      <c r="C168" s="11"/>
      <c r="D168" s="123"/>
      <c r="E168" s="11"/>
      <c r="F168" s="11"/>
      <c r="G168" s="11"/>
      <c r="H168" s="11"/>
      <c r="I168" s="11"/>
      <c r="J168" s="11"/>
    </row>
    <row r="169" spans="1:15" s="1" customFormat="1" ht="13.95" customHeight="1" outlineLevel="1" x14ac:dyDescent="0.3">
      <c r="A169" s="11" t="s">
        <v>79</v>
      </c>
      <c r="B169" s="141" t="s">
        <v>80</v>
      </c>
      <c r="C169" s="11"/>
      <c r="D169" s="123"/>
      <c r="E169" s="11"/>
      <c r="F169" s="11"/>
      <c r="G169" s="11"/>
      <c r="H169" s="11"/>
      <c r="I169" s="11"/>
      <c r="J169" s="11"/>
    </row>
    <row r="170" spans="1:15" s="1" customFormat="1" ht="13.95" customHeight="1" outlineLevel="1" x14ac:dyDescent="0.3">
      <c r="A170" s="11"/>
      <c r="B170" s="143"/>
      <c r="C170" s="11"/>
      <c r="D170" s="123"/>
      <c r="E170" s="11"/>
      <c r="F170" s="11"/>
      <c r="G170" s="11"/>
      <c r="H170" s="11"/>
      <c r="I170" s="11"/>
      <c r="J170" s="11"/>
    </row>
    <row r="171" spans="1:15" s="1" customFormat="1" ht="13.95" customHeight="1" outlineLevel="1" x14ac:dyDescent="0.3">
      <c r="A171" s="11" t="s">
        <v>82</v>
      </c>
      <c r="B171" s="144"/>
      <c r="C171" s="92">
        <f>C41</f>
        <v>1994</v>
      </c>
      <c r="D171" s="92">
        <f>D41</f>
        <v>2128</v>
      </c>
      <c r="E171" s="92">
        <f>E41</f>
        <v>2683</v>
      </c>
      <c r="F171" s="92">
        <f>$B$166*F175</f>
        <v>2534.3040851064702</v>
      </c>
      <c r="G171" s="92">
        <f t="shared" ref="G171:J171" si="87">$B$166*G175</f>
        <v>2257.4445579277181</v>
      </c>
      <c r="H171" s="92">
        <f t="shared" si="87"/>
        <v>2021.5828887817058</v>
      </c>
      <c r="I171" s="92">
        <f t="shared" si="87"/>
        <v>1757.9484770973861</v>
      </c>
      <c r="J171" s="92">
        <f t="shared" si="87"/>
        <v>1575.7725111615839</v>
      </c>
    </row>
    <row r="172" spans="1:15" s="1" customFormat="1" ht="13.95" customHeight="1" outlineLevel="1" x14ac:dyDescent="0.3">
      <c r="A172" s="11" t="s">
        <v>83</v>
      </c>
      <c r="B172" s="144"/>
      <c r="C172" s="92">
        <f>-C176</f>
        <v>6065</v>
      </c>
      <c r="D172" s="92">
        <f t="shared" ref="D172:E172" si="88">-D176</f>
        <v>-2352</v>
      </c>
      <c r="E172" s="92">
        <f t="shared" si="88"/>
        <v>-750</v>
      </c>
      <c r="F172" s="86">
        <f>3447+2181+1071</f>
        <v>6699</v>
      </c>
      <c r="G172" s="86">
        <f>2600+2107+1000</f>
        <v>5707</v>
      </c>
      <c r="H172" s="86">
        <f>3483+1970+926</f>
        <v>6379</v>
      </c>
      <c r="I172" s="86">
        <f>1760+1825+823</f>
        <v>4408</v>
      </c>
      <c r="J172" s="86">
        <f>3458+1645+636</f>
        <v>5739</v>
      </c>
    </row>
    <row r="173" spans="1:15" s="1" customFormat="1" ht="13.95" customHeight="1" outlineLevel="1" x14ac:dyDescent="0.3">
      <c r="A173" s="96" t="s">
        <v>84</v>
      </c>
      <c r="B173" s="146"/>
      <c r="C173" s="88">
        <f>SUM(C171:C172)</f>
        <v>8059</v>
      </c>
      <c r="D173" s="88">
        <f t="shared" ref="D173:E173" si="89">SUM(D171:D172)</f>
        <v>-224</v>
      </c>
      <c r="E173" s="88">
        <f t="shared" si="89"/>
        <v>1933</v>
      </c>
      <c r="F173" s="148">
        <f>SUM(F171:F172)</f>
        <v>9233.3040851064707</v>
      </c>
      <c r="G173" s="148">
        <f t="shared" ref="G173:J173" si="90">SUM(G171:G172)</f>
        <v>7964.4445579277181</v>
      </c>
      <c r="H173" s="148">
        <f t="shared" si="90"/>
        <v>8400.5828887817061</v>
      </c>
      <c r="I173" s="148">
        <f t="shared" si="90"/>
        <v>6165.9484770973859</v>
      </c>
      <c r="J173" s="148">
        <f t="shared" si="90"/>
        <v>7314.7725111615837</v>
      </c>
    </row>
    <row r="174" spans="1:15" s="1" customFormat="1" ht="13.95" customHeight="1" outlineLevel="1" x14ac:dyDescent="0.3">
      <c r="A174" s="11"/>
      <c r="B174" s="144"/>
      <c r="C174" s="13"/>
      <c r="D174" s="123"/>
      <c r="E174" s="11"/>
      <c r="F174" s="11"/>
      <c r="G174" s="11"/>
      <c r="H174" s="11"/>
      <c r="I174" s="11"/>
      <c r="J174" s="11"/>
    </row>
    <row r="175" spans="1:15" s="1" customFormat="1" ht="13.95" customHeight="1" outlineLevel="1" x14ac:dyDescent="0.3">
      <c r="A175" s="11" t="s">
        <v>85</v>
      </c>
      <c r="B175" s="144"/>
      <c r="C175" s="92">
        <f>C177-C176</f>
        <v>63388</v>
      </c>
      <c r="D175" s="127">
        <f>C177</f>
        <v>57323</v>
      </c>
      <c r="E175" s="127">
        <f>D177</f>
        <v>58923</v>
      </c>
      <c r="F175" s="78">
        <f>E177</f>
        <v>61321</v>
      </c>
      <c r="G175" s="78">
        <f t="shared" ref="G175:J175" si="91">F177</f>
        <v>54622</v>
      </c>
      <c r="H175" s="78">
        <f t="shared" si="91"/>
        <v>48915</v>
      </c>
      <c r="I175" s="78">
        <f t="shared" si="91"/>
        <v>42536</v>
      </c>
      <c r="J175" s="78">
        <f t="shared" si="91"/>
        <v>38128</v>
      </c>
    </row>
    <row r="176" spans="1:15" s="1" customFormat="1" ht="13.95" customHeight="1" outlineLevel="1" x14ac:dyDescent="0.3">
      <c r="A176" s="11" t="s">
        <v>105</v>
      </c>
      <c r="B176" s="144"/>
      <c r="C176" s="92">
        <f>C108</f>
        <v>-6065</v>
      </c>
      <c r="D176" s="92">
        <f>D108</f>
        <v>2352</v>
      </c>
      <c r="E176" s="92">
        <f>E108</f>
        <v>750</v>
      </c>
      <c r="F176" s="78">
        <f>-F172</f>
        <v>-6699</v>
      </c>
      <c r="G176" s="78">
        <f t="shared" ref="G176:J176" si="92">-G172</f>
        <v>-5707</v>
      </c>
      <c r="H176" s="78">
        <f t="shared" si="92"/>
        <v>-6379</v>
      </c>
      <c r="I176" s="78">
        <f t="shared" si="92"/>
        <v>-4408</v>
      </c>
      <c r="J176" s="78">
        <f t="shared" si="92"/>
        <v>-5739</v>
      </c>
      <c r="M176" s="207"/>
      <c r="N176" s="207"/>
      <c r="O176" s="207"/>
    </row>
    <row r="177" spans="1:10" s="1" customFormat="1" ht="13.95" customHeight="1" outlineLevel="1" x14ac:dyDescent="0.3">
      <c r="A177" s="96" t="s">
        <v>86</v>
      </c>
      <c r="B177" s="146"/>
      <c r="C177" s="88">
        <f>C80+C73</f>
        <v>57323</v>
      </c>
      <c r="D177" s="88">
        <f>D80+D73</f>
        <v>58923</v>
      </c>
      <c r="E177" s="88">
        <f>E80+E73</f>
        <v>61321</v>
      </c>
      <c r="F177" s="147">
        <f>SUM(F175:F176)</f>
        <v>54622</v>
      </c>
      <c r="G177" s="147">
        <f t="shared" ref="G177:J177" si="93">SUM(G175:G176)</f>
        <v>48915</v>
      </c>
      <c r="H177" s="147">
        <f t="shared" si="93"/>
        <v>42536</v>
      </c>
      <c r="I177" s="147">
        <f t="shared" si="93"/>
        <v>38128</v>
      </c>
      <c r="J177" s="147">
        <f t="shared" si="93"/>
        <v>32389</v>
      </c>
    </row>
    <row r="178" spans="1:10" s="1" customFormat="1" ht="13.95" customHeight="1" outlineLevel="1" x14ac:dyDescent="0.3">
      <c r="A178" s="11"/>
      <c r="B178" s="144"/>
      <c r="C178" s="13"/>
      <c r="D178" s="123"/>
      <c r="E178" s="84"/>
      <c r="F178" s="11"/>
      <c r="G178" s="11"/>
      <c r="H178" s="11"/>
      <c r="I178" s="11"/>
      <c r="J178" s="11"/>
    </row>
    <row r="179" spans="1:10" s="1" customFormat="1" ht="13.95" customHeight="1" outlineLevel="1" x14ac:dyDescent="0.3">
      <c r="A179" s="136" t="s">
        <v>161</v>
      </c>
      <c r="B179" s="149"/>
      <c r="C179" s="138"/>
      <c r="D179" s="139"/>
      <c r="E179" s="137"/>
      <c r="F179" s="137"/>
      <c r="G179" s="137"/>
      <c r="H179" s="137"/>
      <c r="I179" s="137"/>
      <c r="J179" s="137"/>
    </row>
    <row r="180" spans="1:10" s="1" customFormat="1" ht="13.95" customHeight="1" outlineLevel="1" x14ac:dyDescent="0.3">
      <c r="A180" s="74" t="s">
        <v>106</v>
      </c>
      <c r="B180" s="150"/>
      <c r="C180" s="151"/>
      <c r="D180" s="152"/>
      <c r="E180" s="153"/>
      <c r="F180" s="153"/>
      <c r="G180" s="153"/>
      <c r="H180" s="153"/>
      <c r="I180" s="153"/>
      <c r="J180" s="153"/>
    </row>
    <row r="181" spans="1:10" s="1" customFormat="1" ht="13.95" customHeight="1" outlineLevel="1" x14ac:dyDescent="0.3">
      <c r="A181" s="11" t="s">
        <v>47</v>
      </c>
      <c r="B181" s="154">
        <v>0.75</v>
      </c>
      <c r="C181" s="84"/>
      <c r="D181" s="84"/>
      <c r="E181" s="78">
        <f t="shared" ref="E181:J181" si="94">E59*$B$181</f>
        <v>6597</v>
      </c>
      <c r="F181" s="78">
        <f t="shared" si="94"/>
        <v>7042.8089310682599</v>
      </c>
      <c r="G181" s="78">
        <f t="shared" si="94"/>
        <v>7465.3774669323557</v>
      </c>
      <c r="H181" s="78">
        <f t="shared" si="94"/>
        <v>7913.3001149482971</v>
      </c>
      <c r="I181" s="78">
        <f t="shared" si="94"/>
        <v>8308.9651206957114</v>
      </c>
      <c r="J181" s="78">
        <f t="shared" si="94"/>
        <v>8724.4133767304975</v>
      </c>
    </row>
    <row r="182" spans="1:10" s="1" customFormat="1" ht="13.95" customHeight="1" outlineLevel="1" x14ac:dyDescent="0.3">
      <c r="A182" s="11" t="s">
        <v>1</v>
      </c>
      <c r="B182" s="154">
        <v>0.5</v>
      </c>
      <c r="C182" s="84"/>
      <c r="D182" s="84"/>
      <c r="E182" s="78">
        <f t="shared" ref="E182:J182" si="95">E60*$B$182</f>
        <v>27446</v>
      </c>
      <c r="F182" s="78">
        <f t="shared" si="95"/>
        <v>31601.144768350718</v>
      </c>
      <c r="G182" s="78">
        <f t="shared" si="95"/>
        <v>33497.213454451761</v>
      </c>
      <c r="H182" s="78">
        <f t="shared" si="95"/>
        <v>35507.046261718868</v>
      </c>
      <c r="I182" s="78">
        <f t="shared" si="95"/>
        <v>37282.398574804814</v>
      </c>
      <c r="J182" s="78">
        <f t="shared" si="95"/>
        <v>39146.518503545056</v>
      </c>
    </row>
    <row r="183" spans="1:10" s="1" customFormat="1" ht="13.95" customHeight="1" outlineLevel="1" x14ac:dyDescent="0.3">
      <c r="A183" s="100" t="s">
        <v>88</v>
      </c>
      <c r="B183" s="100"/>
      <c r="C183" s="155"/>
      <c r="D183" s="156"/>
      <c r="E183" s="120">
        <f>SUM(E181:E182)</f>
        <v>34043</v>
      </c>
      <c r="F183" s="120">
        <f t="shared" ref="F183:J183" si="96">SUM(F181:F182)</f>
        <v>38643.953699418977</v>
      </c>
      <c r="G183" s="120">
        <f t="shared" si="96"/>
        <v>40962.590921384115</v>
      </c>
      <c r="H183" s="120">
        <f t="shared" si="96"/>
        <v>43420.346376667163</v>
      </c>
      <c r="I183" s="120">
        <f t="shared" si="96"/>
        <v>45591.363695500528</v>
      </c>
      <c r="J183" s="120">
        <f t="shared" si="96"/>
        <v>47870.931880275552</v>
      </c>
    </row>
    <row r="184" spans="1:10" s="1" customFormat="1" ht="13.95" customHeight="1" outlineLevel="1" x14ac:dyDescent="0.3">
      <c r="A184" s="100" t="s">
        <v>205</v>
      </c>
      <c r="B184" s="120">
        <v>15000</v>
      </c>
      <c r="C184" s="218"/>
      <c r="D184" s="219"/>
      <c r="E184" s="121"/>
      <c r="F184" s="121"/>
      <c r="G184" s="121"/>
      <c r="H184" s="121"/>
      <c r="I184" s="121"/>
      <c r="J184" s="121"/>
    </row>
    <row r="185" spans="1:10" s="1" customFormat="1" ht="13.95" customHeight="1" outlineLevel="1" x14ac:dyDescent="0.3">
      <c r="A185" s="11"/>
      <c r="B185" s="11"/>
      <c r="C185" s="13"/>
      <c r="D185" s="123"/>
      <c r="E185" s="11"/>
      <c r="F185" s="11"/>
      <c r="G185" s="11"/>
      <c r="H185" s="11"/>
      <c r="I185" s="11"/>
      <c r="J185" s="11"/>
    </row>
    <row r="186" spans="1:10" s="1" customFormat="1" ht="13.95" customHeight="1" outlineLevel="1" x14ac:dyDescent="0.3">
      <c r="A186" s="11" t="s">
        <v>163</v>
      </c>
      <c r="B186" s="141" t="s">
        <v>90</v>
      </c>
      <c r="C186" s="13"/>
      <c r="D186" s="123"/>
      <c r="E186" s="11"/>
      <c r="F186" s="11"/>
      <c r="G186" s="11"/>
      <c r="H186" s="11"/>
      <c r="I186" s="11"/>
      <c r="J186" s="11"/>
    </row>
    <row r="187" spans="1:10" s="1" customFormat="1" ht="13.95" customHeight="1" outlineLevel="1" x14ac:dyDescent="0.3">
      <c r="A187" s="11" t="s">
        <v>93</v>
      </c>
      <c r="B187" s="140">
        <f>VLOOKUP(B186,$A$162:$B$163,2,FALSE)</f>
        <v>5.2999999999999999E-2</v>
      </c>
      <c r="C187" s="13"/>
      <c r="D187" s="123"/>
      <c r="E187" s="11"/>
      <c r="F187" s="11"/>
      <c r="G187" s="11"/>
      <c r="H187" s="11"/>
      <c r="I187" s="11"/>
      <c r="J187" s="11"/>
    </row>
    <row r="188" spans="1:10" s="1" customFormat="1" ht="13.95" customHeight="1" outlineLevel="1" x14ac:dyDescent="0.3">
      <c r="A188" s="11" t="s">
        <v>92</v>
      </c>
      <c r="B188" s="157">
        <v>2.5000000000000001E-2</v>
      </c>
      <c r="C188" s="13"/>
      <c r="D188" s="123"/>
      <c r="E188" s="11"/>
      <c r="F188" s="11"/>
      <c r="G188" s="11"/>
      <c r="H188" s="11"/>
      <c r="I188" s="11"/>
      <c r="J188" s="11"/>
    </row>
    <row r="189" spans="1:10" s="1" customFormat="1" ht="13.95" customHeight="1" outlineLevel="1" x14ac:dyDescent="0.3">
      <c r="A189" s="11" t="s">
        <v>165</v>
      </c>
      <c r="B189" s="158">
        <f>SUM(B187:B188)</f>
        <v>7.8E-2</v>
      </c>
      <c r="C189" s="13"/>
      <c r="D189" s="123"/>
      <c r="E189" s="11"/>
      <c r="F189" s="11"/>
      <c r="G189" s="11"/>
      <c r="H189" s="11"/>
      <c r="I189" s="11"/>
      <c r="J189" s="11"/>
    </row>
    <row r="190" spans="1:10" s="1" customFormat="1" ht="13.95" customHeight="1" outlineLevel="1" x14ac:dyDescent="0.3">
      <c r="A190" s="11"/>
      <c r="B190" s="11"/>
      <c r="C190" s="13"/>
      <c r="D190" s="123"/>
      <c r="E190" s="11"/>
      <c r="F190" s="11"/>
      <c r="G190" s="11"/>
      <c r="H190" s="11"/>
      <c r="I190" s="11"/>
      <c r="J190" s="11"/>
    </row>
    <row r="191" spans="1:10" s="1" customFormat="1" ht="13.95" customHeight="1" outlineLevel="1" x14ac:dyDescent="0.3">
      <c r="A191" s="11" t="s">
        <v>67</v>
      </c>
      <c r="B191" s="11"/>
      <c r="C191" s="13"/>
      <c r="D191" s="123"/>
      <c r="E191" s="145">
        <f t="shared" ref="E191:J193" si="97">E18</f>
        <v>4.9535814850530375</v>
      </c>
      <c r="F191" s="145">
        <f t="shared" si="97"/>
        <v>4.9889926987547097</v>
      </c>
      <c r="G191" s="145">
        <f t="shared" si="97"/>
        <v>4.9889926987547097</v>
      </c>
      <c r="H191" s="145">
        <f t="shared" si="97"/>
        <v>4.9889926987547097</v>
      </c>
      <c r="I191" s="145">
        <f t="shared" si="97"/>
        <v>4.9889926987547097</v>
      </c>
      <c r="J191" s="145">
        <f t="shared" si="97"/>
        <v>4.9889926987547097</v>
      </c>
    </row>
    <row r="192" spans="1:10" s="1" customFormat="1" ht="13.95" customHeight="1" outlineLevel="1" x14ac:dyDescent="0.3">
      <c r="A192" s="11" t="s">
        <v>68</v>
      </c>
      <c r="B192" s="11"/>
      <c r="C192" s="13"/>
      <c r="D192" s="123"/>
      <c r="E192" s="145">
        <f t="shared" si="97"/>
        <v>41.890112463385108</v>
      </c>
      <c r="F192" s="145">
        <f t="shared" si="97"/>
        <v>45.601190818300552</v>
      </c>
      <c r="G192" s="145">
        <f t="shared" si="97"/>
        <v>45.601190818300552</v>
      </c>
      <c r="H192" s="145">
        <f t="shared" si="97"/>
        <v>45.601190818300552</v>
      </c>
      <c r="I192" s="145">
        <f t="shared" si="97"/>
        <v>45.601190818300552</v>
      </c>
      <c r="J192" s="145">
        <f t="shared" si="97"/>
        <v>45.601190818300552</v>
      </c>
    </row>
    <row r="193" spans="1:10" s="1" customFormat="1" ht="13.95" customHeight="1" outlineLevel="1" x14ac:dyDescent="0.3">
      <c r="A193" s="11" t="s">
        <v>69</v>
      </c>
      <c r="B193" s="11"/>
      <c r="C193" s="13"/>
      <c r="D193" s="123"/>
      <c r="E193" s="145">
        <f t="shared" si="97"/>
        <v>31.994414657666347</v>
      </c>
      <c r="F193" s="145">
        <f t="shared" si="97"/>
        <v>33.099994751882925</v>
      </c>
      <c r="G193" s="145">
        <f t="shared" si="97"/>
        <v>33.099994751882925</v>
      </c>
      <c r="H193" s="145">
        <f t="shared" si="97"/>
        <v>33.099994751882925</v>
      </c>
      <c r="I193" s="145">
        <f t="shared" si="97"/>
        <v>33.099994751882925</v>
      </c>
      <c r="J193" s="145">
        <f t="shared" si="97"/>
        <v>33.099994751882925</v>
      </c>
    </row>
    <row r="194" spans="1:10" s="1" customFormat="1" ht="13.95" customHeight="1" outlineLevel="1" x14ac:dyDescent="0.3">
      <c r="A194" s="100" t="s">
        <v>158</v>
      </c>
      <c r="B194" s="100"/>
      <c r="C194" s="155"/>
      <c r="D194" s="156"/>
      <c r="E194" s="159">
        <f>E191+E192-E193</f>
        <v>14.849279290771797</v>
      </c>
      <c r="F194" s="159">
        <f t="shared" ref="F194:J194" si="98">F191+F192-F193</f>
        <v>17.490188765172334</v>
      </c>
      <c r="G194" s="159">
        <f t="shared" si="98"/>
        <v>17.490188765172334</v>
      </c>
      <c r="H194" s="159">
        <f t="shared" si="98"/>
        <v>17.490188765172334</v>
      </c>
      <c r="I194" s="159">
        <f t="shared" si="98"/>
        <v>17.490188765172334</v>
      </c>
      <c r="J194" s="159">
        <f t="shared" si="98"/>
        <v>17.490188765172334</v>
      </c>
    </row>
    <row r="195" spans="1:10" s="1" customFormat="1" ht="13.95" customHeight="1" outlineLevel="1" x14ac:dyDescent="0.3">
      <c r="A195" s="11" t="s">
        <v>94</v>
      </c>
      <c r="B195" s="11"/>
      <c r="C195" s="13"/>
      <c r="D195" s="123"/>
      <c r="E195" s="19"/>
      <c r="F195" s="19"/>
      <c r="G195" s="19"/>
      <c r="H195" s="19"/>
      <c r="I195" s="19"/>
      <c r="J195" s="19"/>
    </row>
    <row r="196" spans="1:10" s="1" customFormat="1" ht="13.95" customHeight="1" outlineLevel="1" x14ac:dyDescent="0.3">
      <c r="A196" s="11"/>
      <c r="B196" s="11"/>
      <c r="C196" s="13"/>
      <c r="D196" s="123"/>
      <c r="E196" s="11"/>
      <c r="F196" s="11"/>
      <c r="G196" s="11"/>
      <c r="H196" s="11"/>
      <c r="I196" s="11"/>
      <c r="J196" s="11"/>
    </row>
    <row r="197" spans="1:10" s="1" customFormat="1" ht="13.95" customHeight="1" outlineLevel="1" x14ac:dyDescent="0.3">
      <c r="A197" s="11" t="s">
        <v>95</v>
      </c>
      <c r="B197" s="11"/>
      <c r="C197" s="13"/>
      <c r="D197" s="123"/>
      <c r="E197" s="78">
        <f>-(E115+E103+E106+E109+E110+E111+E156)</f>
        <v>-12096</v>
      </c>
      <c r="F197" s="78">
        <f t="shared" ref="F197:J197" ca="1" si="99">-(F115+F103+F106+F109+F110+F111+F156)</f>
        <v>-10167.193354195082</v>
      </c>
      <c r="G197" s="78">
        <f t="shared" ca="1" si="99"/>
        <v>-10805.707649352655</v>
      </c>
      <c r="H197" s="78">
        <f t="shared" ca="1" si="99"/>
        <v>-11475.526586987547</v>
      </c>
      <c r="I197" s="78">
        <f t="shared" ca="1" si="99"/>
        <v>-12187.343187256536</v>
      </c>
      <c r="J197" s="78">
        <f t="shared" ca="1" si="99"/>
        <v>-12948.941651758851</v>
      </c>
    </row>
    <row r="198" spans="1:10" s="1" customFormat="1" ht="13.95" customHeight="1" outlineLevel="1" x14ac:dyDescent="0.3">
      <c r="A198" s="11" t="s">
        <v>164</v>
      </c>
      <c r="B198" s="11"/>
      <c r="C198" s="13"/>
      <c r="D198" s="123"/>
      <c r="E198" s="19"/>
      <c r="F198" s="19">
        <f ca="1">IF(E198+F197&gt;0,E198+F197,0)</f>
        <v>0</v>
      </c>
      <c r="G198" s="19">
        <f t="shared" ref="G198:J198" ca="1" si="100">IF(F198+G197&gt;0,F198+G197,0)</f>
        <v>0</v>
      </c>
      <c r="H198" s="19">
        <f t="shared" ca="1" si="100"/>
        <v>0</v>
      </c>
      <c r="I198" s="19">
        <f t="shared" ca="1" si="100"/>
        <v>0</v>
      </c>
      <c r="J198" s="19">
        <f t="shared" ca="1" si="100"/>
        <v>0</v>
      </c>
    </row>
    <row r="199" spans="1:10" s="1" customFormat="1" ht="13.95" customHeight="1" outlineLevel="1" x14ac:dyDescent="0.3">
      <c r="A199" s="11"/>
      <c r="B199" s="11"/>
      <c r="C199" s="13"/>
      <c r="D199" s="123"/>
      <c r="E199" s="11"/>
      <c r="F199" s="11"/>
      <c r="G199" s="11"/>
      <c r="H199" s="11"/>
      <c r="I199" s="11"/>
      <c r="J199" s="11"/>
    </row>
    <row r="200" spans="1:10" s="1" customFormat="1" ht="13.95" customHeight="1" outlineLevel="1" x14ac:dyDescent="0.3">
      <c r="A200" s="11" t="s">
        <v>96</v>
      </c>
      <c r="B200" s="11"/>
      <c r="C200" s="13"/>
      <c r="D200" s="123"/>
      <c r="E200" s="11"/>
      <c r="F200" s="47">
        <f ca="1">F198/F183</f>
        <v>0</v>
      </c>
      <c r="G200" s="47">
        <f ca="1">G198/G183</f>
        <v>0</v>
      </c>
      <c r="H200" s="47">
        <f ca="1">H198/H183</f>
        <v>0</v>
      </c>
      <c r="I200" s="47">
        <f ca="1">I198/I183</f>
        <v>0</v>
      </c>
      <c r="J200" s="47">
        <f ca="1">J198/J183</f>
        <v>0</v>
      </c>
    </row>
    <row r="201" spans="1:10" s="1" customFormat="1" ht="13.95" customHeight="1" outlineLevel="1" x14ac:dyDescent="0.3">
      <c r="A201" s="11"/>
      <c r="B201" s="11"/>
      <c r="C201" s="13"/>
      <c r="D201" s="123"/>
      <c r="E201" s="11"/>
      <c r="F201" s="11"/>
      <c r="G201" s="11"/>
      <c r="H201" s="11"/>
      <c r="I201" s="11"/>
      <c r="J201" s="11"/>
    </row>
    <row r="202" spans="1:10" s="1" customFormat="1" ht="13.95" customHeight="1" outlineLevel="1" x14ac:dyDescent="0.3">
      <c r="A202" s="11" t="s">
        <v>97</v>
      </c>
      <c r="B202" s="11"/>
      <c r="C202" s="13"/>
      <c r="D202" s="123"/>
      <c r="E202" s="11"/>
      <c r="F202" s="145">
        <f ca="1">F198*$B$189</f>
        <v>0</v>
      </c>
      <c r="G202" s="145">
        <f t="shared" ref="G202:J202" ca="1" si="101">G198*$B$189</f>
        <v>0</v>
      </c>
      <c r="H202" s="145">
        <f t="shared" ca="1" si="101"/>
        <v>0</v>
      </c>
      <c r="I202" s="145">
        <f t="shared" ca="1" si="101"/>
        <v>0</v>
      </c>
      <c r="J202" s="145">
        <f t="shared" ca="1" si="101"/>
        <v>0</v>
      </c>
    </row>
    <row r="203" spans="1:10" s="1" customFormat="1" ht="13.95" customHeight="1" outlineLevel="1" x14ac:dyDescent="0.3">
      <c r="A203" s="11"/>
      <c r="B203" s="11"/>
      <c r="C203" s="13"/>
      <c r="D203" s="123"/>
      <c r="E203" s="11"/>
      <c r="F203" s="11"/>
      <c r="G203" s="11"/>
      <c r="H203" s="11"/>
      <c r="I203" s="11"/>
      <c r="J203" s="11"/>
    </row>
    <row r="204" spans="1:10" s="1" customFormat="1" ht="13.95" hidden="1" customHeight="1" outlineLevel="1" x14ac:dyDescent="0.3">
      <c r="A204" s="136" t="s">
        <v>179</v>
      </c>
      <c r="B204" s="149"/>
      <c r="C204" s="138"/>
      <c r="D204" s="139"/>
      <c r="E204" s="137"/>
      <c r="F204" s="137"/>
      <c r="G204" s="137"/>
      <c r="H204" s="137"/>
      <c r="I204" s="137"/>
      <c r="J204" s="137"/>
    </row>
    <row r="205" spans="1:10" s="1" customFormat="1" ht="13.95" hidden="1" customHeight="1" outlineLevel="1" x14ac:dyDescent="0.3">
      <c r="A205" s="11" t="s">
        <v>107</v>
      </c>
      <c r="B205" s="11"/>
      <c r="C205" s="13"/>
      <c r="D205" s="123"/>
      <c r="E205" s="78">
        <f t="shared" ref="E205:J205" si="102">E65</f>
        <v>110810</v>
      </c>
      <c r="F205" s="78">
        <f t="shared" ca="1" si="102"/>
        <v>118598.5190153577</v>
      </c>
      <c r="G205" s="78">
        <f t="shared" ca="1" si="102"/>
        <v>126934.4708296739</v>
      </c>
      <c r="H205" s="78">
        <f t="shared" ca="1" si="102"/>
        <v>135856.33293382768</v>
      </c>
      <c r="I205" s="78">
        <f t="shared" ca="1" si="102"/>
        <v>145405.28729184478</v>
      </c>
      <c r="J205" s="78">
        <f t="shared" ca="1" si="102"/>
        <v>155625.41043060555</v>
      </c>
    </row>
    <row r="206" spans="1:10" s="1" customFormat="1" ht="13.95" hidden="1" customHeight="1" outlineLevel="1" x14ac:dyDescent="0.3">
      <c r="A206" s="11" t="s">
        <v>108</v>
      </c>
      <c r="B206" s="154">
        <v>0.75</v>
      </c>
      <c r="C206" s="11"/>
      <c r="D206" s="123"/>
      <c r="E206" s="78">
        <f>$B$206*E205</f>
        <v>83107.5</v>
      </c>
      <c r="F206" s="78">
        <f t="shared" ref="F206:J206" ca="1" si="103">$B$206*F205</f>
        <v>88948.88926151827</v>
      </c>
      <c r="G206" s="78">
        <f t="shared" ca="1" si="103"/>
        <v>95200.853122255416</v>
      </c>
      <c r="H206" s="78">
        <f t="shared" ca="1" si="103"/>
        <v>101892.24970037077</v>
      </c>
      <c r="I206" s="78">
        <f t="shared" ca="1" si="103"/>
        <v>109053.96546888359</v>
      </c>
      <c r="J206" s="78">
        <f t="shared" ca="1" si="103"/>
        <v>116719.05782295417</v>
      </c>
    </row>
    <row r="207" spans="1:10" s="1" customFormat="1" ht="13.95" hidden="1" customHeight="1" outlineLevel="1" x14ac:dyDescent="0.3">
      <c r="A207" s="11" t="s">
        <v>167</v>
      </c>
      <c r="B207" s="11"/>
      <c r="C207" s="13"/>
      <c r="D207" s="123"/>
      <c r="E207" s="47">
        <f>$B$214/E206</f>
        <v>0</v>
      </c>
      <c r="F207" s="47">
        <f t="shared" ref="F207:J207" ca="1" si="104">$B$214/F206</f>
        <v>0</v>
      </c>
      <c r="G207" s="47">
        <f t="shared" ca="1" si="104"/>
        <v>0</v>
      </c>
      <c r="H207" s="47">
        <f t="shared" ca="1" si="104"/>
        <v>0</v>
      </c>
      <c r="I207" s="47">
        <f t="shared" ca="1" si="104"/>
        <v>0</v>
      </c>
      <c r="J207" s="47">
        <f t="shared" ca="1" si="104"/>
        <v>0</v>
      </c>
    </row>
    <row r="208" spans="1:10" s="1" customFormat="1" ht="13.95" hidden="1" customHeight="1" outlineLevel="1" x14ac:dyDescent="0.3">
      <c r="A208" s="11"/>
      <c r="B208" s="11"/>
      <c r="C208" s="13"/>
      <c r="D208" s="123"/>
      <c r="E208" s="11"/>
      <c r="F208" s="11"/>
      <c r="G208" s="11"/>
      <c r="H208" s="11"/>
      <c r="I208" s="11"/>
      <c r="J208" s="11"/>
    </row>
    <row r="209" spans="1:10" s="1" customFormat="1" ht="13.95" hidden="1" customHeight="1" outlineLevel="1" x14ac:dyDescent="0.3">
      <c r="A209" s="11" t="s">
        <v>163</v>
      </c>
      <c r="B209" s="141" t="s">
        <v>90</v>
      </c>
      <c r="C209" s="11"/>
      <c r="D209" s="123"/>
      <c r="E209" s="11"/>
      <c r="F209" s="11"/>
      <c r="G209" s="11"/>
      <c r="H209" s="11"/>
      <c r="I209" s="11"/>
      <c r="J209" s="11"/>
    </row>
    <row r="210" spans="1:10" s="1" customFormat="1" ht="13.95" hidden="1" customHeight="1" outlineLevel="1" x14ac:dyDescent="0.3">
      <c r="A210" s="11" t="s">
        <v>93</v>
      </c>
      <c r="B210" s="140">
        <f>VLOOKUP(B209,$A$162:$B$163,2,FALSE)</f>
        <v>5.2999999999999999E-2</v>
      </c>
      <c r="C210" s="11"/>
      <c r="D210" s="123"/>
      <c r="E210" s="11"/>
      <c r="F210" s="11"/>
      <c r="G210" s="11"/>
      <c r="H210" s="11"/>
      <c r="I210" s="11"/>
      <c r="J210" s="11"/>
    </row>
    <row r="211" spans="1:10" s="1" customFormat="1" ht="13.95" hidden="1" customHeight="1" outlineLevel="1" x14ac:dyDescent="0.3">
      <c r="A211" s="11" t="s">
        <v>92</v>
      </c>
      <c r="B211" s="157">
        <v>7.4999999999999997E-3</v>
      </c>
      <c r="C211" s="11"/>
      <c r="D211" s="123"/>
      <c r="E211" s="11"/>
      <c r="F211" s="11"/>
      <c r="G211" s="11"/>
      <c r="H211" s="11"/>
      <c r="I211" s="11"/>
      <c r="J211" s="11"/>
    </row>
    <row r="212" spans="1:10" s="1" customFormat="1" ht="13.95" hidden="1" customHeight="1" outlineLevel="1" x14ac:dyDescent="0.3">
      <c r="A212" s="11" t="s">
        <v>165</v>
      </c>
      <c r="B212" s="158">
        <f>SUM(B210:B211)</f>
        <v>6.0499999999999998E-2</v>
      </c>
      <c r="C212" s="11"/>
      <c r="D212" s="123"/>
      <c r="E212" s="11"/>
      <c r="F212" s="11"/>
      <c r="G212" s="11"/>
      <c r="H212" s="11"/>
      <c r="I212" s="11"/>
      <c r="J212" s="11"/>
    </row>
    <row r="213" spans="1:10" s="1" customFormat="1" ht="13.95" hidden="1" customHeight="1" outlineLevel="1" x14ac:dyDescent="0.3">
      <c r="A213" s="11" t="s">
        <v>159</v>
      </c>
      <c r="B213" s="160">
        <v>7</v>
      </c>
      <c r="C213" s="11"/>
      <c r="D213" s="123"/>
      <c r="E213" s="11"/>
      <c r="F213" s="11"/>
      <c r="G213" s="11"/>
      <c r="H213" s="11"/>
      <c r="I213" s="11"/>
      <c r="J213" s="11"/>
    </row>
    <row r="214" spans="1:10" s="1" customFormat="1" ht="13.95" hidden="1" customHeight="1" outlineLevel="1" x14ac:dyDescent="0.3">
      <c r="A214" s="11" t="s">
        <v>166</v>
      </c>
      <c r="B214" s="161">
        <v>0</v>
      </c>
      <c r="C214" s="11"/>
      <c r="D214" s="123"/>
      <c r="E214" s="11"/>
      <c r="F214" s="11"/>
      <c r="G214" s="11"/>
      <c r="H214" s="11"/>
      <c r="I214" s="11"/>
      <c r="J214" s="11"/>
    </row>
    <row r="215" spans="1:10" s="1" customFormat="1" ht="13.95" hidden="1" customHeight="1" outlineLevel="1" x14ac:dyDescent="0.3">
      <c r="A215" s="11" t="s">
        <v>82</v>
      </c>
      <c r="B215" s="144"/>
      <c r="C215" s="83"/>
      <c r="D215" s="83"/>
      <c r="E215" s="83"/>
      <c r="F215" s="78">
        <f>$B$212*F219</f>
        <v>0</v>
      </c>
      <c r="G215" s="78">
        <f t="shared" ref="G215:J215" si="105">$B$212*G219</f>
        <v>0</v>
      </c>
      <c r="H215" s="78">
        <f t="shared" si="105"/>
        <v>0</v>
      </c>
      <c r="I215" s="78">
        <f t="shared" si="105"/>
        <v>0</v>
      </c>
      <c r="J215" s="78">
        <f t="shared" si="105"/>
        <v>0</v>
      </c>
    </row>
    <row r="216" spans="1:10" s="1" customFormat="1" ht="13.95" hidden="1" customHeight="1" outlineLevel="1" x14ac:dyDescent="0.3">
      <c r="A216" s="11" t="s">
        <v>83</v>
      </c>
      <c r="B216" s="144"/>
      <c r="C216" s="83"/>
      <c r="D216" s="84"/>
      <c r="E216" s="123"/>
      <c r="F216" s="78">
        <f>F217-F215</f>
        <v>0</v>
      </c>
      <c r="G216" s="78">
        <f t="shared" ref="G216:J216" si="106">G217-G215</f>
        <v>0</v>
      </c>
      <c r="H216" s="78">
        <f t="shared" si="106"/>
        <v>0</v>
      </c>
      <c r="I216" s="78">
        <f t="shared" si="106"/>
        <v>0</v>
      </c>
      <c r="J216" s="78">
        <f t="shared" si="106"/>
        <v>0</v>
      </c>
    </row>
    <row r="217" spans="1:10" s="1" customFormat="1" ht="13.95" hidden="1" customHeight="1" outlineLevel="1" x14ac:dyDescent="0.3">
      <c r="A217" s="96" t="s">
        <v>84</v>
      </c>
      <c r="B217" s="146"/>
      <c r="C217" s="162"/>
      <c r="D217" s="163"/>
      <c r="E217" s="163"/>
      <c r="F217" s="126">
        <f>IF(F219&gt;0,-PMT($B$212,$B$213,$B$214,0),0)</f>
        <v>0</v>
      </c>
      <c r="G217" s="126">
        <f t="shared" ref="G217:J217" si="107">IF(G219&gt;0,-PMT($B$212,$B$213,$B$214,0),0)</f>
        <v>0</v>
      </c>
      <c r="H217" s="126">
        <f t="shared" si="107"/>
        <v>0</v>
      </c>
      <c r="I217" s="126">
        <f t="shared" si="107"/>
        <v>0</v>
      </c>
      <c r="J217" s="126">
        <f t="shared" si="107"/>
        <v>0</v>
      </c>
    </row>
    <row r="218" spans="1:10" s="1" customFormat="1" ht="13.95" hidden="1" customHeight="1" outlineLevel="1" x14ac:dyDescent="0.3">
      <c r="A218" s="11"/>
      <c r="B218" s="13"/>
      <c r="C218" s="11"/>
      <c r="D218" s="123"/>
      <c r="E218" s="11"/>
      <c r="F218" s="11"/>
      <c r="G218" s="11"/>
      <c r="H218" s="11"/>
      <c r="I218" s="11"/>
      <c r="J218" s="11"/>
    </row>
    <row r="219" spans="1:10" s="1" customFormat="1" ht="13.95" hidden="1" customHeight="1" outlineLevel="1" x14ac:dyDescent="0.3">
      <c r="A219" s="11" t="s">
        <v>85</v>
      </c>
      <c r="B219" s="13"/>
      <c r="C219" s="11"/>
      <c r="D219" s="123"/>
      <c r="E219" s="11"/>
      <c r="F219" s="78">
        <f>$B$214</f>
        <v>0</v>
      </c>
      <c r="G219" s="78">
        <f>F222</f>
        <v>0</v>
      </c>
      <c r="H219" s="78">
        <f t="shared" ref="H219:J219" si="108">G222</f>
        <v>0</v>
      </c>
      <c r="I219" s="78">
        <f t="shared" si="108"/>
        <v>0</v>
      </c>
      <c r="J219" s="78">
        <f t="shared" si="108"/>
        <v>0</v>
      </c>
    </row>
    <row r="220" spans="1:10" s="1" customFormat="1" ht="13.95" hidden="1" customHeight="1" outlineLevel="1" x14ac:dyDescent="0.3">
      <c r="A220" s="11" t="s">
        <v>83</v>
      </c>
      <c r="B220" s="13"/>
      <c r="C220" s="11"/>
      <c r="D220" s="123"/>
      <c r="E220" s="11"/>
      <c r="F220" s="78">
        <f>-MIN(F219,F216)</f>
        <v>0</v>
      </c>
      <c r="G220" s="78">
        <f t="shared" ref="G220:J220" si="109">-MIN(G219,G216)</f>
        <v>0</v>
      </c>
      <c r="H220" s="78">
        <f t="shared" si="109"/>
        <v>0</v>
      </c>
      <c r="I220" s="78">
        <f t="shared" si="109"/>
        <v>0</v>
      </c>
      <c r="J220" s="78">
        <f t="shared" si="109"/>
        <v>0</v>
      </c>
    </row>
    <row r="221" spans="1:10" s="1" customFormat="1" ht="13.95" hidden="1" customHeight="1" outlineLevel="1" x14ac:dyDescent="0.3">
      <c r="A221" s="11" t="s">
        <v>119</v>
      </c>
      <c r="B221" s="141" t="s">
        <v>80</v>
      </c>
      <c r="C221" s="11"/>
      <c r="D221" s="123"/>
      <c r="E221" s="11"/>
      <c r="F221" s="187">
        <f>IF($B$221="YES",IF(#REF!&gt;0,-MIN((F219+F220),#REF!),0),0)</f>
        <v>0</v>
      </c>
      <c r="G221" s="187">
        <f>IF($B$221="YES",IF(#REF!&gt;0,-MIN((G219+G220),#REF!),0),0)</f>
        <v>0</v>
      </c>
      <c r="H221" s="187">
        <f>IF($B$221="YES",IF(#REF!&gt;0,-MIN((H219+H220),#REF!),0),0)</f>
        <v>0</v>
      </c>
      <c r="I221" s="187">
        <f>IF($B$221="YES",IF(#REF!&gt;0,-MIN((I219+I220),#REF!),0),0)</f>
        <v>0</v>
      </c>
      <c r="J221" s="187">
        <f>IF($B$221="YES",IF(#REF!&gt;0,-MIN((J219+J220),#REF!),0),0)</f>
        <v>0</v>
      </c>
    </row>
    <row r="222" spans="1:10" s="1" customFormat="1" ht="13.95" hidden="1" customHeight="1" outlineLevel="1" x14ac:dyDescent="0.3">
      <c r="A222" s="96" t="s">
        <v>86</v>
      </c>
      <c r="B222" s="96"/>
      <c r="C222" s="164"/>
      <c r="D222" s="163"/>
      <c r="E222" s="96"/>
      <c r="F222" s="126">
        <f>SUM(F219:F221)</f>
        <v>0</v>
      </c>
      <c r="G222" s="126">
        <f>SUM(G219:G221)</f>
        <v>0</v>
      </c>
      <c r="H222" s="126">
        <f t="shared" ref="H222:J222" si="110">SUM(H219:H221)</f>
        <v>0</v>
      </c>
      <c r="I222" s="126">
        <f t="shared" si="110"/>
        <v>0</v>
      </c>
      <c r="J222" s="126">
        <f t="shared" si="110"/>
        <v>0</v>
      </c>
    </row>
    <row r="223" spans="1:10" s="1" customFormat="1" ht="13.95" hidden="1" customHeight="1" outlineLevel="1" x14ac:dyDescent="0.3">
      <c r="A223" s="11"/>
      <c r="B223" s="11"/>
      <c r="C223" s="13"/>
      <c r="D223" s="123"/>
      <c r="E223" s="11"/>
      <c r="F223" s="11"/>
      <c r="G223" s="11"/>
      <c r="H223" s="11"/>
      <c r="I223" s="11"/>
      <c r="J223" s="11"/>
    </row>
    <row r="224" spans="1:10" s="1" customFormat="1" ht="13.95" hidden="1" customHeight="1" outlineLevel="1" x14ac:dyDescent="0.3">
      <c r="A224" s="136" t="s">
        <v>178</v>
      </c>
      <c r="B224" s="149"/>
      <c r="C224" s="138"/>
      <c r="D224" s="139"/>
      <c r="E224" s="137"/>
      <c r="F224" s="137"/>
      <c r="G224" s="137"/>
      <c r="H224" s="137"/>
      <c r="I224" s="137"/>
      <c r="J224" s="137"/>
    </row>
    <row r="225" spans="1:10" s="1" customFormat="1" ht="13.95" hidden="1" customHeight="1" outlineLevel="1" x14ac:dyDescent="0.3">
      <c r="A225" s="11" t="s">
        <v>163</v>
      </c>
      <c r="B225" s="141" t="s">
        <v>90</v>
      </c>
      <c r="C225" s="13"/>
      <c r="D225" s="123"/>
      <c r="E225" s="11"/>
      <c r="F225" s="11"/>
      <c r="G225" s="11"/>
      <c r="H225" s="11"/>
      <c r="I225" s="11"/>
      <c r="J225" s="11"/>
    </row>
    <row r="226" spans="1:10" s="1" customFormat="1" ht="13.95" hidden="1" customHeight="1" outlineLevel="1" x14ac:dyDescent="0.3">
      <c r="A226" s="11" t="s">
        <v>93</v>
      </c>
      <c r="B226" s="140">
        <f>VLOOKUP(B225,$A$162:$B$163,2,FALSE)</f>
        <v>5.2999999999999999E-2</v>
      </c>
      <c r="C226" s="13"/>
      <c r="D226" s="123"/>
      <c r="E226" s="11"/>
      <c r="F226" s="11"/>
      <c r="G226" s="11"/>
      <c r="H226" s="11"/>
      <c r="I226" s="11"/>
      <c r="J226" s="11"/>
    </row>
    <row r="227" spans="1:10" s="1" customFormat="1" ht="13.95" hidden="1" customHeight="1" outlineLevel="1" x14ac:dyDescent="0.3">
      <c r="A227" s="11" t="s">
        <v>92</v>
      </c>
      <c r="B227" s="157">
        <v>0.02</v>
      </c>
      <c r="C227" s="13"/>
      <c r="D227" s="123"/>
      <c r="E227" s="11"/>
      <c r="F227" s="11"/>
      <c r="G227" s="11"/>
      <c r="H227" s="11"/>
      <c r="I227" s="11"/>
      <c r="J227" s="11"/>
    </row>
    <row r="228" spans="1:10" s="1" customFormat="1" ht="13.95" hidden="1" customHeight="1" outlineLevel="1" x14ac:dyDescent="0.3">
      <c r="A228" s="11" t="s">
        <v>165</v>
      </c>
      <c r="B228" s="158">
        <f>SUM(B226:B227)</f>
        <v>7.2999999999999995E-2</v>
      </c>
      <c r="C228" s="13"/>
      <c r="D228" s="123"/>
      <c r="E228" s="11"/>
      <c r="F228" s="11"/>
      <c r="G228" s="11"/>
      <c r="H228" s="11"/>
      <c r="I228" s="11"/>
      <c r="J228" s="11"/>
    </row>
    <row r="229" spans="1:10" s="1" customFormat="1" ht="13.95" hidden="1" customHeight="1" outlineLevel="1" x14ac:dyDescent="0.3">
      <c r="A229" s="11" t="s">
        <v>159</v>
      </c>
      <c r="B229" s="160">
        <v>10</v>
      </c>
      <c r="C229" s="13"/>
      <c r="D229" s="123"/>
      <c r="E229" s="11"/>
      <c r="F229" s="11"/>
      <c r="G229" s="11"/>
      <c r="H229" s="11"/>
      <c r="I229" s="11"/>
      <c r="J229" s="11"/>
    </row>
    <row r="230" spans="1:10" s="1" customFormat="1" ht="13.95" hidden="1" customHeight="1" outlineLevel="1" x14ac:dyDescent="0.3">
      <c r="A230" s="11" t="s">
        <v>166</v>
      </c>
      <c r="B230" s="161">
        <v>0</v>
      </c>
      <c r="C230" s="13"/>
      <c r="D230" s="123"/>
      <c r="E230" s="11"/>
      <c r="F230" s="11"/>
      <c r="G230" s="11"/>
      <c r="H230" s="11"/>
      <c r="I230" s="11"/>
      <c r="J230" s="11"/>
    </row>
    <row r="231" spans="1:10" s="1" customFormat="1" ht="13.95" hidden="1" customHeight="1" outlineLevel="1" x14ac:dyDescent="0.3">
      <c r="A231" s="11" t="s">
        <v>82</v>
      </c>
      <c r="B231" s="144"/>
      <c r="C231" s="83"/>
      <c r="D231" s="83"/>
      <c r="E231" s="83"/>
      <c r="F231" s="78">
        <f>$B$228*F235</f>
        <v>0</v>
      </c>
      <c r="G231" s="78">
        <f t="shared" ref="G231:J231" si="111">$B$228*G235</f>
        <v>0</v>
      </c>
      <c r="H231" s="78">
        <f t="shared" si="111"/>
        <v>0</v>
      </c>
      <c r="I231" s="78">
        <f t="shared" si="111"/>
        <v>0</v>
      </c>
      <c r="J231" s="78">
        <f t="shared" si="111"/>
        <v>0</v>
      </c>
    </row>
    <row r="232" spans="1:10" s="1" customFormat="1" ht="13.95" hidden="1" customHeight="1" outlineLevel="1" x14ac:dyDescent="0.3">
      <c r="A232" s="11" t="s">
        <v>83</v>
      </c>
      <c r="B232" s="144"/>
      <c r="C232" s="83"/>
      <c r="D232" s="84"/>
      <c r="E232" s="123"/>
      <c r="F232" s="78">
        <f>MIN($B$230/$B$229,F235)</f>
        <v>0</v>
      </c>
      <c r="G232" s="78">
        <f t="shared" ref="G232:J232" si="112">MIN($B$230/$B$229,G235)</f>
        <v>0</v>
      </c>
      <c r="H232" s="78">
        <f t="shared" si="112"/>
        <v>0</v>
      </c>
      <c r="I232" s="78">
        <f t="shared" si="112"/>
        <v>0</v>
      </c>
      <c r="J232" s="78">
        <f t="shared" si="112"/>
        <v>0</v>
      </c>
    </row>
    <row r="233" spans="1:10" s="1" customFormat="1" ht="13.95" hidden="1" customHeight="1" outlineLevel="1" x14ac:dyDescent="0.3">
      <c r="A233" s="96" t="s">
        <v>84</v>
      </c>
      <c r="B233" s="146"/>
      <c r="C233" s="162"/>
      <c r="D233" s="163"/>
      <c r="E233" s="163"/>
      <c r="F233" s="126">
        <f>SUM(F231:F232)</f>
        <v>0</v>
      </c>
      <c r="G233" s="126">
        <f t="shared" ref="G233:J233" si="113">SUM(G231:G232)</f>
        <v>0</v>
      </c>
      <c r="H233" s="126">
        <f t="shared" si="113"/>
        <v>0</v>
      </c>
      <c r="I233" s="126">
        <f t="shared" si="113"/>
        <v>0</v>
      </c>
      <c r="J233" s="126">
        <f t="shared" si="113"/>
        <v>0</v>
      </c>
    </row>
    <row r="234" spans="1:10" s="1" customFormat="1" ht="13.95" hidden="1" customHeight="1" outlineLevel="1" x14ac:dyDescent="0.3">
      <c r="A234" s="11"/>
      <c r="B234" s="11"/>
      <c r="C234" s="13"/>
      <c r="D234" s="123"/>
      <c r="E234" s="11"/>
      <c r="F234" s="84"/>
      <c r="G234" s="84"/>
      <c r="H234" s="84"/>
      <c r="I234" s="84"/>
      <c r="J234" s="84"/>
    </row>
    <row r="235" spans="1:10" s="1" customFormat="1" ht="13.95" hidden="1" customHeight="1" outlineLevel="1" x14ac:dyDescent="0.3">
      <c r="A235" s="11" t="s">
        <v>85</v>
      </c>
      <c r="B235" s="11"/>
      <c r="C235" s="13"/>
      <c r="D235" s="123"/>
      <c r="E235" s="11"/>
      <c r="F235" s="78">
        <f>$B$230</f>
        <v>0</v>
      </c>
      <c r="G235" s="78">
        <f>F237</f>
        <v>0</v>
      </c>
      <c r="H235" s="78">
        <f t="shared" ref="H235:J235" si="114">G237</f>
        <v>0</v>
      </c>
      <c r="I235" s="78">
        <f t="shared" si="114"/>
        <v>0</v>
      </c>
      <c r="J235" s="78">
        <f t="shared" si="114"/>
        <v>0</v>
      </c>
    </row>
    <row r="236" spans="1:10" s="1" customFormat="1" ht="13.95" hidden="1" customHeight="1" outlineLevel="1" x14ac:dyDescent="0.3">
      <c r="A236" s="11" t="s">
        <v>83</v>
      </c>
      <c r="B236" s="11"/>
      <c r="C236" s="13"/>
      <c r="D236" s="123"/>
      <c r="E236" s="11"/>
      <c r="F236" s="78">
        <f>-F232</f>
        <v>0</v>
      </c>
      <c r="G236" s="78">
        <f t="shared" ref="G236:J236" si="115">-G232</f>
        <v>0</v>
      </c>
      <c r="H236" s="78">
        <f t="shared" si="115"/>
        <v>0</v>
      </c>
      <c r="I236" s="78">
        <f t="shared" si="115"/>
        <v>0</v>
      </c>
      <c r="J236" s="78">
        <f t="shared" si="115"/>
        <v>0</v>
      </c>
    </row>
    <row r="237" spans="1:10" s="1" customFormat="1" ht="13.95" hidden="1" customHeight="1" outlineLevel="1" x14ac:dyDescent="0.3">
      <c r="A237" s="96" t="s">
        <v>86</v>
      </c>
      <c r="B237" s="96"/>
      <c r="C237" s="164"/>
      <c r="D237" s="163"/>
      <c r="E237" s="96"/>
      <c r="F237" s="126">
        <f>SUM(F235:F236)</f>
        <v>0</v>
      </c>
      <c r="G237" s="126">
        <f>SUM(G235:G236)</f>
        <v>0</v>
      </c>
      <c r="H237" s="126">
        <f t="shared" ref="H237:J237" si="116">SUM(H235:H236)</f>
        <v>0</v>
      </c>
      <c r="I237" s="126">
        <f t="shared" si="116"/>
        <v>0</v>
      </c>
      <c r="J237" s="126">
        <f t="shared" si="116"/>
        <v>0</v>
      </c>
    </row>
    <row r="238" spans="1:10" s="1" customFormat="1" ht="13.95" hidden="1" customHeight="1" outlineLevel="1" x14ac:dyDescent="0.3">
      <c r="A238" s="11"/>
      <c r="B238" s="11"/>
      <c r="C238" s="13"/>
      <c r="D238" s="123"/>
      <c r="E238" s="11"/>
      <c r="F238" s="11"/>
      <c r="G238" s="11"/>
      <c r="H238" s="11"/>
      <c r="I238" s="11"/>
      <c r="J238" s="11"/>
    </row>
    <row r="239" spans="1:10" s="1" customFormat="1" ht="13.95" hidden="1" customHeight="1" outlineLevel="1" x14ac:dyDescent="0.3">
      <c r="A239" s="136" t="s">
        <v>109</v>
      </c>
      <c r="B239" s="149"/>
      <c r="C239" s="138"/>
      <c r="D239" s="139"/>
      <c r="E239" s="137"/>
      <c r="F239" s="137"/>
      <c r="G239" s="137"/>
      <c r="H239" s="137"/>
      <c r="I239" s="137"/>
      <c r="J239" s="137"/>
    </row>
    <row r="240" spans="1:10" s="1" customFormat="1" ht="13.95" hidden="1" customHeight="1" outlineLevel="1" x14ac:dyDescent="0.3">
      <c r="A240" s="11" t="s">
        <v>163</v>
      </c>
      <c r="B240" s="141" t="s">
        <v>90</v>
      </c>
      <c r="C240" s="13"/>
      <c r="D240" s="123"/>
      <c r="E240" s="11"/>
      <c r="F240" s="11"/>
      <c r="G240" s="11"/>
      <c r="H240" s="11"/>
      <c r="I240" s="11"/>
      <c r="J240" s="11"/>
    </row>
    <row r="241" spans="1:11" s="1" customFormat="1" ht="13.95" hidden="1" customHeight="1" outlineLevel="1" x14ac:dyDescent="0.3">
      <c r="A241" s="11" t="s">
        <v>93</v>
      </c>
      <c r="B241" s="140">
        <f>VLOOKUP(B240,$A$162:$B$163,2,FALSE)</f>
        <v>5.2999999999999999E-2</v>
      </c>
      <c r="C241" s="13"/>
      <c r="D241" s="123"/>
      <c r="E241" s="11"/>
      <c r="F241" s="11"/>
      <c r="G241" s="11"/>
      <c r="H241" s="11"/>
      <c r="I241" s="11"/>
      <c r="J241" s="11"/>
    </row>
    <row r="242" spans="1:11" s="1" customFormat="1" ht="13.95" hidden="1" customHeight="1" outlineLevel="1" x14ac:dyDescent="0.3">
      <c r="A242" s="11" t="s">
        <v>92</v>
      </c>
      <c r="B242" s="157">
        <v>0.03</v>
      </c>
      <c r="C242" s="13"/>
      <c r="D242" s="123"/>
      <c r="E242" s="11"/>
      <c r="F242" s="11"/>
      <c r="G242" s="11"/>
      <c r="H242" s="11"/>
      <c r="I242" s="11"/>
      <c r="J242" s="11"/>
    </row>
    <row r="243" spans="1:11" s="1" customFormat="1" ht="13.95" hidden="1" customHeight="1" outlineLevel="1" x14ac:dyDescent="0.3">
      <c r="A243" s="11" t="s">
        <v>165</v>
      </c>
      <c r="B243" s="158">
        <f>SUM(B241:B242)</f>
        <v>8.299999999999999E-2</v>
      </c>
      <c r="C243" s="13"/>
      <c r="D243" s="123"/>
      <c r="E243" s="11"/>
      <c r="F243" s="11"/>
      <c r="G243" s="11"/>
      <c r="H243" s="11"/>
      <c r="I243" s="11"/>
      <c r="J243" s="11"/>
    </row>
    <row r="244" spans="1:11" s="1" customFormat="1" ht="13.95" hidden="1" customHeight="1" outlineLevel="1" x14ac:dyDescent="0.3">
      <c r="A244" s="11" t="s">
        <v>159</v>
      </c>
      <c r="B244" s="160">
        <v>2</v>
      </c>
      <c r="C244" s="13"/>
      <c r="D244" s="123"/>
      <c r="E244" s="11"/>
      <c r="F244" s="11"/>
      <c r="G244" s="11"/>
      <c r="H244" s="11"/>
      <c r="I244" s="11"/>
      <c r="J244" s="11"/>
    </row>
    <row r="245" spans="1:11" s="1" customFormat="1" ht="13.95" hidden="1" customHeight="1" outlineLevel="1" x14ac:dyDescent="0.3">
      <c r="A245" s="11" t="s">
        <v>166</v>
      </c>
      <c r="B245" s="161">
        <v>0</v>
      </c>
      <c r="C245" s="13"/>
      <c r="D245" s="123"/>
      <c r="E245" s="11"/>
      <c r="F245" s="11"/>
      <c r="G245" s="11"/>
      <c r="H245" s="11"/>
      <c r="I245" s="11"/>
      <c r="J245" s="11"/>
    </row>
    <row r="246" spans="1:11" s="1" customFormat="1" ht="13.95" hidden="1" customHeight="1" outlineLevel="1" x14ac:dyDescent="0.3">
      <c r="A246" s="11" t="s">
        <v>82</v>
      </c>
      <c r="B246" s="144"/>
      <c r="C246" s="83"/>
      <c r="D246" s="83"/>
      <c r="E246" s="83"/>
      <c r="F246" s="78">
        <f>$B$243*F250</f>
        <v>0</v>
      </c>
      <c r="G246" s="78">
        <f t="shared" ref="G246:J246" si="117">$B$243*G250</f>
        <v>0</v>
      </c>
      <c r="H246" s="78">
        <f t="shared" si="117"/>
        <v>0</v>
      </c>
      <c r="I246" s="78">
        <f t="shared" si="117"/>
        <v>0</v>
      </c>
      <c r="J246" s="78">
        <f t="shared" si="117"/>
        <v>0</v>
      </c>
    </row>
    <row r="247" spans="1:11" s="1" customFormat="1" ht="13.95" hidden="1" customHeight="1" outlineLevel="1" x14ac:dyDescent="0.3">
      <c r="A247" s="11" t="s">
        <v>83</v>
      </c>
      <c r="B247" s="144"/>
      <c r="C247" s="83"/>
      <c r="D247" s="84"/>
      <c r="E247" s="123"/>
      <c r="F247" s="78">
        <f>MIN($B$245/$B$244,F250)</f>
        <v>0</v>
      </c>
      <c r="G247" s="78">
        <f t="shared" ref="G247:J247" si="118">MIN($B$245/$B$244,G250)</f>
        <v>0</v>
      </c>
      <c r="H247" s="78">
        <f t="shared" si="118"/>
        <v>0</v>
      </c>
      <c r="I247" s="78">
        <f t="shared" si="118"/>
        <v>0</v>
      </c>
      <c r="J247" s="78">
        <f t="shared" si="118"/>
        <v>0</v>
      </c>
    </row>
    <row r="248" spans="1:11" s="1" customFormat="1" ht="13.95" hidden="1" customHeight="1" outlineLevel="1" x14ac:dyDescent="0.3">
      <c r="A248" s="96" t="s">
        <v>84</v>
      </c>
      <c r="B248" s="146"/>
      <c r="C248" s="162"/>
      <c r="D248" s="163"/>
      <c r="E248" s="163"/>
      <c r="F248" s="126">
        <f>SUM(F246:F247)</f>
        <v>0</v>
      </c>
      <c r="G248" s="126">
        <f t="shared" ref="G248" si="119">SUM(G246:G247)</f>
        <v>0</v>
      </c>
      <c r="H248" s="126">
        <f t="shared" ref="H248" si="120">SUM(H246:H247)</f>
        <v>0</v>
      </c>
      <c r="I248" s="126">
        <f t="shared" ref="I248" si="121">SUM(I246:I247)</f>
        <v>0</v>
      </c>
      <c r="J248" s="126">
        <f t="shared" ref="J248" si="122">SUM(J246:J247)</f>
        <v>0</v>
      </c>
    </row>
    <row r="249" spans="1:11" s="1" customFormat="1" ht="13.95" hidden="1" customHeight="1" outlineLevel="1" x14ac:dyDescent="0.3">
      <c r="A249" s="11"/>
      <c r="B249" s="11"/>
      <c r="C249" s="13"/>
      <c r="D249" s="123"/>
      <c r="E249" s="11"/>
      <c r="F249" s="84"/>
      <c r="G249" s="84"/>
      <c r="H249" s="84"/>
      <c r="I249" s="84"/>
      <c r="J249" s="84"/>
    </row>
    <row r="250" spans="1:11" s="1" customFormat="1" ht="13.95" hidden="1" customHeight="1" outlineLevel="1" x14ac:dyDescent="0.3">
      <c r="A250" s="11" t="s">
        <v>85</v>
      </c>
      <c r="B250" s="11"/>
      <c r="C250" s="13"/>
      <c r="D250" s="123"/>
      <c r="E250" s="11"/>
      <c r="F250" s="78">
        <f>$B$245</f>
        <v>0</v>
      </c>
      <c r="G250" s="78">
        <f>F252</f>
        <v>0</v>
      </c>
      <c r="H250" s="78">
        <f t="shared" ref="H250:J250" si="123">G252</f>
        <v>0</v>
      </c>
      <c r="I250" s="78">
        <f t="shared" si="123"/>
        <v>0</v>
      </c>
      <c r="J250" s="78">
        <f t="shared" si="123"/>
        <v>0</v>
      </c>
    </row>
    <row r="251" spans="1:11" s="1" customFormat="1" ht="13.95" hidden="1" customHeight="1" outlineLevel="1" x14ac:dyDescent="0.3">
      <c r="A251" s="11" t="s">
        <v>83</v>
      </c>
      <c r="B251" s="11"/>
      <c r="C251" s="13"/>
      <c r="D251" s="123"/>
      <c r="E251" s="11"/>
      <c r="F251" s="78">
        <f>-F247</f>
        <v>0</v>
      </c>
      <c r="G251" s="78">
        <f t="shared" ref="G251:J251" si="124">-G247</f>
        <v>0</v>
      </c>
      <c r="H251" s="78">
        <f t="shared" si="124"/>
        <v>0</v>
      </c>
      <c r="I251" s="78">
        <f t="shared" si="124"/>
        <v>0</v>
      </c>
      <c r="J251" s="78">
        <f t="shared" si="124"/>
        <v>0</v>
      </c>
    </row>
    <row r="252" spans="1:11" s="1" customFormat="1" ht="13.95" hidden="1" customHeight="1" outlineLevel="1" x14ac:dyDescent="0.3">
      <c r="A252" s="96" t="s">
        <v>86</v>
      </c>
      <c r="B252" s="96"/>
      <c r="C252" s="164"/>
      <c r="D252" s="163"/>
      <c r="E252" s="96"/>
      <c r="F252" s="126">
        <f>SUM(F250:F251)</f>
        <v>0</v>
      </c>
      <c r="G252" s="126">
        <f>SUM(G250:G251)</f>
        <v>0</v>
      </c>
      <c r="H252" s="126">
        <f t="shared" ref="H252" si="125">SUM(H250:H251)</f>
        <v>0</v>
      </c>
      <c r="I252" s="126">
        <f t="shared" ref="I252" si="126">SUM(I250:I251)</f>
        <v>0</v>
      </c>
      <c r="J252" s="126">
        <f t="shared" ref="J252" si="127">SUM(J250:J251)</f>
        <v>0</v>
      </c>
    </row>
    <row r="253" spans="1:11" s="1" customFormat="1" ht="13.95" hidden="1" customHeight="1" outlineLevel="1" x14ac:dyDescent="0.3">
      <c r="A253" s="11"/>
      <c r="B253" s="11"/>
      <c r="C253" s="13"/>
      <c r="D253" s="123"/>
      <c r="E253" s="11"/>
      <c r="F253" s="11"/>
      <c r="G253" s="11"/>
      <c r="H253" s="11"/>
      <c r="I253" s="11"/>
      <c r="J253" s="11"/>
    </row>
    <row r="254" spans="1:11" s="1" customFormat="1" ht="13.95" hidden="1" customHeight="1" x14ac:dyDescent="0.3">
      <c r="A254" s="11"/>
      <c r="B254" s="11"/>
      <c r="C254" s="13"/>
      <c r="D254" s="123"/>
      <c r="E254" s="11"/>
      <c r="F254" s="11"/>
      <c r="G254" s="11"/>
      <c r="H254" s="11"/>
      <c r="I254" s="11"/>
      <c r="J254" s="11"/>
    </row>
    <row r="255" spans="1:11" ht="13.95" customHeight="1" x14ac:dyDescent="0.3">
      <c r="A255" s="8" t="s">
        <v>121</v>
      </c>
      <c r="B255" s="8"/>
      <c r="C255" s="8"/>
      <c r="D255" s="8"/>
      <c r="E255" s="8"/>
      <c r="F255" s="220"/>
      <c r="G255" s="8"/>
      <c r="H255" s="8"/>
      <c r="I255" s="8"/>
      <c r="J255" s="8"/>
    </row>
    <row r="256" spans="1:11" s="1" customFormat="1" ht="13.95" customHeight="1" outlineLevel="1" x14ac:dyDescent="0.3">
      <c r="A256" s="165" t="s">
        <v>38</v>
      </c>
      <c r="B256" s="165"/>
      <c r="C256" s="188">
        <f t="shared" ref="C256:J256" si="128">C63/C78</f>
        <v>0.92779729683333523</v>
      </c>
      <c r="D256" s="188">
        <f t="shared" si="128"/>
        <v>0.82057094513980777</v>
      </c>
      <c r="E256" s="188">
        <f t="shared" si="128"/>
        <v>0.83186712113834338</v>
      </c>
      <c r="F256" s="221">
        <f t="shared" ca="1" si="128"/>
        <v>0.84708131795991459</v>
      </c>
      <c r="G256" s="188">
        <f t="shared" ca="1" si="128"/>
        <v>0.84704023451229693</v>
      </c>
      <c r="H256" s="188">
        <f t="shared" ca="1" si="128"/>
        <v>0.84715452006979985</v>
      </c>
      <c r="I256" s="188">
        <f t="shared" ca="1" si="128"/>
        <v>0.8463053783985367</v>
      </c>
      <c r="J256" s="188">
        <f t="shared" ca="1" si="128"/>
        <v>0.84633081546277855</v>
      </c>
      <c r="K256" s="232" t="s">
        <v>208</v>
      </c>
    </row>
    <row r="257" spans="1:10" s="1" customFormat="1" ht="13.95" customHeight="1" outlineLevel="1" x14ac:dyDescent="0.3">
      <c r="A257" s="166" t="s">
        <v>55</v>
      </c>
      <c r="B257" s="166" t="s">
        <v>181</v>
      </c>
      <c r="C257" s="222">
        <v>1.3</v>
      </c>
      <c r="D257" s="222">
        <v>1.3</v>
      </c>
      <c r="E257" s="222">
        <v>1.3</v>
      </c>
      <c r="F257" s="223">
        <v>1.3</v>
      </c>
      <c r="G257" s="222">
        <v>1.3</v>
      </c>
      <c r="H257" s="222">
        <v>1.3</v>
      </c>
      <c r="I257" s="222">
        <v>1.3</v>
      </c>
      <c r="J257" s="222">
        <v>1.3</v>
      </c>
    </row>
    <row r="258" spans="1:10" s="1" customFormat="1" ht="13.95" customHeight="1" outlineLevel="1" x14ac:dyDescent="0.3">
      <c r="A258" s="166" t="s">
        <v>56</v>
      </c>
      <c r="B258" s="166" t="s">
        <v>181</v>
      </c>
      <c r="C258" s="222">
        <v>1</v>
      </c>
      <c r="D258" s="222">
        <v>1</v>
      </c>
      <c r="E258" s="222">
        <v>1</v>
      </c>
      <c r="F258" s="223">
        <v>1</v>
      </c>
      <c r="G258" s="222">
        <v>1</v>
      </c>
      <c r="H258" s="222">
        <v>1</v>
      </c>
      <c r="I258" s="222">
        <v>1</v>
      </c>
      <c r="J258" s="222">
        <v>1</v>
      </c>
    </row>
    <row r="259" spans="1:10" s="1" customFormat="1" ht="13.95" customHeight="1" outlineLevel="1" x14ac:dyDescent="0.3">
      <c r="A259" s="167"/>
      <c r="B259" s="167"/>
      <c r="C259" s="224"/>
      <c r="D259" s="225"/>
      <c r="E259" s="225"/>
      <c r="F259" s="226"/>
      <c r="G259" s="225"/>
      <c r="H259" s="225"/>
      <c r="I259" s="225"/>
      <c r="J259" s="225"/>
    </row>
    <row r="260" spans="1:10" s="1" customFormat="1" ht="13.95" customHeight="1" outlineLevel="1" x14ac:dyDescent="0.3">
      <c r="A260" s="165" t="s">
        <v>171</v>
      </c>
      <c r="B260" s="165"/>
      <c r="C260" s="188">
        <f t="shared" ref="C260:J260" si="129">(C73+C80)/(C87-C66)</f>
        <v>0.9116688137156671</v>
      </c>
      <c r="D260" s="188">
        <f t="shared" si="129"/>
        <v>1.0601475350845628</v>
      </c>
      <c r="E260" s="188">
        <f t="shared" si="129"/>
        <v>0.98529789832251435</v>
      </c>
      <c r="F260" s="221">
        <f t="shared" ca="1" si="129"/>
        <v>0.90471193422288854</v>
      </c>
      <c r="G260" s="188">
        <f t="shared" ca="1" si="129"/>
        <v>0.86905662364118286</v>
      </c>
      <c r="H260" s="188">
        <f t="shared" ca="1" si="129"/>
        <v>0.82872314013235582</v>
      </c>
      <c r="I260" s="188">
        <f t="shared" ca="1" si="129"/>
        <v>0.83821741118919058</v>
      </c>
      <c r="J260" s="188">
        <f t="shared" ca="1" si="129"/>
        <v>0.82347906024863982</v>
      </c>
    </row>
    <row r="261" spans="1:10" s="1" customFormat="1" ht="13.95" customHeight="1" outlineLevel="1" x14ac:dyDescent="0.3">
      <c r="A261" s="166" t="s">
        <v>55</v>
      </c>
      <c r="B261" s="166" t="s">
        <v>182</v>
      </c>
      <c r="C261" s="222">
        <v>1</v>
      </c>
      <c r="D261" s="222">
        <v>1</v>
      </c>
      <c r="E261" s="222">
        <v>1</v>
      </c>
      <c r="F261" s="223">
        <v>1</v>
      </c>
      <c r="G261" s="222">
        <v>1</v>
      </c>
      <c r="H261" s="222">
        <v>1</v>
      </c>
      <c r="I261" s="222">
        <v>1</v>
      </c>
      <c r="J261" s="222">
        <v>1</v>
      </c>
    </row>
    <row r="262" spans="1:10" s="1" customFormat="1" ht="13.95" customHeight="1" outlineLevel="1" x14ac:dyDescent="0.3">
      <c r="A262" s="166" t="s">
        <v>56</v>
      </c>
      <c r="B262" s="166" t="s">
        <v>182</v>
      </c>
      <c r="C262" s="222">
        <v>1.75</v>
      </c>
      <c r="D262" s="222">
        <v>1.75</v>
      </c>
      <c r="E262" s="222">
        <v>1.75</v>
      </c>
      <c r="F262" s="223">
        <v>1.75</v>
      </c>
      <c r="G262" s="222">
        <v>1.75</v>
      </c>
      <c r="H262" s="222">
        <v>1.75</v>
      </c>
      <c r="I262" s="222">
        <v>1.75</v>
      </c>
      <c r="J262" s="222">
        <v>1.75</v>
      </c>
    </row>
    <row r="263" spans="1:10" s="1" customFormat="1" ht="13.95" customHeight="1" outlineLevel="1" x14ac:dyDescent="0.3">
      <c r="A263" s="167"/>
      <c r="B263" s="167"/>
      <c r="C263" s="227"/>
      <c r="D263" s="227"/>
      <c r="E263" s="227"/>
      <c r="F263" s="228"/>
      <c r="G263" s="227"/>
      <c r="H263" s="227"/>
      <c r="I263" s="227"/>
      <c r="J263" s="227"/>
    </row>
    <row r="264" spans="1:10" s="1" customFormat="1" ht="13.95" customHeight="1" outlineLevel="1" x14ac:dyDescent="0.3">
      <c r="A264" s="165" t="s">
        <v>122</v>
      </c>
      <c r="B264" s="165"/>
      <c r="C264" s="188">
        <f t="shared" ref="C264:J264" si="130">(C73+C80)/C37</f>
        <v>1.5662021857923498</v>
      </c>
      <c r="D264" s="188">
        <f t="shared" si="130"/>
        <v>1.8781436266853664</v>
      </c>
      <c r="E264" s="188">
        <f t="shared" si="130"/>
        <v>1.5777949311720056</v>
      </c>
      <c r="F264" s="221">
        <f t="shared" ca="1" si="130"/>
        <v>1.5359733658830375</v>
      </c>
      <c r="G264" s="188">
        <f t="shared" ca="1" si="130"/>
        <v>1.4911935855650793</v>
      </c>
      <c r="H264" s="188">
        <f t="shared" ca="1" si="130"/>
        <v>1.4427463597953973</v>
      </c>
      <c r="I264" s="188">
        <f t="shared" ca="1" si="130"/>
        <v>1.4604976344227849</v>
      </c>
      <c r="J264" s="188">
        <f t="shared" ca="1" si="130"/>
        <v>1.4565659185476625</v>
      </c>
    </row>
    <row r="265" spans="1:10" s="1" customFormat="1" ht="13.95" customHeight="1" outlineLevel="1" x14ac:dyDescent="0.3">
      <c r="A265" s="166" t="s">
        <v>55</v>
      </c>
      <c r="B265" s="166" t="s">
        <v>182</v>
      </c>
      <c r="C265" s="222">
        <v>2.5</v>
      </c>
      <c r="D265" s="222">
        <v>2.5</v>
      </c>
      <c r="E265" s="222">
        <v>2.5</v>
      </c>
      <c r="F265" s="223">
        <v>2.5</v>
      </c>
      <c r="G265" s="222">
        <v>2.5</v>
      </c>
      <c r="H265" s="222">
        <v>2.5</v>
      </c>
      <c r="I265" s="222">
        <v>2.5</v>
      </c>
      <c r="J265" s="222">
        <v>2.5</v>
      </c>
    </row>
    <row r="266" spans="1:10" s="1" customFormat="1" ht="13.95" customHeight="1" outlineLevel="1" x14ac:dyDescent="0.3">
      <c r="A266" s="166" t="s">
        <v>56</v>
      </c>
      <c r="B266" s="166" t="s">
        <v>182</v>
      </c>
      <c r="C266" s="222">
        <v>3</v>
      </c>
      <c r="D266" s="222">
        <v>3</v>
      </c>
      <c r="E266" s="222">
        <v>3</v>
      </c>
      <c r="F266" s="223">
        <v>3</v>
      </c>
      <c r="G266" s="222">
        <v>3</v>
      </c>
      <c r="H266" s="222">
        <v>3</v>
      </c>
      <c r="I266" s="222">
        <v>3</v>
      </c>
      <c r="J266" s="222">
        <v>3</v>
      </c>
    </row>
    <row r="267" spans="1:10" s="1" customFormat="1" ht="13.95" customHeight="1" outlineLevel="1" x14ac:dyDescent="0.3">
      <c r="A267" s="167"/>
      <c r="B267" s="167"/>
      <c r="C267" s="224"/>
      <c r="D267" s="229"/>
      <c r="E267" s="229"/>
      <c r="F267" s="230"/>
      <c r="G267" s="229"/>
      <c r="H267" s="229"/>
      <c r="I267" s="229"/>
      <c r="J267" s="229"/>
    </row>
    <row r="268" spans="1:10" s="1" customFormat="1" ht="13.95" customHeight="1" outlineLevel="1" x14ac:dyDescent="0.3">
      <c r="A268" s="165" t="s">
        <v>169</v>
      </c>
      <c r="B268" s="165"/>
      <c r="C268" s="188">
        <f t="shared" ref="C268:J268" si="131">IFERROR(C37/(C149+C150+IF(C157&lt;0,-C157,0)),"na")</f>
        <v>4.5415063903710138</v>
      </c>
      <c r="D268" s="188">
        <f t="shared" si="131"/>
        <v>-140.05803571428572</v>
      </c>
      <c r="E268" s="188">
        <f t="shared" si="131"/>
        <v>20.106052767718573</v>
      </c>
      <c r="F268" s="221">
        <f t="shared" ca="1" si="131"/>
        <v>4.3450518770961981</v>
      </c>
      <c r="G268" s="188">
        <f t="shared" ca="1" si="131"/>
        <v>5.1340575910556607</v>
      </c>
      <c r="H268" s="188">
        <f t="shared" ca="1" si="131"/>
        <v>4.9750339485766037</v>
      </c>
      <c r="I268" s="188">
        <f t="shared" ca="1" si="131"/>
        <v>6.5825815296350658</v>
      </c>
      <c r="J268" s="188">
        <f t="shared" ca="1" si="131"/>
        <v>5.6952261151184134</v>
      </c>
    </row>
    <row r="269" spans="1:10" s="1" customFormat="1" ht="13.95" customHeight="1" outlineLevel="1" x14ac:dyDescent="0.3">
      <c r="A269" s="166" t="s">
        <v>55</v>
      </c>
      <c r="B269" s="166" t="s">
        <v>181</v>
      </c>
      <c r="C269" s="222">
        <v>2</v>
      </c>
      <c r="D269" s="222">
        <v>2</v>
      </c>
      <c r="E269" s="222">
        <v>2</v>
      </c>
      <c r="F269" s="222">
        <v>2</v>
      </c>
      <c r="G269" s="222">
        <v>2</v>
      </c>
      <c r="H269" s="222">
        <v>2</v>
      </c>
      <c r="I269" s="222">
        <v>2</v>
      </c>
      <c r="J269" s="222">
        <v>2</v>
      </c>
    </row>
    <row r="270" spans="1:10" s="1" customFormat="1" ht="13.95" customHeight="1" outlineLevel="1" x14ac:dyDescent="0.3">
      <c r="A270" s="166" t="s">
        <v>56</v>
      </c>
      <c r="B270" s="166" t="s">
        <v>181</v>
      </c>
      <c r="C270" s="222">
        <v>1.5</v>
      </c>
      <c r="D270" s="222">
        <v>1.5</v>
      </c>
      <c r="E270" s="222">
        <v>1.5</v>
      </c>
      <c r="F270" s="222">
        <v>1.5</v>
      </c>
      <c r="G270" s="222">
        <v>1.5</v>
      </c>
      <c r="H270" s="222">
        <v>1.5</v>
      </c>
      <c r="I270" s="222">
        <v>1.5</v>
      </c>
      <c r="J270" s="222">
        <v>1.5</v>
      </c>
    </row>
    <row r="271" spans="1:10" s="1" customFormat="1" ht="13.95" customHeight="1" outlineLevel="1" x14ac:dyDescent="0.3">
      <c r="A271" s="167"/>
      <c r="B271" s="167"/>
      <c r="C271" s="224"/>
      <c r="D271" s="229"/>
      <c r="E271" s="229"/>
      <c r="F271" s="230"/>
      <c r="G271" s="229"/>
      <c r="H271" s="229"/>
      <c r="I271" s="229"/>
      <c r="J271" s="229"/>
    </row>
    <row r="272" spans="1:10" s="1" customFormat="1" ht="13.95" customHeight="1" outlineLevel="1" x14ac:dyDescent="0.3">
      <c r="A272" s="165" t="s">
        <v>170</v>
      </c>
      <c r="B272" s="165"/>
      <c r="C272" s="188">
        <f t="shared" ref="C272:J272" si="132">C37/C41</f>
        <v>18.355065195586761</v>
      </c>
      <c r="D272" s="188">
        <f t="shared" si="132"/>
        <v>14.742951127819548</v>
      </c>
      <c r="E272" s="188">
        <f t="shared" si="132"/>
        <v>14.485650391352964</v>
      </c>
      <c r="F272" s="221">
        <f ca="1">F37/F41</f>
        <v>15.830454396756572</v>
      </c>
      <c r="G272" s="188">
        <f t="shared" ca="1" si="132"/>
        <v>16.507500991855395</v>
      </c>
      <c r="H272" s="188">
        <f t="shared" ca="1" si="132"/>
        <v>16.808666156804414</v>
      </c>
      <c r="I272" s="188">
        <f t="shared" ca="1" si="132"/>
        <v>17.010757551201099</v>
      </c>
      <c r="J272" s="188">
        <f t="shared" ca="1" si="132"/>
        <v>16.636414456367167</v>
      </c>
    </row>
    <row r="273" spans="1:10" s="1" customFormat="1" ht="13.95" customHeight="1" outlineLevel="1" x14ac:dyDescent="0.3">
      <c r="A273" s="166" t="s">
        <v>55</v>
      </c>
      <c r="B273" s="166" t="s">
        <v>181</v>
      </c>
      <c r="C273" s="222">
        <v>2</v>
      </c>
      <c r="D273" s="222">
        <v>2</v>
      </c>
      <c r="E273" s="222">
        <v>2</v>
      </c>
      <c r="F273" s="223">
        <v>2</v>
      </c>
      <c r="G273" s="222">
        <v>2</v>
      </c>
      <c r="H273" s="222">
        <v>2</v>
      </c>
      <c r="I273" s="222">
        <v>2</v>
      </c>
      <c r="J273" s="222">
        <v>2</v>
      </c>
    </row>
    <row r="274" spans="1:10" s="1" customFormat="1" ht="13.95" customHeight="1" outlineLevel="1" x14ac:dyDescent="0.3">
      <c r="A274" s="166" t="s">
        <v>56</v>
      </c>
      <c r="B274" s="166" t="s">
        <v>181</v>
      </c>
      <c r="C274" s="222">
        <v>1</v>
      </c>
      <c r="D274" s="222">
        <v>1</v>
      </c>
      <c r="E274" s="222">
        <v>1</v>
      </c>
      <c r="F274" s="223">
        <v>1</v>
      </c>
      <c r="G274" s="222">
        <v>1</v>
      </c>
      <c r="H274" s="222">
        <v>1</v>
      </c>
      <c r="I274" s="222">
        <v>1</v>
      </c>
      <c r="J274" s="222">
        <v>1</v>
      </c>
    </row>
    <row r="275" spans="1:10" s="1" customFormat="1" ht="13.95" customHeight="1" outlineLevel="1" x14ac:dyDescent="0.3">
      <c r="A275" s="167"/>
      <c r="B275" s="167"/>
      <c r="C275" s="168"/>
      <c r="D275" s="170"/>
      <c r="E275" s="170"/>
      <c r="F275" s="170"/>
      <c r="G275" s="170"/>
      <c r="H275" s="170"/>
      <c r="I275" s="170"/>
      <c r="J275" s="170"/>
    </row>
    <row r="276" spans="1:10" s="1" customFormat="1" ht="13.95" customHeight="1" x14ac:dyDescent="0.3">
      <c r="A276" s="11"/>
      <c r="B276" s="11"/>
      <c r="C276" s="13"/>
      <c r="D276" s="13"/>
      <c r="E276" s="11"/>
      <c r="F276" s="11"/>
      <c r="G276" s="11"/>
      <c r="H276" s="11"/>
      <c r="I276" s="11"/>
      <c r="J276" s="11"/>
    </row>
  </sheetData>
  <conditionalFormatting sqref="C256:J256">
    <cfRule type="cellIs" dxfId="16" priority="10" operator="lessThan">
      <formula>1</formula>
    </cfRule>
    <cfRule type="cellIs" dxfId="15" priority="11" operator="lessThan">
      <formula>1.3</formula>
    </cfRule>
  </conditionalFormatting>
  <conditionalFormatting sqref="C260:J260">
    <cfRule type="cellIs" dxfId="14" priority="8" operator="greaterThan">
      <formula>1.75</formula>
    </cfRule>
    <cfRule type="cellIs" dxfId="13" priority="9" operator="greaterThan">
      <formula>1</formula>
    </cfRule>
  </conditionalFormatting>
  <conditionalFormatting sqref="C264:J264">
    <cfRule type="cellIs" dxfId="12" priority="6" operator="greaterThan">
      <formula>3</formula>
    </cfRule>
    <cfRule type="cellIs" dxfId="11" priority="7" operator="greaterThan">
      <formula>2.5</formula>
    </cfRule>
  </conditionalFormatting>
  <conditionalFormatting sqref="C268:J268">
    <cfRule type="cellIs" dxfId="10" priority="4" operator="lessThan">
      <formula>1</formula>
    </cfRule>
    <cfRule type="cellIs" dxfId="9" priority="5" operator="lessThan">
      <formula>1.5</formula>
    </cfRule>
  </conditionalFormatting>
  <conditionalFormatting sqref="C272:J272">
    <cfRule type="cellIs" dxfId="8" priority="2" operator="lessThan">
      <formula>1</formula>
    </cfRule>
    <cfRule type="cellIs" dxfId="7" priority="3" operator="lessThan">
      <formula>2</formula>
    </cfRule>
  </conditionalFormatting>
  <conditionalFormatting sqref="E197:J197">
    <cfRule type="cellIs" dxfId="6" priority="1" operator="greaterThan">
      <formula>0</formula>
    </cfRule>
  </conditionalFormatting>
  <dataValidations disablePrompts="1" count="1">
    <dataValidation type="list" allowBlank="1" showInputMessage="1" showErrorMessage="1" sqref="B209 B186 B240 B225" xr:uid="{55EE9E6D-2D5E-411B-B1ED-124928BAF2BD}">
      <formula1>$A$162:$A$163</formula1>
    </dataValidation>
  </dataValidations>
  <pageMargins left="0.7" right="0.7" top="0.75" bottom="0.75" header="0.3" footer="0.3"/>
  <pageSetup scale="63" orientation="portrait" r:id="rId1"/>
  <ignoredErrors>
    <ignoredError sqref="F36:J36" formula="1"/>
    <ignoredError sqref="B226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0ED-CB3C-4FB1-A0DC-E32B8FD7EEEB}">
  <sheetPr codeName="Sheet4"/>
  <dimension ref="A1:V38"/>
  <sheetViews>
    <sheetView showGridLines="0" zoomScaleNormal="100" workbookViewId="0">
      <pane ySplit="3" topLeftCell="A5" activePane="bottomLeft" state="frozen"/>
      <selection pane="bottomLeft" activeCell="M24" sqref="M24"/>
    </sheetView>
  </sheetViews>
  <sheetFormatPr defaultColWidth="8.77734375" defaultRowHeight="13.8" x14ac:dyDescent="0.25"/>
  <cols>
    <col min="1" max="1" width="25.44140625" style="17" customWidth="1"/>
    <col min="2" max="3" width="13.77734375" style="17" customWidth="1"/>
    <col min="4" max="4" width="15.6640625" style="17" bestFit="1" customWidth="1"/>
    <col min="5" max="5" width="5.21875" style="17" customWidth="1"/>
    <col min="6" max="6" width="21.77734375" style="17" customWidth="1"/>
    <col min="7" max="9" width="13.77734375" style="17" customWidth="1"/>
    <col min="10" max="11" width="7.21875" style="17" customWidth="1"/>
    <col min="12" max="12" width="13.33203125" style="17" customWidth="1"/>
    <col min="13" max="22" width="11.21875" style="17" customWidth="1"/>
    <col min="23" max="16384" width="8.77734375" style="17"/>
  </cols>
  <sheetData>
    <row r="1" spans="1:22" x14ac:dyDescent="0.25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s="18" customFormat="1" ht="26.55" customHeight="1" x14ac:dyDescent="0.3">
      <c r="A2" s="64" t="s">
        <v>150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25">
      <c r="A3" s="66" t="s">
        <v>156</v>
      </c>
      <c r="B3" s="141">
        <v>2024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x14ac:dyDescent="0.25">
      <c r="C4" s="19"/>
      <c r="D4" s="19"/>
      <c r="E4" s="19"/>
      <c r="F4" s="19"/>
      <c r="J4" s="20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55.8" x14ac:dyDescent="0.3">
      <c r="A5" s="21" t="s">
        <v>123</v>
      </c>
      <c r="J5" s="22"/>
      <c r="L5" s="171" t="s">
        <v>124</v>
      </c>
      <c r="M5" s="172" t="str">
        <f>A7</f>
        <v>Total Debt / Tangible Net Worth</v>
      </c>
      <c r="N5" s="172" t="str">
        <f>A8</f>
        <v>Funded Debt / EBITDA</v>
      </c>
      <c r="O5" s="172" t="str">
        <f>F9</f>
        <v>Working Capital Ratio</v>
      </c>
      <c r="P5" s="172" t="str">
        <f>F7</f>
        <v>EBITDA / (Interest &amp; Principal Payment)</v>
      </c>
      <c r="Q5" s="172" t="str">
        <f>F8</f>
        <v>EBITDA / Interest</v>
      </c>
      <c r="R5" s="172" t="str">
        <f>A14</f>
        <v>Skills and Experience</v>
      </c>
      <c r="S5" s="172" t="str">
        <f>A15</f>
        <v>Business and Financial Acumen</v>
      </c>
      <c r="T5" s="172" t="str">
        <f>F14</f>
        <v>Strategy</v>
      </c>
      <c r="U5" s="172" t="str">
        <f>F15</f>
        <v>Business Risk</v>
      </c>
      <c r="V5" s="173" t="str">
        <f>F16</f>
        <v>Industry Risk</v>
      </c>
    </row>
    <row r="6" spans="1:22" ht="14.4" x14ac:dyDescent="0.3">
      <c r="A6" s="23" t="s">
        <v>125</v>
      </c>
      <c r="B6" s="24" t="s">
        <v>126</v>
      </c>
      <c r="C6" s="24" t="s">
        <v>124</v>
      </c>
      <c r="D6" s="24" t="s">
        <v>127</v>
      </c>
      <c r="F6" s="23" t="s">
        <v>128</v>
      </c>
      <c r="G6" s="24" t="s">
        <v>126</v>
      </c>
      <c r="H6" s="24" t="s">
        <v>124</v>
      </c>
      <c r="I6" s="24" t="s">
        <v>127</v>
      </c>
      <c r="J6" s="22"/>
      <c r="L6" s="25">
        <v>100</v>
      </c>
      <c r="M6" s="197">
        <v>0.4</v>
      </c>
      <c r="N6" s="197">
        <v>1</v>
      </c>
      <c r="O6" s="197">
        <v>3</v>
      </c>
      <c r="P6" s="197">
        <v>3.9000000000000008</v>
      </c>
      <c r="Q6" s="197">
        <v>10</v>
      </c>
      <c r="R6" s="197">
        <v>5</v>
      </c>
      <c r="S6" s="197">
        <v>5</v>
      </c>
      <c r="T6" s="197">
        <v>5</v>
      </c>
      <c r="U6" s="27">
        <v>5</v>
      </c>
      <c r="V6" s="198">
        <v>5</v>
      </c>
    </row>
    <row r="7" spans="1:22" ht="14.4" x14ac:dyDescent="0.3">
      <c r="A7" s="17" t="s">
        <v>171</v>
      </c>
      <c r="B7" s="169">
        <f ca="1">'Yearly Cash Flow'!F260</f>
        <v>0.90471193422288854</v>
      </c>
      <c r="C7" s="17">
        <f ca="1">IF(B7&lt;M6,L6,IF(B7&gt;M15,L16,INDEX($L$5:$L$16,MATCH(B7,$M$5:$M$16, 1),1)))</f>
        <v>90</v>
      </c>
      <c r="D7" s="28">
        <v>0.4</v>
      </c>
      <c r="F7" s="17" t="s">
        <v>169</v>
      </c>
      <c r="G7" s="169">
        <f ca="1">'Yearly Cash Flow'!F268</f>
        <v>4.3450518770961981</v>
      </c>
      <c r="H7" s="17">
        <f ca="1">IF(G7&gt;P6,L6,IF(G7&lt;P15,L16,INDEX($L$5:$L$16,MATCH(G7,$P$5:$P$16,-1),1)))</f>
        <v>100</v>
      </c>
      <c r="I7" s="28">
        <f>1/3</f>
        <v>0.33333333333333331</v>
      </c>
      <c r="J7" s="22"/>
      <c r="L7" s="29">
        <f>L6-10</f>
        <v>90</v>
      </c>
      <c r="M7" s="26">
        <v>0.8</v>
      </c>
      <c r="N7" s="26">
        <v>1.33</v>
      </c>
      <c r="O7" s="26">
        <v>2.75</v>
      </c>
      <c r="P7" s="26">
        <v>3.5500000000000007</v>
      </c>
      <c r="Q7" s="26">
        <v>9</v>
      </c>
      <c r="R7" s="27">
        <v>4.5</v>
      </c>
      <c r="S7" s="27">
        <v>4.5</v>
      </c>
      <c r="T7" s="27">
        <v>4.5</v>
      </c>
      <c r="U7" s="27">
        <v>4.5</v>
      </c>
      <c r="V7" s="30">
        <v>4.5</v>
      </c>
    </row>
    <row r="8" spans="1:22" ht="14.4" x14ac:dyDescent="0.3">
      <c r="A8" s="17" t="s">
        <v>122</v>
      </c>
      <c r="B8" s="169">
        <f ca="1">'Yearly Cash Flow'!F264</f>
        <v>1.5359733658830375</v>
      </c>
      <c r="C8" s="17">
        <f ca="1">IF(B8&lt;N6,L6,IF(B8&gt;N15,L16,INDEX($L$5:$L$16,MATCH(B8,$N$5:$N$16, 1),1)))</f>
        <v>90</v>
      </c>
      <c r="D8" s="28">
        <v>0.6</v>
      </c>
      <c r="F8" s="17" t="s">
        <v>170</v>
      </c>
      <c r="G8" s="169">
        <f ca="1">'Yearly Cash Flow'!F272</f>
        <v>15.830454396756572</v>
      </c>
      <c r="H8" s="17">
        <f ca="1">IF(G8&gt;Q6,L6,IF(G8&lt;Q15,L16,INDEX($L$5:$L$16,MATCH(G8,$Q$5:$Q$16, -1),1)))</f>
        <v>100</v>
      </c>
      <c r="I8" s="28">
        <f t="shared" ref="I8:I9" si="0">1/3</f>
        <v>0.33333333333333331</v>
      </c>
      <c r="J8" s="22"/>
      <c r="L8" s="29">
        <f t="shared" ref="L8:L16" si="1">L7-10</f>
        <v>80</v>
      </c>
      <c r="M8" s="26">
        <v>1.2</v>
      </c>
      <c r="N8" s="26">
        <v>1.66</v>
      </c>
      <c r="O8" s="26">
        <v>2.5</v>
      </c>
      <c r="P8" s="27">
        <v>3.2000000000000006</v>
      </c>
      <c r="Q8" s="26">
        <v>8</v>
      </c>
      <c r="R8" s="27">
        <v>4</v>
      </c>
      <c r="S8" s="27">
        <v>4</v>
      </c>
      <c r="T8" s="27">
        <v>4</v>
      </c>
      <c r="U8" s="27">
        <v>4</v>
      </c>
      <c r="V8" s="30">
        <v>4</v>
      </c>
    </row>
    <row r="9" spans="1:22" ht="14.4" x14ac:dyDescent="0.3">
      <c r="A9" s="31" t="s">
        <v>152</v>
      </c>
      <c r="B9" s="32"/>
      <c r="C9" s="33">
        <f ca="1">SUMPRODUCT(C7:C8,D7:D8)</f>
        <v>90</v>
      </c>
      <c r="D9" s="34">
        <f>SUM(D7:D8)</f>
        <v>1</v>
      </c>
      <c r="F9" s="17" t="s">
        <v>129</v>
      </c>
      <c r="G9" s="169">
        <f ca="1">'Yearly Cash Flow'!F256</f>
        <v>0.84708131795991459</v>
      </c>
      <c r="H9" s="17">
        <f ca="1">IF(G9&gt;O6,L6,IF(G9&lt;O15,L16,INDEX($L$5:$L$16,MATCH(G9,$O$5:$O$16, -1),1)))</f>
        <v>20</v>
      </c>
      <c r="I9" s="28">
        <f t="shared" si="0"/>
        <v>0.33333333333333331</v>
      </c>
      <c r="J9" s="22"/>
      <c r="L9" s="29">
        <f t="shared" si="1"/>
        <v>70</v>
      </c>
      <c r="M9" s="27">
        <v>1.6</v>
      </c>
      <c r="N9" s="27">
        <v>1.99</v>
      </c>
      <c r="O9" s="27">
        <v>2.25</v>
      </c>
      <c r="P9" s="27">
        <v>2.8500000000000005</v>
      </c>
      <c r="Q9" s="27">
        <v>7</v>
      </c>
      <c r="R9" s="27">
        <v>3.5</v>
      </c>
      <c r="S9" s="27">
        <v>3.5</v>
      </c>
      <c r="T9" s="27">
        <v>3.5</v>
      </c>
      <c r="U9" s="27">
        <v>3.5</v>
      </c>
      <c r="V9" s="30">
        <v>3.5</v>
      </c>
    </row>
    <row r="10" spans="1:22" ht="14.4" x14ac:dyDescent="0.3">
      <c r="F10" s="31" t="s">
        <v>153</v>
      </c>
      <c r="G10" s="32"/>
      <c r="H10" s="33">
        <f ca="1">SUMPRODUCT(H7:H9,I7:I9)</f>
        <v>73.333333333333329</v>
      </c>
      <c r="I10" s="34">
        <f>SUM(I7:I9)</f>
        <v>1</v>
      </c>
      <c r="J10" s="22"/>
      <c r="L10" s="29">
        <f>L9-10</f>
        <v>60</v>
      </c>
      <c r="M10" s="27">
        <v>2</v>
      </c>
      <c r="N10" s="27">
        <v>2.3199999999999998</v>
      </c>
      <c r="O10" s="27">
        <v>2</v>
      </c>
      <c r="P10" s="27">
        <v>2.5000000000000004</v>
      </c>
      <c r="Q10" s="27">
        <v>6</v>
      </c>
      <c r="R10" s="27">
        <v>3</v>
      </c>
      <c r="S10" s="27">
        <v>3</v>
      </c>
      <c r="T10" s="27">
        <v>3</v>
      </c>
      <c r="U10" s="27">
        <v>3</v>
      </c>
      <c r="V10" s="30">
        <v>3</v>
      </c>
    </row>
    <row r="11" spans="1:22" ht="14.4" x14ac:dyDescent="0.3">
      <c r="E11" s="19"/>
      <c r="F11" s="19"/>
      <c r="J11" s="22"/>
      <c r="L11" s="29">
        <f t="shared" si="1"/>
        <v>50</v>
      </c>
      <c r="M11" s="27">
        <v>2.4</v>
      </c>
      <c r="N11" s="27">
        <v>2.65</v>
      </c>
      <c r="O11" s="27">
        <v>1.75</v>
      </c>
      <c r="P11" s="27">
        <v>2.1500000000000004</v>
      </c>
      <c r="Q11" s="27">
        <v>5</v>
      </c>
      <c r="R11" s="27">
        <v>2.5</v>
      </c>
      <c r="S11" s="27">
        <v>2.5</v>
      </c>
      <c r="T11" s="27">
        <v>2.5</v>
      </c>
      <c r="U11" s="27">
        <v>2.5</v>
      </c>
      <c r="V11" s="30">
        <v>2.5</v>
      </c>
    </row>
    <row r="12" spans="1:22" ht="14.4" x14ac:dyDescent="0.3">
      <c r="C12" s="19"/>
      <c r="D12" s="19"/>
      <c r="J12" s="22"/>
      <c r="L12" s="29">
        <f t="shared" si="1"/>
        <v>40</v>
      </c>
      <c r="M12" s="27">
        <v>2.8</v>
      </c>
      <c r="N12" s="27">
        <v>2.98</v>
      </c>
      <c r="O12" s="27">
        <v>1.5</v>
      </c>
      <c r="P12" s="27">
        <v>1.8000000000000003</v>
      </c>
      <c r="Q12" s="27">
        <v>4</v>
      </c>
      <c r="R12" s="27">
        <v>2</v>
      </c>
      <c r="S12" s="27">
        <v>2</v>
      </c>
      <c r="T12" s="27">
        <v>2</v>
      </c>
      <c r="U12" s="27">
        <v>2</v>
      </c>
      <c r="V12" s="30">
        <v>2</v>
      </c>
    </row>
    <row r="13" spans="1:22" ht="14.4" x14ac:dyDescent="0.3">
      <c r="A13" s="23" t="s">
        <v>131</v>
      </c>
      <c r="B13" s="24" t="s">
        <v>126</v>
      </c>
      <c r="C13" s="24" t="s">
        <v>124</v>
      </c>
      <c r="D13" s="24" t="s">
        <v>127</v>
      </c>
      <c r="E13" s="19"/>
      <c r="F13" s="23" t="s">
        <v>132</v>
      </c>
      <c r="G13" s="24" t="s">
        <v>126</v>
      </c>
      <c r="H13" s="24" t="s">
        <v>124</v>
      </c>
      <c r="I13" s="24" t="s">
        <v>127</v>
      </c>
      <c r="J13" s="22"/>
      <c r="L13" s="29">
        <f t="shared" si="1"/>
        <v>30</v>
      </c>
      <c r="M13" s="27">
        <v>3.2</v>
      </c>
      <c r="N13" s="27">
        <v>3.31</v>
      </c>
      <c r="O13" s="27">
        <v>1.25</v>
      </c>
      <c r="P13" s="27">
        <v>1.4500000000000002</v>
      </c>
      <c r="Q13" s="27">
        <v>3</v>
      </c>
      <c r="R13" s="27">
        <v>1.5</v>
      </c>
      <c r="S13" s="27">
        <v>1.5</v>
      </c>
      <c r="T13" s="27">
        <v>1.5</v>
      </c>
      <c r="U13" s="27">
        <v>1.5</v>
      </c>
      <c r="V13" s="30">
        <v>1.5</v>
      </c>
    </row>
    <row r="14" spans="1:22" x14ac:dyDescent="0.25">
      <c r="A14" s="17" t="s">
        <v>133</v>
      </c>
      <c r="B14" s="168">
        <v>4.5</v>
      </c>
      <c r="C14" s="17">
        <f>IF(B14&gt;R6,L6,IF(B14&lt;R15,L16,INDEX($L$5:$L$16,MATCH(B14,$R$5:$R$16, -1),1)))</f>
        <v>90</v>
      </c>
      <c r="D14" s="28">
        <v>0.55000000000000004</v>
      </c>
      <c r="E14" s="19"/>
      <c r="F14" s="17" t="s">
        <v>134</v>
      </c>
      <c r="G14" s="168">
        <v>4.3</v>
      </c>
      <c r="H14" s="17">
        <f>IF(G14&gt;T6,L6,IF(G14&lt;T15,L16,INDEX($L$5:$L$16,MATCH(G14,$T$5:$T$16, -1),1)))</f>
        <v>90</v>
      </c>
      <c r="I14" s="28">
        <v>0.3</v>
      </c>
      <c r="J14" s="35"/>
      <c r="L14" s="29">
        <f t="shared" si="1"/>
        <v>20</v>
      </c>
      <c r="M14" s="27">
        <v>3.6</v>
      </c>
      <c r="N14" s="27">
        <v>3.64</v>
      </c>
      <c r="O14" s="27">
        <v>1</v>
      </c>
      <c r="P14" s="27">
        <v>1.1000000000000001</v>
      </c>
      <c r="Q14" s="27">
        <v>2</v>
      </c>
      <c r="R14" s="27">
        <v>1</v>
      </c>
      <c r="S14" s="27">
        <v>1</v>
      </c>
      <c r="T14" s="27">
        <v>1</v>
      </c>
      <c r="U14" s="27">
        <v>1</v>
      </c>
      <c r="V14" s="30">
        <v>1</v>
      </c>
    </row>
    <row r="15" spans="1:22" x14ac:dyDescent="0.25">
      <c r="A15" s="17" t="s">
        <v>136</v>
      </c>
      <c r="B15" s="168">
        <v>4.5</v>
      </c>
      <c r="C15" s="17">
        <f>IF(B15&gt;S6,L6,IF(B15&lt;S15,L16,INDEX($L$5:$L$16,MATCH(B15,$S$5:$S$16, -1),1)))</f>
        <v>90</v>
      </c>
      <c r="D15" s="28">
        <v>0.45</v>
      </c>
      <c r="E15" s="19"/>
      <c r="F15" s="17" t="s">
        <v>137</v>
      </c>
      <c r="G15" s="168">
        <v>4</v>
      </c>
      <c r="H15" s="17">
        <f>IF(G15&gt;U6,L6,IF(G15&lt;U15,L16,INDEX($L$5:$L$16,MATCH(G15,$U$5:$U$16, -1),1)))</f>
        <v>80</v>
      </c>
      <c r="I15" s="28">
        <v>0.3</v>
      </c>
      <c r="J15" s="20"/>
      <c r="L15" s="29">
        <f t="shared" si="1"/>
        <v>10</v>
      </c>
      <c r="M15" s="27">
        <v>4</v>
      </c>
      <c r="N15" s="27">
        <v>3.97</v>
      </c>
      <c r="O15" s="27">
        <v>0.75</v>
      </c>
      <c r="P15" s="27">
        <v>0.75</v>
      </c>
      <c r="Q15" s="27">
        <v>1</v>
      </c>
      <c r="R15" s="27">
        <v>0.5</v>
      </c>
      <c r="S15" s="27">
        <v>0.5</v>
      </c>
      <c r="T15" s="27">
        <v>0.5</v>
      </c>
      <c r="U15" s="27">
        <v>0.5</v>
      </c>
      <c r="V15" s="30">
        <v>0.5</v>
      </c>
    </row>
    <row r="16" spans="1:22" x14ac:dyDescent="0.25">
      <c r="A16" s="31" t="s">
        <v>154</v>
      </c>
      <c r="B16" s="32"/>
      <c r="C16" s="33">
        <f>SUMPRODUCT(C14:C15,D14:D15)</f>
        <v>90</v>
      </c>
      <c r="D16" s="34">
        <f>SUM(D14:D15)</f>
        <v>1</v>
      </c>
      <c r="E16" s="19"/>
      <c r="F16" s="17" t="s">
        <v>138</v>
      </c>
      <c r="G16" s="168">
        <v>1.9</v>
      </c>
      <c r="H16" s="17">
        <f>IF(G16&gt;V6,L6,IF(G16&lt;V15,L16,INDEX($L$5:$L$16,MATCH(G16,$V$5:$V$16, -1),1)))</f>
        <v>40</v>
      </c>
      <c r="I16" s="28">
        <v>0.4</v>
      </c>
      <c r="J16" s="20"/>
      <c r="L16" s="199">
        <f t="shared" si="1"/>
        <v>0</v>
      </c>
      <c r="M16" s="189" t="str">
        <f>"&gt;"&amp;M15</f>
        <v>&gt;4</v>
      </c>
      <c r="N16" s="189" t="str">
        <f>"&gt;"&amp;N15</f>
        <v>&gt;3.97</v>
      </c>
      <c r="O16" s="189" t="str">
        <f t="shared" ref="O16:T16" si="2">"&lt;"&amp;O15</f>
        <v>&lt;0.75</v>
      </c>
      <c r="P16" s="189" t="str">
        <f t="shared" si="2"/>
        <v>&lt;0.75</v>
      </c>
      <c r="Q16" s="189" t="str">
        <f t="shared" si="2"/>
        <v>&lt;1</v>
      </c>
      <c r="R16" s="189" t="str">
        <f t="shared" si="2"/>
        <v>&lt;0.5</v>
      </c>
      <c r="S16" s="189" t="str">
        <f t="shared" si="2"/>
        <v>&lt;0.5</v>
      </c>
      <c r="T16" s="189" t="str">
        <f t="shared" si="2"/>
        <v>&lt;0.5</v>
      </c>
      <c r="U16" s="189" t="str">
        <f t="shared" ref="U16" si="3">"&lt;"&amp;U15</f>
        <v>&lt;0.5</v>
      </c>
      <c r="V16" s="190" t="str">
        <f t="shared" ref="V16" si="4">"&lt;"&amp;V15</f>
        <v>&lt;0.5</v>
      </c>
    </row>
    <row r="17" spans="1:22" x14ac:dyDescent="0.25">
      <c r="E17" s="19"/>
      <c r="F17" s="31" t="s">
        <v>155</v>
      </c>
      <c r="G17" s="32"/>
      <c r="H17" s="33">
        <f>SUMPRODUCT(H14:H16,I14:I16)</f>
        <v>67</v>
      </c>
      <c r="I17" s="34">
        <f>SUM(I14:I16)</f>
        <v>1</v>
      </c>
      <c r="J17" s="20"/>
    </row>
    <row r="18" spans="1:22" x14ac:dyDescent="0.25">
      <c r="E18" s="19"/>
      <c r="F18" s="19"/>
      <c r="J18" s="20"/>
    </row>
    <row r="19" spans="1:22" x14ac:dyDescent="0.25">
      <c r="J19" s="20"/>
      <c r="L19" s="174" t="s">
        <v>135</v>
      </c>
      <c r="M19" s="175" t="s">
        <v>127</v>
      </c>
    </row>
    <row r="20" spans="1:22" x14ac:dyDescent="0.25">
      <c r="A20" s="21" t="s">
        <v>151</v>
      </c>
      <c r="C20" s="19"/>
      <c r="D20" s="19"/>
      <c r="J20" s="20"/>
      <c r="L20" s="36" t="s">
        <v>125</v>
      </c>
      <c r="M20" s="37">
        <v>0.3</v>
      </c>
    </row>
    <row r="21" spans="1:22" x14ac:dyDescent="0.25">
      <c r="A21" s="136" t="s">
        <v>135</v>
      </c>
      <c r="B21" s="176" t="s">
        <v>141</v>
      </c>
      <c r="C21" s="177" t="s">
        <v>127</v>
      </c>
      <c r="D21" s="177" t="s">
        <v>142</v>
      </c>
      <c r="F21" s="178"/>
      <c r="G21" s="179" t="s">
        <v>123</v>
      </c>
      <c r="H21" s="180" t="s">
        <v>143</v>
      </c>
      <c r="I21" s="181"/>
      <c r="J21" s="20"/>
      <c r="L21" s="38" t="s">
        <v>139</v>
      </c>
      <c r="M21" s="39">
        <v>0.3</v>
      </c>
    </row>
    <row r="22" spans="1:22" x14ac:dyDescent="0.25">
      <c r="A22" s="17" t="str">
        <f>+A6</f>
        <v>Financial</v>
      </c>
      <c r="B22" s="42">
        <f ca="1">C9</f>
        <v>90</v>
      </c>
      <c r="C22" s="43">
        <f>M20</f>
        <v>0.3</v>
      </c>
      <c r="D22" s="44">
        <f ca="1">B22*C22</f>
        <v>27</v>
      </c>
      <c r="F22" s="45">
        <v>1</v>
      </c>
      <c r="G22" s="46" t="s">
        <v>144</v>
      </c>
      <c r="H22" s="194">
        <v>85</v>
      </c>
      <c r="I22" s="192">
        <v>100</v>
      </c>
      <c r="J22" s="20"/>
      <c r="L22" s="38" t="s">
        <v>131</v>
      </c>
      <c r="M22" s="39">
        <v>0.25</v>
      </c>
    </row>
    <row r="23" spans="1:22" x14ac:dyDescent="0.25">
      <c r="A23" s="17" t="str">
        <f>+F6</f>
        <v>Coverage</v>
      </c>
      <c r="B23" s="42">
        <f ca="1">H10</f>
        <v>73.333333333333329</v>
      </c>
      <c r="C23" s="47">
        <f>M21</f>
        <v>0.3</v>
      </c>
      <c r="D23" s="48">
        <f t="shared" ref="D23:D25" ca="1" si="5">B23*C23</f>
        <v>21.999999999999996</v>
      </c>
      <c r="F23" s="49">
        <v>2</v>
      </c>
      <c r="G23" s="50" t="s">
        <v>145</v>
      </c>
      <c r="H23" s="195">
        <v>71</v>
      </c>
      <c r="I23" s="191">
        <f>H22-0.01</f>
        <v>84.99</v>
      </c>
      <c r="J23" s="20"/>
      <c r="L23" s="38" t="s">
        <v>140</v>
      </c>
      <c r="M23" s="39">
        <v>0.15</v>
      </c>
    </row>
    <row r="24" spans="1:22" x14ac:dyDescent="0.25">
      <c r="A24" s="17" t="str">
        <f>+A13</f>
        <v>Management</v>
      </c>
      <c r="B24" s="42">
        <f>C16</f>
        <v>90</v>
      </c>
      <c r="C24" s="47">
        <f>M22</f>
        <v>0.25</v>
      </c>
      <c r="D24" s="48">
        <f t="shared" si="5"/>
        <v>22.5</v>
      </c>
      <c r="F24" s="51">
        <v>3</v>
      </c>
      <c r="G24" s="52" t="s">
        <v>146</v>
      </c>
      <c r="H24" s="195">
        <v>56</v>
      </c>
      <c r="I24" s="191">
        <f t="shared" ref="I24:I27" si="6">H23-0.01</f>
        <v>70.989999999999995</v>
      </c>
      <c r="J24" s="20"/>
      <c r="L24" s="40" t="s">
        <v>130</v>
      </c>
      <c r="M24" s="41">
        <f>SUM(M20:M23)</f>
        <v>1</v>
      </c>
    </row>
    <row r="25" spans="1:22" x14ac:dyDescent="0.25">
      <c r="A25" s="17" t="str">
        <f>+F13</f>
        <v>Business and Industry</v>
      </c>
      <c r="B25" s="42">
        <f>H17</f>
        <v>67</v>
      </c>
      <c r="C25" s="47">
        <f>M23</f>
        <v>0.15</v>
      </c>
      <c r="D25" s="48">
        <f t="shared" si="5"/>
        <v>10.049999999999999</v>
      </c>
      <c r="F25" s="53">
        <v>4</v>
      </c>
      <c r="G25" s="54" t="s">
        <v>147</v>
      </c>
      <c r="H25" s="195">
        <v>40</v>
      </c>
      <c r="I25" s="191">
        <f t="shared" si="6"/>
        <v>55.99</v>
      </c>
      <c r="J25" s="20"/>
    </row>
    <row r="26" spans="1:22" x14ac:dyDescent="0.25">
      <c r="A26" s="31" t="s">
        <v>130</v>
      </c>
      <c r="B26" s="32"/>
      <c r="C26" s="32"/>
      <c r="D26" s="55">
        <f ca="1">SUM(D22:D25)</f>
        <v>81.55</v>
      </c>
      <c r="E26" s="19"/>
      <c r="F26" s="56">
        <v>5</v>
      </c>
      <c r="G26" s="57" t="s">
        <v>148</v>
      </c>
      <c r="H26" s="195">
        <v>21</v>
      </c>
      <c r="I26" s="191">
        <f t="shared" si="6"/>
        <v>39.99</v>
      </c>
      <c r="J26" s="20"/>
    </row>
    <row r="27" spans="1:22" x14ac:dyDescent="0.25">
      <c r="A27" s="58" t="s">
        <v>123</v>
      </c>
      <c r="D27" s="59" t="str">
        <f ca="1">INDEX(F21:I27,MATCH(D26,I21:I27,-1),2)&amp;" ("&amp;INDEX(F21:I27,MATCH(D26,I21:I27,-1),1)&amp;")"</f>
        <v>Low Risk (2)</v>
      </c>
      <c r="E27" s="19"/>
      <c r="F27" s="60">
        <v>6</v>
      </c>
      <c r="G27" s="61" t="s">
        <v>149</v>
      </c>
      <c r="H27" s="196">
        <v>0</v>
      </c>
      <c r="I27" s="193">
        <f t="shared" si="6"/>
        <v>20.99</v>
      </c>
      <c r="J27" s="20"/>
    </row>
    <row r="28" spans="1:22" x14ac:dyDescent="0.25">
      <c r="E28" s="19"/>
      <c r="F28" s="19"/>
      <c r="J28" s="20"/>
    </row>
    <row r="29" spans="1:22" customFormat="1" ht="14.4" x14ac:dyDescent="0.3">
      <c r="A29" s="17"/>
      <c r="B29" s="17"/>
      <c r="C29" s="17"/>
      <c r="D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customFormat="1" ht="14.4" x14ac:dyDescent="0.3"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customFormat="1" ht="14.4" x14ac:dyDescent="0.3"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customFormat="1" ht="14.4" x14ac:dyDescent="0.3"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customFormat="1" ht="14.4" x14ac:dyDescent="0.3"/>
    <row r="34" spans="1:22" customFormat="1" ht="14.4" x14ac:dyDescent="0.3"/>
    <row r="35" spans="1:22" ht="14.4" x14ac:dyDescent="0.3">
      <c r="A35"/>
      <c r="B35"/>
      <c r="C35"/>
      <c r="D35"/>
      <c r="L35"/>
      <c r="M35"/>
      <c r="N35"/>
      <c r="O35"/>
      <c r="P35"/>
      <c r="Q35"/>
      <c r="R35"/>
      <c r="S35"/>
      <c r="T35"/>
      <c r="U35"/>
      <c r="V35"/>
    </row>
    <row r="36" spans="1:22" ht="14.4" x14ac:dyDescent="0.3">
      <c r="L36"/>
      <c r="M36"/>
      <c r="N36"/>
      <c r="O36"/>
      <c r="P36"/>
      <c r="Q36"/>
      <c r="R36"/>
      <c r="S36"/>
      <c r="T36"/>
      <c r="U36"/>
      <c r="V36"/>
    </row>
    <row r="37" spans="1:22" ht="14.4" x14ac:dyDescent="0.3">
      <c r="L37"/>
      <c r="M37"/>
      <c r="N37"/>
      <c r="O37"/>
      <c r="P37"/>
      <c r="Q37"/>
      <c r="R37"/>
      <c r="S37"/>
      <c r="T37"/>
      <c r="U37"/>
      <c r="V37"/>
    </row>
    <row r="38" spans="1:22" ht="14.4" x14ac:dyDescent="0.3">
      <c r="L38"/>
      <c r="M38"/>
      <c r="N38"/>
      <c r="O38"/>
      <c r="P38"/>
      <c r="Q38"/>
      <c r="R38"/>
      <c r="S38"/>
      <c r="T38"/>
      <c r="U38"/>
      <c r="V38"/>
    </row>
  </sheetData>
  <conditionalFormatting sqref="D27">
    <cfRule type="expression" dxfId="5" priority="13">
      <formula>$D$26&lt;=$I$27</formula>
    </cfRule>
    <cfRule type="expression" dxfId="4" priority="14">
      <formula>$D$26&lt;=$I$26</formula>
    </cfRule>
    <cfRule type="expression" dxfId="3" priority="15">
      <formula>$D$26&lt;=$I$25</formula>
    </cfRule>
    <cfRule type="expression" dxfId="2" priority="16">
      <formula>$D$26&lt;=$I$24</formula>
    </cfRule>
    <cfRule type="expression" dxfId="1" priority="17">
      <formula>$D$26&lt;=$I$23</formula>
    </cfRule>
    <cfRule type="expression" dxfId="0" priority="18">
      <formula>"&lt;=$O$21&gt;=$N$21"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Yearly Cash Flow</vt:lpstr>
      <vt:lpstr>Risk Rating Model</vt:lpstr>
      <vt:lpstr>Equity_Pct</vt:lpstr>
      <vt:lpstr>Sr_Note_Pct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Jaco Auto Parts Financial Statements</dc:title>
  <dc:creator>Corporate Finance Institute® (CFI)</dc:creator>
  <cp:lastModifiedBy>Guilherme Graboski Silva de Castro</cp:lastModifiedBy>
  <cp:lastPrinted>2020-05-04T22:20:53Z</cp:lastPrinted>
  <dcterms:created xsi:type="dcterms:W3CDTF">2015-09-30T19:16:46Z</dcterms:created>
  <dcterms:modified xsi:type="dcterms:W3CDTF">2024-06-17T12:15:22Z</dcterms:modified>
</cp:coreProperties>
</file>