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guilh\Documents\GitHub\HCI\"/>
    </mc:Choice>
  </mc:AlternateContent>
  <xr:revisionPtr revIDLastSave="0" documentId="13_ncr:1_{1BDA7E52-C966-46B8-AD8C-201864EA5043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Answers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2" l="1"/>
  <c r="D18" i="2"/>
  <c r="B18" i="2"/>
  <c r="C18" i="2" s="1"/>
  <c r="D17" i="2"/>
  <c r="B17" i="2"/>
  <c r="C17" i="2" s="1"/>
  <c r="J19" i="2"/>
  <c r="L19" i="2" s="1"/>
  <c r="M19" i="2" s="1"/>
  <c r="J18" i="2"/>
  <c r="L18" i="2" s="1"/>
  <c r="M18" i="2" s="1"/>
  <c r="F19" i="2"/>
  <c r="D19" i="2"/>
  <c r="J17" i="2"/>
  <c r="L17" i="2" s="1"/>
  <c r="M17" i="2" s="1"/>
  <c r="F17" i="2"/>
  <c r="J16" i="2"/>
  <c r="L16" i="2" s="1"/>
  <c r="M16" i="2" s="1"/>
  <c r="F16" i="2"/>
  <c r="G16" i="2" s="1"/>
  <c r="D16" i="2"/>
  <c r="E16" i="2" s="1"/>
  <c r="B16" i="2"/>
  <c r="C16" i="2" s="1"/>
  <c r="L15" i="2"/>
  <c r="M15" i="2" s="1"/>
  <c r="J15" i="2"/>
  <c r="K15" i="2" s="1"/>
  <c r="F15" i="2"/>
  <c r="G15" i="2" s="1"/>
  <c r="D15" i="2"/>
  <c r="E15" i="2" s="1"/>
  <c r="B15" i="2"/>
  <c r="C15" i="2" s="1"/>
  <c r="J14" i="2"/>
  <c r="L14" i="2" s="1"/>
  <c r="M14" i="2" s="1"/>
  <c r="F14" i="2"/>
  <c r="G14" i="2" s="1"/>
  <c r="D14" i="2"/>
  <c r="E14" i="2" s="1"/>
  <c r="B14" i="2"/>
  <c r="C14" i="2" s="1"/>
  <c r="J8" i="2"/>
  <c r="K8" i="2" s="1"/>
  <c r="H8" i="2"/>
  <c r="I8" i="2" s="1"/>
  <c r="F8" i="2"/>
  <c r="G8" i="2" s="1"/>
  <c r="D8" i="2"/>
  <c r="E8" i="2" s="1"/>
  <c r="B8" i="2"/>
  <c r="B19" i="2" s="1"/>
  <c r="C19" i="2" s="1"/>
  <c r="J7" i="2"/>
  <c r="K7" i="2" s="1"/>
  <c r="H7" i="2"/>
  <c r="I7" i="2" s="1"/>
  <c r="F7" i="2"/>
  <c r="G7" i="2" s="1"/>
  <c r="D7" i="2"/>
  <c r="E7" i="2" s="1"/>
  <c r="B7" i="2"/>
  <c r="J20" i="2" s="1"/>
  <c r="J6" i="2"/>
  <c r="K6" i="2" s="1"/>
  <c r="H6" i="2"/>
  <c r="I6" i="2" s="1"/>
  <c r="F6" i="2"/>
  <c r="G6" i="2" s="1"/>
  <c r="D6" i="2"/>
  <c r="E6" i="2" s="1"/>
  <c r="B6" i="2"/>
  <c r="C6" i="2" s="1"/>
  <c r="J5" i="2"/>
  <c r="K5" i="2" s="1"/>
  <c r="H5" i="2"/>
  <c r="I5" i="2" s="1"/>
  <c r="F5" i="2"/>
  <c r="G5" i="2" s="1"/>
  <c r="D5" i="2"/>
  <c r="E5" i="2" s="1"/>
  <c r="B5" i="2"/>
  <c r="C5" i="2" s="1"/>
  <c r="J4" i="2"/>
  <c r="J9" i="2" s="1"/>
  <c r="H4" i="2"/>
  <c r="H9" i="2" s="1"/>
  <c r="F4" i="2"/>
  <c r="G4" i="2" s="1"/>
  <c r="D4" i="2"/>
  <c r="D9" i="2" s="1"/>
  <c r="B4" i="2"/>
  <c r="E17" i="2" l="1"/>
  <c r="G17" i="2"/>
  <c r="L20" i="2"/>
  <c r="M20" i="2" s="1"/>
  <c r="K20" i="2"/>
  <c r="E19" i="2"/>
  <c r="G19" i="2"/>
  <c r="F9" i="2"/>
  <c r="G9" i="2" s="1"/>
  <c r="I4" i="2"/>
  <c r="C7" i="2"/>
  <c r="K16" i="2"/>
  <c r="K19" i="2"/>
  <c r="K4" i="2"/>
  <c r="C8" i="2"/>
  <c r="K17" i="2"/>
  <c r="B9" i="2"/>
  <c r="C9" i="2" s="1"/>
  <c r="E4" i="2"/>
  <c r="K14" i="2"/>
  <c r="K18" i="2"/>
  <c r="E9" i="2" l="1"/>
  <c r="I9" i="2"/>
  <c r="K9" i="2"/>
</calcChain>
</file>

<file path=xl/sharedStrings.xml><?xml version="1.0" encoding="utf-8"?>
<sst xmlns="http://schemas.openxmlformats.org/spreadsheetml/2006/main" count="434" uniqueCount="142">
  <si>
    <t>Carimbo de data/hora</t>
  </si>
  <si>
    <t>Are you an international student?</t>
  </si>
  <si>
    <t>What year are you enrolled in?</t>
  </si>
  <si>
    <t>In what regime are you enrolled in?</t>
  </si>
  <si>
    <t>How old are you?</t>
  </si>
  <si>
    <t>Gender</t>
  </si>
  <si>
    <t>Are you living with your parents?</t>
  </si>
  <si>
    <t>What is the main reason you aren't living with your parents?</t>
  </si>
  <si>
    <t>Where are you currently living?</t>
  </si>
  <si>
    <t>Did you know your roommates before you moved in?</t>
  </si>
  <si>
    <t>Do you have a roommate of a different gender?</t>
  </si>
  <si>
    <t>How long have you been living in your house?</t>
  </si>
  <si>
    <t>Do you have a guarantor?</t>
  </si>
  <si>
    <t>If you had to leave your current residence, do you have a place to stay?</t>
  </si>
  <si>
    <t>Where did you look for housing?</t>
  </si>
  <si>
    <t>Which online resources (if any) did you use when trying to find housing?</t>
  </si>
  <si>
    <t>Are you interested in switching housing arrangements?</t>
  </si>
  <si>
    <t>Rate the following options, based on how opposed you would be to moving into a new house with these conditions [Unknown roommates]</t>
  </si>
  <si>
    <t>Rate the following options, based on how opposed you would be to moving into a new house with these conditions [Roommates of a different gender]</t>
  </si>
  <si>
    <t>Rate the following options, based on how opposed you would be to moving into a new house with these conditions [High number of roommates (&gt;2)]</t>
  </si>
  <si>
    <t>Rate the following options, based on how opposed you would be to moving into a new house with these conditions [Distant from FEUP (&gt;15min on foot)]</t>
  </si>
  <si>
    <t>Rate the following options, based on how opposed you would be to moving into a new house with these conditions [Subpar conditions (noise, no internet)]</t>
  </si>
  <si>
    <t>Are you currently working outside your area of study?</t>
  </si>
  <si>
    <t>What is the main reason you are working while studying?</t>
  </si>
  <si>
    <t>How many years of experience do you have?</t>
  </si>
  <si>
    <t>How long have you been working in your current job?</t>
  </si>
  <si>
    <t>How many hours are you working per week? You can answer 'prefer not to say'</t>
  </si>
  <si>
    <t>How much are you making per month? You can answer 'prefer not to say'</t>
  </si>
  <si>
    <t>Are you satisfied with your current job?</t>
  </si>
  <si>
    <t>Where did you find your last job?</t>
  </si>
  <si>
    <t>If you got fired, how would you look for a new job?</t>
  </si>
  <si>
    <t>If you got fired, how long do you think it would take for you to get another job?</t>
  </si>
  <si>
    <t>Which online job-seeking platforms/temporary work agencies have you used in the past (if any)?</t>
  </si>
  <si>
    <t>Are you concerned about the personal information you gave to companies/online platforms in the past?</t>
  </si>
  <si>
    <t>Rate the following options, based on how opposed you would be to accepting a new job with these conditions [Self-employment contract ('recibos verdes')]</t>
  </si>
  <si>
    <t>Rate the following options, based on how opposed you would be to accepting a new job with these conditions [Precarious position]</t>
  </si>
  <si>
    <t>Rate the following options, based on how opposed you would be to accepting a new job with these conditions [Night shift]</t>
  </si>
  <si>
    <t>Rate the following options, based on how opposed you would be to accepting a new job with these conditions [Overlap with classes]</t>
  </si>
  <si>
    <t>Rate the following options, based on how opposed you would be to accepting a new job with these conditions [Minimum wage]</t>
  </si>
  <si>
    <t>Are you interested in finding a job outside your area of study here in Portugal?</t>
  </si>
  <si>
    <t>No</t>
  </si>
  <si>
    <t>Full time student</t>
  </si>
  <si>
    <t>18 - 23</t>
  </si>
  <si>
    <t>Female</t>
  </si>
  <si>
    <t>Yes</t>
  </si>
  <si>
    <t>Male</t>
  </si>
  <si>
    <t>My parents don't live in Portugal</t>
  </si>
  <si>
    <t>In a house with my parents friends</t>
  </si>
  <si>
    <t>More than 1 year</t>
  </si>
  <si>
    <t>Maybe with friends if they could host me for awhile</t>
  </si>
  <si>
    <t>Through personal contacts</t>
  </si>
  <si>
    <t>No, because I'm satisfied with my accomodations</t>
  </si>
  <si>
    <t>Confortable</t>
  </si>
  <si>
    <t>Indifferent</t>
  </si>
  <si>
    <t>Strongly opposed</t>
  </si>
  <si>
    <t>My parents live too far from FEUP</t>
  </si>
  <si>
    <t>In a house/apartment with roommates</t>
  </si>
  <si>
    <t>Less than 3 months</t>
  </si>
  <si>
    <t>Yes, a family member</t>
  </si>
  <si>
    <t>Through an online platform</t>
  </si>
  <si>
    <t>In a university residence</t>
  </si>
  <si>
    <t>Through University resources</t>
  </si>
  <si>
    <t>Concerned</t>
  </si>
  <si>
    <t>3 months - 1 year</t>
  </si>
  <si>
    <t>Yes, with family/friends</t>
  </si>
  <si>
    <t>&gt; 23</t>
  </si>
  <si>
    <t>I want to be independent</t>
  </si>
  <si>
    <t>Through University resources, Through an online platform</t>
  </si>
  <si>
    <t>Part-time, from 19 credits</t>
  </si>
  <si>
    <t>To get some extra pocket money</t>
  </si>
  <si>
    <t>&lt; 1</t>
  </si>
  <si>
    <t>3 months to 1 year</t>
  </si>
  <si>
    <t>Very satisfied, I'm not considering leaving</t>
  </si>
  <si>
    <t>In an internet platform</t>
  </si>
  <si>
    <t>More than 1 month</t>
  </si>
  <si>
    <t xml:space="preserve">Networkme, LinkedIn </t>
  </si>
  <si>
    <t>Yes, I have enough savings to arrange a temporary solution</t>
  </si>
  <si>
    <t>Through University resources, Through an online platform, Through personal contacts, Flyers and posters near uni</t>
  </si>
  <si>
    <t>Uniplaces, idealista, olx, custo justo, facebook groups &amp; marketplace, bquarto</t>
  </si>
  <si>
    <t>Through an online platform, Through personal contacts</t>
  </si>
  <si>
    <t>BQuartos, uniplaces, olx</t>
  </si>
  <si>
    <t>Yes, because I'm paying too much</t>
  </si>
  <si>
    <t>To save for a future expense</t>
  </si>
  <si>
    <t>&lt; 3 months</t>
  </si>
  <si>
    <t>9 hours</t>
  </si>
  <si>
    <t xml:space="preserve">Prefer not to say </t>
  </si>
  <si>
    <t>Somewhat unsatisfied, if I see a decent alternative I'll take it</t>
  </si>
  <si>
    <t>With personal connections</t>
  </si>
  <si>
    <t>In an internet platform, Via internet search, With personal connections</t>
  </si>
  <si>
    <t>1 week to 1 month</t>
  </si>
  <si>
    <t>Indeed</t>
  </si>
  <si>
    <t>Não sei</t>
  </si>
  <si>
    <t>In a private dormitory</t>
  </si>
  <si>
    <t>I don't have roommates</t>
  </si>
  <si>
    <t>Google</t>
  </si>
  <si>
    <t>through the internet by myself</t>
  </si>
  <si>
    <t>web page of each residence</t>
  </si>
  <si>
    <t>No, because I don't want to ruin my international experience</t>
  </si>
  <si>
    <t>Part-time, up to 18 credits</t>
  </si>
  <si>
    <t>Residencia liv Student</t>
  </si>
  <si>
    <t xml:space="preserve">Yes </t>
  </si>
  <si>
    <t>No, because I signed a lease</t>
  </si>
  <si>
    <t>No, because the pay is worse than my home country</t>
  </si>
  <si>
    <t>&lt; 18</t>
  </si>
  <si>
    <t>Satisfied, but I would like to switch to a job in my field</t>
  </si>
  <si>
    <t>Through a temporary work agency</t>
  </si>
  <si>
    <t>Through a temporary work agency, With personal connections</t>
  </si>
  <si>
    <t>Less than a week</t>
  </si>
  <si>
    <t>Randstad</t>
  </si>
  <si>
    <t>To help pay for some of my expenses</t>
  </si>
  <si>
    <t>&gt; 3</t>
  </si>
  <si>
    <t>Unsatisfied and actively looking for employment elsewhere</t>
  </si>
  <si>
    <t>In an internet platform, Through a temporary work agency, Via internet search</t>
  </si>
  <si>
    <t>ManPowerGroup, Randstad, indeed</t>
  </si>
  <si>
    <t>Question 1</t>
  </si>
  <si>
    <t>Total</t>
  </si>
  <si>
    <t>Proportion</t>
  </si>
  <si>
    <t>Number of males</t>
  </si>
  <si>
    <t>Third Year Student</t>
  </si>
  <si>
    <t>18-23</t>
  </si>
  <si>
    <t>Total Responses</t>
  </si>
  <si>
    <t>Valid Responses</t>
  </si>
  <si>
    <t>International Students</t>
  </si>
  <si>
    <t>Student-workers</t>
  </si>
  <si>
    <t>Students not living with parents</t>
  </si>
  <si>
    <t>Invalid Responses</t>
  </si>
  <si>
    <t>Question 2 - Housing</t>
  </si>
  <si>
    <t>Question 2 - Employment</t>
  </si>
  <si>
    <t>Satisfied</t>
  </si>
  <si>
    <t>Searched more than one way</t>
  </si>
  <si>
    <t>Search via Uni resources</t>
  </si>
  <si>
    <t>Searched Online</t>
  </si>
  <si>
    <t>Search with personal contacts</t>
  </si>
  <si>
    <t>Found Online</t>
  </si>
  <si>
    <t>Search online</t>
  </si>
  <si>
    <t>Search in temp agency</t>
  </si>
  <si>
    <t>Didn't search online</t>
  </si>
  <si>
    <t>Found in temp agency</t>
  </si>
  <si>
    <t>Overall</t>
  </si>
  <si>
    <t>Search in personal network</t>
  </si>
  <si>
    <t>Found in personal network</t>
  </si>
  <si>
    <t>No alternative to current arrangement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</si>
</sst>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5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Lexend"/>
    </font>
    <font>
      <sz val="10"/>
      <color theme="1"/>
      <name val="Lexend"/>
    </font>
    <font>
      <sz val="11"/>
      <color rgb="FF000000"/>
      <name val="Lexend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/>
    <xf numFmtId="10" fontId="3" fillId="0" borderId="1" xfId="0" applyNumberFormat="1" applyFont="1" applyBorder="1"/>
    <xf numFmtId="0" fontId="4" fillId="2" borderId="1" xfId="0" applyFont="1" applyFill="1" applyBorder="1"/>
    <xf numFmtId="0" fontId="4" fillId="2" borderId="0" xfId="0" applyFont="1" applyFill="1"/>
    <xf numFmtId="0" fontId="3" fillId="0" borderId="0" xfId="0" applyFont="1" applyAlignment="1"/>
    <xf numFmtId="0" fontId="3" fillId="0" borderId="2" xfId="0" applyFont="1" applyBorder="1" applyAlignment="1"/>
    <xf numFmtId="0" fontId="3" fillId="0" borderId="2" xfId="0" applyFont="1" applyBorder="1"/>
    <xf numFmtId="10" fontId="3" fillId="0" borderId="2" xfId="0" applyNumberFormat="1" applyFont="1" applyBorder="1"/>
    <xf numFmtId="0" fontId="3" fillId="0" borderId="4" xfId="0" applyFont="1" applyBorder="1" applyAlignment="1"/>
    <xf numFmtId="0" fontId="3" fillId="0" borderId="4" xfId="0" applyFont="1" applyBorder="1"/>
    <xf numFmtId="10" fontId="3" fillId="0" borderId="4" xfId="0" applyNumberFormat="1" applyFont="1" applyBorder="1"/>
    <xf numFmtId="0" fontId="4" fillId="2" borderId="4" xfId="0" applyFont="1" applyFill="1" applyBorder="1"/>
    <xf numFmtId="0" fontId="3" fillId="0" borderId="3" xfId="0" applyFont="1" applyFill="1" applyBorder="1" applyAlignment="1"/>
    <xf numFmtId="0" fontId="0" fillId="0" borderId="3" xfId="0" applyFont="1" applyBorder="1" applyAlignment="1"/>
    <xf numFmtId="10" fontId="3" fillId="0" borderId="3" xfId="0" applyNumberFormat="1" applyFont="1" applyBorder="1"/>
    <xf numFmtId="0" fontId="0" fillId="0" borderId="5" xfId="0" applyFont="1" applyBorder="1" applyAlignment="1"/>
    <xf numFmtId="0" fontId="3" fillId="0" borderId="6" xfId="0" applyFont="1" applyBorder="1"/>
    <xf numFmtId="0" fontId="4" fillId="2" borderId="8" xfId="0" applyFont="1" applyFill="1" applyBorder="1"/>
    <xf numFmtId="0" fontId="0" fillId="3" borderId="7" xfId="0" applyFont="1" applyFill="1" applyBorder="1" applyAlignment="1"/>
    <xf numFmtId="0" fontId="0" fillId="3" borderId="3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24"/>
  <sheetViews>
    <sheetView topLeftCell="K1" workbookViewId="0">
      <pane ySplit="1" topLeftCell="A9" activePane="bottomLeft" state="frozen"/>
      <selection pane="bottomLeft" activeCell="H26" sqref="H26"/>
    </sheetView>
  </sheetViews>
  <sheetFormatPr defaultColWidth="12.6328125" defaultRowHeight="15.75" customHeight="1"/>
  <cols>
    <col min="1" max="51" width="18.86328125" customWidth="1"/>
  </cols>
  <sheetData>
    <row r="1" spans="1:4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8</v>
      </c>
      <c r="AP1" s="1" t="s">
        <v>14</v>
      </c>
      <c r="AQ1" s="1" t="s">
        <v>15</v>
      </c>
      <c r="AR1" s="1" t="s">
        <v>16</v>
      </c>
      <c r="AS1" s="1" t="s">
        <v>39</v>
      </c>
    </row>
    <row r="2" spans="1:45" ht="15.75" customHeight="1">
      <c r="A2" s="2">
        <v>44835.457706608795</v>
      </c>
      <c r="B2" s="3" t="s">
        <v>40</v>
      </c>
      <c r="C2" s="3">
        <v>3</v>
      </c>
      <c r="D2" s="3" t="s">
        <v>41</v>
      </c>
      <c r="E2" s="3" t="s">
        <v>42</v>
      </c>
      <c r="F2" s="3" t="s">
        <v>43</v>
      </c>
      <c r="G2" s="3" t="s">
        <v>44</v>
      </c>
      <c r="X2" s="3" t="s">
        <v>40</v>
      </c>
    </row>
    <row r="3" spans="1:45" ht="15.75" customHeight="1">
      <c r="A3" s="2">
        <v>44835.459045775468</v>
      </c>
      <c r="B3" s="3" t="s">
        <v>40</v>
      </c>
      <c r="C3" s="3">
        <v>3</v>
      </c>
      <c r="D3" s="3" t="s">
        <v>41</v>
      </c>
      <c r="E3" s="3" t="s">
        <v>42</v>
      </c>
      <c r="F3" s="3" t="s">
        <v>45</v>
      </c>
      <c r="G3" s="3" t="s">
        <v>44</v>
      </c>
      <c r="X3" s="3" t="s">
        <v>40</v>
      </c>
    </row>
    <row r="4" spans="1:45" ht="15.75" customHeight="1">
      <c r="A4" s="2">
        <v>44835.469437581021</v>
      </c>
      <c r="B4" s="3" t="s">
        <v>40</v>
      </c>
      <c r="C4" s="3">
        <v>3</v>
      </c>
      <c r="D4" s="3" t="s">
        <v>41</v>
      </c>
      <c r="E4" s="3" t="s">
        <v>42</v>
      </c>
      <c r="F4" s="3" t="s">
        <v>45</v>
      </c>
      <c r="G4" s="3" t="s">
        <v>40</v>
      </c>
      <c r="H4" s="3" t="s">
        <v>46</v>
      </c>
      <c r="I4" s="3" t="s">
        <v>47</v>
      </c>
      <c r="J4" s="3" t="s">
        <v>44</v>
      </c>
      <c r="K4" s="3" t="s">
        <v>44</v>
      </c>
      <c r="L4" s="3" t="s">
        <v>48</v>
      </c>
      <c r="M4" s="3" t="s">
        <v>40</v>
      </c>
      <c r="N4" s="3" t="s">
        <v>49</v>
      </c>
      <c r="O4" s="3" t="s">
        <v>50</v>
      </c>
      <c r="Q4" s="3" t="s">
        <v>51</v>
      </c>
      <c r="R4" s="3" t="s">
        <v>52</v>
      </c>
      <c r="S4" s="3" t="s">
        <v>52</v>
      </c>
      <c r="T4" s="3" t="s">
        <v>53</v>
      </c>
      <c r="U4" s="3" t="s">
        <v>53</v>
      </c>
      <c r="V4" s="3" t="s">
        <v>54</v>
      </c>
      <c r="W4" s="3" t="s">
        <v>40</v>
      </c>
    </row>
    <row r="5" spans="1:45" ht="15.75" customHeight="1">
      <c r="A5" s="2">
        <v>44835.481780497685</v>
      </c>
      <c r="B5" s="3" t="s">
        <v>40</v>
      </c>
      <c r="C5" s="3">
        <v>2</v>
      </c>
      <c r="D5" s="3" t="s">
        <v>41</v>
      </c>
      <c r="E5" s="3" t="s">
        <v>42</v>
      </c>
      <c r="F5" s="3" t="s">
        <v>43</v>
      </c>
      <c r="G5" s="3" t="s">
        <v>40</v>
      </c>
      <c r="H5" s="3" t="s">
        <v>55</v>
      </c>
      <c r="I5" s="3" t="s">
        <v>56</v>
      </c>
      <c r="J5" s="3" t="s">
        <v>40</v>
      </c>
      <c r="K5" s="3" t="s">
        <v>44</v>
      </c>
      <c r="L5" s="3" t="s">
        <v>57</v>
      </c>
      <c r="M5" s="3" t="s">
        <v>58</v>
      </c>
      <c r="N5" s="3" t="s">
        <v>40</v>
      </c>
      <c r="O5" s="3" t="s">
        <v>59</v>
      </c>
      <c r="Q5" s="3" t="s">
        <v>51</v>
      </c>
      <c r="R5" s="3" t="s">
        <v>53</v>
      </c>
      <c r="S5" s="3" t="s">
        <v>53</v>
      </c>
      <c r="T5" s="3" t="s">
        <v>54</v>
      </c>
      <c r="U5" s="3" t="s">
        <v>54</v>
      </c>
      <c r="V5" s="3" t="s">
        <v>54</v>
      </c>
      <c r="W5" s="3" t="s">
        <v>40</v>
      </c>
    </row>
    <row r="6" spans="1:45" ht="15.75" customHeight="1">
      <c r="A6" s="2">
        <v>44835.489594560189</v>
      </c>
      <c r="B6" s="3" t="s">
        <v>40</v>
      </c>
      <c r="C6" s="3">
        <v>3</v>
      </c>
      <c r="D6" s="3" t="s">
        <v>41</v>
      </c>
      <c r="E6" s="3" t="s">
        <v>42</v>
      </c>
      <c r="F6" s="3" t="s">
        <v>43</v>
      </c>
      <c r="G6" s="3" t="s">
        <v>44</v>
      </c>
      <c r="X6" s="3" t="s">
        <v>40</v>
      </c>
    </row>
    <row r="7" spans="1:45" ht="15.75" customHeight="1">
      <c r="A7" s="2">
        <v>44835.489875590283</v>
      </c>
      <c r="B7" s="3" t="s">
        <v>40</v>
      </c>
      <c r="C7" s="3">
        <v>3</v>
      </c>
      <c r="D7" s="3" t="s">
        <v>41</v>
      </c>
      <c r="E7" s="3" t="s">
        <v>42</v>
      </c>
      <c r="F7" s="3" t="s">
        <v>45</v>
      </c>
      <c r="G7" s="3" t="s">
        <v>40</v>
      </c>
      <c r="H7" s="3" t="s">
        <v>55</v>
      </c>
      <c r="I7" s="3" t="s">
        <v>60</v>
      </c>
      <c r="J7" s="3" t="s">
        <v>40</v>
      </c>
      <c r="K7" s="3" t="s">
        <v>40</v>
      </c>
      <c r="L7" s="3" t="s">
        <v>57</v>
      </c>
      <c r="M7" s="3" t="s">
        <v>40</v>
      </c>
      <c r="N7" s="3" t="s">
        <v>40</v>
      </c>
      <c r="O7" s="3" t="s">
        <v>61</v>
      </c>
      <c r="Q7" s="3" t="s">
        <v>51</v>
      </c>
      <c r="R7" s="3" t="s">
        <v>53</v>
      </c>
      <c r="S7" s="3" t="s">
        <v>52</v>
      </c>
      <c r="T7" s="3" t="s">
        <v>53</v>
      </c>
      <c r="U7" s="3" t="s">
        <v>62</v>
      </c>
      <c r="V7" s="3" t="s">
        <v>54</v>
      </c>
      <c r="W7" s="3" t="s">
        <v>40</v>
      </c>
    </row>
    <row r="8" spans="1:45" ht="15.75" customHeight="1">
      <c r="A8" s="2">
        <v>44835.496041446764</v>
      </c>
      <c r="B8" s="3" t="s">
        <v>40</v>
      </c>
      <c r="C8" s="3">
        <v>3</v>
      </c>
      <c r="D8" s="3" t="s">
        <v>41</v>
      </c>
      <c r="E8" s="3" t="s">
        <v>42</v>
      </c>
      <c r="F8" s="3" t="s">
        <v>45</v>
      </c>
      <c r="G8" s="3" t="s">
        <v>40</v>
      </c>
      <c r="H8" s="3" t="s">
        <v>55</v>
      </c>
      <c r="I8" s="3" t="s">
        <v>56</v>
      </c>
      <c r="J8" s="3" t="s">
        <v>44</v>
      </c>
      <c r="K8" s="3" t="s">
        <v>44</v>
      </c>
      <c r="L8" s="3" t="s">
        <v>63</v>
      </c>
      <c r="M8" s="3" t="s">
        <v>40</v>
      </c>
      <c r="N8" s="3" t="s">
        <v>64</v>
      </c>
      <c r="O8" s="3" t="s">
        <v>59</v>
      </c>
      <c r="Q8" s="3" t="s">
        <v>51</v>
      </c>
      <c r="R8" s="3" t="s">
        <v>62</v>
      </c>
      <c r="S8" s="3" t="s">
        <v>53</v>
      </c>
      <c r="T8" s="3" t="s">
        <v>62</v>
      </c>
      <c r="U8" s="3" t="s">
        <v>62</v>
      </c>
      <c r="V8" s="3" t="s">
        <v>53</v>
      </c>
      <c r="W8" s="3" t="s">
        <v>40</v>
      </c>
    </row>
    <row r="9" spans="1:45" ht="15.75" customHeight="1">
      <c r="A9" s="2">
        <v>44835.510488217595</v>
      </c>
      <c r="B9" s="3" t="s">
        <v>40</v>
      </c>
      <c r="C9" s="3">
        <v>3</v>
      </c>
      <c r="D9" s="3" t="s">
        <v>41</v>
      </c>
      <c r="E9" s="3" t="s">
        <v>65</v>
      </c>
      <c r="F9" s="3" t="s">
        <v>45</v>
      </c>
      <c r="G9" s="3" t="s">
        <v>40</v>
      </c>
      <c r="H9" s="3" t="s">
        <v>66</v>
      </c>
      <c r="I9" s="3" t="s">
        <v>60</v>
      </c>
      <c r="J9" s="3" t="s">
        <v>40</v>
      </c>
      <c r="K9" s="3" t="s">
        <v>40</v>
      </c>
      <c r="L9" s="3" t="s">
        <v>48</v>
      </c>
      <c r="M9" s="3" t="s">
        <v>40</v>
      </c>
      <c r="N9" s="3" t="s">
        <v>64</v>
      </c>
      <c r="O9" s="3" t="s">
        <v>67</v>
      </c>
      <c r="Q9" s="3" t="s">
        <v>51</v>
      </c>
      <c r="R9" s="3" t="s">
        <v>62</v>
      </c>
      <c r="S9" s="3" t="s">
        <v>53</v>
      </c>
      <c r="T9" s="3" t="s">
        <v>53</v>
      </c>
      <c r="U9" s="3" t="s">
        <v>53</v>
      </c>
      <c r="V9" s="3" t="s">
        <v>54</v>
      </c>
      <c r="W9" s="3" t="s">
        <v>40</v>
      </c>
    </row>
    <row r="10" spans="1:45" ht="15.75" customHeight="1">
      <c r="A10" s="2">
        <v>44835.514912604165</v>
      </c>
      <c r="B10" s="3" t="s">
        <v>40</v>
      </c>
      <c r="C10" s="3">
        <v>3</v>
      </c>
      <c r="D10" s="3" t="s">
        <v>41</v>
      </c>
      <c r="E10" s="3" t="s">
        <v>42</v>
      </c>
      <c r="F10" s="3" t="s">
        <v>43</v>
      </c>
      <c r="G10" s="3" t="s">
        <v>44</v>
      </c>
      <c r="X10" s="3" t="s">
        <v>40</v>
      </c>
    </row>
    <row r="11" spans="1:45" ht="15.75" customHeight="1">
      <c r="A11" s="2">
        <v>44835.515499421293</v>
      </c>
      <c r="B11" s="3" t="s">
        <v>40</v>
      </c>
      <c r="C11" s="3">
        <v>3</v>
      </c>
      <c r="D11" s="3" t="s">
        <v>68</v>
      </c>
      <c r="E11" s="3" t="s">
        <v>42</v>
      </c>
      <c r="F11" s="3" t="s">
        <v>43</v>
      </c>
      <c r="G11" s="3" t="s">
        <v>44</v>
      </c>
      <c r="X11" s="3" t="s">
        <v>44</v>
      </c>
      <c r="Y11" s="3" t="s">
        <v>69</v>
      </c>
      <c r="Z11" s="3" t="s">
        <v>70</v>
      </c>
      <c r="AA11" s="3" t="s">
        <v>71</v>
      </c>
      <c r="AB11" s="3">
        <v>40</v>
      </c>
      <c r="AC11" s="3">
        <v>1200</v>
      </c>
      <c r="AD11" s="3" t="s">
        <v>72</v>
      </c>
      <c r="AE11" s="3" t="s">
        <v>73</v>
      </c>
      <c r="AF11" s="3" t="s">
        <v>73</v>
      </c>
      <c r="AG11" s="3" t="s">
        <v>74</v>
      </c>
      <c r="AH11" s="3" t="s">
        <v>75</v>
      </c>
      <c r="AI11" s="3" t="s">
        <v>40</v>
      </c>
      <c r="AJ11" s="3" t="s">
        <v>53</v>
      </c>
      <c r="AK11" s="3" t="s">
        <v>62</v>
      </c>
      <c r="AL11" s="3" t="s">
        <v>54</v>
      </c>
      <c r="AM11" s="3" t="s">
        <v>53</v>
      </c>
      <c r="AN11" s="3" t="s">
        <v>54</v>
      </c>
    </row>
    <row r="12" spans="1:45" ht="15.75" customHeight="1">
      <c r="A12" s="2">
        <v>44835.5194671875</v>
      </c>
      <c r="B12" s="3" t="s">
        <v>40</v>
      </c>
      <c r="C12" s="3">
        <v>3</v>
      </c>
      <c r="D12" s="3" t="s">
        <v>41</v>
      </c>
      <c r="E12" s="3" t="s">
        <v>42</v>
      </c>
      <c r="F12" s="3" t="s">
        <v>43</v>
      </c>
      <c r="G12" s="3" t="s">
        <v>40</v>
      </c>
      <c r="H12" s="3" t="s">
        <v>55</v>
      </c>
      <c r="I12" s="3" t="s">
        <v>56</v>
      </c>
      <c r="J12" s="3" t="s">
        <v>40</v>
      </c>
      <c r="K12" s="3" t="s">
        <v>44</v>
      </c>
      <c r="L12" s="3" t="s">
        <v>48</v>
      </c>
      <c r="M12" s="3" t="s">
        <v>58</v>
      </c>
      <c r="N12" s="3" t="s">
        <v>76</v>
      </c>
      <c r="O12" s="3" t="s">
        <v>77</v>
      </c>
      <c r="P12" s="3" t="s">
        <v>78</v>
      </c>
      <c r="Q12" s="3" t="s">
        <v>51</v>
      </c>
      <c r="R12" s="3" t="s">
        <v>62</v>
      </c>
      <c r="S12" s="3" t="s">
        <v>52</v>
      </c>
      <c r="T12" s="3" t="s">
        <v>62</v>
      </c>
      <c r="U12" s="3" t="s">
        <v>54</v>
      </c>
      <c r="V12" s="3" t="s">
        <v>54</v>
      </c>
      <c r="W12" s="3" t="s">
        <v>40</v>
      </c>
    </row>
    <row r="13" spans="1:45" ht="15.75" customHeight="1">
      <c r="A13" s="2">
        <v>44835.528427905097</v>
      </c>
      <c r="B13" s="3" t="s">
        <v>40</v>
      </c>
      <c r="C13" s="3">
        <v>3</v>
      </c>
      <c r="D13" s="3" t="s">
        <v>41</v>
      </c>
      <c r="E13" s="3" t="s">
        <v>42</v>
      </c>
      <c r="F13" s="3" t="s">
        <v>43</v>
      </c>
      <c r="G13" s="3" t="s">
        <v>40</v>
      </c>
      <c r="H13" s="3" t="s">
        <v>55</v>
      </c>
      <c r="I13" s="3" t="s">
        <v>56</v>
      </c>
      <c r="J13" s="3" t="s">
        <v>40</v>
      </c>
      <c r="K13" s="3" t="s">
        <v>44</v>
      </c>
      <c r="L13" s="3" t="s">
        <v>57</v>
      </c>
      <c r="M13" s="3" t="s">
        <v>40</v>
      </c>
      <c r="N13" s="3" t="s">
        <v>64</v>
      </c>
      <c r="O13" s="3" t="s">
        <v>79</v>
      </c>
      <c r="P13" s="3" t="s">
        <v>80</v>
      </c>
      <c r="Q13" s="3" t="s">
        <v>81</v>
      </c>
      <c r="R13" s="3" t="s">
        <v>53</v>
      </c>
      <c r="S13" s="3" t="s">
        <v>53</v>
      </c>
      <c r="T13" s="3" t="s">
        <v>62</v>
      </c>
      <c r="U13" s="3" t="s">
        <v>54</v>
      </c>
      <c r="V13" s="3" t="s">
        <v>54</v>
      </c>
      <c r="W13" s="3" t="s">
        <v>44</v>
      </c>
      <c r="Y13" s="3" t="s">
        <v>82</v>
      </c>
      <c r="Z13" s="3" t="s">
        <v>70</v>
      </c>
      <c r="AA13" s="3" t="s">
        <v>83</v>
      </c>
      <c r="AB13" s="3" t="s">
        <v>84</v>
      </c>
      <c r="AC13" s="3" t="s">
        <v>85</v>
      </c>
      <c r="AD13" s="3" t="s">
        <v>86</v>
      </c>
      <c r="AE13" s="3" t="s">
        <v>87</v>
      </c>
      <c r="AF13" s="3" t="s">
        <v>88</v>
      </c>
      <c r="AG13" s="3" t="s">
        <v>89</v>
      </c>
      <c r="AH13" s="3" t="s">
        <v>90</v>
      </c>
      <c r="AI13" s="3" t="s">
        <v>40</v>
      </c>
      <c r="AJ13" s="3" t="s">
        <v>52</v>
      </c>
      <c r="AK13" s="3" t="s">
        <v>62</v>
      </c>
      <c r="AL13" s="3" t="s">
        <v>54</v>
      </c>
      <c r="AM13" s="3" t="s">
        <v>54</v>
      </c>
      <c r="AN13" s="3" t="s">
        <v>52</v>
      </c>
    </row>
    <row r="14" spans="1:45" ht="15.75" customHeight="1">
      <c r="A14" s="2">
        <v>44835.548624120369</v>
      </c>
      <c r="B14" s="3" t="s">
        <v>40</v>
      </c>
      <c r="C14" s="3">
        <v>3</v>
      </c>
      <c r="D14" s="3" t="s">
        <v>41</v>
      </c>
      <c r="E14" s="3" t="s">
        <v>42</v>
      </c>
      <c r="F14" s="3" t="s">
        <v>45</v>
      </c>
      <c r="G14" s="3" t="s">
        <v>44</v>
      </c>
      <c r="X14" s="3" t="s">
        <v>40</v>
      </c>
    </row>
    <row r="15" spans="1:45" ht="15.75" customHeight="1">
      <c r="A15" s="2">
        <v>44835.591767592588</v>
      </c>
      <c r="B15" s="3" t="s">
        <v>40</v>
      </c>
      <c r="C15" s="3">
        <v>3</v>
      </c>
      <c r="D15" s="3" t="s">
        <v>41</v>
      </c>
      <c r="E15" s="3" t="s">
        <v>42</v>
      </c>
      <c r="F15" s="3" t="s">
        <v>43</v>
      </c>
      <c r="G15" s="3" t="s">
        <v>40</v>
      </c>
      <c r="H15" s="3" t="s">
        <v>55</v>
      </c>
      <c r="I15" s="3" t="s">
        <v>56</v>
      </c>
      <c r="J15" s="3" t="s">
        <v>44</v>
      </c>
      <c r="K15" s="3" t="s">
        <v>40</v>
      </c>
      <c r="L15" s="3" t="s">
        <v>48</v>
      </c>
      <c r="M15" s="3" t="s">
        <v>91</v>
      </c>
      <c r="N15" s="3" t="s">
        <v>64</v>
      </c>
      <c r="O15" s="3" t="s">
        <v>79</v>
      </c>
      <c r="Q15" s="3" t="s">
        <v>51</v>
      </c>
      <c r="R15" s="3" t="s">
        <v>53</v>
      </c>
      <c r="S15" s="3" t="s">
        <v>53</v>
      </c>
      <c r="T15" s="3" t="s">
        <v>62</v>
      </c>
      <c r="U15" s="3" t="s">
        <v>53</v>
      </c>
      <c r="V15" s="3" t="s">
        <v>54</v>
      </c>
      <c r="W15" s="3" t="s">
        <v>40</v>
      </c>
    </row>
    <row r="16" spans="1:45" ht="15.75" customHeight="1">
      <c r="A16" s="2">
        <v>44835.683227604168</v>
      </c>
      <c r="B16" s="3" t="s">
        <v>40</v>
      </c>
      <c r="C16" s="3">
        <v>3</v>
      </c>
      <c r="D16" s="3" t="s">
        <v>41</v>
      </c>
      <c r="E16" s="3" t="s">
        <v>42</v>
      </c>
      <c r="F16" s="3" t="s">
        <v>43</v>
      </c>
      <c r="G16" s="3" t="s">
        <v>40</v>
      </c>
      <c r="H16" s="3" t="s">
        <v>55</v>
      </c>
      <c r="I16" s="3" t="s">
        <v>92</v>
      </c>
      <c r="J16" s="3" t="s">
        <v>93</v>
      </c>
      <c r="K16" s="3" t="s">
        <v>93</v>
      </c>
      <c r="L16" s="3" t="s">
        <v>48</v>
      </c>
      <c r="M16" s="3" t="s">
        <v>40</v>
      </c>
      <c r="N16" s="3" t="s">
        <v>64</v>
      </c>
      <c r="O16" s="3" t="s">
        <v>59</v>
      </c>
      <c r="P16" s="3" t="s">
        <v>94</v>
      </c>
      <c r="Q16" s="3" t="s">
        <v>51</v>
      </c>
      <c r="R16" s="3" t="s">
        <v>62</v>
      </c>
      <c r="S16" s="3" t="s">
        <v>54</v>
      </c>
      <c r="T16" s="3" t="s">
        <v>62</v>
      </c>
      <c r="U16" s="3" t="s">
        <v>54</v>
      </c>
      <c r="V16" s="3" t="s">
        <v>54</v>
      </c>
      <c r="W16" s="3" t="s">
        <v>40</v>
      </c>
    </row>
    <row r="17" spans="1:45" ht="15.75" customHeight="1">
      <c r="A17" s="2">
        <v>44836.580456261574</v>
      </c>
      <c r="B17" s="3" t="s">
        <v>40</v>
      </c>
      <c r="C17" s="3">
        <v>3</v>
      </c>
      <c r="D17" s="3" t="s">
        <v>41</v>
      </c>
      <c r="E17" s="3" t="s">
        <v>42</v>
      </c>
      <c r="F17" s="3" t="s">
        <v>45</v>
      </c>
      <c r="G17" s="3" t="s">
        <v>44</v>
      </c>
      <c r="X17" s="3" t="s">
        <v>40</v>
      </c>
    </row>
    <row r="18" spans="1:45" ht="15.75" customHeight="1">
      <c r="A18" s="2">
        <v>44836.940640277782</v>
      </c>
      <c r="B18" s="3" t="s">
        <v>44</v>
      </c>
      <c r="C18" s="3">
        <v>3</v>
      </c>
      <c r="D18" s="3" t="s">
        <v>41</v>
      </c>
      <c r="E18" s="3" t="s">
        <v>42</v>
      </c>
      <c r="F18" s="3" t="s">
        <v>43</v>
      </c>
      <c r="AO18" s="3" t="s">
        <v>60</v>
      </c>
      <c r="AP18" s="3" t="s">
        <v>95</v>
      </c>
      <c r="AQ18" s="3" t="s">
        <v>96</v>
      </c>
      <c r="AR18" s="3" t="s">
        <v>51</v>
      </c>
      <c r="AS18" s="3" t="s">
        <v>97</v>
      </c>
    </row>
    <row r="19" spans="1:45" ht="15.75" customHeight="1">
      <c r="A19" s="2">
        <v>44837.557794826389</v>
      </c>
      <c r="B19" s="3" t="s">
        <v>44</v>
      </c>
      <c r="C19" s="3">
        <v>3</v>
      </c>
      <c r="D19" s="3" t="s">
        <v>41</v>
      </c>
      <c r="E19" s="3" t="s">
        <v>42</v>
      </c>
      <c r="F19" s="3" t="s">
        <v>43</v>
      </c>
      <c r="AO19" s="3" t="s">
        <v>60</v>
      </c>
      <c r="AP19" s="3" t="s">
        <v>59</v>
      </c>
      <c r="AR19" s="3" t="s">
        <v>51</v>
      </c>
      <c r="AS19" s="3" t="s">
        <v>97</v>
      </c>
    </row>
    <row r="20" spans="1:45" ht="15.75" customHeight="1">
      <c r="A20" s="2">
        <v>44837.685040150463</v>
      </c>
      <c r="B20" s="3" t="s">
        <v>40</v>
      </c>
      <c r="C20" s="3">
        <v>3</v>
      </c>
      <c r="D20" s="3" t="s">
        <v>41</v>
      </c>
      <c r="E20" s="3" t="s">
        <v>42</v>
      </c>
      <c r="F20" s="3" t="s">
        <v>45</v>
      </c>
      <c r="G20" s="3" t="s">
        <v>40</v>
      </c>
      <c r="H20" s="3" t="s">
        <v>55</v>
      </c>
      <c r="I20" s="3" t="s">
        <v>56</v>
      </c>
      <c r="J20" s="3" t="s">
        <v>44</v>
      </c>
      <c r="K20" s="3" t="s">
        <v>40</v>
      </c>
      <c r="L20" s="3" t="s">
        <v>48</v>
      </c>
      <c r="M20" s="3" t="s">
        <v>58</v>
      </c>
      <c r="N20" s="3" t="s">
        <v>64</v>
      </c>
      <c r="O20" s="3" t="s">
        <v>50</v>
      </c>
      <c r="Q20" s="3" t="s">
        <v>51</v>
      </c>
      <c r="R20" s="3" t="s">
        <v>62</v>
      </c>
      <c r="S20" s="3" t="s">
        <v>53</v>
      </c>
      <c r="T20" s="3" t="s">
        <v>62</v>
      </c>
      <c r="U20" s="3" t="s">
        <v>62</v>
      </c>
      <c r="V20" s="3" t="s">
        <v>54</v>
      </c>
      <c r="W20" s="3" t="s">
        <v>40</v>
      </c>
    </row>
    <row r="21" spans="1:45" ht="13">
      <c r="A21" s="2">
        <v>44837.997911307873</v>
      </c>
      <c r="B21" s="3" t="s">
        <v>44</v>
      </c>
      <c r="C21" s="3">
        <v>3</v>
      </c>
      <c r="D21" s="3" t="s">
        <v>98</v>
      </c>
      <c r="E21" s="3" t="s">
        <v>42</v>
      </c>
      <c r="F21" s="3" t="s">
        <v>43</v>
      </c>
      <c r="AO21" s="3" t="s">
        <v>99</v>
      </c>
      <c r="AP21" s="3" t="s">
        <v>50</v>
      </c>
      <c r="AQ21" s="3" t="s">
        <v>100</v>
      </c>
      <c r="AR21" s="3" t="s">
        <v>101</v>
      </c>
      <c r="AS21" s="3" t="s">
        <v>102</v>
      </c>
    </row>
    <row r="22" spans="1:45" ht="13">
      <c r="A22" s="2">
        <v>44838.583561238425</v>
      </c>
      <c r="B22" s="3" t="s">
        <v>40</v>
      </c>
      <c r="C22" s="3">
        <v>3</v>
      </c>
      <c r="D22" s="3" t="s">
        <v>41</v>
      </c>
      <c r="E22" s="3" t="s">
        <v>42</v>
      </c>
      <c r="F22" s="3" t="s">
        <v>45</v>
      </c>
      <c r="G22" s="3" t="s">
        <v>44</v>
      </c>
      <c r="X22" s="3" t="s">
        <v>40</v>
      </c>
    </row>
    <row r="23" spans="1:45" ht="13">
      <c r="A23" s="2">
        <v>44839.7592099537</v>
      </c>
      <c r="B23" s="3" t="s">
        <v>40</v>
      </c>
      <c r="C23" s="3">
        <v>1</v>
      </c>
      <c r="D23" s="3" t="s">
        <v>41</v>
      </c>
      <c r="E23" s="3" t="s">
        <v>103</v>
      </c>
      <c r="F23" s="3" t="s">
        <v>45</v>
      </c>
      <c r="G23" s="3" t="s">
        <v>44</v>
      </c>
      <c r="X23" s="3" t="s">
        <v>44</v>
      </c>
      <c r="Y23" s="3" t="s">
        <v>82</v>
      </c>
      <c r="Z23" s="3" t="s">
        <v>70</v>
      </c>
      <c r="AA23" s="3" t="s">
        <v>71</v>
      </c>
      <c r="AB23" s="3">
        <v>25</v>
      </c>
      <c r="AC23" s="3">
        <v>650</v>
      </c>
      <c r="AD23" s="3" t="s">
        <v>104</v>
      </c>
      <c r="AE23" s="3" t="s">
        <v>105</v>
      </c>
      <c r="AF23" s="3" t="s">
        <v>106</v>
      </c>
      <c r="AG23" s="3" t="s">
        <v>107</v>
      </c>
      <c r="AH23" s="3" t="s">
        <v>108</v>
      </c>
      <c r="AI23" s="3" t="s">
        <v>40</v>
      </c>
      <c r="AJ23" s="3" t="s">
        <v>52</v>
      </c>
      <c r="AK23" s="3" t="s">
        <v>52</v>
      </c>
      <c r="AL23" s="3" t="s">
        <v>53</v>
      </c>
      <c r="AM23" s="3" t="s">
        <v>54</v>
      </c>
      <c r="AN23" s="3" t="s">
        <v>54</v>
      </c>
    </row>
    <row r="24" spans="1:45" ht="13">
      <c r="A24" s="2">
        <v>44841.265247442134</v>
      </c>
      <c r="B24" s="3" t="s">
        <v>40</v>
      </c>
      <c r="C24" s="3">
        <v>3</v>
      </c>
      <c r="D24" s="3" t="s">
        <v>41</v>
      </c>
      <c r="E24" s="3" t="s">
        <v>65</v>
      </c>
      <c r="F24" s="3" t="s">
        <v>43</v>
      </c>
      <c r="G24" s="3" t="s">
        <v>44</v>
      </c>
      <c r="X24" s="3" t="s">
        <v>44</v>
      </c>
      <c r="Y24" s="3" t="s">
        <v>109</v>
      </c>
      <c r="Z24" s="3" t="s">
        <v>110</v>
      </c>
      <c r="AA24" s="3" t="s">
        <v>71</v>
      </c>
      <c r="AB24" s="3">
        <v>40</v>
      </c>
      <c r="AC24" s="3">
        <v>770</v>
      </c>
      <c r="AD24" s="3" t="s">
        <v>111</v>
      </c>
      <c r="AE24" s="3" t="s">
        <v>73</v>
      </c>
      <c r="AF24" s="3" t="s">
        <v>112</v>
      </c>
      <c r="AG24" s="3" t="s">
        <v>89</v>
      </c>
      <c r="AH24" s="3" t="s">
        <v>113</v>
      </c>
      <c r="AI24" s="3" t="s">
        <v>40</v>
      </c>
      <c r="AJ24" s="3" t="s">
        <v>52</v>
      </c>
      <c r="AK24" s="3" t="s">
        <v>62</v>
      </c>
      <c r="AL24" s="3" t="s">
        <v>54</v>
      </c>
      <c r="AM24" s="3" t="s">
        <v>54</v>
      </c>
      <c r="AN24" s="3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0"/>
  <sheetViews>
    <sheetView tabSelected="1" topLeftCell="A7" workbookViewId="0">
      <selection activeCell="D23" sqref="D23"/>
    </sheetView>
  </sheetViews>
  <sheetFormatPr defaultColWidth="12.6328125" defaultRowHeight="15.75" customHeight="1"/>
  <cols>
    <col min="1" max="1" width="30.5" customWidth="1"/>
    <col min="4" max="4" width="14.1328125" customWidth="1"/>
    <col min="6" max="6" width="15.6328125" customWidth="1"/>
    <col min="8" max="8" width="15.36328125" customWidth="1"/>
  </cols>
  <sheetData>
    <row r="1" spans="1:13" ht="15.75" customHeight="1">
      <c r="A1" s="4" t="s">
        <v>114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ht="15.75" customHeight="1">
      <c r="A3" s="6"/>
      <c r="B3" s="7" t="s">
        <v>115</v>
      </c>
      <c r="C3" s="7" t="s">
        <v>116</v>
      </c>
      <c r="D3" s="7" t="s">
        <v>117</v>
      </c>
      <c r="E3" s="7" t="s">
        <v>116</v>
      </c>
      <c r="F3" s="7" t="s">
        <v>41</v>
      </c>
      <c r="G3" s="7" t="s">
        <v>116</v>
      </c>
      <c r="H3" s="7" t="s">
        <v>118</v>
      </c>
      <c r="I3" s="7" t="s">
        <v>116</v>
      </c>
      <c r="J3" s="7" t="s">
        <v>119</v>
      </c>
      <c r="K3" s="7" t="s">
        <v>116</v>
      </c>
      <c r="L3" s="5"/>
      <c r="M3" s="5"/>
    </row>
    <row r="4" spans="1:13" ht="15.75" customHeight="1">
      <c r="A4" s="7" t="s">
        <v>120</v>
      </c>
      <c r="B4" s="6">
        <f>COUNT(Answers!A2:A24)</f>
        <v>23</v>
      </c>
      <c r="C4" s="6"/>
      <c r="D4" s="6">
        <f>COUNTIF(Answers!F2:F24,"Male")</f>
        <v>10</v>
      </c>
      <c r="E4" s="8">
        <f t="shared" ref="E4:E9" si="0">D4/B4</f>
        <v>0.43478260869565216</v>
      </c>
      <c r="F4" s="6">
        <f>COUNTIF(Answers!D2:D24,"Full time student")</f>
        <v>21</v>
      </c>
      <c r="G4" s="8">
        <f t="shared" ref="G4:G9" si="1">F4/B4</f>
        <v>0.91304347826086951</v>
      </c>
      <c r="H4" s="6">
        <f>COUNTIF(Answers!C2:C24,3)</f>
        <v>21</v>
      </c>
      <c r="I4" s="8">
        <f t="shared" ref="I4:I9" si="2">H4/B4</f>
        <v>0.91304347826086951</v>
      </c>
      <c r="J4" s="6">
        <f>COUNTIF(Answers!E2:E24,"18 - 23")</f>
        <v>20</v>
      </c>
      <c r="K4" s="8">
        <f t="shared" ref="K4:K9" si="3">J4/B4</f>
        <v>0.86956521739130432</v>
      </c>
      <c r="L4" s="5"/>
      <c r="M4" s="5"/>
    </row>
    <row r="5" spans="1:13" ht="15.75" customHeight="1">
      <c r="A5" s="7" t="s">
        <v>121</v>
      </c>
      <c r="B5" s="6">
        <f>B6+B8+COUNTIF(Answers!X2:X24,"Yes")</f>
        <v>16</v>
      </c>
      <c r="C5" s="8">
        <f t="shared" ref="C5:C9" si="4">B5/B$4</f>
        <v>0.69565217391304346</v>
      </c>
      <c r="D5" s="6">
        <f>COUNTIFS(Answers!F2:F24,"Male",Answers!X2:X24,"Yes")+COUNTIFS(Answers!F2:F24,"Male",Answers!B2:B24,"Yes")+COUNTIFS(Answers!F2:F24,"Male",Answers!G2:G24,"No")</f>
        <v>6</v>
      </c>
      <c r="E5" s="8">
        <f t="shared" si="0"/>
        <v>0.375</v>
      </c>
      <c r="F5" s="6">
        <f>COUNTIFS(Answers!D2:D24,"Full time student",Answers!X2:X24,"Yes")+COUNTIFS(Answers!D2:D24,"Full time student",Answers!B2:B24,"Yes")+COUNTIFS(Answers!D2:D24,"Full time student",Answers!G2:G24,"No")</f>
        <v>14</v>
      </c>
      <c r="G5" s="8">
        <f t="shared" si="1"/>
        <v>0.875</v>
      </c>
      <c r="H5" s="6">
        <f>COUNTIFS(Answers!C2:C24,3,Answers!X2:X24,"Yes")+COUNTIFS(Answers!C2:C24,3,Answers!B2:B24,"Yes")+COUNTIFS(Answers!C2:C24,3,Answers!G2:G24,"No")</f>
        <v>14</v>
      </c>
      <c r="I5" s="8">
        <f t="shared" si="2"/>
        <v>0.875</v>
      </c>
      <c r="J5" s="6">
        <f>COUNTIFS(Answers!E2:E24,"18 - 23",Answers!X2:X24,"Yes")+COUNTIFS(Answers!E2:E24,"18 - 23",Answers!B2:B24,"Yes")+COUNTIFS(Answers!E2:E24,"18 - 23",Answers!G2:G24,"No")</f>
        <v>13</v>
      </c>
      <c r="K5" s="8">
        <f t="shared" si="3"/>
        <v>0.8125</v>
      </c>
      <c r="L5" s="5"/>
      <c r="M5" s="5"/>
    </row>
    <row r="6" spans="1:13">
      <c r="A6" s="7" t="s">
        <v>122</v>
      </c>
      <c r="B6" s="6">
        <f>COUNTIF(Answers!B2:B24,"Yes")</f>
        <v>3</v>
      </c>
      <c r="C6" s="8">
        <f t="shared" si="4"/>
        <v>0.13043478260869565</v>
      </c>
      <c r="D6" s="6">
        <f>COUNTIFS(Answers!F2:F24,"Male",Answers!B2:B24,"Yes")</f>
        <v>0</v>
      </c>
      <c r="E6" s="8">
        <f t="shared" si="0"/>
        <v>0</v>
      </c>
      <c r="F6" s="6">
        <f>COUNTIFS(Answers!D2:D24,"Full time student",Answers!B2:B24,"Yes")</f>
        <v>2</v>
      </c>
      <c r="G6" s="8">
        <f t="shared" si="1"/>
        <v>0.66666666666666663</v>
      </c>
      <c r="H6" s="9">
        <f>COUNTIFS(Answers!C2:C24,3,Answers!B2:B24,"Yes")</f>
        <v>3</v>
      </c>
      <c r="I6" s="8">
        <f t="shared" si="2"/>
        <v>1</v>
      </c>
      <c r="J6" s="9">
        <f>COUNTIFS(Answers!E2:E24,"18 - 23",Answers!B2:B24,"Yes")</f>
        <v>3</v>
      </c>
      <c r="K6" s="8">
        <f t="shared" si="3"/>
        <v>1</v>
      </c>
      <c r="L6" s="5"/>
      <c r="M6" s="5"/>
    </row>
    <row r="7" spans="1:13">
      <c r="A7" s="7" t="s">
        <v>123</v>
      </c>
      <c r="B7" s="6">
        <f>COUNTIF(Answers!W2:W24,"Yes") + COUNTIF(Answers!X2:X24,"Yes")</f>
        <v>4</v>
      </c>
      <c r="C7" s="8">
        <f t="shared" si="4"/>
        <v>0.17391304347826086</v>
      </c>
      <c r="D7" s="6">
        <f>COUNTIFS(Answers!F2:F24,"Male",Answers!W2:W24,"Yes") + COUNTIFS(Answers!F2:F24,"Male",Answers!X2:X24,"Yes")</f>
        <v>1</v>
      </c>
      <c r="E7" s="8">
        <f t="shared" si="0"/>
        <v>0.25</v>
      </c>
      <c r="F7" s="6">
        <f>COUNTIFS(Answers!D2:D24,"Full time student",Answers!W2:W24,"Yes")+COUNTIFS(Answers!D2:D24,"Full time student",Answers!X2:X24,"Yes")</f>
        <v>3</v>
      </c>
      <c r="G7" s="8">
        <f t="shared" si="1"/>
        <v>0.75</v>
      </c>
      <c r="H7" s="9">
        <f>COUNTIFS(Answers!C2:C24,3,Answers!W2:W24,"Yes")+COUNTIFS(Answers!C2:C24,3,Answers!X2:X24,"Yes")</f>
        <v>3</v>
      </c>
      <c r="I7" s="8">
        <f t="shared" si="2"/>
        <v>0.75</v>
      </c>
      <c r="J7" s="9">
        <f>COUNTIFS(Answers!E2:E24,"18 - 23",Answers!W2:W24,"Yes")+COUNTIFS(Answers!E2:E24,"18 - 23",Answers!X2:X24,"Yes")</f>
        <v>2</v>
      </c>
      <c r="K7" s="8">
        <f t="shared" si="3"/>
        <v>0.5</v>
      </c>
      <c r="L7" s="5"/>
      <c r="M7" s="5"/>
    </row>
    <row r="8" spans="1:13">
      <c r="A8" s="7" t="s">
        <v>124</v>
      </c>
      <c r="B8" s="6">
        <f>COUNTIF(Answers!G2:G24,"No")</f>
        <v>10</v>
      </c>
      <c r="C8" s="8">
        <f t="shared" si="4"/>
        <v>0.43478260869565216</v>
      </c>
      <c r="D8" s="6">
        <f>COUNTIFS(Answers!F2:F24,"Male",Answers!G2:G24,"No")</f>
        <v>5</v>
      </c>
      <c r="E8" s="8">
        <f t="shared" si="0"/>
        <v>0.5</v>
      </c>
      <c r="F8" s="10">
        <f>COUNTIFS(Answers!D2:D24,"Full time student",Answers!G2:G24,"No")</f>
        <v>10</v>
      </c>
      <c r="G8" s="8">
        <f t="shared" si="1"/>
        <v>1</v>
      </c>
      <c r="H8" s="9">
        <f>COUNTIFS(Answers!C2:C24,3,Answers!G2:G24,"No")</f>
        <v>9</v>
      </c>
      <c r="I8" s="8">
        <f t="shared" si="2"/>
        <v>0.9</v>
      </c>
      <c r="J8" s="9">
        <f>COUNTIFS(Answers!E2:E24,"18 - 23",Answers!G2:G24,"No")</f>
        <v>9</v>
      </c>
      <c r="K8" s="8">
        <f t="shared" si="3"/>
        <v>0.9</v>
      </c>
      <c r="L8" s="5"/>
      <c r="M8" s="5"/>
    </row>
    <row r="9" spans="1:13" ht="15.75" customHeight="1">
      <c r="A9" s="7" t="s">
        <v>125</v>
      </c>
      <c r="B9" s="6">
        <f>B4-B5</f>
        <v>7</v>
      </c>
      <c r="C9" s="8">
        <f t="shared" si="4"/>
        <v>0.30434782608695654</v>
      </c>
      <c r="D9" s="6">
        <f>D4-D5</f>
        <v>4</v>
      </c>
      <c r="E9" s="8">
        <f t="shared" si="0"/>
        <v>0.5714285714285714</v>
      </c>
      <c r="F9" s="6">
        <f>F4-F5</f>
        <v>7</v>
      </c>
      <c r="G9" s="8">
        <f t="shared" si="1"/>
        <v>1</v>
      </c>
      <c r="H9" s="6">
        <f>H4-H5</f>
        <v>7</v>
      </c>
      <c r="I9" s="8">
        <f t="shared" si="2"/>
        <v>1</v>
      </c>
      <c r="J9" s="6">
        <f>J4-J5</f>
        <v>7</v>
      </c>
      <c r="K9" s="8">
        <f t="shared" si="3"/>
        <v>1</v>
      </c>
      <c r="L9" s="5"/>
      <c r="M9" s="5"/>
    </row>
    <row r="10" spans="1:13" ht="15.7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</row>
    <row r="11" spans="1:13" ht="15.75" customHeight="1">
      <c r="A11" s="4" t="s">
        <v>126</v>
      </c>
      <c r="B11" s="5"/>
      <c r="C11" s="5"/>
      <c r="D11" s="5"/>
      <c r="E11" s="5"/>
      <c r="F11" s="5"/>
      <c r="G11" s="5"/>
      <c r="H11" s="5"/>
      <c r="I11" s="4" t="s">
        <v>127</v>
      </c>
      <c r="J11" s="5"/>
      <c r="K11" s="5"/>
      <c r="L11" s="5"/>
      <c r="M11" s="5"/>
    </row>
    <row r="12" spans="1:13" ht="15.75" customHeight="1">
      <c r="A12" s="5"/>
      <c r="B12" s="11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</row>
    <row r="13" spans="1:13" ht="15.75" customHeight="1">
      <c r="A13" s="6"/>
      <c r="B13" s="7" t="s">
        <v>115</v>
      </c>
      <c r="C13" s="7" t="s">
        <v>116</v>
      </c>
      <c r="D13" s="7" t="s">
        <v>128</v>
      </c>
      <c r="E13" s="7" t="s">
        <v>116</v>
      </c>
      <c r="F13" s="7" t="s">
        <v>129</v>
      </c>
      <c r="G13" s="7" t="s">
        <v>116</v>
      </c>
      <c r="H13" s="5"/>
      <c r="I13" s="6"/>
      <c r="J13" s="7" t="s">
        <v>115</v>
      </c>
      <c r="K13" s="7" t="s">
        <v>116</v>
      </c>
      <c r="L13" s="7" t="s">
        <v>128</v>
      </c>
      <c r="M13" s="7" t="s">
        <v>116</v>
      </c>
    </row>
    <row r="14" spans="1:13">
      <c r="A14" s="7" t="s">
        <v>130</v>
      </c>
      <c r="B14" s="6">
        <f>COUNTIF(Answers!O2:O24,"*Through University resources*")+COUNTIF(Answers!O2:O24,"*Flyers and posters near uni*")</f>
        <v>4</v>
      </c>
      <c r="C14" s="8">
        <f t="shared" ref="C14:C18" si="5">B14/$B$8</f>
        <v>0.4</v>
      </c>
      <c r="D14" s="6">
        <f>COUNTIFS(Answers!O2:O24,"*Through University resources*",Answers!Q2:Q24,"*No*")+COUNTIFS(Answers!O2:O24,"*Flyers and posters near uni*",Answers!Q2:Q24,"*No*")</f>
        <v>4</v>
      </c>
      <c r="E14" s="8">
        <f t="shared" ref="E14:E18" si="6">D14/B14</f>
        <v>1</v>
      </c>
      <c r="F14" s="6">
        <f>COUNTIFS(Answers!O2:O24,"*Through University resources*",Answers!O2:O24,"*,*")+COUNTIFS(Answers!O2:O24,"*Flyers and posters near uni*",Answers!O2:O24,"*,*")</f>
        <v>3</v>
      </c>
      <c r="G14" s="8">
        <f t="shared" ref="G14:G18" si="7">F14/B14</f>
        <v>0.75</v>
      </c>
      <c r="H14" s="5"/>
      <c r="I14" s="7" t="s">
        <v>131</v>
      </c>
      <c r="J14" s="6">
        <f>COUNTIF(Answers!AF2:AF24,"*In an internet platform*")</f>
        <v>3</v>
      </c>
      <c r="K14" s="8">
        <f t="shared" ref="K14:K20" si="8">J14/$B$7</f>
        <v>0.75</v>
      </c>
      <c r="L14" s="9">
        <f>J14 - COUNTIFS(Answers!AF2:AF24,"*In an internet platform*",Answers!AD2:AD24,"*Unsatisfied*")</f>
        <v>1</v>
      </c>
      <c r="M14" s="8">
        <f t="shared" ref="M14:M20" si="9">L14/J14</f>
        <v>0.33333333333333331</v>
      </c>
    </row>
    <row r="15" spans="1:13">
      <c r="A15" s="7" t="s">
        <v>132</v>
      </c>
      <c r="B15" s="6">
        <f>COUNTIF(Answers!O2:O24,"*Through personal contacts*")</f>
        <v>5</v>
      </c>
      <c r="C15" s="8">
        <f t="shared" si="5"/>
        <v>0.5</v>
      </c>
      <c r="D15" s="6">
        <f>COUNTIFS(Answers!O2:O24,"*Through personal contacts*",Answers!Q2:Q24,"*No*")</f>
        <v>4</v>
      </c>
      <c r="E15" s="8">
        <f t="shared" si="6"/>
        <v>0.8</v>
      </c>
      <c r="F15" s="9">
        <f>COUNTIFS(Answers!O2:O24,"*Through personal contacts*",Answers!O2:O24,"*,*")</f>
        <v>3</v>
      </c>
      <c r="G15" s="8">
        <f t="shared" si="7"/>
        <v>0.6</v>
      </c>
      <c r="H15" s="5"/>
      <c r="I15" s="7" t="s">
        <v>133</v>
      </c>
      <c r="J15" s="6">
        <f>COUNTIF(Answers!AE2:AE24,"In an internet platform")</f>
        <v>2</v>
      </c>
      <c r="K15" s="8">
        <f t="shared" si="8"/>
        <v>0.5</v>
      </c>
      <c r="L15" s="9">
        <f>J15- COUNTIFS(Answers!AE2:AE24,"In an internet platform",Answers!AD2:AD24,"*Unsatisfied*")</f>
        <v>1</v>
      </c>
      <c r="M15" s="8">
        <f t="shared" si="9"/>
        <v>0.5</v>
      </c>
    </row>
    <row r="16" spans="1:13">
      <c r="A16" s="7" t="s">
        <v>134</v>
      </c>
      <c r="B16" s="6">
        <f>COUNTIF(Answers!O2:O24,"*Through an online platform*")</f>
        <v>7</v>
      </c>
      <c r="C16" s="8">
        <f t="shared" si="5"/>
        <v>0.7</v>
      </c>
      <c r="D16" s="9">
        <f>COUNTIFS(Answers!O2:O24,"*Through an online platform*",Answers!Q2:Q24,"*No*")</f>
        <v>6</v>
      </c>
      <c r="E16" s="8">
        <f t="shared" si="6"/>
        <v>0.8571428571428571</v>
      </c>
      <c r="F16" s="9">
        <f>COUNTIFS(Answers!O2:O24,"*Through an online platform*",Answers!O2:O24,"*,*")</f>
        <v>4</v>
      </c>
      <c r="G16" s="8">
        <f t="shared" si="7"/>
        <v>0.5714285714285714</v>
      </c>
      <c r="H16" s="5"/>
      <c r="I16" s="7" t="s">
        <v>135</v>
      </c>
      <c r="J16" s="9">
        <f>COUNTIF(Answers!AF2:AF24,"*Through a temporary work agency*")</f>
        <v>2</v>
      </c>
      <c r="K16" s="8">
        <f t="shared" si="8"/>
        <v>0.5</v>
      </c>
      <c r="L16" s="9">
        <f>J16- COUNTIFS(Answers!AF2:AF24,"*Through a temporary work agency*",Answers!AD2:AD24,"*Unsatisfied*")</f>
        <v>1</v>
      </c>
      <c r="M16" s="8">
        <f t="shared" si="9"/>
        <v>0.5</v>
      </c>
    </row>
    <row r="17" spans="1:13">
      <c r="A17" s="15" t="s">
        <v>136</v>
      </c>
      <c r="B17" s="16">
        <f>COUNTIFS(Answers!O2:O24,"* *",Answers!O2:O24,"&lt;&gt;*Through an online platform*")</f>
        <v>3</v>
      </c>
      <c r="C17" s="17">
        <f t="shared" si="5"/>
        <v>0.3</v>
      </c>
      <c r="D17" s="18">
        <f>COUNTIFS(Answers!O2:O24,"* *",Answers!O2:O24,"&lt;&gt;*Through an online platform*",Answers!Q2:Q24,"*No*")</f>
        <v>3</v>
      </c>
      <c r="E17" s="17">
        <f t="shared" si="6"/>
        <v>1</v>
      </c>
      <c r="F17" s="18">
        <f>COUNTIFS(Answers!O2:O24,"*,*",Answers!O2:O24,"&lt;&gt;*Through an online platform*")</f>
        <v>0</v>
      </c>
      <c r="G17" s="17">
        <f t="shared" si="7"/>
        <v>0</v>
      </c>
      <c r="H17" s="5"/>
      <c r="I17" s="7" t="s">
        <v>137</v>
      </c>
      <c r="J17" s="9">
        <f>COUNTIF(Answers!AE2:AE24,"Through a temporary work agency")</f>
        <v>1</v>
      </c>
      <c r="K17" s="8">
        <f t="shared" si="8"/>
        <v>0.25</v>
      </c>
      <c r="L17" s="9">
        <f>J17- COUNTIFS(Answers!AE2:AE24,"Through a temporary work agency",Answers!AD2:AD24,"*Unsatisfied*")</f>
        <v>1</v>
      </c>
      <c r="M17" s="8">
        <f t="shared" si="9"/>
        <v>1</v>
      </c>
    </row>
    <row r="18" spans="1:13" ht="14.25">
      <c r="A18" s="19" t="s">
        <v>141</v>
      </c>
      <c r="B18" s="20">
        <f>COUNTIFS(Answers!M2:M24,"No",Answers!N2:N24,"No")</f>
        <v>1</v>
      </c>
      <c r="C18" s="21">
        <f t="shared" si="5"/>
        <v>0.1</v>
      </c>
      <c r="D18" s="22">
        <f>COUNTIFS(Answers!M2:M24,"No",Answers!N2:N24,"No",Answers!Q2:Q24,"*No*")</f>
        <v>1</v>
      </c>
      <c r="E18" s="21">
        <f t="shared" si="6"/>
        <v>1</v>
      </c>
      <c r="F18" s="25"/>
      <c r="G18" s="26"/>
      <c r="I18" s="7" t="s">
        <v>139</v>
      </c>
      <c r="J18" s="9">
        <f>COUNTIF(Answers!AF2:AF24,"*With personal connections*")</f>
        <v>2</v>
      </c>
      <c r="K18" s="8">
        <f t="shared" si="8"/>
        <v>0.5</v>
      </c>
      <c r="L18" s="9">
        <f>J18 - COUNTIFS(Answers!AF2:AF24,"*With personal connections*",Answers!AD2:AD24,"*Unsatisfied*")</f>
        <v>1</v>
      </c>
      <c r="M18" s="8">
        <f t="shared" si="9"/>
        <v>0.5</v>
      </c>
    </row>
    <row r="19" spans="1:13" ht="14.25">
      <c r="A19" s="12" t="s">
        <v>138</v>
      </c>
      <c r="B19" s="13">
        <f>B8</f>
        <v>10</v>
      </c>
      <c r="C19" s="14">
        <f>B19/$B$8</f>
        <v>1</v>
      </c>
      <c r="D19" s="23">
        <f>COUNTIF(Answers!Q2:Q24,"*No*")</f>
        <v>9</v>
      </c>
      <c r="E19" s="21">
        <f>D19/B19</f>
        <v>0.9</v>
      </c>
      <c r="F19" s="24">
        <f>COUNTIF(Answers!O2:O24,"*,*")</f>
        <v>4</v>
      </c>
      <c r="G19" s="14">
        <f>F19/B19</f>
        <v>0.4</v>
      </c>
      <c r="I19" s="7" t="s">
        <v>140</v>
      </c>
      <c r="J19" s="9">
        <f>COUNTIF(Answers!AE2:AE24,"With personal connections")</f>
        <v>1</v>
      </c>
      <c r="K19" s="8">
        <f t="shared" si="8"/>
        <v>0.25</v>
      </c>
      <c r="L19" s="6">
        <f>J19 - COUNTIFS(Answers!AE2:AE24,"With personal connections",Answers!AD2:AD24,"*Unsatisfied*")</f>
        <v>0</v>
      </c>
      <c r="M19" s="8">
        <f t="shared" si="9"/>
        <v>0</v>
      </c>
    </row>
    <row r="20" spans="1:13" ht="14.25">
      <c r="I20" s="7" t="s">
        <v>138</v>
      </c>
      <c r="J20" s="6">
        <f>B7</f>
        <v>4</v>
      </c>
      <c r="K20" s="8">
        <f t="shared" si="8"/>
        <v>1</v>
      </c>
      <c r="L20" s="9">
        <f>J20 - COUNTIF(Answers!AD2:AD24,"*Unsatisfied*")</f>
        <v>2</v>
      </c>
      <c r="M20" s="8">
        <f t="shared" si="9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Answers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Guilherme Magalhaes</cp:lastModifiedBy>
  <dcterms:modified xsi:type="dcterms:W3CDTF">2022-10-19T07:08:47Z</dcterms:modified>
</cp:coreProperties>
</file>